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omments1.xml" ContentType="application/vnd.openxmlformats-officedocument.spreadsheetml.comments+xml"/>
  <Override PartName="/xl/drawings/drawing22.xml" ContentType="application/vnd.openxmlformats-officedocument.drawing+xml"/>
  <Override PartName="/xl/charts/chart10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1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1.xml" ContentType="application/vnd.openxmlformats-officedocument.themeOverride+xml"/>
  <Override PartName="/xl/charts/chart12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3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4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5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6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7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8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9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heme/themeOverride2.xml" ContentType="application/vnd.openxmlformats-officedocument.themeOverride+xml"/>
  <Override PartName="/xl/charts/chart20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21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2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3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4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5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tpln365-my.sharepoint.com/personal/ivan_falahul_ptpln365_onmicrosoft_com/Documents/002. Perencanaan UP3 TLI/999. DASHBOARD/DASHBOARD/"/>
    </mc:Choice>
  </mc:AlternateContent>
  <xr:revisionPtr revIDLastSave="3915" documentId="8_{663FF9C3-06A9-4452-83FF-2366E21643C8}" xr6:coauthVersionLast="47" xr6:coauthVersionMax="47" xr10:uidLastSave="{652EB911-FCA2-423F-8951-9B72A2BBDB16}"/>
  <bookViews>
    <workbookView xWindow="-120" yWindow="-120" windowWidth="29040" windowHeight="15720" firstSheet="17" activeTab="18" xr2:uid="{1D720BF0-A2CA-43AF-B783-DAE26996854A}"/>
  </bookViews>
  <sheets>
    <sheet name="RANK" sheetId="24" r:id="rId1"/>
    <sheet name="CHECKLIST" sheetId="68" state="hidden" r:id="rId2"/>
    <sheet name="scoreboard" sheetId="71" state="hidden" r:id="rId3"/>
    <sheet name="TRACK" sheetId="115" state="hidden" r:id="rId4"/>
    <sheet name="DETAIL" sheetId="119" state="hidden" r:id="rId5"/>
    <sheet name="TREN" sheetId="120" state="hidden" r:id="rId6"/>
    <sheet name="KPI" sheetId="82" r:id="rId7"/>
    <sheet name="SIMULASI" sheetId="121" state="hidden" r:id="rId8"/>
    <sheet name="PI" sheetId="83" r:id="rId9"/>
    <sheet name="UP3" sheetId="35" r:id="rId10"/>
    <sheet name="PROG. JUNI" sheetId="133" state="hidden" r:id="rId11"/>
    <sheet name="ULP" sheetId="21" r:id="rId12"/>
    <sheet name="R.UP3" sheetId="36" r:id="rId13"/>
    <sheet name="R.TOLIS" sheetId="69" r:id="rId14"/>
    <sheet name="R.BANGKIR" sheetId="128" r:id="rId15"/>
    <sheet name="R.LEOK" sheetId="127" r:id="rId16"/>
    <sheet name="R.MOUTONG" sheetId="129" r:id="rId17"/>
    <sheet name="R.KOTARAYA" sheetId="131" r:id="rId18"/>
    <sheet name="T.UP3" sheetId="58" r:id="rId19"/>
    <sheet name="T.TOLIS" sheetId="73" r:id="rId20"/>
    <sheet name="T.LEOK" sheetId="134" r:id="rId21"/>
    <sheet name="T.BANGKIR" sheetId="135" r:id="rId22"/>
    <sheet name="T.MOUTONG" sheetId="136" r:id="rId23"/>
    <sheet name="T.KOTARAYA" sheetId="137" r:id="rId24"/>
    <sheet name="STRG" sheetId="138" r:id="rId25"/>
    <sheet name="DBRD" sheetId="140" r:id="rId26"/>
  </sheets>
  <definedNames>
    <definedName name="\0" localSheetId="8">#REF!</definedName>
    <definedName name="\0" localSheetId="21">#REF!</definedName>
    <definedName name="\0" localSheetId="23">#REF!</definedName>
    <definedName name="\0" localSheetId="20">#REF!</definedName>
    <definedName name="\0" localSheetId="22">#REF!</definedName>
    <definedName name="\0" localSheetId="19">#REF!</definedName>
    <definedName name="\0" localSheetId="5">#REF!</definedName>
    <definedName name="\0">#REF!</definedName>
    <definedName name="\1" localSheetId="8">#REF!</definedName>
    <definedName name="\1" localSheetId="21">#REF!</definedName>
    <definedName name="\1" localSheetId="23">#REF!</definedName>
    <definedName name="\1" localSheetId="20">#REF!</definedName>
    <definedName name="\1" localSheetId="22">#REF!</definedName>
    <definedName name="\1" localSheetId="19">#REF!</definedName>
    <definedName name="\1" localSheetId="5">#REF!</definedName>
    <definedName name="\1">#REF!</definedName>
    <definedName name="\a" localSheetId="8">#REF!</definedName>
    <definedName name="\a" localSheetId="12">#REF!</definedName>
    <definedName name="\a" localSheetId="21">#REF!</definedName>
    <definedName name="\a" localSheetId="23">#REF!</definedName>
    <definedName name="\a" localSheetId="20">#REF!</definedName>
    <definedName name="\a" localSheetId="22">#REF!</definedName>
    <definedName name="\a" localSheetId="19">#REF!</definedName>
    <definedName name="\a" localSheetId="18">#REF!</definedName>
    <definedName name="\a" localSheetId="5">#REF!</definedName>
    <definedName name="\a">#REF!</definedName>
    <definedName name="\b" localSheetId="8">#REF!</definedName>
    <definedName name="\b" localSheetId="12">#REF!</definedName>
    <definedName name="\b" localSheetId="21">#REF!</definedName>
    <definedName name="\b" localSheetId="23">#REF!</definedName>
    <definedName name="\b" localSheetId="20">#REF!</definedName>
    <definedName name="\b" localSheetId="22">#REF!</definedName>
    <definedName name="\b" localSheetId="19">#REF!</definedName>
    <definedName name="\b" localSheetId="18">#REF!</definedName>
    <definedName name="\b" localSheetId="5">#REF!</definedName>
    <definedName name="\b">#REF!</definedName>
    <definedName name="\b11_567891011" localSheetId="8">#REF!</definedName>
    <definedName name="\b11_567891011" localSheetId="21">#REF!</definedName>
    <definedName name="\b11_567891011" localSheetId="23">#REF!</definedName>
    <definedName name="\b11_567891011" localSheetId="20">#REF!</definedName>
    <definedName name="\b11_567891011" localSheetId="22">#REF!</definedName>
    <definedName name="\b11_567891011" localSheetId="19">#REF!</definedName>
    <definedName name="\b11_567891011">#REF!</definedName>
    <definedName name="\b12_567891011" localSheetId="8">#REF!</definedName>
    <definedName name="\b12_567891011" localSheetId="21">#REF!</definedName>
    <definedName name="\b12_567891011" localSheetId="23">#REF!</definedName>
    <definedName name="\b12_567891011" localSheetId="20">#REF!</definedName>
    <definedName name="\b12_567891011" localSheetId="22">#REF!</definedName>
    <definedName name="\b12_567891011" localSheetId="19">#REF!</definedName>
    <definedName name="\b12_567891011">#REF!</definedName>
    <definedName name="\b13_567891011" localSheetId="8">#REF!</definedName>
    <definedName name="\b13_567891011" localSheetId="21">#REF!</definedName>
    <definedName name="\b13_567891011" localSheetId="23">#REF!</definedName>
    <definedName name="\b13_567891011" localSheetId="20">#REF!</definedName>
    <definedName name="\b13_567891011" localSheetId="22">#REF!</definedName>
    <definedName name="\b13_567891011" localSheetId="19">#REF!</definedName>
    <definedName name="\b13_567891011">#REF!</definedName>
    <definedName name="\b14_567891011" localSheetId="8">#REF!</definedName>
    <definedName name="\b14_567891011" localSheetId="21">#REF!</definedName>
    <definedName name="\b14_567891011" localSheetId="23">#REF!</definedName>
    <definedName name="\b14_567891011" localSheetId="20">#REF!</definedName>
    <definedName name="\b14_567891011" localSheetId="22">#REF!</definedName>
    <definedName name="\b14_567891011" localSheetId="19">#REF!</definedName>
    <definedName name="\b14_567891011">#REF!</definedName>
    <definedName name="\b23">#REF!</definedName>
    <definedName name="\b23_567891011">#REF!</definedName>
    <definedName name="\b78">#REF!</definedName>
    <definedName name="\bbsuralaya">#REF!</definedName>
    <definedName name="\c" localSheetId="8">#REF!</definedName>
    <definedName name="\c" localSheetId="12">#REF!</definedName>
    <definedName name="\c" localSheetId="21">#REF!</definedName>
    <definedName name="\c" localSheetId="23">#REF!</definedName>
    <definedName name="\c" localSheetId="20">#REF!</definedName>
    <definedName name="\c" localSheetId="22">#REF!</definedName>
    <definedName name="\c" localSheetId="19">#REF!</definedName>
    <definedName name="\c" localSheetId="18">#REF!</definedName>
    <definedName name="\c" localSheetId="5">#REF!</definedName>
    <definedName name="\c">#REF!</definedName>
    <definedName name="\C309" localSheetId="8">#REF!</definedName>
    <definedName name="\C309" localSheetId="21">#REF!</definedName>
    <definedName name="\C309" localSheetId="23">#REF!</definedName>
    <definedName name="\C309" localSheetId="20">#REF!</definedName>
    <definedName name="\C309" localSheetId="22">#REF!</definedName>
    <definedName name="\C309" localSheetId="19">#REF!</definedName>
    <definedName name="\C309" localSheetId="5">#REF!</definedName>
    <definedName name="\C309">#REF!</definedName>
    <definedName name="\CDKWH" localSheetId="8">#REF!</definedName>
    <definedName name="\CDKWH" localSheetId="21">#REF!</definedName>
    <definedName name="\CDKWH" localSheetId="23">#REF!</definedName>
    <definedName name="\CDKWH" localSheetId="20">#REF!</definedName>
    <definedName name="\CDKWH" localSheetId="22">#REF!</definedName>
    <definedName name="\CDKWH" localSheetId="19">#REF!</definedName>
    <definedName name="\CDKWH" localSheetId="5">#REF!</definedName>
    <definedName name="\CDKWH">#REF!</definedName>
    <definedName name="\CDP" localSheetId="8">#REF!</definedName>
    <definedName name="\CDP" localSheetId="21">#REF!</definedName>
    <definedName name="\CDP" localSheetId="23">#REF!</definedName>
    <definedName name="\CDP" localSheetId="20">#REF!</definedName>
    <definedName name="\CDP" localSheetId="22">#REF!</definedName>
    <definedName name="\CDP" localSheetId="19">#REF!</definedName>
    <definedName name="\CDP" localSheetId="5">#REF!</definedName>
    <definedName name="\CDP">#REF!</definedName>
    <definedName name="\CDPLG" localSheetId="8">#REF!</definedName>
    <definedName name="\CDPLG" localSheetId="21">#REF!</definedName>
    <definedName name="\CDPLG" localSheetId="23">#REF!</definedName>
    <definedName name="\CDPLG" localSheetId="20">#REF!</definedName>
    <definedName name="\CDPLG" localSheetId="22">#REF!</definedName>
    <definedName name="\CDPLG" localSheetId="19">#REF!</definedName>
    <definedName name="\CDPLG">#REF!</definedName>
    <definedName name="\CDRP" localSheetId="8">#REF!</definedName>
    <definedName name="\CDRP" localSheetId="21">#REF!</definedName>
    <definedName name="\CDRP" localSheetId="23">#REF!</definedName>
    <definedName name="\CDRP" localSheetId="20">#REF!</definedName>
    <definedName name="\CDRP" localSheetId="22">#REF!</definedName>
    <definedName name="\CDRP" localSheetId="19">#REF!</definedName>
    <definedName name="\CDRP">#REF!</definedName>
    <definedName name="\CDRPKWH" localSheetId="8">#REF!</definedName>
    <definedName name="\CDRPKWH" localSheetId="21">#REF!</definedName>
    <definedName name="\CDRPKWH" localSheetId="23">#REF!</definedName>
    <definedName name="\CDRPKWH" localSheetId="20">#REF!</definedName>
    <definedName name="\CDRPKWH" localSheetId="22">#REF!</definedName>
    <definedName name="\CDRPKWH" localSheetId="19">#REF!</definedName>
    <definedName name="\CDRPKWH">#REF!</definedName>
    <definedName name="\CDVA" localSheetId="8">#REF!</definedName>
    <definedName name="\CDVA" localSheetId="21">#REF!</definedName>
    <definedName name="\CDVA" localSheetId="23">#REF!</definedName>
    <definedName name="\CDVA" localSheetId="20">#REF!</definedName>
    <definedName name="\CDVA" localSheetId="22">#REF!</definedName>
    <definedName name="\CDVA" localSheetId="19">#REF!</definedName>
    <definedName name="\CDVA">#REF!</definedName>
    <definedName name="\CHLM2" localSheetId="8">#REF!</definedName>
    <definedName name="\CHLM2" localSheetId="21">#REF!</definedName>
    <definedName name="\CHLM2" localSheetId="23">#REF!</definedName>
    <definedName name="\CHLM2" localSheetId="20">#REF!</definedName>
    <definedName name="\CHLM2" localSheetId="22">#REF!</definedName>
    <definedName name="\CHLM2" localSheetId="19">#REF!</definedName>
    <definedName name="\CHLM2">#REF!</definedName>
    <definedName name="\CHLM3" localSheetId="8">#REF!</definedName>
    <definedName name="\CHLM3" localSheetId="21">#REF!</definedName>
    <definedName name="\CHLM3" localSheetId="23">#REF!</definedName>
    <definedName name="\CHLM3" localSheetId="20">#REF!</definedName>
    <definedName name="\CHLM3" localSheetId="22">#REF!</definedName>
    <definedName name="\CHLM3" localSheetId="19">#REF!</definedName>
    <definedName name="\CHLM3">#REF!</definedName>
    <definedName name="\CREKAP" localSheetId="8">#REF!</definedName>
    <definedName name="\CREKAP" localSheetId="21">#REF!</definedName>
    <definedName name="\CREKAP" localSheetId="23">#REF!</definedName>
    <definedName name="\CREKAP" localSheetId="20">#REF!</definedName>
    <definedName name="\CREKAP" localSheetId="22">#REF!</definedName>
    <definedName name="\CREKAP" localSheetId="19">#REF!</definedName>
    <definedName name="\CREKAP">#REF!</definedName>
    <definedName name="\d" localSheetId="8">#REF!</definedName>
    <definedName name="\d" localSheetId="12">#REF!</definedName>
    <definedName name="\d" localSheetId="21">#REF!</definedName>
    <definedName name="\d" localSheetId="23">#REF!</definedName>
    <definedName name="\d" localSheetId="20">#REF!</definedName>
    <definedName name="\d" localSheetId="22">#REF!</definedName>
    <definedName name="\d" localSheetId="19">#REF!</definedName>
    <definedName name="\d" localSheetId="18">#REF!</definedName>
    <definedName name="\d" localSheetId="5">#REF!</definedName>
    <definedName name="\d">#REF!</definedName>
    <definedName name="\e" localSheetId="8">#REF!</definedName>
    <definedName name="\e" localSheetId="12">#REF!</definedName>
    <definedName name="\e" localSheetId="21">#REF!</definedName>
    <definedName name="\e" localSheetId="23">#REF!</definedName>
    <definedName name="\e" localSheetId="20">#REF!</definedName>
    <definedName name="\e" localSheetId="22">#REF!</definedName>
    <definedName name="\e" localSheetId="19">#REF!</definedName>
    <definedName name="\e" localSheetId="18">#REF!</definedName>
    <definedName name="\e" localSheetId="5">#REF!</definedName>
    <definedName name="\e">#REF!</definedName>
    <definedName name="\f" localSheetId="8">#REF!</definedName>
    <definedName name="\f" localSheetId="12">#REF!</definedName>
    <definedName name="\f" localSheetId="21">#REF!</definedName>
    <definedName name="\f" localSheetId="23">#REF!</definedName>
    <definedName name="\f" localSheetId="20">#REF!</definedName>
    <definedName name="\f" localSheetId="22">#REF!</definedName>
    <definedName name="\f" localSheetId="19">#REF!</definedName>
    <definedName name="\f" localSheetId="18">#REF!</definedName>
    <definedName name="\f" localSheetId="5">#REF!</definedName>
    <definedName name="\f">#REF!</definedName>
    <definedName name="\g" localSheetId="8">#REF!</definedName>
    <definedName name="\g" localSheetId="12">#REF!</definedName>
    <definedName name="\g" localSheetId="21">#REF!</definedName>
    <definedName name="\g" localSheetId="23">#REF!</definedName>
    <definedName name="\g" localSheetId="20">#REF!</definedName>
    <definedName name="\g" localSheetId="22">#REF!</definedName>
    <definedName name="\g" localSheetId="19">#REF!</definedName>
    <definedName name="\g" localSheetId="18">#REF!</definedName>
    <definedName name="\g">#REF!</definedName>
    <definedName name="\H">#REF!</definedName>
    <definedName name="\I">#REF!</definedName>
    <definedName name="\i11_567891011" localSheetId="8">#REF!</definedName>
    <definedName name="\i11_567891011" localSheetId="21">#REF!</definedName>
    <definedName name="\i11_567891011" localSheetId="23">#REF!</definedName>
    <definedName name="\i11_567891011" localSheetId="20">#REF!</definedName>
    <definedName name="\i11_567891011" localSheetId="22">#REF!</definedName>
    <definedName name="\i11_567891011" localSheetId="19">#REF!</definedName>
    <definedName name="\i11_567891011" localSheetId="5">#REF!</definedName>
    <definedName name="\i11_567891011">#REF!</definedName>
    <definedName name="\i12_567891011" localSheetId="8">#REF!</definedName>
    <definedName name="\i12_567891011" localSheetId="21">#REF!</definedName>
    <definedName name="\i12_567891011" localSheetId="23">#REF!</definedName>
    <definedName name="\i12_567891011" localSheetId="20">#REF!</definedName>
    <definedName name="\i12_567891011" localSheetId="22">#REF!</definedName>
    <definedName name="\i12_567891011" localSheetId="19">#REF!</definedName>
    <definedName name="\i12_567891011" localSheetId="5">#REF!</definedName>
    <definedName name="\i12_567891011">#REF!</definedName>
    <definedName name="\i13_567891011" localSheetId="8">#REF!</definedName>
    <definedName name="\i13_567891011" localSheetId="21">#REF!</definedName>
    <definedName name="\i13_567891011" localSheetId="23">#REF!</definedName>
    <definedName name="\i13_567891011" localSheetId="20">#REF!</definedName>
    <definedName name="\i13_567891011" localSheetId="22">#REF!</definedName>
    <definedName name="\i13_567891011" localSheetId="19">#REF!</definedName>
    <definedName name="\i13_567891011" localSheetId="5">#REF!</definedName>
    <definedName name="\i13_567891011">#REF!</definedName>
    <definedName name="\i14_567891011" localSheetId="8">#REF!</definedName>
    <definedName name="\i14_567891011" localSheetId="21">#REF!</definedName>
    <definedName name="\i14_567891011" localSheetId="23">#REF!</definedName>
    <definedName name="\i14_567891011" localSheetId="20">#REF!</definedName>
    <definedName name="\i14_567891011" localSheetId="22">#REF!</definedName>
    <definedName name="\i14_567891011" localSheetId="19">#REF!</definedName>
    <definedName name="\i14_567891011" localSheetId="5">#REF!</definedName>
    <definedName name="\i14_567891011">#REF!</definedName>
    <definedName name="\i23">#REF!</definedName>
    <definedName name="\i78">#REF!</definedName>
    <definedName name="\IPD">#REF!</definedName>
    <definedName name="\J">#REF!</definedName>
    <definedName name="\K">#REF!</definedName>
    <definedName name="\L">#REF!</definedName>
    <definedName name="\LIHAT" localSheetId="8">#REF!</definedName>
    <definedName name="\LIHAT" localSheetId="21">#REF!</definedName>
    <definedName name="\LIHAT" localSheetId="23">#REF!</definedName>
    <definedName name="\LIHAT" localSheetId="20">#REF!</definedName>
    <definedName name="\LIHAT" localSheetId="22">#REF!</definedName>
    <definedName name="\LIHAT" localSheetId="19">#REF!</definedName>
    <definedName name="\LIHAT" localSheetId="5">#REF!</definedName>
    <definedName name="\LIHAT">#REF!</definedName>
    <definedName name="\LX1" localSheetId="8">#REF!</definedName>
    <definedName name="\LX1" localSheetId="12">#REF!</definedName>
    <definedName name="\LX1" localSheetId="21">#REF!</definedName>
    <definedName name="\LX1" localSheetId="23">#REF!</definedName>
    <definedName name="\LX1" localSheetId="20">#REF!</definedName>
    <definedName name="\LX1" localSheetId="22">#REF!</definedName>
    <definedName name="\LX1" localSheetId="19">#REF!</definedName>
    <definedName name="\LX1" localSheetId="18">#REF!</definedName>
    <definedName name="\LX1" localSheetId="5">#REF!</definedName>
    <definedName name="\LX1">#REF!</definedName>
    <definedName name="\M">#REF!</definedName>
    <definedName name="\o" localSheetId="8">#REF!</definedName>
    <definedName name="\o" localSheetId="12">#REF!</definedName>
    <definedName name="\o" localSheetId="21">#REF!</definedName>
    <definedName name="\o" localSheetId="23">#REF!</definedName>
    <definedName name="\o" localSheetId="20">#REF!</definedName>
    <definedName name="\o" localSheetId="22">#REF!</definedName>
    <definedName name="\o" localSheetId="19">#REF!</definedName>
    <definedName name="\o" localSheetId="18">#REF!</definedName>
    <definedName name="\o" localSheetId="5">#REF!</definedName>
    <definedName name="\o">#REF!</definedName>
    <definedName name="\P">#REF!</definedName>
    <definedName name="\p23">#REF!</definedName>
    <definedName name="\p567891011">#REF!</definedName>
    <definedName name="\PSLD" localSheetId="8">#REF!</definedName>
    <definedName name="\PSLD" localSheetId="21">#REF!</definedName>
    <definedName name="\PSLD" localSheetId="23">#REF!</definedName>
    <definedName name="\PSLD" localSheetId="20">#REF!</definedName>
    <definedName name="\PSLD" localSheetId="22">#REF!</definedName>
    <definedName name="\PSLD" localSheetId="19">#REF!</definedName>
    <definedName name="\PSLD" localSheetId="5">#REF!</definedName>
    <definedName name="\PSLD">#REF!</definedName>
    <definedName name="\Q">#REF!</definedName>
    <definedName name="\R">#REF!</definedName>
    <definedName name="\r11_567891011" localSheetId="8">#REF!</definedName>
    <definedName name="\r11_567891011" localSheetId="21">#REF!</definedName>
    <definedName name="\r11_567891011" localSheetId="23">#REF!</definedName>
    <definedName name="\r11_567891011" localSheetId="20">#REF!</definedName>
    <definedName name="\r11_567891011" localSheetId="22">#REF!</definedName>
    <definedName name="\r11_567891011" localSheetId="19">#REF!</definedName>
    <definedName name="\r11_567891011" localSheetId="5">#REF!</definedName>
    <definedName name="\r11_567891011">#REF!</definedName>
    <definedName name="\r12_567891011" localSheetId="8">#REF!</definedName>
    <definedName name="\r12_567891011" localSheetId="21">#REF!</definedName>
    <definedName name="\r12_567891011" localSheetId="23">#REF!</definedName>
    <definedName name="\r12_567891011" localSheetId="20">#REF!</definedName>
    <definedName name="\r12_567891011" localSheetId="22">#REF!</definedName>
    <definedName name="\r12_567891011" localSheetId="19">#REF!</definedName>
    <definedName name="\r12_567891011" localSheetId="5">#REF!</definedName>
    <definedName name="\r12_567891011">#REF!</definedName>
    <definedName name="\r123_567891011">#REF!</definedName>
    <definedName name="\r13_567891011" localSheetId="8">#REF!</definedName>
    <definedName name="\r13_567891011" localSheetId="21">#REF!</definedName>
    <definedName name="\r13_567891011" localSheetId="23">#REF!</definedName>
    <definedName name="\r13_567891011" localSheetId="20">#REF!</definedName>
    <definedName name="\r13_567891011" localSheetId="22">#REF!</definedName>
    <definedName name="\r13_567891011" localSheetId="19">#REF!</definedName>
    <definedName name="\r13_567891011" localSheetId="5">#REF!</definedName>
    <definedName name="\r13_567891011">#REF!</definedName>
    <definedName name="\r23">#REF!</definedName>
    <definedName name="\r78">#REF!</definedName>
    <definedName name="\S">#REF!</definedName>
    <definedName name="\s1_567891011">#REF!</definedName>
    <definedName name="\s1011">#REF!</definedName>
    <definedName name="\s21_567891011" localSheetId="8">#REF!</definedName>
    <definedName name="\s21_567891011" localSheetId="21">#REF!</definedName>
    <definedName name="\s21_567891011" localSheetId="23">#REF!</definedName>
    <definedName name="\s21_567891011" localSheetId="20">#REF!</definedName>
    <definedName name="\s21_567891011" localSheetId="22">#REF!</definedName>
    <definedName name="\s21_567891011" localSheetId="19">#REF!</definedName>
    <definedName name="\s21_567891011" localSheetId="5">#REF!</definedName>
    <definedName name="\s21_567891011">#REF!</definedName>
    <definedName name="\s22_567891011" localSheetId="8">#REF!</definedName>
    <definedName name="\s22_567891011" localSheetId="21">#REF!</definedName>
    <definedName name="\s22_567891011" localSheetId="23">#REF!</definedName>
    <definedName name="\s22_567891011" localSheetId="20">#REF!</definedName>
    <definedName name="\s22_567891011" localSheetId="22">#REF!</definedName>
    <definedName name="\s22_567891011" localSheetId="19">#REF!</definedName>
    <definedName name="\s22_567891011" localSheetId="5">#REF!</definedName>
    <definedName name="\s22_567891011">#REF!</definedName>
    <definedName name="\s23">#REF!</definedName>
    <definedName name="\s23_567891011" localSheetId="8">#REF!</definedName>
    <definedName name="\s23_567891011" localSheetId="21">#REF!</definedName>
    <definedName name="\s23_567891011" localSheetId="23">#REF!</definedName>
    <definedName name="\s23_567891011" localSheetId="20">#REF!</definedName>
    <definedName name="\s23_567891011" localSheetId="22">#REF!</definedName>
    <definedName name="\s23_567891011" localSheetId="19">#REF!</definedName>
    <definedName name="\s23_567891011" localSheetId="5">#REF!</definedName>
    <definedName name="\s23_567891011">#REF!</definedName>
    <definedName name="\s24_567891011" localSheetId="8">#REF!</definedName>
    <definedName name="\s24_567891011" localSheetId="21">#REF!</definedName>
    <definedName name="\s24_567891011" localSheetId="23">#REF!</definedName>
    <definedName name="\s24_567891011" localSheetId="20">#REF!</definedName>
    <definedName name="\s24_567891011" localSheetId="22">#REF!</definedName>
    <definedName name="\s24_567891011" localSheetId="19">#REF!</definedName>
    <definedName name="\s24_567891011" localSheetId="5">#REF!</definedName>
    <definedName name="\s24_567891011">#REF!</definedName>
    <definedName name="\s25_567891011" localSheetId="8">#REF!</definedName>
    <definedName name="\s25_567891011" localSheetId="21">#REF!</definedName>
    <definedName name="\s25_567891011" localSheetId="23">#REF!</definedName>
    <definedName name="\s25_567891011" localSheetId="20">#REF!</definedName>
    <definedName name="\s25_567891011" localSheetId="22">#REF!</definedName>
    <definedName name="\s25_567891011" localSheetId="19">#REF!</definedName>
    <definedName name="\s25_567891011" localSheetId="5">#REF!</definedName>
    <definedName name="\s25_567891011">#REF!</definedName>
    <definedName name="\s3_567891011" localSheetId="8">#REF!</definedName>
    <definedName name="\s3_567891011" localSheetId="21">#REF!</definedName>
    <definedName name="\s3_567891011" localSheetId="23">#REF!</definedName>
    <definedName name="\s3_567891011" localSheetId="20">#REF!</definedName>
    <definedName name="\s3_567891011" localSheetId="22">#REF!</definedName>
    <definedName name="\s3_567891011" localSheetId="19">#REF!</definedName>
    <definedName name="\s3_567891011" localSheetId="5">#REF!</definedName>
    <definedName name="\s3_567891011">#REF!</definedName>
    <definedName name="\S309" localSheetId="8">#REF!</definedName>
    <definedName name="\S309" localSheetId="21">#REF!</definedName>
    <definedName name="\S309" localSheetId="23">#REF!</definedName>
    <definedName name="\S309" localSheetId="20">#REF!</definedName>
    <definedName name="\S309" localSheetId="22">#REF!</definedName>
    <definedName name="\S309" localSheetId="19">#REF!</definedName>
    <definedName name="\S309">#REF!</definedName>
    <definedName name="\s678">#REF!</definedName>
    <definedName name="\s78">#REF!</definedName>
    <definedName name="\SDP" localSheetId="8">#REF!</definedName>
    <definedName name="\SDP" localSheetId="21">#REF!</definedName>
    <definedName name="\SDP" localSheetId="23">#REF!</definedName>
    <definedName name="\SDP" localSheetId="20">#REF!</definedName>
    <definedName name="\SDP" localSheetId="22">#REF!</definedName>
    <definedName name="\SDP" localSheetId="19">#REF!</definedName>
    <definedName name="\SDP" localSheetId="5">#REF!</definedName>
    <definedName name="\SDP">#REF!</definedName>
    <definedName name="\T">#REF!</definedName>
    <definedName name="\tcm23">#REF!</definedName>
    <definedName name="\tcm567891011">#REF!</definedName>
    <definedName name="\U" localSheetId="8">#REF!</definedName>
    <definedName name="\U" localSheetId="21">#REF!</definedName>
    <definedName name="\U" localSheetId="23">#REF!</definedName>
    <definedName name="\U" localSheetId="20">#REF!</definedName>
    <definedName name="\U" localSheetId="22">#REF!</definedName>
    <definedName name="\U" localSheetId="19">#REF!</definedName>
    <definedName name="\U" localSheetId="5">#REF!</definedName>
    <definedName name="\U">#REF!</definedName>
    <definedName name="\V" localSheetId="8">#REF!</definedName>
    <definedName name="\V" localSheetId="12">#REF!</definedName>
    <definedName name="\V" localSheetId="21">#REF!</definedName>
    <definedName name="\V" localSheetId="23">#REF!</definedName>
    <definedName name="\V" localSheetId="20">#REF!</definedName>
    <definedName name="\V" localSheetId="22">#REF!</definedName>
    <definedName name="\V" localSheetId="19">#REF!</definedName>
    <definedName name="\V" localSheetId="18">#REF!</definedName>
    <definedName name="\V" localSheetId="5">#REF!</definedName>
    <definedName name="\V">#REF!</definedName>
    <definedName name="\W">#REF!</definedName>
    <definedName name="\X" localSheetId="8">#REF!</definedName>
    <definedName name="\X" localSheetId="21">#REF!</definedName>
    <definedName name="\X" localSheetId="23">#REF!</definedName>
    <definedName name="\X" localSheetId="20">#REF!</definedName>
    <definedName name="\X" localSheetId="22">#REF!</definedName>
    <definedName name="\X" localSheetId="19">#REF!</definedName>
    <definedName name="\X" localSheetId="5">#REF!</definedName>
    <definedName name="\X">#REF!</definedName>
    <definedName name="\Y" localSheetId="8">#REF!</definedName>
    <definedName name="\Y" localSheetId="21">#REF!</definedName>
    <definedName name="\Y" localSheetId="23">#REF!</definedName>
    <definedName name="\Y" localSheetId="20">#REF!</definedName>
    <definedName name="\Y" localSheetId="22">#REF!</definedName>
    <definedName name="\Y" localSheetId="19">#REF!</definedName>
    <definedName name="\Y" localSheetId="5">#REF!</definedName>
    <definedName name="\Y">#REF!</definedName>
    <definedName name="\Z">#REF!</definedName>
    <definedName name="_____________________JUL3" localSheetId="8">#REF!</definedName>
    <definedName name="_____________________JUL3" localSheetId="21">#REF!</definedName>
    <definedName name="_____________________JUL3" localSheetId="23">#REF!</definedName>
    <definedName name="_____________________JUL3" localSheetId="20">#REF!</definedName>
    <definedName name="_____________________JUL3" localSheetId="22">#REF!</definedName>
    <definedName name="_____________________JUL3" localSheetId="19">#REF!</definedName>
    <definedName name="_____________________JUL3" localSheetId="5">#REF!</definedName>
    <definedName name="_____________________JUL3">#REF!</definedName>
    <definedName name="____________________JUL3" localSheetId="8">#REF!</definedName>
    <definedName name="____________________JUL3" localSheetId="21">#REF!</definedName>
    <definedName name="____________________JUL3" localSheetId="23">#REF!</definedName>
    <definedName name="____________________JUL3" localSheetId="20">#REF!</definedName>
    <definedName name="____________________JUL3" localSheetId="22">#REF!</definedName>
    <definedName name="____________________JUL3" localSheetId="19">#REF!</definedName>
    <definedName name="____________________JUL3" localSheetId="5">#REF!</definedName>
    <definedName name="____________________JUL3">#REF!</definedName>
    <definedName name="____________JUL3" localSheetId="8">#REF!</definedName>
    <definedName name="____________JUL3" localSheetId="21">#REF!</definedName>
    <definedName name="____________JUL3" localSheetId="23">#REF!</definedName>
    <definedName name="____________JUL3" localSheetId="20">#REF!</definedName>
    <definedName name="____________JUL3" localSheetId="22">#REF!</definedName>
    <definedName name="____________JUL3" localSheetId="19">#REF!</definedName>
    <definedName name="____________JUL3" localSheetId="5">#REF!</definedName>
    <definedName name="____________JUL3">#REF!</definedName>
    <definedName name="___________JUL3" localSheetId="8">#REF!</definedName>
    <definedName name="___________JUL3" localSheetId="21">#REF!</definedName>
    <definedName name="___________JUL3" localSheetId="23">#REF!</definedName>
    <definedName name="___________JUL3" localSheetId="20">#REF!</definedName>
    <definedName name="___________JUL3" localSheetId="22">#REF!</definedName>
    <definedName name="___________JUL3" localSheetId="19">#REF!</definedName>
    <definedName name="___________JUL3">#REF!</definedName>
    <definedName name="__________JUL3" localSheetId="8">#REF!</definedName>
    <definedName name="__________JUL3" localSheetId="21">#REF!</definedName>
    <definedName name="__________JUL3" localSheetId="23">#REF!</definedName>
    <definedName name="__________JUL3" localSheetId="20">#REF!</definedName>
    <definedName name="__________JUL3" localSheetId="22">#REF!</definedName>
    <definedName name="__________JUL3" localSheetId="19">#REF!</definedName>
    <definedName name="__________JUL3">#REF!</definedName>
    <definedName name="________JUL3" localSheetId="8">#REF!</definedName>
    <definedName name="________JUL3" localSheetId="21">#REF!</definedName>
    <definedName name="________JUL3" localSheetId="23">#REF!</definedName>
    <definedName name="________JUL3" localSheetId="20">#REF!</definedName>
    <definedName name="________JUL3" localSheetId="22">#REF!</definedName>
    <definedName name="________JUL3" localSheetId="19">#REF!</definedName>
    <definedName name="________JUL3">#REF!</definedName>
    <definedName name="_______JUL3" localSheetId="8">#REF!</definedName>
    <definedName name="_______JUL3" localSheetId="21">#REF!</definedName>
    <definedName name="_______JUL3" localSheetId="23">#REF!</definedName>
    <definedName name="_______JUL3" localSheetId="20">#REF!</definedName>
    <definedName name="_______JUL3" localSheetId="22">#REF!</definedName>
    <definedName name="_______JUL3" localSheetId="19">#REF!</definedName>
    <definedName name="_______JUL3">#REF!</definedName>
    <definedName name="______hal1" localSheetId="8">#REF!</definedName>
    <definedName name="______hal1" localSheetId="21">#REF!</definedName>
    <definedName name="______hal1" localSheetId="23">#REF!</definedName>
    <definedName name="______hal1" localSheetId="20">#REF!</definedName>
    <definedName name="______hal1" localSheetId="22">#REF!</definedName>
    <definedName name="______hal1" localSheetId="19">#REF!</definedName>
    <definedName name="______hal1">#REF!</definedName>
    <definedName name="______hal2" localSheetId="8">#REF!</definedName>
    <definedName name="______hal2" localSheetId="21">#REF!</definedName>
    <definedName name="______hal2" localSheetId="23">#REF!</definedName>
    <definedName name="______hal2" localSheetId="20">#REF!</definedName>
    <definedName name="______hal2" localSheetId="22">#REF!</definedName>
    <definedName name="______hal2" localSheetId="19">#REF!</definedName>
    <definedName name="______hal2">#REF!</definedName>
    <definedName name="______hal3" localSheetId="8">#REF!</definedName>
    <definedName name="______hal3" localSheetId="21">#REF!</definedName>
    <definedName name="______hal3" localSheetId="23">#REF!</definedName>
    <definedName name="______hal3" localSheetId="20">#REF!</definedName>
    <definedName name="______hal3" localSheetId="22">#REF!</definedName>
    <definedName name="______hal3" localSheetId="19">#REF!</definedName>
    <definedName name="______hal3">#REF!</definedName>
    <definedName name="______JUL3" localSheetId="8">#REF!</definedName>
    <definedName name="______JUL3" localSheetId="21">#REF!</definedName>
    <definedName name="______JUL3" localSheetId="23">#REF!</definedName>
    <definedName name="______JUL3" localSheetId="20">#REF!</definedName>
    <definedName name="______JUL3" localSheetId="22">#REF!</definedName>
    <definedName name="______JUL3" localSheetId="19">#REF!</definedName>
    <definedName name="______JUL3">#REF!</definedName>
    <definedName name="______MEI92" localSheetId="8">#REF!</definedName>
    <definedName name="______MEI92" localSheetId="12">#REF!</definedName>
    <definedName name="______MEI92" localSheetId="21">#REF!</definedName>
    <definedName name="______MEI92" localSheetId="23">#REF!</definedName>
    <definedName name="______MEI92" localSheetId="20">#REF!</definedName>
    <definedName name="______MEI92" localSheetId="22">#REF!</definedName>
    <definedName name="______MEI92" localSheetId="19">#REF!</definedName>
    <definedName name="______MEI92" localSheetId="18">#REF!</definedName>
    <definedName name="______MEI92">#REF!</definedName>
    <definedName name="_____DAF1" localSheetId="8">#REF!</definedName>
    <definedName name="_____DAF1" localSheetId="21">#REF!</definedName>
    <definedName name="_____DAF1" localSheetId="23">#REF!</definedName>
    <definedName name="_____DAF1" localSheetId="20">#REF!</definedName>
    <definedName name="_____DAF1" localSheetId="22">#REF!</definedName>
    <definedName name="_____DAF1" localSheetId="19">#REF!</definedName>
    <definedName name="_____DAF1">#REF!</definedName>
    <definedName name="_____DAF11" localSheetId="8">#REF!</definedName>
    <definedName name="_____DAF11" localSheetId="21">#REF!</definedName>
    <definedName name="_____DAF11" localSheetId="23">#REF!</definedName>
    <definedName name="_____DAF11" localSheetId="20">#REF!</definedName>
    <definedName name="_____DAF11" localSheetId="22">#REF!</definedName>
    <definedName name="_____DAF11" localSheetId="19">#REF!</definedName>
    <definedName name="_____DAF11">#REF!</definedName>
    <definedName name="_____DAF12" localSheetId="8">#REF!</definedName>
    <definedName name="_____DAF12" localSheetId="21">#REF!</definedName>
    <definedName name="_____DAF12" localSheetId="23">#REF!</definedName>
    <definedName name="_____DAF12" localSheetId="20">#REF!</definedName>
    <definedName name="_____DAF12" localSheetId="22">#REF!</definedName>
    <definedName name="_____DAF12" localSheetId="19">#REF!</definedName>
    <definedName name="_____DAF12">#REF!</definedName>
    <definedName name="_____DAF13" localSheetId="8">#REF!</definedName>
    <definedName name="_____DAF13" localSheetId="21">#REF!</definedName>
    <definedName name="_____DAF13" localSheetId="23">#REF!</definedName>
    <definedName name="_____DAF13" localSheetId="20">#REF!</definedName>
    <definedName name="_____DAF13" localSheetId="22">#REF!</definedName>
    <definedName name="_____DAF13" localSheetId="19">#REF!</definedName>
    <definedName name="_____DAF13">#REF!</definedName>
    <definedName name="_____daf133" localSheetId="8">#REF!</definedName>
    <definedName name="_____daf133" localSheetId="21">#REF!</definedName>
    <definedName name="_____daf133" localSheetId="23">#REF!</definedName>
    <definedName name="_____daf133" localSheetId="20">#REF!</definedName>
    <definedName name="_____daf133" localSheetId="22">#REF!</definedName>
    <definedName name="_____daf133" localSheetId="19">#REF!</definedName>
    <definedName name="_____daf133">#REF!</definedName>
    <definedName name="_____DAF14" localSheetId="8">#REF!</definedName>
    <definedName name="_____DAF14" localSheetId="21">#REF!</definedName>
    <definedName name="_____DAF14" localSheetId="23">#REF!</definedName>
    <definedName name="_____DAF14" localSheetId="20">#REF!</definedName>
    <definedName name="_____DAF14" localSheetId="22">#REF!</definedName>
    <definedName name="_____DAF14" localSheetId="19">#REF!</definedName>
    <definedName name="_____DAF14">#REF!</definedName>
    <definedName name="_____DAF15" localSheetId="8">#REF!</definedName>
    <definedName name="_____DAF15" localSheetId="21">#REF!</definedName>
    <definedName name="_____DAF15" localSheetId="23">#REF!</definedName>
    <definedName name="_____DAF15" localSheetId="20">#REF!</definedName>
    <definedName name="_____DAF15" localSheetId="22">#REF!</definedName>
    <definedName name="_____DAF15" localSheetId="19">#REF!</definedName>
    <definedName name="_____DAF15">#REF!</definedName>
    <definedName name="_____DAF16" localSheetId="8">#REF!</definedName>
    <definedName name="_____DAF16" localSheetId="21">#REF!</definedName>
    <definedName name="_____DAF16" localSheetId="23">#REF!</definedName>
    <definedName name="_____DAF16" localSheetId="20">#REF!</definedName>
    <definedName name="_____DAF16" localSheetId="22">#REF!</definedName>
    <definedName name="_____DAF16" localSheetId="19">#REF!</definedName>
    <definedName name="_____DAF16">#REF!</definedName>
    <definedName name="_____DAF17" localSheetId="8">#REF!</definedName>
    <definedName name="_____DAF17" localSheetId="21">#REF!</definedName>
    <definedName name="_____DAF17" localSheetId="23">#REF!</definedName>
    <definedName name="_____DAF17" localSheetId="20">#REF!</definedName>
    <definedName name="_____DAF17" localSheetId="22">#REF!</definedName>
    <definedName name="_____DAF17" localSheetId="19">#REF!</definedName>
    <definedName name="_____DAF17">#REF!</definedName>
    <definedName name="_____DAF2" localSheetId="8">#REF!</definedName>
    <definedName name="_____DAF2" localSheetId="21">#REF!</definedName>
    <definedName name="_____DAF2" localSheetId="23">#REF!</definedName>
    <definedName name="_____DAF2" localSheetId="20">#REF!</definedName>
    <definedName name="_____DAF2" localSheetId="22">#REF!</definedName>
    <definedName name="_____DAF2" localSheetId="19">#REF!</definedName>
    <definedName name="_____DAF2">#REF!</definedName>
    <definedName name="_____DAF3" localSheetId="8">#REF!</definedName>
    <definedName name="_____DAF3" localSheetId="21">#REF!</definedName>
    <definedName name="_____DAF3" localSheetId="23">#REF!</definedName>
    <definedName name="_____DAF3" localSheetId="20">#REF!</definedName>
    <definedName name="_____DAF3" localSheetId="22">#REF!</definedName>
    <definedName name="_____DAF3" localSheetId="19">#REF!</definedName>
    <definedName name="_____DAF3">#REF!</definedName>
    <definedName name="_____hal1">#REF!</definedName>
    <definedName name="_____hal2" localSheetId="8">#REF!</definedName>
    <definedName name="_____hal2" localSheetId="21">#REF!</definedName>
    <definedName name="_____hal2" localSheetId="23">#REF!</definedName>
    <definedName name="_____hal2" localSheetId="20">#REF!</definedName>
    <definedName name="_____hal2" localSheetId="22">#REF!</definedName>
    <definedName name="_____hal2" localSheetId="19">#REF!</definedName>
    <definedName name="_____hal2" localSheetId="5">#REF!</definedName>
    <definedName name="_____hal2">#REF!</definedName>
    <definedName name="_____hal3" localSheetId="8">#REF!</definedName>
    <definedName name="_____hal3" localSheetId="21">#REF!</definedName>
    <definedName name="_____hal3" localSheetId="23">#REF!</definedName>
    <definedName name="_____hal3" localSheetId="20">#REF!</definedName>
    <definedName name="_____hal3" localSheetId="22">#REF!</definedName>
    <definedName name="_____hal3" localSheetId="19">#REF!</definedName>
    <definedName name="_____hal3" localSheetId="5">#REF!</definedName>
    <definedName name="_____hal3">#REF!</definedName>
    <definedName name="_____HLM1">#REF!</definedName>
    <definedName name="_____HLM2" localSheetId="8">#REF!</definedName>
    <definedName name="_____HLM2" localSheetId="21">#REF!</definedName>
    <definedName name="_____HLM2" localSheetId="23">#REF!</definedName>
    <definedName name="_____HLM2" localSheetId="20">#REF!</definedName>
    <definedName name="_____HLM2" localSheetId="22">#REF!</definedName>
    <definedName name="_____HLM2" localSheetId="19">#REF!</definedName>
    <definedName name="_____HLM2" localSheetId="5">#REF!</definedName>
    <definedName name="_____HLM2">#REF!</definedName>
    <definedName name="_____HLM3" localSheetId="8">#REF!</definedName>
    <definedName name="_____HLM3" localSheetId="21">#REF!</definedName>
    <definedName name="_____HLM3" localSheetId="23">#REF!</definedName>
    <definedName name="_____HLM3" localSheetId="20">#REF!</definedName>
    <definedName name="_____HLM3" localSheetId="22">#REF!</definedName>
    <definedName name="_____HLM3" localSheetId="19">#REF!</definedName>
    <definedName name="_____HLM3" localSheetId="5">#REF!</definedName>
    <definedName name="_____HLM3">#REF!</definedName>
    <definedName name="_____JUD1" localSheetId="8">#REF!</definedName>
    <definedName name="_____JUD1" localSheetId="21">#REF!</definedName>
    <definedName name="_____JUD1" localSheetId="23">#REF!</definedName>
    <definedName name="_____JUD1" localSheetId="20">#REF!</definedName>
    <definedName name="_____JUD1" localSheetId="22">#REF!</definedName>
    <definedName name="_____JUD1" localSheetId="19">#REF!</definedName>
    <definedName name="_____JUD1" localSheetId="5">#REF!</definedName>
    <definedName name="_____JUD1">#REF!</definedName>
    <definedName name="_____JUD2" localSheetId="8">#REF!</definedName>
    <definedName name="_____JUD2" localSheetId="21">#REF!</definedName>
    <definedName name="_____JUD2" localSheetId="23">#REF!</definedName>
    <definedName name="_____JUD2" localSheetId="20">#REF!</definedName>
    <definedName name="_____JUD2" localSheetId="22">#REF!</definedName>
    <definedName name="_____JUD2" localSheetId="19">#REF!</definedName>
    <definedName name="_____JUD2" localSheetId="5">#REF!</definedName>
    <definedName name="_____JUD2">#REF!</definedName>
    <definedName name="_____JUD3" localSheetId="8">#REF!</definedName>
    <definedName name="_____JUD3" localSheetId="21">#REF!</definedName>
    <definedName name="_____JUD3" localSheetId="23">#REF!</definedName>
    <definedName name="_____JUD3" localSheetId="20">#REF!</definedName>
    <definedName name="_____JUD3" localSheetId="22">#REF!</definedName>
    <definedName name="_____JUD3" localSheetId="19">#REF!</definedName>
    <definedName name="_____JUD3">#REF!</definedName>
    <definedName name="_____JUD4" localSheetId="8">#REF!</definedName>
    <definedName name="_____JUD4" localSheetId="21">#REF!</definedName>
    <definedName name="_____JUD4" localSheetId="23">#REF!</definedName>
    <definedName name="_____JUD4" localSheetId="20">#REF!</definedName>
    <definedName name="_____JUD4" localSheetId="22">#REF!</definedName>
    <definedName name="_____JUD4" localSheetId="19">#REF!</definedName>
    <definedName name="_____JUD4">#REF!</definedName>
    <definedName name="_____JUD5" localSheetId="8">#REF!</definedName>
    <definedName name="_____JUD5" localSheetId="21">#REF!</definedName>
    <definedName name="_____JUD5" localSheetId="23">#REF!</definedName>
    <definedName name="_____JUD5" localSheetId="20">#REF!</definedName>
    <definedName name="_____JUD5" localSheetId="22">#REF!</definedName>
    <definedName name="_____JUD5" localSheetId="19">#REF!</definedName>
    <definedName name="_____JUD5">#REF!</definedName>
    <definedName name="_____JUD6" localSheetId="8">#REF!</definedName>
    <definedName name="_____JUD6" localSheetId="21">#REF!</definedName>
    <definedName name="_____JUD6" localSheetId="23">#REF!</definedName>
    <definedName name="_____JUD6" localSheetId="20">#REF!</definedName>
    <definedName name="_____JUD6" localSheetId="22">#REF!</definedName>
    <definedName name="_____JUD6" localSheetId="19">#REF!</definedName>
    <definedName name="_____JUD6">#REF!</definedName>
    <definedName name="_____JUD7" localSheetId="8">#REF!</definedName>
    <definedName name="_____JUD7" localSheetId="21">#REF!</definedName>
    <definedName name="_____JUD7" localSheetId="23">#REF!</definedName>
    <definedName name="_____JUD7" localSheetId="20">#REF!</definedName>
    <definedName name="_____JUD7" localSheetId="22">#REF!</definedName>
    <definedName name="_____JUD7" localSheetId="19">#REF!</definedName>
    <definedName name="_____JUD7">#REF!</definedName>
    <definedName name="_____JUL3" localSheetId="8">#REF!</definedName>
    <definedName name="_____JUL3" localSheetId="21">#REF!</definedName>
    <definedName name="_____JUL3" localSheetId="23">#REF!</definedName>
    <definedName name="_____JUL3" localSheetId="20">#REF!</definedName>
    <definedName name="_____JUL3" localSheetId="22">#REF!</definedName>
    <definedName name="_____JUL3" localSheetId="19">#REF!</definedName>
    <definedName name="_____JUL3" localSheetId="5">#REF!</definedName>
    <definedName name="_____JUL3">#REF!</definedName>
    <definedName name="_____MAN1">#REF!</definedName>
    <definedName name="_____MAN2" localSheetId="8">#REF!</definedName>
    <definedName name="_____MAN2" localSheetId="21">#REF!</definedName>
    <definedName name="_____MAN2" localSheetId="23">#REF!</definedName>
    <definedName name="_____MAN2" localSheetId="20">#REF!</definedName>
    <definedName name="_____MAN2" localSheetId="22">#REF!</definedName>
    <definedName name="_____MAN2" localSheetId="19">#REF!</definedName>
    <definedName name="_____MAN2" localSheetId="5">#REF!</definedName>
    <definedName name="_____MAN2">#REF!</definedName>
    <definedName name="_____MAN3" localSheetId="8">#REF!</definedName>
    <definedName name="_____MAN3" localSheetId="21">#REF!</definedName>
    <definedName name="_____MAN3" localSheetId="23">#REF!</definedName>
    <definedName name="_____MAN3" localSheetId="20">#REF!</definedName>
    <definedName name="_____MAN3" localSheetId="22">#REF!</definedName>
    <definedName name="_____MAN3" localSheetId="19">#REF!</definedName>
    <definedName name="_____MAN3" localSheetId="5">#REF!</definedName>
    <definedName name="_____MAN3">#REF!</definedName>
    <definedName name="_____MEI92" localSheetId="8">#REF!</definedName>
    <definedName name="_____MEI92" localSheetId="12">#REF!</definedName>
    <definedName name="_____MEI92" localSheetId="21">#REF!</definedName>
    <definedName name="_____MEI92" localSheetId="23">#REF!</definedName>
    <definedName name="_____MEI92" localSheetId="20">#REF!</definedName>
    <definedName name="_____MEI92" localSheetId="22">#REF!</definedName>
    <definedName name="_____MEI92" localSheetId="19">#REF!</definedName>
    <definedName name="_____MEI92" localSheetId="18">#REF!</definedName>
    <definedName name="_____MEI92" localSheetId="5">#REF!</definedName>
    <definedName name="_____MEI92">#REF!</definedName>
    <definedName name="_____TRP1" localSheetId="8">#REF!</definedName>
    <definedName name="_____TRP1" localSheetId="21">#REF!</definedName>
    <definedName name="_____TRP1" localSheetId="23">#REF!</definedName>
    <definedName name="_____TRP1" localSheetId="20">#REF!</definedName>
    <definedName name="_____TRP1" localSheetId="22">#REF!</definedName>
    <definedName name="_____TRP1" localSheetId="19">#REF!</definedName>
    <definedName name="_____TRP1" localSheetId="5">#REF!</definedName>
    <definedName name="_____TRP1">#REF!</definedName>
    <definedName name="_____TVA1" localSheetId="8">#REF!</definedName>
    <definedName name="_____TVA1" localSheetId="21">#REF!</definedName>
    <definedName name="_____TVA1" localSheetId="23">#REF!</definedName>
    <definedName name="_____TVA1" localSheetId="20">#REF!</definedName>
    <definedName name="_____TVA1" localSheetId="22">#REF!</definedName>
    <definedName name="_____TVA1" localSheetId="19">#REF!</definedName>
    <definedName name="_____TVA1" localSheetId="5">#REF!</definedName>
    <definedName name="_____TVA1">#REF!</definedName>
    <definedName name="_____TW1" localSheetId="8">#REF!</definedName>
    <definedName name="_____TW1" localSheetId="12">#REF!</definedName>
    <definedName name="_____TW1" localSheetId="21">#REF!</definedName>
    <definedName name="_____TW1" localSheetId="23">#REF!</definedName>
    <definedName name="_____TW1" localSheetId="20">#REF!</definedName>
    <definedName name="_____TW1" localSheetId="22">#REF!</definedName>
    <definedName name="_____TW1" localSheetId="19">#REF!</definedName>
    <definedName name="_____TW1" localSheetId="18">#REF!</definedName>
    <definedName name="_____TW1" localSheetId="5">#REF!</definedName>
    <definedName name="_____TW1">#REF!</definedName>
    <definedName name="_____TW2" localSheetId="8">#REF!</definedName>
    <definedName name="_____TW2" localSheetId="12">#REF!</definedName>
    <definedName name="_____TW2" localSheetId="21">#REF!</definedName>
    <definedName name="_____TW2" localSheetId="23">#REF!</definedName>
    <definedName name="_____TW2" localSheetId="20">#REF!</definedName>
    <definedName name="_____TW2" localSheetId="22">#REF!</definedName>
    <definedName name="_____TW2" localSheetId="19">#REF!</definedName>
    <definedName name="_____TW2" localSheetId="18">#REF!</definedName>
    <definedName name="_____TW2" localSheetId="5">#REF!</definedName>
    <definedName name="_____TW2">#REF!</definedName>
    <definedName name="____DAF1" localSheetId="8">#REF!</definedName>
    <definedName name="____DAF1" localSheetId="12">#REF!</definedName>
    <definedName name="____DAF1" localSheetId="21">#REF!</definedName>
    <definedName name="____DAF1" localSheetId="23">#REF!</definedName>
    <definedName name="____DAF1" localSheetId="20">#REF!</definedName>
    <definedName name="____DAF1" localSheetId="22">#REF!</definedName>
    <definedName name="____DAF1" localSheetId="19">#REF!</definedName>
    <definedName name="____DAF1" localSheetId="18">#REF!</definedName>
    <definedName name="____DAF1" localSheetId="5">#REF!</definedName>
    <definedName name="____DAF1">#REF!</definedName>
    <definedName name="____DAF11" localSheetId="8">#REF!</definedName>
    <definedName name="____DAF11" localSheetId="12">#REF!</definedName>
    <definedName name="____DAF11" localSheetId="21">#REF!</definedName>
    <definedName name="____DAF11" localSheetId="23">#REF!</definedName>
    <definedName name="____DAF11" localSheetId="20">#REF!</definedName>
    <definedName name="____DAF11" localSheetId="22">#REF!</definedName>
    <definedName name="____DAF11" localSheetId="19">#REF!</definedName>
    <definedName name="____DAF11" localSheetId="18">#REF!</definedName>
    <definedName name="____DAF11">#REF!</definedName>
    <definedName name="____DAF12" localSheetId="8">#REF!</definedName>
    <definedName name="____DAF12" localSheetId="12">#REF!</definedName>
    <definedName name="____DAF12" localSheetId="21">#REF!</definedName>
    <definedName name="____DAF12" localSheetId="23">#REF!</definedName>
    <definedName name="____DAF12" localSheetId="20">#REF!</definedName>
    <definedName name="____DAF12" localSheetId="22">#REF!</definedName>
    <definedName name="____DAF12" localSheetId="19">#REF!</definedName>
    <definedName name="____DAF12" localSheetId="18">#REF!</definedName>
    <definedName name="____DAF12">#REF!</definedName>
    <definedName name="____DAF13" localSheetId="8">#REF!</definedName>
    <definedName name="____DAF13" localSheetId="12">#REF!</definedName>
    <definedName name="____DAF13" localSheetId="21">#REF!</definedName>
    <definedName name="____DAF13" localSheetId="23">#REF!</definedName>
    <definedName name="____DAF13" localSheetId="20">#REF!</definedName>
    <definedName name="____DAF13" localSheetId="22">#REF!</definedName>
    <definedName name="____DAF13" localSheetId="19">#REF!</definedName>
    <definedName name="____DAF13" localSheetId="18">#REF!</definedName>
    <definedName name="____DAF13">#REF!</definedName>
    <definedName name="____daf133" localSheetId="8">#REF!</definedName>
    <definedName name="____daf133" localSheetId="12">#REF!</definedName>
    <definedName name="____daf133" localSheetId="21">#REF!</definedName>
    <definedName name="____daf133" localSheetId="23">#REF!</definedName>
    <definedName name="____daf133" localSheetId="20">#REF!</definedName>
    <definedName name="____daf133" localSheetId="22">#REF!</definedName>
    <definedName name="____daf133" localSheetId="19">#REF!</definedName>
    <definedName name="____daf133" localSheetId="18">#REF!</definedName>
    <definedName name="____daf133">#REF!</definedName>
    <definedName name="____DAF14" localSheetId="8">#REF!</definedName>
    <definedName name="____DAF14" localSheetId="12">#REF!</definedName>
    <definedName name="____DAF14" localSheetId="21">#REF!</definedName>
    <definedName name="____DAF14" localSheetId="23">#REF!</definedName>
    <definedName name="____DAF14" localSheetId="20">#REF!</definedName>
    <definedName name="____DAF14" localSheetId="22">#REF!</definedName>
    <definedName name="____DAF14" localSheetId="19">#REF!</definedName>
    <definedName name="____DAF14" localSheetId="18">#REF!</definedName>
    <definedName name="____DAF14">#REF!</definedName>
    <definedName name="____DAF15" localSheetId="8">#REF!</definedName>
    <definedName name="____DAF15" localSheetId="12">#REF!</definedName>
    <definedName name="____DAF15" localSheetId="21">#REF!</definedName>
    <definedName name="____DAF15" localSheetId="23">#REF!</definedName>
    <definedName name="____DAF15" localSheetId="20">#REF!</definedName>
    <definedName name="____DAF15" localSheetId="22">#REF!</definedName>
    <definedName name="____DAF15" localSheetId="19">#REF!</definedName>
    <definedName name="____DAF15" localSheetId="18">#REF!</definedName>
    <definedName name="____DAF15">#REF!</definedName>
    <definedName name="____DAF16" localSheetId="8">#REF!</definedName>
    <definedName name="____DAF16" localSheetId="12">#REF!</definedName>
    <definedName name="____DAF16" localSheetId="21">#REF!</definedName>
    <definedName name="____DAF16" localSheetId="23">#REF!</definedName>
    <definedName name="____DAF16" localSheetId="20">#REF!</definedName>
    <definedName name="____DAF16" localSheetId="22">#REF!</definedName>
    <definedName name="____DAF16" localSheetId="19">#REF!</definedName>
    <definedName name="____DAF16" localSheetId="18">#REF!</definedName>
    <definedName name="____DAF16">#REF!</definedName>
    <definedName name="____DAF17" localSheetId="8">#REF!</definedName>
    <definedName name="____DAF17" localSheetId="12">#REF!</definedName>
    <definedName name="____DAF17" localSheetId="21">#REF!</definedName>
    <definedName name="____DAF17" localSheetId="23">#REF!</definedName>
    <definedName name="____DAF17" localSheetId="20">#REF!</definedName>
    <definedName name="____DAF17" localSheetId="22">#REF!</definedName>
    <definedName name="____DAF17" localSheetId="19">#REF!</definedName>
    <definedName name="____DAF17" localSheetId="18">#REF!</definedName>
    <definedName name="____DAF17">#REF!</definedName>
    <definedName name="____DAF2" localSheetId="8">#REF!</definedName>
    <definedName name="____DAF2" localSheetId="12">#REF!</definedName>
    <definedName name="____DAF2" localSheetId="21">#REF!</definedName>
    <definedName name="____DAF2" localSheetId="23">#REF!</definedName>
    <definedName name="____DAF2" localSheetId="20">#REF!</definedName>
    <definedName name="____DAF2" localSheetId="22">#REF!</definedName>
    <definedName name="____DAF2" localSheetId="19">#REF!</definedName>
    <definedName name="____DAF2" localSheetId="18">#REF!</definedName>
    <definedName name="____DAF2">#REF!</definedName>
    <definedName name="____DAF3" localSheetId="8">#REF!</definedName>
    <definedName name="____DAF3" localSheetId="12">#REF!</definedName>
    <definedName name="____DAF3" localSheetId="21">#REF!</definedName>
    <definedName name="____DAF3" localSheetId="23">#REF!</definedName>
    <definedName name="____DAF3" localSheetId="20">#REF!</definedName>
    <definedName name="____DAF3" localSheetId="22">#REF!</definedName>
    <definedName name="____DAF3" localSheetId="19">#REF!</definedName>
    <definedName name="____DAF3" localSheetId="18">#REF!</definedName>
    <definedName name="____DAF3">#REF!</definedName>
    <definedName name="____hal1" localSheetId="8">#REF!</definedName>
    <definedName name="____hal1" localSheetId="21">#REF!</definedName>
    <definedName name="____hal1" localSheetId="23">#REF!</definedName>
    <definedName name="____hal1" localSheetId="20">#REF!</definedName>
    <definedName name="____hal1" localSheetId="22">#REF!</definedName>
    <definedName name="____hal1" localSheetId="19">#REF!</definedName>
    <definedName name="____hal1">#REF!</definedName>
    <definedName name="____hal2" localSheetId="8">#REF!</definedName>
    <definedName name="____hal2" localSheetId="21">#REF!</definedName>
    <definedName name="____hal2" localSheetId="23">#REF!</definedName>
    <definedName name="____hal2" localSheetId="20">#REF!</definedName>
    <definedName name="____hal2" localSheetId="22">#REF!</definedName>
    <definedName name="____hal2" localSheetId="19">#REF!</definedName>
    <definedName name="____hal2" localSheetId="5">#REF!</definedName>
    <definedName name="____hal2">#REF!</definedName>
    <definedName name="____hal3" localSheetId="8">#REF!</definedName>
    <definedName name="____hal3" localSheetId="21">#REF!</definedName>
    <definedName name="____hal3" localSheetId="23">#REF!</definedName>
    <definedName name="____hal3" localSheetId="20">#REF!</definedName>
    <definedName name="____hal3" localSheetId="22">#REF!</definedName>
    <definedName name="____hal3" localSheetId="19">#REF!</definedName>
    <definedName name="____hal3" localSheetId="5">#REF!</definedName>
    <definedName name="____hal3">#REF!</definedName>
    <definedName name="____hal5" localSheetId="8">#REF!</definedName>
    <definedName name="____hal5" localSheetId="12">#REF!</definedName>
    <definedName name="____hal5" localSheetId="21">#REF!</definedName>
    <definedName name="____hal5" localSheetId="23">#REF!</definedName>
    <definedName name="____hal5" localSheetId="20">#REF!</definedName>
    <definedName name="____hal5" localSheetId="22">#REF!</definedName>
    <definedName name="____hal5" localSheetId="19">#REF!</definedName>
    <definedName name="____hal5" localSheetId="18">#REF!</definedName>
    <definedName name="____hal5" localSheetId="5">#REF!</definedName>
    <definedName name="____hal5">#REF!</definedName>
    <definedName name="____hal6" localSheetId="8">#REF!</definedName>
    <definedName name="____hal6" localSheetId="12">#REF!</definedName>
    <definedName name="____hal6" localSheetId="21">#REF!</definedName>
    <definedName name="____hal6" localSheetId="23">#REF!</definedName>
    <definedName name="____hal6" localSheetId="20">#REF!</definedName>
    <definedName name="____hal6" localSheetId="22">#REF!</definedName>
    <definedName name="____hal6" localSheetId="19">#REF!</definedName>
    <definedName name="____hal6" localSheetId="18">#REF!</definedName>
    <definedName name="____hal6" localSheetId="5">#REF!</definedName>
    <definedName name="____hal6">#REF!</definedName>
    <definedName name="____HLM1" localSheetId="8">#REF!</definedName>
    <definedName name="____HLM1" localSheetId="21">#REF!</definedName>
    <definedName name="____HLM1" localSheetId="23">#REF!</definedName>
    <definedName name="____HLM1" localSheetId="20">#REF!</definedName>
    <definedName name="____HLM1" localSheetId="22">#REF!</definedName>
    <definedName name="____HLM1" localSheetId="19">#REF!</definedName>
    <definedName name="____HLM1" localSheetId="5">#REF!</definedName>
    <definedName name="____HLM1">#REF!</definedName>
    <definedName name="____HLM2" localSheetId="8">#REF!</definedName>
    <definedName name="____HLM2" localSheetId="21">#REF!</definedName>
    <definedName name="____HLM2" localSheetId="23">#REF!</definedName>
    <definedName name="____HLM2" localSheetId="20">#REF!</definedName>
    <definedName name="____HLM2" localSheetId="22">#REF!</definedName>
    <definedName name="____HLM2" localSheetId="19">#REF!</definedName>
    <definedName name="____HLM2" localSheetId="5">#REF!</definedName>
    <definedName name="____HLM2">#REF!</definedName>
    <definedName name="____HLM3" localSheetId="8">#REF!</definedName>
    <definedName name="____HLM3" localSheetId="21">#REF!</definedName>
    <definedName name="____HLM3" localSheetId="23">#REF!</definedName>
    <definedName name="____HLM3" localSheetId="20">#REF!</definedName>
    <definedName name="____HLM3" localSheetId="22">#REF!</definedName>
    <definedName name="____HLM3" localSheetId="19">#REF!</definedName>
    <definedName name="____HLM3" localSheetId="5">#REF!</definedName>
    <definedName name="____HLM3">#REF!</definedName>
    <definedName name="____JUD1" localSheetId="8">#REF!</definedName>
    <definedName name="____JUD1" localSheetId="21">#REF!</definedName>
    <definedName name="____JUD1" localSheetId="23">#REF!</definedName>
    <definedName name="____JUD1" localSheetId="20">#REF!</definedName>
    <definedName name="____JUD1" localSheetId="22">#REF!</definedName>
    <definedName name="____JUD1" localSheetId="19">#REF!</definedName>
    <definedName name="____JUD1">#REF!</definedName>
    <definedName name="____JUD2" localSheetId="8">#REF!</definedName>
    <definedName name="____JUD2" localSheetId="21">#REF!</definedName>
    <definedName name="____JUD2" localSheetId="23">#REF!</definedName>
    <definedName name="____JUD2" localSheetId="20">#REF!</definedName>
    <definedName name="____JUD2" localSheetId="22">#REF!</definedName>
    <definedName name="____JUD2" localSheetId="19">#REF!</definedName>
    <definedName name="____JUD2">#REF!</definedName>
    <definedName name="____JUD3" localSheetId="8">#REF!</definedName>
    <definedName name="____JUD3" localSheetId="21">#REF!</definedName>
    <definedName name="____JUD3" localSheetId="23">#REF!</definedName>
    <definedName name="____JUD3" localSheetId="20">#REF!</definedName>
    <definedName name="____JUD3" localSheetId="22">#REF!</definedName>
    <definedName name="____JUD3" localSheetId="19">#REF!</definedName>
    <definedName name="____JUD3">#REF!</definedName>
    <definedName name="____JUD4" localSheetId="8">#REF!</definedName>
    <definedName name="____JUD4" localSheetId="21">#REF!</definedName>
    <definedName name="____JUD4" localSheetId="23">#REF!</definedName>
    <definedName name="____JUD4" localSheetId="20">#REF!</definedName>
    <definedName name="____JUD4" localSheetId="22">#REF!</definedName>
    <definedName name="____JUD4" localSheetId="19">#REF!</definedName>
    <definedName name="____JUD4">#REF!</definedName>
    <definedName name="____JUD5" localSheetId="8">#REF!</definedName>
    <definedName name="____JUD5" localSheetId="21">#REF!</definedName>
    <definedName name="____JUD5" localSheetId="23">#REF!</definedName>
    <definedName name="____JUD5" localSheetId="20">#REF!</definedName>
    <definedName name="____JUD5" localSheetId="22">#REF!</definedName>
    <definedName name="____JUD5" localSheetId="19">#REF!</definedName>
    <definedName name="____JUD5">#REF!</definedName>
    <definedName name="____JUD6" localSheetId="8">#REF!</definedName>
    <definedName name="____JUD6" localSheetId="21">#REF!</definedName>
    <definedName name="____JUD6" localSheetId="23">#REF!</definedName>
    <definedName name="____JUD6" localSheetId="20">#REF!</definedName>
    <definedName name="____JUD6" localSheetId="22">#REF!</definedName>
    <definedName name="____JUD6" localSheetId="19">#REF!</definedName>
    <definedName name="____JUD6">#REF!</definedName>
    <definedName name="____JUD7" localSheetId="8">#REF!</definedName>
    <definedName name="____JUD7" localSheetId="21">#REF!</definedName>
    <definedName name="____JUD7" localSheetId="23">#REF!</definedName>
    <definedName name="____JUD7" localSheetId="20">#REF!</definedName>
    <definedName name="____JUD7" localSheetId="22">#REF!</definedName>
    <definedName name="____JUD7" localSheetId="19">#REF!</definedName>
    <definedName name="____JUD7">#REF!</definedName>
    <definedName name="____JUL3" localSheetId="8">#REF!</definedName>
    <definedName name="____JUL3" localSheetId="21">#REF!</definedName>
    <definedName name="____JUL3" localSheetId="23">#REF!</definedName>
    <definedName name="____JUL3" localSheetId="20">#REF!</definedName>
    <definedName name="____JUL3" localSheetId="22">#REF!</definedName>
    <definedName name="____JUL3" localSheetId="19">#REF!</definedName>
    <definedName name="____JUL3" localSheetId="5">#REF!</definedName>
    <definedName name="____JUL3">#REF!</definedName>
    <definedName name="____kb1" localSheetId="8">#REF!</definedName>
    <definedName name="____kb1" localSheetId="12">#REF!</definedName>
    <definedName name="____kb1" localSheetId="21">#REF!</definedName>
    <definedName name="____kb1" localSheetId="23">#REF!</definedName>
    <definedName name="____kb1" localSheetId="20">#REF!</definedName>
    <definedName name="____kb1" localSheetId="22">#REF!</definedName>
    <definedName name="____kb1" localSheetId="19">#REF!</definedName>
    <definedName name="____kb1" localSheetId="18">#REF!</definedName>
    <definedName name="____kb1">#REF!</definedName>
    <definedName name="____kb2" localSheetId="8">#REF!</definedName>
    <definedName name="____kb2" localSheetId="12">#REF!</definedName>
    <definedName name="____kb2" localSheetId="21">#REF!</definedName>
    <definedName name="____kb2" localSheetId="23">#REF!</definedName>
    <definedName name="____kb2" localSheetId="20">#REF!</definedName>
    <definedName name="____kb2" localSheetId="22">#REF!</definedName>
    <definedName name="____kb2" localSheetId="19">#REF!</definedName>
    <definedName name="____kb2" localSheetId="18">#REF!</definedName>
    <definedName name="____kb2">#REF!</definedName>
    <definedName name="____kp1" localSheetId="8">#REF!</definedName>
    <definedName name="____kp1" localSheetId="12">#REF!</definedName>
    <definedName name="____kp1" localSheetId="21">#REF!</definedName>
    <definedName name="____kp1" localSheetId="23">#REF!</definedName>
    <definedName name="____kp1" localSheetId="20">#REF!</definedName>
    <definedName name="____kp1" localSheetId="22">#REF!</definedName>
    <definedName name="____kp1" localSheetId="19">#REF!</definedName>
    <definedName name="____kp1" localSheetId="18">#REF!</definedName>
    <definedName name="____kp1">#REF!</definedName>
    <definedName name="____MAN1" localSheetId="8">#REF!</definedName>
    <definedName name="____MAN1" localSheetId="21">#REF!</definedName>
    <definedName name="____MAN1" localSheetId="23">#REF!</definedName>
    <definedName name="____MAN1" localSheetId="20">#REF!</definedName>
    <definedName name="____MAN1" localSheetId="22">#REF!</definedName>
    <definedName name="____MAN1" localSheetId="19">#REF!</definedName>
    <definedName name="____MAN1" localSheetId="5">#REF!</definedName>
    <definedName name="____MAN1">#REF!</definedName>
    <definedName name="____MAN2" localSheetId="8">#REF!</definedName>
    <definedName name="____MAN2" localSheetId="21">#REF!</definedName>
    <definedName name="____MAN2" localSheetId="23">#REF!</definedName>
    <definedName name="____MAN2" localSheetId="20">#REF!</definedName>
    <definedName name="____MAN2" localSheetId="22">#REF!</definedName>
    <definedName name="____MAN2" localSheetId="19">#REF!</definedName>
    <definedName name="____MAN2">#REF!</definedName>
    <definedName name="____MAN3" localSheetId="8">#REF!</definedName>
    <definedName name="____MAN3" localSheetId="21">#REF!</definedName>
    <definedName name="____MAN3" localSheetId="23">#REF!</definedName>
    <definedName name="____MAN3" localSheetId="20">#REF!</definedName>
    <definedName name="____MAN3" localSheetId="22">#REF!</definedName>
    <definedName name="____MAN3" localSheetId="19">#REF!</definedName>
    <definedName name="____MAN3">#REF!</definedName>
    <definedName name="____MEI92" localSheetId="8">#REF!</definedName>
    <definedName name="____MEI92" localSheetId="21">#REF!</definedName>
    <definedName name="____MEI92" localSheetId="23">#REF!</definedName>
    <definedName name="____MEI92" localSheetId="20">#REF!</definedName>
    <definedName name="____MEI92" localSheetId="22">#REF!</definedName>
    <definedName name="____MEI92" localSheetId="19">#REF!</definedName>
    <definedName name="____MEI92" localSheetId="5">#REF!</definedName>
    <definedName name="____MEI92">#REF!</definedName>
    <definedName name="____sem1" localSheetId="8">#REF!</definedName>
    <definedName name="____sem1" localSheetId="12">#REF!</definedName>
    <definedName name="____sem1" localSheetId="21">#REF!</definedName>
    <definedName name="____sem1" localSheetId="23">#REF!</definedName>
    <definedName name="____sem1" localSheetId="20">#REF!</definedName>
    <definedName name="____sem1" localSheetId="22">#REF!</definedName>
    <definedName name="____sem1" localSheetId="19">#REF!</definedName>
    <definedName name="____sem1" localSheetId="18">#REF!</definedName>
    <definedName name="____sem1" localSheetId="5">#REF!</definedName>
    <definedName name="____sem1">#REF!</definedName>
    <definedName name="____sm1" localSheetId="8">#REF!</definedName>
    <definedName name="____sm1" localSheetId="12">#REF!</definedName>
    <definedName name="____sm1" localSheetId="21">#REF!</definedName>
    <definedName name="____sm1" localSheetId="23">#REF!</definedName>
    <definedName name="____sm1" localSheetId="20">#REF!</definedName>
    <definedName name="____sm1" localSheetId="22">#REF!</definedName>
    <definedName name="____sm1" localSheetId="19">#REF!</definedName>
    <definedName name="____sm1" localSheetId="18">#REF!</definedName>
    <definedName name="____sm1" localSheetId="5">#REF!</definedName>
    <definedName name="____sm1">#REF!</definedName>
    <definedName name="____Tab1" localSheetId="8">#REF!</definedName>
    <definedName name="____Tab1" localSheetId="12">#REF!</definedName>
    <definedName name="____Tab1" localSheetId="21">#REF!</definedName>
    <definedName name="____Tab1" localSheetId="23">#REF!</definedName>
    <definedName name="____Tab1" localSheetId="20">#REF!</definedName>
    <definedName name="____Tab1" localSheetId="22">#REF!</definedName>
    <definedName name="____Tab1" localSheetId="19">#REF!</definedName>
    <definedName name="____Tab1" localSheetId="18">#REF!</definedName>
    <definedName name="____Tab1">#REF!</definedName>
    <definedName name="____Tab2" localSheetId="8">#REF!</definedName>
    <definedName name="____Tab2" localSheetId="12">#REF!</definedName>
    <definedName name="____Tab2" localSheetId="21">#REF!</definedName>
    <definedName name="____Tab2" localSheetId="23">#REF!</definedName>
    <definedName name="____Tab2" localSheetId="20">#REF!</definedName>
    <definedName name="____Tab2" localSheetId="22">#REF!</definedName>
    <definedName name="____Tab2" localSheetId="19">#REF!</definedName>
    <definedName name="____Tab2" localSheetId="18">#REF!</definedName>
    <definedName name="____Tab2">#REF!</definedName>
    <definedName name="____Tab3" localSheetId="8">#REF!</definedName>
    <definedName name="____Tab3" localSheetId="12">#REF!</definedName>
    <definedName name="____Tab3" localSheetId="21">#REF!</definedName>
    <definedName name="____Tab3" localSheetId="23">#REF!</definedName>
    <definedName name="____Tab3" localSheetId="20">#REF!</definedName>
    <definedName name="____Tab3" localSheetId="22">#REF!</definedName>
    <definedName name="____Tab3" localSheetId="19">#REF!</definedName>
    <definedName name="____Tab3" localSheetId="18">#REF!</definedName>
    <definedName name="____Tab3">#REF!</definedName>
    <definedName name="____TRP1" localSheetId="8">#REF!</definedName>
    <definedName name="____TRP1" localSheetId="21">#REF!</definedName>
    <definedName name="____TRP1" localSheetId="23">#REF!</definedName>
    <definedName name="____TRP1" localSheetId="20">#REF!</definedName>
    <definedName name="____TRP1" localSheetId="22">#REF!</definedName>
    <definedName name="____TRP1" localSheetId="19">#REF!</definedName>
    <definedName name="____TRP1" localSheetId="5">#REF!</definedName>
    <definedName name="____TRP1">#REF!</definedName>
    <definedName name="____trw1" localSheetId="8">#REF!</definedName>
    <definedName name="____trw1" localSheetId="12">#REF!</definedName>
    <definedName name="____trw1" localSheetId="21">#REF!</definedName>
    <definedName name="____trw1" localSheetId="23">#REF!</definedName>
    <definedName name="____trw1" localSheetId="20">#REF!</definedName>
    <definedName name="____trw1" localSheetId="22">#REF!</definedName>
    <definedName name="____trw1" localSheetId="19">#REF!</definedName>
    <definedName name="____trw1" localSheetId="18">#REF!</definedName>
    <definedName name="____trw1" localSheetId="5">#REF!</definedName>
    <definedName name="____trw1">#REF!</definedName>
    <definedName name="____trw2" localSheetId="8">#REF!</definedName>
    <definedName name="____trw2" localSheetId="12">#REF!</definedName>
    <definedName name="____trw2" localSheetId="21">#REF!</definedName>
    <definedName name="____trw2" localSheetId="23">#REF!</definedName>
    <definedName name="____trw2" localSheetId="20">#REF!</definedName>
    <definedName name="____trw2" localSheetId="22">#REF!</definedName>
    <definedName name="____trw2" localSheetId="19">#REF!</definedName>
    <definedName name="____trw2" localSheetId="18">#REF!</definedName>
    <definedName name="____trw2" localSheetId="5">#REF!</definedName>
    <definedName name="____trw2">#REF!</definedName>
    <definedName name="____trw3" localSheetId="8">#REF!</definedName>
    <definedName name="____trw3" localSheetId="12">#REF!</definedName>
    <definedName name="____trw3" localSheetId="21">#REF!</definedName>
    <definedName name="____trw3" localSheetId="23">#REF!</definedName>
    <definedName name="____trw3" localSheetId="20">#REF!</definedName>
    <definedName name="____trw3" localSheetId="22">#REF!</definedName>
    <definedName name="____trw3" localSheetId="19">#REF!</definedName>
    <definedName name="____trw3" localSheetId="18">#REF!</definedName>
    <definedName name="____trw3" localSheetId="5">#REF!</definedName>
    <definedName name="____trw3">#REF!</definedName>
    <definedName name="____TVA1" localSheetId="8">#REF!</definedName>
    <definedName name="____TVA1" localSheetId="21">#REF!</definedName>
    <definedName name="____TVA1" localSheetId="23">#REF!</definedName>
    <definedName name="____TVA1" localSheetId="20">#REF!</definedName>
    <definedName name="____TVA1" localSheetId="22">#REF!</definedName>
    <definedName name="____TVA1" localSheetId="19">#REF!</definedName>
    <definedName name="____TVA1" localSheetId="5">#REF!</definedName>
    <definedName name="____TVA1">#REF!</definedName>
    <definedName name="____TW1" localSheetId="8">#REF!</definedName>
    <definedName name="____TW1" localSheetId="21">#REF!</definedName>
    <definedName name="____TW1" localSheetId="23">#REF!</definedName>
    <definedName name="____TW1" localSheetId="20">#REF!</definedName>
    <definedName name="____TW1" localSheetId="22">#REF!</definedName>
    <definedName name="____TW1" localSheetId="19">#REF!</definedName>
    <definedName name="____TW1" localSheetId="5">#REF!</definedName>
    <definedName name="____TW1">#REF!</definedName>
    <definedName name="____TW2" localSheetId="8">#REF!</definedName>
    <definedName name="____TW2" localSheetId="21">#REF!</definedName>
    <definedName name="____TW2" localSheetId="23">#REF!</definedName>
    <definedName name="____TW2" localSheetId="20">#REF!</definedName>
    <definedName name="____TW2" localSheetId="22">#REF!</definedName>
    <definedName name="____TW2" localSheetId="19">#REF!</definedName>
    <definedName name="____TW2" localSheetId="5">#REF!</definedName>
    <definedName name="____TW2">#REF!</definedName>
    <definedName name="___BAT48100">#REF!</definedName>
    <definedName name="___DAF1" localSheetId="8">#REF!</definedName>
    <definedName name="___DAF1" localSheetId="12">#REF!</definedName>
    <definedName name="___DAF1" localSheetId="21">#REF!</definedName>
    <definedName name="___DAF1" localSheetId="23">#REF!</definedName>
    <definedName name="___DAF1" localSheetId="20">#REF!</definedName>
    <definedName name="___DAF1" localSheetId="22">#REF!</definedName>
    <definedName name="___DAF1" localSheetId="19">#REF!</definedName>
    <definedName name="___DAF1" localSheetId="18">#REF!</definedName>
    <definedName name="___DAF1" localSheetId="5">#REF!</definedName>
    <definedName name="___DAF1">#REF!</definedName>
    <definedName name="___DAF11" localSheetId="8">#REF!</definedName>
    <definedName name="___DAF11" localSheetId="12">#REF!</definedName>
    <definedName name="___DAF11" localSheetId="21">#REF!</definedName>
    <definedName name="___DAF11" localSheetId="23">#REF!</definedName>
    <definedName name="___DAF11" localSheetId="20">#REF!</definedName>
    <definedName name="___DAF11" localSheetId="22">#REF!</definedName>
    <definedName name="___DAF11" localSheetId="19">#REF!</definedName>
    <definedName name="___DAF11" localSheetId="18">#REF!</definedName>
    <definedName name="___DAF11" localSheetId="5">#REF!</definedName>
    <definedName name="___DAF11">#REF!</definedName>
    <definedName name="___DAF12" localSheetId="8">#REF!</definedName>
    <definedName name="___DAF12" localSheetId="12">#REF!</definedName>
    <definedName name="___DAF12" localSheetId="21">#REF!</definedName>
    <definedName name="___DAF12" localSheetId="23">#REF!</definedName>
    <definedName name="___DAF12" localSheetId="20">#REF!</definedName>
    <definedName name="___DAF12" localSheetId="22">#REF!</definedName>
    <definedName name="___DAF12" localSheetId="19">#REF!</definedName>
    <definedName name="___DAF12" localSheetId="18">#REF!</definedName>
    <definedName name="___DAF12" localSheetId="5">#REF!</definedName>
    <definedName name="___DAF12">#REF!</definedName>
    <definedName name="___DAF13" localSheetId="8">#REF!</definedName>
    <definedName name="___DAF13" localSheetId="12">#REF!</definedName>
    <definedName name="___DAF13" localSheetId="21">#REF!</definedName>
    <definedName name="___DAF13" localSheetId="23">#REF!</definedName>
    <definedName name="___DAF13" localSheetId="20">#REF!</definedName>
    <definedName name="___DAF13" localSheetId="22">#REF!</definedName>
    <definedName name="___DAF13" localSheetId="19">#REF!</definedName>
    <definedName name="___DAF13" localSheetId="18">#REF!</definedName>
    <definedName name="___DAF13">#REF!</definedName>
    <definedName name="___daf133" localSheetId="8">#REF!</definedName>
    <definedName name="___daf133" localSheetId="12">#REF!</definedName>
    <definedName name="___daf133" localSheetId="21">#REF!</definedName>
    <definedName name="___daf133" localSheetId="23">#REF!</definedName>
    <definedName name="___daf133" localSheetId="20">#REF!</definedName>
    <definedName name="___daf133" localSheetId="22">#REF!</definedName>
    <definedName name="___daf133" localSheetId="19">#REF!</definedName>
    <definedName name="___daf133" localSheetId="18">#REF!</definedName>
    <definedName name="___daf133">#REF!</definedName>
    <definedName name="___DAF14" localSheetId="8">#REF!</definedName>
    <definedName name="___DAF14" localSheetId="12">#REF!</definedName>
    <definedName name="___DAF14" localSheetId="21">#REF!</definedName>
    <definedName name="___DAF14" localSheetId="23">#REF!</definedName>
    <definedName name="___DAF14" localSheetId="20">#REF!</definedName>
    <definedName name="___DAF14" localSheetId="22">#REF!</definedName>
    <definedName name="___DAF14" localSheetId="19">#REF!</definedName>
    <definedName name="___DAF14" localSheetId="18">#REF!</definedName>
    <definedName name="___DAF14">#REF!</definedName>
    <definedName name="___DAF15" localSheetId="8">#REF!</definedName>
    <definedName name="___DAF15" localSheetId="12">#REF!</definedName>
    <definedName name="___DAF15" localSheetId="21">#REF!</definedName>
    <definedName name="___DAF15" localSheetId="23">#REF!</definedName>
    <definedName name="___DAF15" localSheetId="20">#REF!</definedName>
    <definedName name="___DAF15" localSheetId="22">#REF!</definedName>
    <definedName name="___DAF15" localSheetId="19">#REF!</definedName>
    <definedName name="___DAF15" localSheetId="18">#REF!</definedName>
    <definedName name="___DAF15">#REF!</definedName>
    <definedName name="___DAF16" localSheetId="8">#REF!</definedName>
    <definedName name="___DAF16" localSheetId="12">#REF!</definedName>
    <definedName name="___DAF16" localSheetId="21">#REF!</definedName>
    <definedName name="___DAF16" localSheetId="23">#REF!</definedName>
    <definedName name="___DAF16" localSheetId="20">#REF!</definedName>
    <definedName name="___DAF16" localSheetId="22">#REF!</definedName>
    <definedName name="___DAF16" localSheetId="19">#REF!</definedName>
    <definedName name="___DAF16" localSheetId="18">#REF!</definedName>
    <definedName name="___DAF16">#REF!</definedName>
    <definedName name="___DAF17" localSheetId="8">#REF!</definedName>
    <definedName name="___DAF17" localSheetId="12">#REF!</definedName>
    <definedName name="___DAF17" localSheetId="21">#REF!</definedName>
    <definedName name="___DAF17" localSheetId="23">#REF!</definedName>
    <definedName name="___DAF17" localSheetId="20">#REF!</definedName>
    <definedName name="___DAF17" localSheetId="22">#REF!</definedName>
    <definedName name="___DAF17" localSheetId="19">#REF!</definedName>
    <definedName name="___DAF17" localSheetId="18">#REF!</definedName>
    <definedName name="___DAF17">#REF!</definedName>
    <definedName name="___DAF2" localSheetId="8">#REF!</definedName>
    <definedName name="___DAF2" localSheetId="12">#REF!</definedName>
    <definedName name="___DAF2" localSheetId="21">#REF!</definedName>
    <definedName name="___DAF2" localSheetId="23">#REF!</definedName>
    <definedName name="___DAF2" localSheetId="20">#REF!</definedName>
    <definedName name="___DAF2" localSheetId="22">#REF!</definedName>
    <definedName name="___DAF2" localSheetId="19">#REF!</definedName>
    <definedName name="___DAF2" localSheetId="18">#REF!</definedName>
    <definedName name="___DAF2">#REF!</definedName>
    <definedName name="___DAF3" localSheetId="8">#REF!</definedName>
    <definedName name="___DAF3" localSheetId="12">#REF!</definedName>
    <definedName name="___DAF3" localSheetId="21">#REF!</definedName>
    <definedName name="___DAF3" localSheetId="23">#REF!</definedName>
    <definedName name="___DAF3" localSheetId="20">#REF!</definedName>
    <definedName name="___DAF3" localSheetId="22">#REF!</definedName>
    <definedName name="___DAF3" localSheetId="19">#REF!</definedName>
    <definedName name="___DAF3" localSheetId="18">#REF!</definedName>
    <definedName name="___DAF3">#REF!</definedName>
    <definedName name="___hal1" localSheetId="8">#REF!</definedName>
    <definedName name="___hal1" localSheetId="12">#REF!</definedName>
    <definedName name="___hal1" localSheetId="21">#REF!</definedName>
    <definedName name="___hal1" localSheetId="23">#REF!</definedName>
    <definedName name="___hal1" localSheetId="20">#REF!</definedName>
    <definedName name="___hal1" localSheetId="22">#REF!</definedName>
    <definedName name="___hal1" localSheetId="19">#REF!</definedName>
    <definedName name="___hal1" localSheetId="18">#REF!</definedName>
    <definedName name="___hal1">#REF!</definedName>
    <definedName name="___hal2" localSheetId="8">#REF!</definedName>
    <definedName name="___hal2" localSheetId="12">#REF!</definedName>
    <definedName name="___hal2" localSheetId="21">#REF!</definedName>
    <definedName name="___hal2" localSheetId="23">#REF!</definedName>
    <definedName name="___hal2" localSheetId="20">#REF!</definedName>
    <definedName name="___hal2" localSheetId="22">#REF!</definedName>
    <definedName name="___hal2" localSheetId="19">#REF!</definedName>
    <definedName name="___hal2" localSheetId="18">#REF!</definedName>
    <definedName name="___hal2">#REF!</definedName>
    <definedName name="___hal3" localSheetId="8">#REF!</definedName>
    <definedName name="___hal3" localSheetId="12">#REF!</definedName>
    <definedName name="___hal3" localSheetId="21">#REF!</definedName>
    <definedName name="___hal3" localSheetId="23">#REF!</definedName>
    <definedName name="___hal3" localSheetId="20">#REF!</definedName>
    <definedName name="___hal3" localSheetId="22">#REF!</definedName>
    <definedName name="___hal3" localSheetId="19">#REF!</definedName>
    <definedName name="___hal3" localSheetId="18">#REF!</definedName>
    <definedName name="___hal3">#REF!</definedName>
    <definedName name="___hal4" localSheetId="8">#REF!</definedName>
    <definedName name="___hal4" localSheetId="12">#REF!</definedName>
    <definedName name="___hal4" localSheetId="21">#REF!</definedName>
    <definedName name="___hal4" localSheetId="23">#REF!</definedName>
    <definedName name="___hal4" localSheetId="20">#REF!</definedName>
    <definedName name="___hal4" localSheetId="22">#REF!</definedName>
    <definedName name="___hal4" localSheetId="19">#REF!</definedName>
    <definedName name="___hal4" localSheetId="18">#REF!</definedName>
    <definedName name="___hal4">#REF!</definedName>
    <definedName name="___hal5" localSheetId="8">#REF!</definedName>
    <definedName name="___hal5" localSheetId="21">#REF!</definedName>
    <definedName name="___hal5" localSheetId="23">#REF!</definedName>
    <definedName name="___hal5" localSheetId="20">#REF!</definedName>
    <definedName name="___hal5" localSheetId="22">#REF!</definedName>
    <definedName name="___hal5" localSheetId="19">#REF!</definedName>
    <definedName name="___hal5">#REF!</definedName>
    <definedName name="___hal6" localSheetId="8">#REF!</definedName>
    <definedName name="___hal6" localSheetId="21">#REF!</definedName>
    <definedName name="___hal6" localSheetId="23">#REF!</definedName>
    <definedName name="___hal6" localSheetId="20">#REF!</definedName>
    <definedName name="___hal6" localSheetId="22">#REF!</definedName>
    <definedName name="___hal6" localSheetId="19">#REF!</definedName>
    <definedName name="___hal6">#REF!</definedName>
    <definedName name="___HLM1">#REF!</definedName>
    <definedName name="___HLM2" localSheetId="8">#REF!</definedName>
    <definedName name="___HLM2" localSheetId="21">#REF!</definedName>
    <definedName name="___HLM2" localSheetId="23">#REF!</definedName>
    <definedName name="___HLM2" localSheetId="20">#REF!</definedName>
    <definedName name="___HLM2" localSheetId="22">#REF!</definedName>
    <definedName name="___HLM2" localSheetId="19">#REF!</definedName>
    <definedName name="___HLM2" localSheetId="5">#REF!</definedName>
    <definedName name="___HLM2">#REF!</definedName>
    <definedName name="___HLM3" localSheetId="8">#REF!</definedName>
    <definedName name="___HLM3" localSheetId="21">#REF!</definedName>
    <definedName name="___HLM3" localSheetId="23">#REF!</definedName>
    <definedName name="___HLM3" localSheetId="20">#REF!</definedName>
    <definedName name="___HLM3" localSheetId="22">#REF!</definedName>
    <definedName name="___HLM3" localSheetId="19">#REF!</definedName>
    <definedName name="___HLM3" localSheetId="5">#REF!</definedName>
    <definedName name="___HLM3">#REF!</definedName>
    <definedName name="___JUD1" localSheetId="8">#REF!</definedName>
    <definedName name="___JUD1" localSheetId="21">#REF!</definedName>
    <definedName name="___JUD1" localSheetId="23">#REF!</definedName>
    <definedName name="___JUD1" localSheetId="20">#REF!</definedName>
    <definedName name="___JUD1" localSheetId="22">#REF!</definedName>
    <definedName name="___JUD1" localSheetId="19">#REF!</definedName>
    <definedName name="___JUD1" localSheetId="5">#REF!</definedName>
    <definedName name="___JUD1">#REF!</definedName>
    <definedName name="___JUD2" localSheetId="8">#REF!</definedName>
    <definedName name="___JUD2" localSheetId="21">#REF!</definedName>
    <definedName name="___JUD2" localSheetId="23">#REF!</definedName>
    <definedName name="___JUD2" localSheetId="20">#REF!</definedName>
    <definedName name="___JUD2" localSheetId="22">#REF!</definedName>
    <definedName name="___JUD2" localSheetId="19">#REF!</definedName>
    <definedName name="___JUD2">#REF!</definedName>
    <definedName name="___JUD3" localSheetId="8">#REF!</definedName>
    <definedName name="___JUD3" localSheetId="21">#REF!</definedName>
    <definedName name="___JUD3" localSheetId="23">#REF!</definedName>
    <definedName name="___JUD3" localSheetId="20">#REF!</definedName>
    <definedName name="___JUD3" localSheetId="22">#REF!</definedName>
    <definedName name="___JUD3" localSheetId="19">#REF!</definedName>
    <definedName name="___JUD3">#REF!</definedName>
    <definedName name="___JUD4" localSheetId="8">#REF!</definedName>
    <definedName name="___JUD4" localSheetId="21">#REF!</definedName>
    <definedName name="___JUD4" localSheetId="23">#REF!</definedName>
    <definedName name="___JUD4" localSheetId="20">#REF!</definedName>
    <definedName name="___JUD4" localSheetId="22">#REF!</definedName>
    <definedName name="___JUD4" localSheetId="19">#REF!</definedName>
    <definedName name="___JUD4">#REF!</definedName>
    <definedName name="___JUD5" localSheetId="8">#REF!</definedName>
    <definedName name="___JUD5" localSheetId="21">#REF!</definedName>
    <definedName name="___JUD5" localSheetId="23">#REF!</definedName>
    <definedName name="___JUD5" localSheetId="20">#REF!</definedName>
    <definedName name="___JUD5" localSheetId="22">#REF!</definedName>
    <definedName name="___JUD5" localSheetId="19">#REF!</definedName>
    <definedName name="___JUD5">#REF!</definedName>
    <definedName name="___JUD6" localSheetId="8">#REF!</definedName>
    <definedName name="___JUD6" localSheetId="21">#REF!</definedName>
    <definedName name="___JUD6" localSheetId="23">#REF!</definedName>
    <definedName name="___JUD6" localSheetId="20">#REF!</definedName>
    <definedName name="___JUD6" localSheetId="22">#REF!</definedName>
    <definedName name="___JUD6" localSheetId="19">#REF!</definedName>
    <definedName name="___JUD6">#REF!</definedName>
    <definedName name="___JUD7" localSheetId="8">#REF!</definedName>
    <definedName name="___JUD7" localSheetId="21">#REF!</definedName>
    <definedName name="___JUD7" localSheetId="23">#REF!</definedName>
    <definedName name="___JUD7" localSheetId="20">#REF!</definedName>
    <definedName name="___JUD7" localSheetId="22">#REF!</definedName>
    <definedName name="___JUD7" localSheetId="19">#REF!</definedName>
    <definedName name="___JUD7">#REF!</definedName>
    <definedName name="___JUL3" localSheetId="8">#REF!</definedName>
    <definedName name="___JUL3" localSheetId="21">#REF!</definedName>
    <definedName name="___JUL3" localSheetId="23">#REF!</definedName>
    <definedName name="___JUL3" localSheetId="20">#REF!</definedName>
    <definedName name="___JUL3" localSheetId="22">#REF!</definedName>
    <definedName name="___JUL3" localSheetId="19">#REF!</definedName>
    <definedName name="___JUL3">#REF!</definedName>
    <definedName name="___kb1" localSheetId="8">#REF!</definedName>
    <definedName name="___kb1" localSheetId="21">#REF!</definedName>
    <definedName name="___kb1" localSheetId="23">#REF!</definedName>
    <definedName name="___kb1" localSheetId="20">#REF!</definedName>
    <definedName name="___kb1" localSheetId="22">#REF!</definedName>
    <definedName name="___kb1" localSheetId="19">#REF!</definedName>
    <definedName name="___kb1" localSheetId="5">#REF!</definedName>
    <definedName name="___kb1">#REF!</definedName>
    <definedName name="___kb2" localSheetId="8">#REF!</definedName>
    <definedName name="___kb2" localSheetId="21">#REF!</definedName>
    <definedName name="___kb2" localSheetId="23">#REF!</definedName>
    <definedName name="___kb2" localSheetId="20">#REF!</definedName>
    <definedName name="___kb2" localSheetId="22">#REF!</definedName>
    <definedName name="___kb2" localSheetId="19">#REF!</definedName>
    <definedName name="___kb2" localSheetId="5">#REF!</definedName>
    <definedName name="___kb2">#REF!</definedName>
    <definedName name="___kp1" localSheetId="8">#REF!</definedName>
    <definedName name="___kp1" localSheetId="21">#REF!</definedName>
    <definedName name="___kp1" localSheetId="23">#REF!</definedName>
    <definedName name="___kp1" localSheetId="20">#REF!</definedName>
    <definedName name="___kp1" localSheetId="22">#REF!</definedName>
    <definedName name="___kp1" localSheetId="19">#REF!</definedName>
    <definedName name="___kp1" localSheetId="5">#REF!</definedName>
    <definedName name="___kp1">#REF!</definedName>
    <definedName name="___la150">#REF!</definedName>
    <definedName name="___MAN1">#REF!</definedName>
    <definedName name="___MAN2" localSheetId="8">#REF!</definedName>
    <definedName name="___MAN2" localSheetId="21">#REF!</definedName>
    <definedName name="___MAN2" localSheetId="23">#REF!</definedName>
    <definedName name="___MAN2" localSheetId="20">#REF!</definedName>
    <definedName name="___MAN2" localSheetId="22">#REF!</definedName>
    <definedName name="___MAN2" localSheetId="19">#REF!</definedName>
    <definedName name="___MAN2" localSheetId="5">#REF!</definedName>
    <definedName name="___MAN2">#REF!</definedName>
    <definedName name="___MAN3" localSheetId="8">#REF!</definedName>
    <definedName name="___MAN3" localSheetId="21">#REF!</definedName>
    <definedName name="___MAN3" localSheetId="23">#REF!</definedName>
    <definedName name="___MAN3" localSheetId="20">#REF!</definedName>
    <definedName name="___MAN3" localSheetId="22">#REF!</definedName>
    <definedName name="___MAN3" localSheetId="19">#REF!</definedName>
    <definedName name="___MAN3" localSheetId="5">#REF!</definedName>
    <definedName name="___MAN3">#REF!</definedName>
    <definedName name="___MEI92" localSheetId="8">#REF!</definedName>
    <definedName name="___MEI92" localSheetId="12">#REF!</definedName>
    <definedName name="___MEI92" localSheetId="21">#REF!</definedName>
    <definedName name="___MEI92" localSheetId="23">#REF!</definedName>
    <definedName name="___MEI92" localSheetId="20">#REF!</definedName>
    <definedName name="___MEI92" localSheetId="22">#REF!</definedName>
    <definedName name="___MEI92" localSheetId="19">#REF!</definedName>
    <definedName name="___MEI92" localSheetId="18">#REF!</definedName>
    <definedName name="___MEI92" localSheetId="5">#REF!</definedName>
    <definedName name="___MEI92">#REF!</definedName>
    <definedName name="___npv1" localSheetId="8">#REF!</definedName>
    <definedName name="___npv1" localSheetId="12">#REF!</definedName>
    <definedName name="___npv1" localSheetId="21">#REF!</definedName>
    <definedName name="___npv1" localSheetId="23">#REF!</definedName>
    <definedName name="___npv1" localSheetId="20">#REF!</definedName>
    <definedName name="___npv1" localSheetId="22">#REF!</definedName>
    <definedName name="___npv1" localSheetId="19">#REF!</definedName>
    <definedName name="___npv1" localSheetId="18">#REF!</definedName>
    <definedName name="___npv1">#REF!</definedName>
    <definedName name="___npv2" localSheetId="8">#REF!</definedName>
    <definedName name="___npv2" localSheetId="12">#REF!</definedName>
    <definedName name="___npv2" localSheetId="21">#REF!</definedName>
    <definedName name="___npv2" localSheetId="23">#REF!</definedName>
    <definedName name="___npv2" localSheetId="20">#REF!</definedName>
    <definedName name="___npv2" localSheetId="22">#REF!</definedName>
    <definedName name="___npv2" localSheetId="19">#REF!</definedName>
    <definedName name="___npv2" localSheetId="18">#REF!</definedName>
    <definedName name="___npv2">#REF!</definedName>
    <definedName name="___pmt7040">#REF!</definedName>
    <definedName name="___rab1" localSheetId="8">#REF!</definedName>
    <definedName name="___rab1" localSheetId="12">#REF!</definedName>
    <definedName name="___rab1" localSheetId="21">#REF!</definedName>
    <definedName name="___rab1" localSheetId="23">#REF!</definedName>
    <definedName name="___rab1" localSheetId="20">#REF!</definedName>
    <definedName name="___rab1" localSheetId="22">#REF!</definedName>
    <definedName name="___rab1" localSheetId="19">#REF!</definedName>
    <definedName name="___rab1" localSheetId="18">#REF!</definedName>
    <definedName name="___rab1" localSheetId="5">#REF!</definedName>
    <definedName name="___rab1">#REF!</definedName>
    <definedName name="___rab2" localSheetId="8">#REF!</definedName>
    <definedName name="___rab2" localSheetId="12">#REF!</definedName>
    <definedName name="___rab2" localSheetId="21">#REF!</definedName>
    <definedName name="___rab2" localSheetId="23">#REF!</definedName>
    <definedName name="___rab2" localSheetId="20">#REF!</definedName>
    <definedName name="___rab2" localSheetId="22">#REF!</definedName>
    <definedName name="___rab2" localSheetId="19">#REF!</definedName>
    <definedName name="___rab2" localSheetId="18">#REF!</definedName>
    <definedName name="___rab2" localSheetId="5">#REF!</definedName>
    <definedName name="___rab2">#REF!</definedName>
    <definedName name="___sem1" localSheetId="8">#REF!</definedName>
    <definedName name="___sem1" localSheetId="21">#REF!</definedName>
    <definedName name="___sem1" localSheetId="23">#REF!</definedName>
    <definedName name="___sem1" localSheetId="20">#REF!</definedName>
    <definedName name="___sem1" localSheetId="22">#REF!</definedName>
    <definedName name="___sem1" localSheetId="19">#REF!</definedName>
    <definedName name="___sem1" localSheetId="5">#REF!</definedName>
    <definedName name="___sem1">#REF!</definedName>
    <definedName name="___sm1" localSheetId="8">#REF!</definedName>
    <definedName name="___sm1" localSheetId="21">#REF!</definedName>
    <definedName name="___sm1" localSheetId="23">#REF!</definedName>
    <definedName name="___sm1" localSheetId="20">#REF!</definedName>
    <definedName name="___sm1" localSheetId="22">#REF!</definedName>
    <definedName name="___sm1" localSheetId="19">#REF!</definedName>
    <definedName name="___sm1">#REF!</definedName>
    <definedName name="___Tab1" localSheetId="8">#REF!</definedName>
    <definedName name="___Tab1" localSheetId="21">#REF!</definedName>
    <definedName name="___Tab1" localSheetId="23">#REF!</definedName>
    <definedName name="___Tab1" localSheetId="20">#REF!</definedName>
    <definedName name="___Tab1" localSheetId="22">#REF!</definedName>
    <definedName name="___Tab1" localSheetId="19">#REF!</definedName>
    <definedName name="___Tab1">#REF!</definedName>
    <definedName name="___Tab2" localSheetId="8">#REF!</definedName>
    <definedName name="___Tab2" localSheetId="21">#REF!</definedName>
    <definedName name="___Tab2" localSheetId="23">#REF!</definedName>
    <definedName name="___Tab2" localSheetId="20">#REF!</definedName>
    <definedName name="___Tab2" localSheetId="22">#REF!</definedName>
    <definedName name="___Tab2" localSheetId="19">#REF!</definedName>
    <definedName name="___Tab2">#REF!</definedName>
    <definedName name="___Tab3" localSheetId="8">#REF!</definedName>
    <definedName name="___Tab3" localSheetId="21">#REF!</definedName>
    <definedName name="___Tab3" localSheetId="23">#REF!</definedName>
    <definedName name="___Tab3" localSheetId="20">#REF!</definedName>
    <definedName name="___Tab3" localSheetId="22">#REF!</definedName>
    <definedName name="___Tab3" localSheetId="19">#REF!</definedName>
    <definedName name="___Tab3">#REF!</definedName>
    <definedName name="___TRP1" localSheetId="8">#REF!</definedName>
    <definedName name="___TRP1" localSheetId="21">#REF!</definedName>
    <definedName name="___TRP1" localSheetId="23">#REF!</definedName>
    <definedName name="___TRP1" localSheetId="20">#REF!</definedName>
    <definedName name="___TRP1" localSheetId="22">#REF!</definedName>
    <definedName name="___TRP1" localSheetId="19">#REF!</definedName>
    <definedName name="___TRP1">#REF!</definedName>
    <definedName name="___trw1" localSheetId="8">#REF!</definedName>
    <definedName name="___trw1" localSheetId="21">#REF!</definedName>
    <definedName name="___trw1" localSheetId="23">#REF!</definedName>
    <definedName name="___trw1" localSheetId="20">#REF!</definedName>
    <definedName name="___trw1" localSheetId="22">#REF!</definedName>
    <definedName name="___trw1" localSheetId="19">#REF!</definedName>
    <definedName name="___trw1">#REF!</definedName>
    <definedName name="___trw2" localSheetId="8">#REF!</definedName>
    <definedName name="___trw2" localSheetId="21">#REF!</definedName>
    <definedName name="___trw2" localSheetId="23">#REF!</definedName>
    <definedName name="___trw2" localSheetId="20">#REF!</definedName>
    <definedName name="___trw2" localSheetId="22">#REF!</definedName>
    <definedName name="___trw2" localSheetId="19">#REF!</definedName>
    <definedName name="___trw2">#REF!</definedName>
    <definedName name="___trw3" localSheetId="8">#REF!</definedName>
    <definedName name="___trw3" localSheetId="21">#REF!</definedName>
    <definedName name="___trw3" localSheetId="23">#REF!</definedName>
    <definedName name="___trw3" localSheetId="20">#REF!</definedName>
    <definedName name="___trw3" localSheetId="22">#REF!</definedName>
    <definedName name="___trw3" localSheetId="19">#REF!</definedName>
    <definedName name="___trw3">#REF!</definedName>
    <definedName name="___TVA1" localSheetId="8">#REF!</definedName>
    <definedName name="___TVA1" localSheetId="21">#REF!</definedName>
    <definedName name="___TVA1" localSheetId="23">#REF!</definedName>
    <definedName name="___TVA1" localSheetId="20">#REF!</definedName>
    <definedName name="___TVA1" localSheetId="22">#REF!</definedName>
    <definedName name="___TVA1" localSheetId="19">#REF!</definedName>
    <definedName name="___TVA1">#REF!</definedName>
    <definedName name="___TW1" localSheetId="8">#REF!</definedName>
    <definedName name="___TW1" localSheetId="12">#REF!</definedName>
    <definedName name="___TW1" localSheetId="21">#REF!</definedName>
    <definedName name="___TW1" localSheetId="23">#REF!</definedName>
    <definedName name="___TW1" localSheetId="20">#REF!</definedName>
    <definedName name="___TW1" localSheetId="22">#REF!</definedName>
    <definedName name="___TW1" localSheetId="19">#REF!</definedName>
    <definedName name="___TW1" localSheetId="18">#REF!</definedName>
    <definedName name="___TW1">#REF!</definedName>
    <definedName name="___TW2" localSheetId="8">#REF!</definedName>
    <definedName name="___TW2" localSheetId="12">#REF!</definedName>
    <definedName name="___TW2" localSheetId="21">#REF!</definedName>
    <definedName name="___TW2" localSheetId="23">#REF!</definedName>
    <definedName name="___TW2" localSheetId="20">#REF!</definedName>
    <definedName name="___TW2" localSheetId="22">#REF!</definedName>
    <definedName name="___TW2" localSheetId="19">#REF!</definedName>
    <definedName name="___TW2" localSheetId="18">#REF!</definedName>
    <definedName name="___TW2">#REF!</definedName>
    <definedName name="__1_2002_VS_2001" localSheetId="8">#REF!</definedName>
    <definedName name="__1_2002_VS_2001" localSheetId="12">#REF!</definedName>
    <definedName name="__1_2002_VS_2001" localSheetId="21">#REF!</definedName>
    <definedName name="__1_2002_VS_2001" localSheetId="23">#REF!</definedName>
    <definedName name="__1_2002_VS_2001" localSheetId="20">#REF!</definedName>
    <definedName name="__1_2002_VS_2001" localSheetId="22">#REF!</definedName>
    <definedName name="__1_2002_VS_2001" localSheetId="19">#REF!</definedName>
    <definedName name="__1_2002_VS_2001" localSheetId="18">#REF!</definedName>
    <definedName name="__1_2002_VS_2001">#REF!</definedName>
    <definedName name="__10INV_PERUSAHAA_2" localSheetId="8">#REF!</definedName>
    <definedName name="__10INV_PERUSAHAA_2" localSheetId="12">#REF!</definedName>
    <definedName name="__10INV_PERUSAHAA_2" localSheetId="21">#REF!</definedName>
    <definedName name="__10INV_PERUSAHAA_2" localSheetId="23">#REF!</definedName>
    <definedName name="__10INV_PERUSAHAA_2" localSheetId="20">#REF!</definedName>
    <definedName name="__10INV_PERUSAHAA_2" localSheetId="22">#REF!</definedName>
    <definedName name="__10INV_PERUSAHAA_2" localSheetId="19">#REF!</definedName>
    <definedName name="__10INV_PERUSAHAA_2" localSheetId="18">#REF!</definedName>
    <definedName name="__10INV_PERUSAHAA_2">#REF!</definedName>
    <definedName name="__11INV_PERUSAHAAN" localSheetId="8">#REF!</definedName>
    <definedName name="__11INV_PERUSAHAAN" localSheetId="12">#REF!</definedName>
    <definedName name="__11INV_PERUSAHAAN" localSheetId="21">#REF!</definedName>
    <definedName name="__11INV_PERUSAHAAN" localSheetId="23">#REF!</definedName>
    <definedName name="__11INV_PERUSAHAAN" localSheetId="20">#REF!</definedName>
    <definedName name="__11INV_PERUSAHAAN" localSheetId="22">#REF!</definedName>
    <definedName name="__11INV_PERUSAHAAN" localSheetId="19">#REF!</definedName>
    <definedName name="__11INV_PERUSAHAAN" localSheetId="18">#REF!</definedName>
    <definedName name="__11INV_PERUSAHAAN">#REF!</definedName>
    <definedName name="__123Graph_A" localSheetId="8" hidden="1">#REF!</definedName>
    <definedName name="__123Graph_A" localSheetId="12" hidden="1">#REF!</definedName>
    <definedName name="__123Graph_A" localSheetId="21" hidden="1">#REF!</definedName>
    <definedName name="__123Graph_A" localSheetId="23" hidden="1">#REF!</definedName>
    <definedName name="__123Graph_A" localSheetId="20" hidden="1">#REF!</definedName>
    <definedName name="__123Graph_A" localSheetId="22" hidden="1">#REF!</definedName>
    <definedName name="__123Graph_A" localSheetId="19" hidden="1">#REF!</definedName>
    <definedName name="__123Graph_A" localSheetId="18" hidden="1">#REF!</definedName>
    <definedName name="__123Graph_A" localSheetId="5" hidden="1">#REF!</definedName>
    <definedName name="__123Graph_A" hidden="1">#REF!</definedName>
    <definedName name="__123Graph_A1" hidden="1">#REF!</definedName>
    <definedName name="__123Graph_A2" hidden="1">#REF!</definedName>
    <definedName name="__123Graph_ACPEXIND" hidden="1">#REF!</definedName>
    <definedName name="__123Graph_ACPEXJAVA" hidden="1">#REF!</definedName>
    <definedName name="__123Graph_ACPEXOUTS" hidden="1">#REF!</definedName>
    <definedName name="__123Graph_AFININDO" hidden="1">#REF!</definedName>
    <definedName name="__123Graph_AFINJAVA" hidden="1">#REF!</definedName>
    <definedName name="__123Graph_AFINOUTS" hidden="1">#REF!</definedName>
    <definedName name="__123Graph_AFUELINDO" hidden="1">#REF!</definedName>
    <definedName name="__123Graph_AFUELJAVA" hidden="1">#REF!</definedName>
    <definedName name="__123Graph_AFUELOUTS" hidden="1">#REF!</definedName>
    <definedName name="__123Graph_AKWH" localSheetId="8" hidden="1">#REF!</definedName>
    <definedName name="__123Graph_AKWH" localSheetId="21" hidden="1">#REF!</definedName>
    <definedName name="__123Graph_AKWH" localSheetId="23" hidden="1">#REF!</definedName>
    <definedName name="__123Graph_AKWH" localSheetId="20" hidden="1">#REF!</definedName>
    <definedName name="__123Graph_AKWH" localSheetId="22" hidden="1">#REF!</definedName>
    <definedName name="__123Graph_AKWH" localSheetId="19" hidden="1">#REF!</definedName>
    <definedName name="__123Graph_AKWH" localSheetId="5" hidden="1">#REF!</definedName>
    <definedName name="__123Graph_AKWH" hidden="1">#REF!</definedName>
    <definedName name="__123Graph_AOPEXIND" hidden="1">#REF!</definedName>
    <definedName name="__123Graph_AOPEXJAVA" hidden="1">#REF!</definedName>
    <definedName name="__123Graph_AOPEXOUTS" hidden="1">#REF!</definedName>
    <definedName name="__123Graph_AREIND" hidden="1">#REF!</definedName>
    <definedName name="__123Graph_AREJAVA" hidden="1">#REF!</definedName>
    <definedName name="__123Graph_AREOUTSIDE" hidden="1">#REF!</definedName>
    <definedName name="__123Graph_AVAPLG" localSheetId="8" hidden="1">#REF!</definedName>
    <definedName name="__123Graph_AVAPLG" localSheetId="21" hidden="1">#REF!</definedName>
    <definedName name="__123Graph_AVAPLG" localSheetId="23" hidden="1">#REF!</definedName>
    <definedName name="__123Graph_AVAPLG" localSheetId="20" hidden="1">#REF!</definedName>
    <definedName name="__123Graph_AVAPLG" localSheetId="22" hidden="1">#REF!</definedName>
    <definedName name="__123Graph_AVAPLG" localSheetId="19" hidden="1">#REF!</definedName>
    <definedName name="__123Graph_AVAPLG" localSheetId="5" hidden="1">#REF!</definedName>
    <definedName name="__123Graph_AVAPLG" hidden="1">#REF!</definedName>
    <definedName name="__123Graph_B" localSheetId="8" hidden="1">#REF!</definedName>
    <definedName name="__123Graph_B" localSheetId="12" hidden="1">#REF!</definedName>
    <definedName name="__123Graph_B" localSheetId="21" hidden="1">#REF!</definedName>
    <definedName name="__123Graph_B" localSheetId="23" hidden="1">#REF!</definedName>
    <definedName name="__123Graph_B" localSheetId="20" hidden="1">#REF!</definedName>
    <definedName name="__123Graph_B" localSheetId="22" hidden="1">#REF!</definedName>
    <definedName name="__123Graph_B" localSheetId="19" hidden="1">#REF!</definedName>
    <definedName name="__123Graph_B" localSheetId="18" hidden="1">#REF!</definedName>
    <definedName name="__123Graph_B" localSheetId="5" hidden="1">#REF!</definedName>
    <definedName name="__123Graph_B" hidden="1">#REF!</definedName>
    <definedName name="__123Graph_B1" hidden="1">#REF!</definedName>
    <definedName name="__123Graph_B2" hidden="1">#REF!</definedName>
    <definedName name="__123Graph_BCPEXIND" hidden="1">#REF!</definedName>
    <definedName name="__123Graph_BCPEXJAVA" hidden="1">#REF!</definedName>
    <definedName name="__123Graph_BCPEXOUTS" hidden="1">#REF!</definedName>
    <definedName name="__123Graph_BFININDO" hidden="1">#REF!</definedName>
    <definedName name="__123Graph_BFINJAVA" hidden="1">#REF!</definedName>
    <definedName name="__123Graph_BFINOUTS" hidden="1">#REF!</definedName>
    <definedName name="__123Graph_BFUELINDO" hidden="1">#REF!</definedName>
    <definedName name="__123Graph_BFUELJAVA" hidden="1">#REF!</definedName>
    <definedName name="__123Graph_BFUELOUTS" hidden="1">#REF!</definedName>
    <definedName name="__123Graph_BKWH" localSheetId="8" hidden="1">#REF!</definedName>
    <definedName name="__123Graph_BKWH" localSheetId="21" hidden="1">#REF!</definedName>
    <definedName name="__123Graph_BKWH" localSheetId="23" hidden="1">#REF!</definedName>
    <definedName name="__123Graph_BKWH" localSheetId="20" hidden="1">#REF!</definedName>
    <definedName name="__123Graph_BKWH" localSheetId="22" hidden="1">#REF!</definedName>
    <definedName name="__123Graph_BKWH" localSheetId="19" hidden="1">#REF!</definedName>
    <definedName name="__123Graph_BKWH" localSheetId="5" hidden="1">#REF!</definedName>
    <definedName name="__123Graph_BKWH" hidden="1">#REF!</definedName>
    <definedName name="__123Graph_BOPEXIND" hidden="1">#REF!</definedName>
    <definedName name="__123Graph_BOPEXJAVA" hidden="1">#REF!</definedName>
    <definedName name="__123Graph_BOPEXOUTS" hidden="1">#REF!</definedName>
    <definedName name="__123Graph_BREIND" hidden="1">#REF!</definedName>
    <definedName name="__123Graph_BREJAVA" hidden="1">#REF!</definedName>
    <definedName name="__123Graph_BREOUTSIDE" hidden="1">#REF!</definedName>
    <definedName name="__123Graph_BVAPLG" localSheetId="8" hidden="1">#REF!</definedName>
    <definedName name="__123Graph_BVAPLG" localSheetId="21" hidden="1">#REF!</definedName>
    <definedName name="__123Graph_BVAPLG" localSheetId="23" hidden="1">#REF!</definedName>
    <definedName name="__123Graph_BVAPLG" localSheetId="20" hidden="1">#REF!</definedName>
    <definedName name="__123Graph_BVAPLG" localSheetId="22" hidden="1">#REF!</definedName>
    <definedName name="__123Graph_BVAPLG" localSheetId="19" hidden="1">#REF!</definedName>
    <definedName name="__123Graph_BVAPLG" localSheetId="5" hidden="1">#REF!</definedName>
    <definedName name="__123Graph_BVAPLG" hidden="1">#REF!</definedName>
    <definedName name="__123Graph_C" localSheetId="8" hidden="1">#REF!</definedName>
    <definedName name="__123Graph_C" localSheetId="21" hidden="1">#REF!</definedName>
    <definedName name="__123Graph_C" localSheetId="23" hidden="1">#REF!</definedName>
    <definedName name="__123Graph_C" localSheetId="20" hidden="1">#REF!</definedName>
    <definedName name="__123Graph_C" localSheetId="22" hidden="1">#REF!</definedName>
    <definedName name="__123Graph_C" localSheetId="19" hidden="1">#REF!</definedName>
    <definedName name="__123Graph_C" localSheetId="5" hidden="1">#REF!</definedName>
    <definedName name="__123Graph_C" hidden="1">#REF!</definedName>
    <definedName name="__123Graph_CCPEXIND" hidden="1">#REF!</definedName>
    <definedName name="__123Graph_CCPEXJAVA" hidden="1">#REF!</definedName>
    <definedName name="__123Graph_CCPEXOUTS" hidden="1">#REF!</definedName>
    <definedName name="__123Graph_CFININDO" hidden="1">#REF!</definedName>
    <definedName name="__123Graph_CFINJAVA" hidden="1">#REF!</definedName>
    <definedName name="__123Graph_CFINOUTS" hidden="1">#REF!</definedName>
    <definedName name="__123Graph_CFUELINDO" hidden="1">#REF!</definedName>
    <definedName name="__123Graph_CFUELJAVA" hidden="1">#REF!</definedName>
    <definedName name="__123Graph_CFUELOUTS" hidden="1">#REF!</definedName>
    <definedName name="__123Graph_CKWH" localSheetId="8" hidden="1">#REF!</definedName>
    <definedName name="__123Graph_CKWH" localSheetId="21" hidden="1">#REF!</definedName>
    <definedName name="__123Graph_CKWH" localSheetId="23" hidden="1">#REF!</definedName>
    <definedName name="__123Graph_CKWH" localSheetId="20" hidden="1">#REF!</definedName>
    <definedName name="__123Graph_CKWH" localSheetId="22" hidden="1">#REF!</definedName>
    <definedName name="__123Graph_CKWH" localSheetId="19" hidden="1">#REF!</definedName>
    <definedName name="__123Graph_CKWH" localSheetId="5" hidden="1">#REF!</definedName>
    <definedName name="__123Graph_CKWH" hidden="1">#REF!</definedName>
    <definedName name="__123Graph_COPEXIND" hidden="1">#REF!</definedName>
    <definedName name="__123Graph_COPEXJAVA" hidden="1">#REF!</definedName>
    <definedName name="__123Graph_COPEXOUTS" hidden="1">#REF!</definedName>
    <definedName name="__123Graph_CVAPLG" localSheetId="8" hidden="1">#REF!</definedName>
    <definedName name="__123Graph_CVAPLG" localSheetId="21" hidden="1">#REF!</definedName>
    <definedName name="__123Graph_CVAPLG" localSheetId="23" hidden="1">#REF!</definedName>
    <definedName name="__123Graph_CVAPLG" localSheetId="20" hidden="1">#REF!</definedName>
    <definedName name="__123Graph_CVAPLG" localSheetId="22" hidden="1">#REF!</definedName>
    <definedName name="__123Graph_CVAPLG" localSheetId="19" hidden="1">#REF!</definedName>
    <definedName name="__123Graph_CVAPLG" localSheetId="5" hidden="1">#REF!</definedName>
    <definedName name="__123Graph_CVAPLG" hidden="1">#REF!</definedName>
    <definedName name="__123Graph_D" localSheetId="8" hidden="1">#REF!</definedName>
    <definedName name="__123Graph_D" localSheetId="12" hidden="1">#REF!</definedName>
    <definedName name="__123Graph_D" localSheetId="21" hidden="1">#REF!</definedName>
    <definedName name="__123Graph_D" localSheetId="23" hidden="1">#REF!</definedName>
    <definedName name="__123Graph_D" localSheetId="20" hidden="1">#REF!</definedName>
    <definedName name="__123Graph_D" localSheetId="22" hidden="1">#REF!</definedName>
    <definedName name="__123Graph_D" localSheetId="19" hidden="1">#REF!</definedName>
    <definedName name="__123Graph_D" localSheetId="18" hidden="1">#REF!</definedName>
    <definedName name="__123Graph_D" localSheetId="5" hidden="1">#REF!</definedName>
    <definedName name="__123Graph_D" hidden="1">#REF!</definedName>
    <definedName name="__123Graph_DCPEXIND" hidden="1">#REF!</definedName>
    <definedName name="__123Graph_DCPEXJAVA" hidden="1">#REF!</definedName>
    <definedName name="__123Graph_DCPEXOUTS" hidden="1">#REF!</definedName>
    <definedName name="__123Graph_DFUELINDO" hidden="1">#REF!</definedName>
    <definedName name="__123Graph_DFUELJAVA" hidden="1">#REF!</definedName>
    <definedName name="__123Graph_DFUELOUTS" hidden="1">#REF!</definedName>
    <definedName name="__123Graph_DOPEXIND" hidden="1">#REF!</definedName>
    <definedName name="__123Graph_DOPEXJAVA" hidden="1">#REF!</definedName>
    <definedName name="__123Graph_DOPEXOUTS" hidden="1">#REF!</definedName>
    <definedName name="__123Graph_X" localSheetId="8" hidden="1">#REF!</definedName>
    <definedName name="__123Graph_X" localSheetId="12" hidden="1">#REF!</definedName>
    <definedName name="__123Graph_X" localSheetId="21" hidden="1">#REF!</definedName>
    <definedName name="__123Graph_X" localSheetId="23" hidden="1">#REF!</definedName>
    <definedName name="__123Graph_X" localSheetId="20" hidden="1">#REF!</definedName>
    <definedName name="__123Graph_X" localSheetId="22" hidden="1">#REF!</definedName>
    <definedName name="__123Graph_X" localSheetId="19" hidden="1">#REF!</definedName>
    <definedName name="__123Graph_X" localSheetId="18" hidden="1">#REF!</definedName>
    <definedName name="__123Graph_X" localSheetId="5" hidden="1">#REF!</definedName>
    <definedName name="__123Graph_X" hidden="1">#REF!</definedName>
    <definedName name="__123Graph_XCPEXIND" hidden="1">#REF!</definedName>
    <definedName name="__123Graph_XCPEXJAVA" hidden="1">#REF!</definedName>
    <definedName name="__123Graph_XCPEXOUTS" hidden="1">#REF!</definedName>
    <definedName name="__123Graph_XFININDO" hidden="1">#REF!</definedName>
    <definedName name="__123Graph_XFINJAVA" hidden="1">#REF!</definedName>
    <definedName name="__123Graph_XFUELINDO" hidden="1">#REF!</definedName>
    <definedName name="__123Graph_XFUELJAVA" hidden="1">#REF!</definedName>
    <definedName name="__123Graph_XFUELOUTS" hidden="1">#REF!</definedName>
    <definedName name="__123Graph_XKWH" localSheetId="8" hidden="1">#REF!</definedName>
    <definedName name="__123Graph_XKWH" localSheetId="21" hidden="1">#REF!</definedName>
    <definedName name="__123Graph_XKWH" localSheetId="23" hidden="1">#REF!</definedName>
    <definedName name="__123Graph_XKWH" localSheetId="20" hidden="1">#REF!</definedName>
    <definedName name="__123Graph_XKWH" localSheetId="22" hidden="1">#REF!</definedName>
    <definedName name="__123Graph_XKWH" localSheetId="19" hidden="1">#REF!</definedName>
    <definedName name="__123Graph_XKWH" localSheetId="5" hidden="1">#REF!</definedName>
    <definedName name="__123Graph_XKWH" hidden="1">#REF!</definedName>
    <definedName name="__123Graph_XOPEXIND" hidden="1">#REF!</definedName>
    <definedName name="__123Graph_XOPEXJAVA" hidden="1">#REF!</definedName>
    <definedName name="__123Graph_XOPEXOUTS" hidden="1">#REF!</definedName>
    <definedName name="__123Graph_XREJAVA" hidden="1">#REF!</definedName>
    <definedName name="__123Graph_XREOUTSIDE" hidden="1">#REF!</definedName>
    <definedName name="__123Graph_XVAPLG" localSheetId="8" hidden="1">#REF!</definedName>
    <definedName name="__123Graph_XVAPLG" localSheetId="21" hidden="1">#REF!</definedName>
    <definedName name="__123Graph_XVAPLG" localSheetId="23" hidden="1">#REF!</definedName>
    <definedName name="__123Graph_XVAPLG" localSheetId="20" hidden="1">#REF!</definedName>
    <definedName name="__123Graph_XVAPLG" localSheetId="22" hidden="1">#REF!</definedName>
    <definedName name="__123Graph_XVAPLG" localSheetId="19" hidden="1">#REF!</definedName>
    <definedName name="__123Graph_XVAPLG" localSheetId="5" hidden="1">#REF!</definedName>
    <definedName name="__123Graph_XVAPLG" hidden="1">#REF!</definedName>
    <definedName name="__12JTM_PER_TW" localSheetId="8">#REF!</definedName>
    <definedName name="__12JTM_PER_TW" localSheetId="12">#REF!</definedName>
    <definedName name="__12JTM_PER_TW" localSheetId="21">#REF!</definedName>
    <definedName name="__12JTM_PER_TW" localSheetId="23">#REF!</definedName>
    <definedName name="__12JTM_PER_TW" localSheetId="20">#REF!</definedName>
    <definedName name="__12JTM_PER_TW" localSheetId="22">#REF!</definedName>
    <definedName name="__12JTM_PER_TW" localSheetId="19">#REF!</definedName>
    <definedName name="__12JTM_PER_TW" localSheetId="18">#REF!</definedName>
    <definedName name="__12JTM_PER_TW" localSheetId="5">#REF!</definedName>
    <definedName name="__12JTM_PER_TW">#REF!</definedName>
    <definedName name="__13REKAP_KEGIATAN" localSheetId="8">#REF!</definedName>
    <definedName name="__13REKAP_KEGIATAN" localSheetId="12">#REF!</definedName>
    <definedName name="__13REKAP_KEGIATAN" localSheetId="21">#REF!</definedName>
    <definedName name="__13REKAP_KEGIATAN" localSheetId="23">#REF!</definedName>
    <definedName name="__13REKAP_KEGIATAN" localSheetId="20">#REF!</definedName>
    <definedName name="__13REKAP_KEGIATAN" localSheetId="22">#REF!</definedName>
    <definedName name="__13REKAP_KEGIATAN" localSheetId="19">#REF!</definedName>
    <definedName name="__13REKAP_KEGIATAN" localSheetId="18">#REF!</definedName>
    <definedName name="__13REKAP_KEGIATAN" localSheetId="5">#REF!</definedName>
    <definedName name="__13REKAP_KEGIATAN">#REF!</definedName>
    <definedName name="__14REKAP_PAK_AEP" localSheetId="8">#REF!</definedName>
    <definedName name="__14REKAP_PAK_AEP" localSheetId="12">#REF!</definedName>
    <definedName name="__14REKAP_PAK_AEP" localSheetId="21">#REF!</definedName>
    <definedName name="__14REKAP_PAK_AEP" localSheetId="23">#REF!</definedName>
    <definedName name="__14REKAP_PAK_AEP" localSheetId="20">#REF!</definedName>
    <definedName name="__14REKAP_PAK_AEP" localSheetId="22">#REF!</definedName>
    <definedName name="__14REKAP_PAK_AEP" localSheetId="19">#REF!</definedName>
    <definedName name="__14REKAP_PAK_AEP" localSheetId="18">#REF!</definedName>
    <definedName name="__14REKAP_PAK_AEP" localSheetId="5">#REF!</definedName>
    <definedName name="__14REKAP_PAK_AEP">#REF!</definedName>
    <definedName name="__15SUM_MUTDAL" localSheetId="8">#REF!</definedName>
    <definedName name="__15SUM_MUTDAL" localSheetId="12">#REF!</definedName>
    <definedName name="__15SUM_MUTDAL" localSheetId="21">#REF!</definedName>
    <definedName name="__15SUM_MUTDAL" localSheetId="23">#REF!</definedName>
    <definedName name="__15SUM_MUTDAL" localSheetId="20">#REF!</definedName>
    <definedName name="__15SUM_MUTDAL" localSheetId="22">#REF!</definedName>
    <definedName name="__15SUM_MUTDAL" localSheetId="19">#REF!</definedName>
    <definedName name="__15SUM_MUTDAL" localSheetId="18">#REF!</definedName>
    <definedName name="__15SUM_MUTDAL">#REF!</definedName>
    <definedName name="__2ANGG_PERUSAHA_2" localSheetId="8">#REF!</definedName>
    <definedName name="__2ANGG_PERUSAHA_2" localSheetId="12">#REF!</definedName>
    <definedName name="__2ANGG_PERUSAHA_2" localSheetId="21">#REF!</definedName>
    <definedName name="__2ANGG_PERUSAHA_2" localSheetId="23">#REF!</definedName>
    <definedName name="__2ANGG_PERUSAHA_2" localSheetId="20">#REF!</definedName>
    <definedName name="__2ANGG_PERUSAHA_2" localSheetId="22">#REF!</definedName>
    <definedName name="__2ANGG_PERUSAHA_2" localSheetId="19">#REF!</definedName>
    <definedName name="__2ANGG_PERUSAHA_2" localSheetId="18">#REF!</definedName>
    <definedName name="__2ANGG_PERUSAHA_2">#REF!</definedName>
    <definedName name="__3ANGG_PERUSAHAAN" localSheetId="8">#REF!</definedName>
    <definedName name="__3ANGG_PERUSAHAAN" localSheetId="12">#REF!</definedName>
    <definedName name="__3ANGG_PERUSAHAAN" localSheetId="21">#REF!</definedName>
    <definedName name="__3ANGG_PERUSAHAAN" localSheetId="23">#REF!</definedName>
    <definedName name="__3ANGG_PERUSAHAAN" localSheetId="20">#REF!</definedName>
    <definedName name="__3ANGG_PERUSAHAAN" localSheetId="22">#REF!</definedName>
    <definedName name="__3ANGG_PERUSAHAAN" localSheetId="19">#REF!</definedName>
    <definedName name="__3ANGG_PERUSAHAAN" localSheetId="18">#REF!</definedName>
    <definedName name="__3ANGG_PERUSAHAAN">#REF!</definedName>
    <definedName name="__4BAHAS_ANGG." localSheetId="8">#REF!</definedName>
    <definedName name="__4BAHAS_ANGG." localSheetId="12">#REF!</definedName>
    <definedName name="__4BAHAS_ANGG." localSheetId="21">#REF!</definedName>
    <definedName name="__4BAHAS_ANGG." localSheetId="23">#REF!</definedName>
    <definedName name="__4BAHAS_ANGG." localSheetId="20">#REF!</definedName>
    <definedName name="__4BAHAS_ANGG." localSheetId="22">#REF!</definedName>
    <definedName name="__4BAHAS_ANGG." localSheetId="19">#REF!</definedName>
    <definedName name="__4BAHAS_ANGG." localSheetId="18">#REF!</definedName>
    <definedName name="__4BAHAS_ANGG.">#REF!</definedName>
    <definedName name="__5BAHAS_DISTURB" localSheetId="8">#REF!</definedName>
    <definedName name="__5BAHAS_DISTURB" localSheetId="12">#REF!</definedName>
    <definedName name="__5BAHAS_DISTURB" localSheetId="21">#REF!</definedName>
    <definedName name="__5BAHAS_DISTURB" localSheetId="23">#REF!</definedName>
    <definedName name="__5BAHAS_DISTURB" localSheetId="20">#REF!</definedName>
    <definedName name="__5BAHAS_DISTURB" localSheetId="22">#REF!</definedName>
    <definedName name="__5BAHAS_DISTURB" localSheetId="19">#REF!</definedName>
    <definedName name="__5BAHAS_DISTURB" localSheetId="18">#REF!</definedName>
    <definedName name="__5BAHAS_DISTURB">#REF!</definedName>
    <definedName name="__6FORM_A" localSheetId="8">#REF!</definedName>
    <definedName name="__6FORM_A" localSheetId="12">#REF!</definedName>
    <definedName name="__6FORM_A" localSheetId="21">#REF!</definedName>
    <definedName name="__6FORM_A" localSheetId="23">#REF!</definedName>
    <definedName name="__6FORM_A" localSheetId="20">#REF!</definedName>
    <definedName name="__6FORM_A" localSheetId="22">#REF!</definedName>
    <definedName name="__6FORM_A" localSheetId="19">#REF!</definedName>
    <definedName name="__6FORM_A" localSheetId="18">#REF!</definedName>
    <definedName name="__6FORM_A">#REF!</definedName>
    <definedName name="__7FORM_B" localSheetId="8">#REF!</definedName>
    <definedName name="__7FORM_B" localSheetId="12">#REF!</definedName>
    <definedName name="__7FORM_B" localSheetId="21">#REF!</definedName>
    <definedName name="__7FORM_B" localSheetId="23">#REF!</definedName>
    <definedName name="__7FORM_B" localSheetId="20">#REF!</definedName>
    <definedName name="__7FORM_B" localSheetId="22">#REF!</definedName>
    <definedName name="__7FORM_B" localSheetId="19">#REF!</definedName>
    <definedName name="__7FORM_B" localSheetId="18">#REF!</definedName>
    <definedName name="__7FORM_B">#REF!</definedName>
    <definedName name="__8GD_PER_TW" localSheetId="8">#REF!</definedName>
    <definedName name="__8GD_PER_TW" localSheetId="12">#REF!</definedName>
    <definedName name="__8GD_PER_TW" localSheetId="21">#REF!</definedName>
    <definedName name="__8GD_PER_TW" localSheetId="23">#REF!</definedName>
    <definedName name="__8GD_PER_TW" localSheetId="20">#REF!</definedName>
    <definedName name="__8GD_PER_TW" localSheetId="22">#REF!</definedName>
    <definedName name="__8GD_PER_TW" localSheetId="19">#REF!</definedName>
    <definedName name="__8GD_PER_TW" localSheetId="18">#REF!</definedName>
    <definedName name="__8GD_PER_TW">#REF!</definedName>
    <definedName name="__9GH_2_SPINDEL" localSheetId="8">#REF!</definedName>
    <definedName name="__9GH_2_SPINDEL" localSheetId="12">#REF!</definedName>
    <definedName name="__9GH_2_SPINDEL" localSheetId="21">#REF!</definedName>
    <definedName name="__9GH_2_SPINDEL" localSheetId="23">#REF!</definedName>
    <definedName name="__9GH_2_SPINDEL" localSheetId="20">#REF!</definedName>
    <definedName name="__9GH_2_SPINDEL" localSheetId="22">#REF!</definedName>
    <definedName name="__9GH_2_SPINDEL" localSheetId="19">#REF!</definedName>
    <definedName name="__9GH_2_SPINDEL" localSheetId="18">#REF!</definedName>
    <definedName name="__9GH_2_SPINDEL">#REF!</definedName>
    <definedName name="__BAT48100">#REF!</definedName>
    <definedName name="__DAF1" localSheetId="8">#REF!</definedName>
    <definedName name="__DAF1" localSheetId="12">#REF!</definedName>
    <definedName name="__DAF1" localSheetId="21">#REF!</definedName>
    <definedName name="__DAF1" localSheetId="23">#REF!</definedName>
    <definedName name="__DAF1" localSheetId="20">#REF!</definedName>
    <definedName name="__DAF1" localSheetId="22">#REF!</definedName>
    <definedName name="__DAF1" localSheetId="19">#REF!</definedName>
    <definedName name="__DAF1" localSheetId="18">#REF!</definedName>
    <definedName name="__DAF1" localSheetId="5">#REF!</definedName>
    <definedName name="__DAF1">#REF!</definedName>
    <definedName name="__DAF11" localSheetId="8">#REF!</definedName>
    <definedName name="__DAF11" localSheetId="12">#REF!</definedName>
    <definedName name="__DAF11" localSheetId="21">#REF!</definedName>
    <definedName name="__DAF11" localSheetId="23">#REF!</definedName>
    <definedName name="__DAF11" localSheetId="20">#REF!</definedName>
    <definedName name="__DAF11" localSheetId="22">#REF!</definedName>
    <definedName name="__DAF11" localSheetId="19">#REF!</definedName>
    <definedName name="__DAF11" localSheetId="18">#REF!</definedName>
    <definedName name="__DAF11" localSheetId="5">#REF!</definedName>
    <definedName name="__DAF11">#REF!</definedName>
    <definedName name="__DAF12" localSheetId="8">#REF!</definedName>
    <definedName name="__DAF12" localSheetId="12">#REF!</definedName>
    <definedName name="__DAF12" localSheetId="21">#REF!</definedName>
    <definedName name="__DAF12" localSheetId="23">#REF!</definedName>
    <definedName name="__DAF12" localSheetId="20">#REF!</definedName>
    <definedName name="__DAF12" localSheetId="22">#REF!</definedName>
    <definedName name="__DAF12" localSheetId="19">#REF!</definedName>
    <definedName name="__DAF12" localSheetId="18">#REF!</definedName>
    <definedName name="__DAF12" localSheetId="5">#REF!</definedName>
    <definedName name="__DAF12">#REF!</definedName>
    <definedName name="__DAF13" localSheetId="8">#REF!</definedName>
    <definedName name="__DAF13" localSheetId="12">#REF!</definedName>
    <definedName name="__DAF13" localSheetId="21">#REF!</definedName>
    <definedName name="__DAF13" localSheetId="23">#REF!</definedName>
    <definedName name="__DAF13" localSheetId="20">#REF!</definedName>
    <definedName name="__DAF13" localSheetId="22">#REF!</definedName>
    <definedName name="__DAF13" localSheetId="19">#REF!</definedName>
    <definedName name="__DAF13" localSheetId="18">#REF!</definedName>
    <definedName name="__DAF13">#REF!</definedName>
    <definedName name="__daf133" localSheetId="8">#REF!</definedName>
    <definedName name="__daf133" localSheetId="12">#REF!</definedName>
    <definedName name="__daf133" localSheetId="21">#REF!</definedName>
    <definedName name="__daf133" localSheetId="23">#REF!</definedName>
    <definedName name="__daf133" localSheetId="20">#REF!</definedName>
    <definedName name="__daf133" localSheetId="22">#REF!</definedName>
    <definedName name="__daf133" localSheetId="19">#REF!</definedName>
    <definedName name="__daf133" localSheetId="18">#REF!</definedName>
    <definedName name="__daf133">#REF!</definedName>
    <definedName name="__DAF14" localSheetId="8">#REF!</definedName>
    <definedName name="__DAF14" localSheetId="12">#REF!</definedName>
    <definedName name="__DAF14" localSheetId="21">#REF!</definedName>
    <definedName name="__DAF14" localSheetId="23">#REF!</definedName>
    <definedName name="__DAF14" localSheetId="20">#REF!</definedName>
    <definedName name="__DAF14" localSheetId="22">#REF!</definedName>
    <definedName name="__DAF14" localSheetId="19">#REF!</definedName>
    <definedName name="__DAF14" localSheetId="18">#REF!</definedName>
    <definedName name="__DAF14">#REF!</definedName>
    <definedName name="__DAF15" localSheetId="8">#REF!</definedName>
    <definedName name="__DAF15" localSheetId="12">#REF!</definedName>
    <definedName name="__DAF15" localSheetId="21">#REF!</definedName>
    <definedName name="__DAF15" localSheetId="23">#REF!</definedName>
    <definedName name="__DAF15" localSheetId="20">#REF!</definedName>
    <definedName name="__DAF15" localSheetId="22">#REF!</definedName>
    <definedName name="__DAF15" localSheetId="19">#REF!</definedName>
    <definedName name="__DAF15" localSheetId="18">#REF!</definedName>
    <definedName name="__DAF15">#REF!</definedName>
    <definedName name="__DAF16" localSheetId="8">#REF!</definedName>
    <definedName name="__DAF16" localSheetId="12">#REF!</definedName>
    <definedName name="__DAF16" localSheetId="21">#REF!</definedName>
    <definedName name="__DAF16" localSheetId="23">#REF!</definedName>
    <definedName name="__DAF16" localSheetId="20">#REF!</definedName>
    <definedName name="__DAF16" localSheetId="22">#REF!</definedName>
    <definedName name="__DAF16" localSheetId="19">#REF!</definedName>
    <definedName name="__DAF16" localSheetId="18">#REF!</definedName>
    <definedName name="__DAF16">#REF!</definedName>
    <definedName name="__DAF17" localSheetId="8">#REF!</definedName>
    <definedName name="__DAF17" localSheetId="12">#REF!</definedName>
    <definedName name="__DAF17" localSheetId="21">#REF!</definedName>
    <definedName name="__DAF17" localSheetId="23">#REF!</definedName>
    <definedName name="__DAF17" localSheetId="20">#REF!</definedName>
    <definedName name="__DAF17" localSheetId="22">#REF!</definedName>
    <definedName name="__DAF17" localSheetId="19">#REF!</definedName>
    <definedName name="__DAF17" localSheetId="18">#REF!</definedName>
    <definedName name="__DAF17">#REF!</definedName>
    <definedName name="__DAF2" localSheetId="8">#REF!</definedName>
    <definedName name="__DAF2" localSheetId="12">#REF!</definedName>
    <definedName name="__DAF2" localSheetId="21">#REF!</definedName>
    <definedName name="__DAF2" localSheetId="23">#REF!</definedName>
    <definedName name="__DAF2" localSheetId="20">#REF!</definedName>
    <definedName name="__DAF2" localSheetId="22">#REF!</definedName>
    <definedName name="__DAF2" localSheetId="19">#REF!</definedName>
    <definedName name="__DAF2" localSheetId="18">#REF!</definedName>
    <definedName name="__DAF2">#REF!</definedName>
    <definedName name="__DAF3" localSheetId="8">#REF!</definedName>
    <definedName name="__DAF3" localSheetId="12">#REF!</definedName>
    <definedName name="__DAF3" localSheetId="21">#REF!</definedName>
    <definedName name="__DAF3" localSheetId="23">#REF!</definedName>
    <definedName name="__DAF3" localSheetId="20">#REF!</definedName>
    <definedName name="__DAF3" localSheetId="22">#REF!</definedName>
    <definedName name="__DAF3" localSheetId="19">#REF!</definedName>
    <definedName name="__DAF3" localSheetId="18">#REF!</definedName>
    <definedName name="__DAF3">#REF!</definedName>
    <definedName name="__hal1" localSheetId="8">#REF!</definedName>
    <definedName name="__hal1" localSheetId="12">#REF!</definedName>
    <definedName name="__hal1" localSheetId="21">#REF!</definedName>
    <definedName name="__hal1" localSheetId="23">#REF!</definedName>
    <definedName name="__hal1" localSheetId="20">#REF!</definedName>
    <definedName name="__hal1" localSheetId="22">#REF!</definedName>
    <definedName name="__hal1" localSheetId="19">#REF!</definedName>
    <definedName name="__hal1" localSheetId="18">#REF!</definedName>
    <definedName name="__hal1">#REF!</definedName>
    <definedName name="__hal2" localSheetId="8">#REF!</definedName>
    <definedName name="__hal2" localSheetId="12">#REF!</definedName>
    <definedName name="__hal2" localSheetId="21">#REF!</definedName>
    <definedName name="__hal2" localSheetId="23">#REF!</definedName>
    <definedName name="__hal2" localSheetId="20">#REF!</definedName>
    <definedName name="__hal2" localSheetId="22">#REF!</definedName>
    <definedName name="__hal2" localSheetId="19">#REF!</definedName>
    <definedName name="__hal2" localSheetId="18">#REF!</definedName>
    <definedName name="__hal2">#REF!</definedName>
    <definedName name="__hal3" localSheetId="8">#REF!</definedName>
    <definedName name="__hal3" localSheetId="12">#REF!</definedName>
    <definedName name="__hal3" localSheetId="21">#REF!</definedName>
    <definedName name="__hal3" localSheetId="23">#REF!</definedName>
    <definedName name="__hal3" localSheetId="20">#REF!</definedName>
    <definedName name="__hal3" localSheetId="22">#REF!</definedName>
    <definedName name="__hal3" localSheetId="19">#REF!</definedName>
    <definedName name="__hal3" localSheetId="18">#REF!</definedName>
    <definedName name="__hal3">#REF!</definedName>
    <definedName name="__hal4" localSheetId="8">#REF!</definedName>
    <definedName name="__hal4" localSheetId="12">#REF!</definedName>
    <definedName name="__hal4" localSheetId="21">#REF!</definedName>
    <definedName name="__hal4" localSheetId="23">#REF!</definedName>
    <definedName name="__hal4" localSheetId="20">#REF!</definedName>
    <definedName name="__hal4" localSheetId="22">#REF!</definedName>
    <definedName name="__hal4" localSheetId="19">#REF!</definedName>
    <definedName name="__hal4" localSheetId="18">#REF!</definedName>
    <definedName name="__hal4">#REF!</definedName>
    <definedName name="__hal5" localSheetId="8">#REF!</definedName>
    <definedName name="__hal5" localSheetId="12">#REF!</definedName>
    <definedName name="__hal5" localSheetId="21">#REF!</definedName>
    <definedName name="__hal5" localSheetId="23">#REF!</definedName>
    <definedName name="__hal5" localSheetId="20">#REF!</definedName>
    <definedName name="__hal5" localSheetId="22">#REF!</definedName>
    <definedName name="__hal5" localSheetId="19">#REF!</definedName>
    <definedName name="__hal5" localSheetId="18">#REF!</definedName>
    <definedName name="__hal5">#REF!</definedName>
    <definedName name="__hal6" localSheetId="8">#REF!</definedName>
    <definedName name="__hal6" localSheetId="12">#REF!</definedName>
    <definedName name="__hal6" localSheetId="21">#REF!</definedName>
    <definedName name="__hal6" localSheetId="23">#REF!</definedName>
    <definedName name="__hal6" localSheetId="20">#REF!</definedName>
    <definedName name="__hal6" localSheetId="22">#REF!</definedName>
    <definedName name="__hal6" localSheetId="19">#REF!</definedName>
    <definedName name="__hal6" localSheetId="18">#REF!</definedName>
    <definedName name="__hal6">#REF!</definedName>
    <definedName name="__HLM1">#REF!</definedName>
    <definedName name="__HLM2" localSheetId="8">#REF!</definedName>
    <definedName name="__HLM2" localSheetId="21">#REF!</definedName>
    <definedName name="__HLM2" localSheetId="23">#REF!</definedName>
    <definedName name="__HLM2" localSheetId="20">#REF!</definedName>
    <definedName name="__HLM2" localSheetId="22">#REF!</definedName>
    <definedName name="__HLM2" localSheetId="19">#REF!</definedName>
    <definedName name="__HLM2" localSheetId="5">#REF!</definedName>
    <definedName name="__HLM2">#REF!</definedName>
    <definedName name="__HLM3" localSheetId="8">#REF!</definedName>
    <definedName name="__HLM3" localSheetId="21">#REF!</definedName>
    <definedName name="__HLM3" localSheetId="23">#REF!</definedName>
    <definedName name="__HLM3" localSheetId="20">#REF!</definedName>
    <definedName name="__HLM3" localSheetId="22">#REF!</definedName>
    <definedName name="__HLM3" localSheetId="19">#REF!</definedName>
    <definedName name="__HLM3" localSheetId="5">#REF!</definedName>
    <definedName name="__HLM3">#REF!</definedName>
    <definedName name="__JUD1" localSheetId="8">#REF!</definedName>
    <definedName name="__JUD1" localSheetId="21">#REF!</definedName>
    <definedName name="__JUD1" localSheetId="23">#REF!</definedName>
    <definedName name="__JUD1" localSheetId="20">#REF!</definedName>
    <definedName name="__JUD1" localSheetId="22">#REF!</definedName>
    <definedName name="__JUD1" localSheetId="19">#REF!</definedName>
    <definedName name="__JUD1" localSheetId="5">#REF!</definedName>
    <definedName name="__JUD1">#REF!</definedName>
    <definedName name="__JUD2" localSheetId="8">#REF!</definedName>
    <definedName name="__JUD2" localSheetId="21">#REF!</definedName>
    <definedName name="__JUD2" localSheetId="23">#REF!</definedName>
    <definedName name="__JUD2" localSheetId="20">#REF!</definedName>
    <definedName name="__JUD2" localSheetId="22">#REF!</definedName>
    <definedName name="__JUD2" localSheetId="19">#REF!</definedName>
    <definedName name="__JUD2" localSheetId="5">#REF!</definedName>
    <definedName name="__JUD2">#REF!</definedName>
    <definedName name="__JUD3" localSheetId="8">#REF!</definedName>
    <definedName name="__JUD3" localSheetId="21">#REF!</definedName>
    <definedName name="__JUD3" localSheetId="23">#REF!</definedName>
    <definedName name="__JUD3" localSheetId="20">#REF!</definedName>
    <definedName name="__JUD3" localSheetId="22">#REF!</definedName>
    <definedName name="__JUD3" localSheetId="19">#REF!</definedName>
    <definedName name="__JUD3">#REF!</definedName>
    <definedName name="__JUD4" localSheetId="8">#REF!</definedName>
    <definedName name="__JUD4" localSheetId="21">#REF!</definedName>
    <definedName name="__JUD4" localSheetId="23">#REF!</definedName>
    <definedName name="__JUD4" localSheetId="20">#REF!</definedName>
    <definedName name="__JUD4" localSheetId="22">#REF!</definedName>
    <definedName name="__JUD4" localSheetId="19">#REF!</definedName>
    <definedName name="__JUD4">#REF!</definedName>
    <definedName name="__JUD5" localSheetId="8">#REF!</definedName>
    <definedName name="__JUD5" localSheetId="21">#REF!</definedName>
    <definedName name="__JUD5" localSheetId="23">#REF!</definedName>
    <definedName name="__JUD5" localSheetId="20">#REF!</definedName>
    <definedName name="__JUD5" localSheetId="22">#REF!</definedName>
    <definedName name="__JUD5" localSheetId="19">#REF!</definedName>
    <definedName name="__JUD5">#REF!</definedName>
    <definedName name="__JUD6" localSheetId="8">#REF!</definedName>
    <definedName name="__JUD6" localSheetId="21">#REF!</definedName>
    <definedName name="__JUD6" localSheetId="23">#REF!</definedName>
    <definedName name="__JUD6" localSheetId="20">#REF!</definedName>
    <definedName name="__JUD6" localSheetId="22">#REF!</definedName>
    <definedName name="__JUD6" localSheetId="19">#REF!</definedName>
    <definedName name="__JUD6">#REF!</definedName>
    <definedName name="__JUD7" localSheetId="8">#REF!</definedName>
    <definedName name="__JUD7" localSheetId="21">#REF!</definedName>
    <definedName name="__JUD7" localSheetId="23">#REF!</definedName>
    <definedName name="__JUD7" localSheetId="20">#REF!</definedName>
    <definedName name="__JUD7" localSheetId="22">#REF!</definedName>
    <definedName name="__JUD7" localSheetId="19">#REF!</definedName>
    <definedName name="__JUD7">#REF!</definedName>
    <definedName name="__JUL3" localSheetId="8">#REF!</definedName>
    <definedName name="__JUL3" localSheetId="21">#REF!</definedName>
    <definedName name="__JUL3" localSheetId="23">#REF!</definedName>
    <definedName name="__JUL3" localSheetId="20">#REF!</definedName>
    <definedName name="__JUL3" localSheetId="22">#REF!</definedName>
    <definedName name="__JUL3" localSheetId="19">#REF!</definedName>
    <definedName name="__JUL3" localSheetId="5">#REF!</definedName>
    <definedName name="__JUL3">#REF!</definedName>
    <definedName name="__kb1" localSheetId="8">#REF!</definedName>
    <definedName name="__kb1" localSheetId="12">#REF!</definedName>
    <definedName name="__kb1" localSheetId="21">#REF!</definedName>
    <definedName name="__kb1" localSheetId="23">#REF!</definedName>
    <definedName name="__kb1" localSheetId="20">#REF!</definedName>
    <definedName name="__kb1" localSheetId="22">#REF!</definedName>
    <definedName name="__kb1" localSheetId="19">#REF!</definedName>
    <definedName name="__kb1" localSheetId="18">#REF!</definedName>
    <definedName name="__kb1">#REF!</definedName>
    <definedName name="__kb2" localSheetId="8">#REF!</definedName>
    <definedName name="__kb2" localSheetId="12">#REF!</definedName>
    <definedName name="__kb2" localSheetId="21">#REF!</definedName>
    <definedName name="__kb2" localSheetId="23">#REF!</definedName>
    <definedName name="__kb2" localSheetId="20">#REF!</definedName>
    <definedName name="__kb2" localSheetId="22">#REF!</definedName>
    <definedName name="__kb2" localSheetId="19">#REF!</definedName>
    <definedName name="__kb2" localSheetId="18">#REF!</definedName>
    <definedName name="__kb2">#REF!</definedName>
    <definedName name="__kp1" localSheetId="8">#REF!</definedName>
    <definedName name="__kp1" localSheetId="12">#REF!</definedName>
    <definedName name="__kp1" localSheetId="21">#REF!</definedName>
    <definedName name="__kp1" localSheetId="23">#REF!</definedName>
    <definedName name="__kp1" localSheetId="20">#REF!</definedName>
    <definedName name="__kp1" localSheetId="22">#REF!</definedName>
    <definedName name="__kp1" localSheetId="19">#REF!</definedName>
    <definedName name="__kp1" localSheetId="18">#REF!</definedName>
    <definedName name="__kp1">#REF!</definedName>
    <definedName name="__la150">#REF!</definedName>
    <definedName name="__MAN1">#REF!</definedName>
    <definedName name="__MAN2" localSheetId="8">#REF!</definedName>
    <definedName name="__MAN2" localSheetId="21">#REF!</definedName>
    <definedName name="__MAN2" localSheetId="23">#REF!</definedName>
    <definedName name="__MAN2" localSheetId="20">#REF!</definedName>
    <definedName name="__MAN2" localSheetId="22">#REF!</definedName>
    <definedName name="__MAN2" localSheetId="19">#REF!</definedName>
    <definedName name="__MAN2" localSheetId="5">#REF!</definedName>
    <definedName name="__MAN2">#REF!</definedName>
    <definedName name="__MAN3" localSheetId="8">#REF!</definedName>
    <definedName name="__MAN3" localSheetId="21">#REF!</definedName>
    <definedName name="__MAN3" localSheetId="23">#REF!</definedName>
    <definedName name="__MAN3" localSheetId="20">#REF!</definedName>
    <definedName name="__MAN3" localSheetId="22">#REF!</definedName>
    <definedName name="__MAN3" localSheetId="19">#REF!</definedName>
    <definedName name="__MAN3" localSheetId="5">#REF!</definedName>
    <definedName name="__MAN3">#REF!</definedName>
    <definedName name="__MEI92" localSheetId="8">#REF!</definedName>
    <definedName name="__MEI92" localSheetId="12">#REF!</definedName>
    <definedName name="__MEI92" localSheetId="21">#REF!</definedName>
    <definedName name="__MEI92" localSheetId="23">#REF!</definedName>
    <definedName name="__MEI92" localSheetId="20">#REF!</definedName>
    <definedName name="__MEI92" localSheetId="22">#REF!</definedName>
    <definedName name="__MEI92" localSheetId="19">#REF!</definedName>
    <definedName name="__MEI92" localSheetId="18">#REF!</definedName>
    <definedName name="__MEI92" localSheetId="5">#REF!</definedName>
    <definedName name="__MEI92">#REF!</definedName>
    <definedName name="__npv1" localSheetId="8">#REF!</definedName>
    <definedName name="__npv1" localSheetId="12">#REF!</definedName>
    <definedName name="__npv1" localSheetId="21">#REF!</definedName>
    <definedName name="__npv1" localSheetId="23">#REF!</definedName>
    <definedName name="__npv1" localSheetId="20">#REF!</definedName>
    <definedName name="__npv1" localSheetId="22">#REF!</definedName>
    <definedName name="__npv1" localSheetId="19">#REF!</definedName>
    <definedName name="__npv1" localSheetId="18">#REF!</definedName>
    <definedName name="__npv1" localSheetId="5">#REF!</definedName>
    <definedName name="__npv1">#REF!</definedName>
    <definedName name="__npv2" localSheetId="8">#REF!</definedName>
    <definedName name="__npv2" localSheetId="12">#REF!</definedName>
    <definedName name="__npv2" localSheetId="21">#REF!</definedName>
    <definedName name="__npv2" localSheetId="23">#REF!</definedName>
    <definedName name="__npv2" localSheetId="20">#REF!</definedName>
    <definedName name="__npv2" localSheetId="22">#REF!</definedName>
    <definedName name="__npv2" localSheetId="19">#REF!</definedName>
    <definedName name="__npv2" localSheetId="18">#REF!</definedName>
    <definedName name="__npv2" localSheetId="5">#REF!</definedName>
    <definedName name="__npv2">#REF!</definedName>
    <definedName name="__pmt7040">#REF!</definedName>
    <definedName name="__rab1" localSheetId="8">#REF!</definedName>
    <definedName name="__rab1" localSheetId="12">#REF!</definedName>
    <definedName name="__rab1" localSheetId="21">#REF!</definedName>
    <definedName name="__rab1" localSheetId="23">#REF!</definedName>
    <definedName name="__rab1" localSheetId="20">#REF!</definedName>
    <definedName name="__rab1" localSheetId="22">#REF!</definedName>
    <definedName name="__rab1" localSheetId="19">#REF!</definedName>
    <definedName name="__rab1" localSheetId="18">#REF!</definedName>
    <definedName name="__rab1" localSheetId="5">#REF!</definedName>
    <definedName name="__rab1">#REF!</definedName>
    <definedName name="__rab2" localSheetId="8">#REF!</definedName>
    <definedName name="__rab2" localSheetId="12">#REF!</definedName>
    <definedName name="__rab2" localSheetId="21">#REF!</definedName>
    <definedName name="__rab2" localSheetId="23">#REF!</definedName>
    <definedName name="__rab2" localSheetId="20">#REF!</definedName>
    <definedName name="__rab2" localSheetId="22">#REF!</definedName>
    <definedName name="__rab2" localSheetId="19">#REF!</definedName>
    <definedName name="__rab2" localSheetId="18">#REF!</definedName>
    <definedName name="__rab2" localSheetId="5">#REF!</definedName>
    <definedName name="__rab2">#REF!</definedName>
    <definedName name="__sem1" localSheetId="8">#REF!</definedName>
    <definedName name="__sem1" localSheetId="12">#REF!</definedName>
    <definedName name="__sem1" localSheetId="21">#REF!</definedName>
    <definedName name="__sem1" localSheetId="23">#REF!</definedName>
    <definedName name="__sem1" localSheetId="20">#REF!</definedName>
    <definedName name="__sem1" localSheetId="22">#REF!</definedName>
    <definedName name="__sem1" localSheetId="19">#REF!</definedName>
    <definedName name="__sem1" localSheetId="18">#REF!</definedName>
    <definedName name="__sem1" localSheetId="5">#REF!</definedName>
    <definedName name="__sem1">#REF!</definedName>
    <definedName name="__sm1" localSheetId="8">#REF!</definedName>
    <definedName name="__sm1" localSheetId="12">#REF!</definedName>
    <definedName name="__sm1" localSheetId="21">#REF!</definedName>
    <definedName name="__sm1" localSheetId="23">#REF!</definedName>
    <definedName name="__sm1" localSheetId="20">#REF!</definedName>
    <definedName name="__sm1" localSheetId="22">#REF!</definedName>
    <definedName name="__sm1" localSheetId="19">#REF!</definedName>
    <definedName name="__sm1" localSheetId="18">#REF!</definedName>
    <definedName name="__sm1">#REF!</definedName>
    <definedName name="__Tab1" localSheetId="8">#REF!</definedName>
    <definedName name="__Tab1" localSheetId="12">#REF!</definedName>
    <definedName name="__Tab1" localSheetId="21">#REF!</definedName>
    <definedName name="__Tab1" localSheetId="23">#REF!</definedName>
    <definedName name="__Tab1" localSheetId="20">#REF!</definedName>
    <definedName name="__Tab1" localSheetId="22">#REF!</definedName>
    <definedName name="__Tab1" localSheetId="19">#REF!</definedName>
    <definedName name="__Tab1" localSheetId="18">#REF!</definedName>
    <definedName name="__Tab1">#REF!</definedName>
    <definedName name="__Tab2" localSheetId="8">#REF!</definedName>
    <definedName name="__Tab2" localSheetId="12">#REF!</definedName>
    <definedName name="__Tab2" localSheetId="21">#REF!</definedName>
    <definedName name="__Tab2" localSheetId="23">#REF!</definedName>
    <definedName name="__Tab2" localSheetId="20">#REF!</definedName>
    <definedName name="__Tab2" localSheetId="22">#REF!</definedName>
    <definedName name="__Tab2" localSheetId="19">#REF!</definedName>
    <definedName name="__Tab2" localSheetId="18">#REF!</definedName>
    <definedName name="__Tab2">#REF!</definedName>
    <definedName name="__Tab3" localSheetId="8">#REF!</definedName>
    <definedName name="__Tab3" localSheetId="12">#REF!</definedName>
    <definedName name="__Tab3" localSheetId="21">#REF!</definedName>
    <definedName name="__Tab3" localSheetId="23">#REF!</definedName>
    <definedName name="__Tab3" localSheetId="20">#REF!</definedName>
    <definedName name="__Tab3" localSheetId="22">#REF!</definedName>
    <definedName name="__Tab3" localSheetId="19">#REF!</definedName>
    <definedName name="__Tab3" localSheetId="18">#REF!</definedName>
    <definedName name="__Tab3">#REF!</definedName>
    <definedName name="__TRP1" localSheetId="8">#REF!</definedName>
    <definedName name="__TRP1" localSheetId="21">#REF!</definedName>
    <definedName name="__TRP1" localSheetId="23">#REF!</definedName>
    <definedName name="__TRP1" localSheetId="20">#REF!</definedName>
    <definedName name="__TRP1" localSheetId="22">#REF!</definedName>
    <definedName name="__TRP1" localSheetId="19">#REF!</definedName>
    <definedName name="__TRP1" localSheetId="5">#REF!</definedName>
    <definedName name="__TRP1">#REF!</definedName>
    <definedName name="__trw1" localSheetId="8">#REF!</definedName>
    <definedName name="__trw1" localSheetId="12">#REF!</definedName>
    <definedName name="__trw1" localSheetId="21">#REF!</definedName>
    <definedName name="__trw1" localSheetId="23">#REF!</definedName>
    <definedName name="__trw1" localSheetId="20">#REF!</definedName>
    <definedName name="__trw1" localSheetId="22">#REF!</definedName>
    <definedName name="__trw1" localSheetId="19">#REF!</definedName>
    <definedName name="__trw1" localSheetId="18">#REF!</definedName>
    <definedName name="__trw1" localSheetId="5">#REF!</definedName>
    <definedName name="__trw1">#REF!</definedName>
    <definedName name="__trw2" localSheetId="8">#REF!</definedName>
    <definedName name="__trw2" localSheetId="12">#REF!</definedName>
    <definedName name="__trw2" localSheetId="21">#REF!</definedName>
    <definedName name="__trw2" localSheetId="23">#REF!</definedName>
    <definedName name="__trw2" localSheetId="20">#REF!</definedName>
    <definedName name="__trw2" localSheetId="22">#REF!</definedName>
    <definedName name="__trw2" localSheetId="19">#REF!</definedName>
    <definedName name="__trw2" localSheetId="18">#REF!</definedName>
    <definedName name="__trw2" localSheetId="5">#REF!</definedName>
    <definedName name="__trw2">#REF!</definedName>
    <definedName name="__trw3" localSheetId="8">#REF!</definedName>
    <definedName name="__trw3" localSheetId="12">#REF!</definedName>
    <definedName name="__trw3" localSheetId="21">#REF!</definedName>
    <definedName name="__trw3" localSheetId="23">#REF!</definedName>
    <definedName name="__trw3" localSheetId="20">#REF!</definedName>
    <definedName name="__trw3" localSheetId="22">#REF!</definedName>
    <definedName name="__trw3" localSheetId="19">#REF!</definedName>
    <definedName name="__trw3" localSheetId="18">#REF!</definedName>
    <definedName name="__trw3" localSheetId="5">#REF!</definedName>
    <definedName name="__trw3">#REF!</definedName>
    <definedName name="__TVA1" localSheetId="8">#REF!</definedName>
    <definedName name="__TVA1" localSheetId="21">#REF!</definedName>
    <definedName name="__TVA1" localSheetId="23">#REF!</definedName>
    <definedName name="__TVA1" localSheetId="20">#REF!</definedName>
    <definedName name="__TVA1" localSheetId="22">#REF!</definedName>
    <definedName name="__TVA1" localSheetId="19">#REF!</definedName>
    <definedName name="__TVA1" localSheetId="5">#REF!</definedName>
    <definedName name="__TVA1">#REF!</definedName>
    <definedName name="__TW1" localSheetId="8">#REF!</definedName>
    <definedName name="__TW1" localSheetId="12">#REF!</definedName>
    <definedName name="__TW1" localSheetId="21">#REF!</definedName>
    <definedName name="__TW1" localSheetId="23">#REF!</definedName>
    <definedName name="__TW1" localSheetId="20">#REF!</definedName>
    <definedName name="__TW1" localSheetId="22">#REF!</definedName>
    <definedName name="__TW1" localSheetId="19">#REF!</definedName>
    <definedName name="__TW1" localSheetId="18">#REF!</definedName>
    <definedName name="__TW1" localSheetId="5">#REF!</definedName>
    <definedName name="__TW1">#REF!</definedName>
    <definedName name="__TW2" localSheetId="8">#REF!</definedName>
    <definedName name="__TW2" localSheetId="12">#REF!</definedName>
    <definedName name="__TW2" localSheetId="21">#REF!</definedName>
    <definedName name="__TW2" localSheetId="23">#REF!</definedName>
    <definedName name="__TW2" localSheetId="20">#REF!</definedName>
    <definedName name="__TW2" localSheetId="22">#REF!</definedName>
    <definedName name="__TW2" localSheetId="19">#REF!</definedName>
    <definedName name="__TW2" localSheetId="18">#REF!</definedName>
    <definedName name="__TW2" localSheetId="5">#REF!</definedName>
    <definedName name="__TW2">#REF!</definedName>
    <definedName name="_1" localSheetId="8">#REF!</definedName>
    <definedName name="_1" localSheetId="12">#REF!</definedName>
    <definedName name="_1" localSheetId="21">#REF!</definedName>
    <definedName name="_1" localSheetId="23">#REF!</definedName>
    <definedName name="_1" localSheetId="20">#REF!</definedName>
    <definedName name="_1" localSheetId="22">#REF!</definedName>
    <definedName name="_1" localSheetId="19">#REF!</definedName>
    <definedName name="_1" localSheetId="18">#REF!</definedName>
    <definedName name="_1" localSheetId="5">#REF!</definedName>
    <definedName name="_1">#REF!</definedName>
    <definedName name="_1__123Graph_ACHART_1" localSheetId="8" hidden="1">#REF!</definedName>
    <definedName name="_1__123Graph_ACHART_1" localSheetId="21" hidden="1">#REF!</definedName>
    <definedName name="_1__123Graph_ACHART_1" localSheetId="23" hidden="1">#REF!</definedName>
    <definedName name="_1__123Graph_ACHART_1" localSheetId="20" hidden="1">#REF!</definedName>
    <definedName name="_1__123Graph_ACHART_1" localSheetId="22" hidden="1">#REF!</definedName>
    <definedName name="_1__123Graph_ACHART_1" localSheetId="19" hidden="1">#REF!</definedName>
    <definedName name="_1__123Graph_ACHART_1" localSheetId="5" hidden="1">#REF!</definedName>
    <definedName name="_1__123Graph_ACHART_1" hidden="1">#REF!</definedName>
    <definedName name="_1_2002_VS_2001" localSheetId="8">#REF!</definedName>
    <definedName name="_1_2002_VS_2001" localSheetId="12">#REF!</definedName>
    <definedName name="_1_2002_VS_2001" localSheetId="21">#REF!</definedName>
    <definedName name="_1_2002_VS_2001" localSheetId="23">#REF!</definedName>
    <definedName name="_1_2002_VS_2001" localSheetId="20">#REF!</definedName>
    <definedName name="_1_2002_VS_2001" localSheetId="22">#REF!</definedName>
    <definedName name="_1_2002_VS_2001" localSheetId="19">#REF!</definedName>
    <definedName name="_1_2002_VS_2001" localSheetId="18">#REF!</definedName>
    <definedName name="_1_2002_VS_2001" localSheetId="5">#REF!</definedName>
    <definedName name="_1_2002_VS_2001">#REF!</definedName>
    <definedName name="_10" localSheetId="8">#REF!</definedName>
    <definedName name="_10" localSheetId="12">#REF!</definedName>
    <definedName name="_10" localSheetId="21">#REF!</definedName>
    <definedName name="_10" localSheetId="23">#REF!</definedName>
    <definedName name="_10" localSheetId="20">#REF!</definedName>
    <definedName name="_10" localSheetId="22">#REF!</definedName>
    <definedName name="_10" localSheetId="19">#REF!</definedName>
    <definedName name="_10" localSheetId="18">#REF!</definedName>
    <definedName name="_10" localSheetId="5">#REF!</definedName>
    <definedName name="_10">#REF!</definedName>
    <definedName name="_10__123Graph_ACHART_5" localSheetId="8" hidden="1">#REF!</definedName>
    <definedName name="_10__123Graph_ACHART_5" localSheetId="21" hidden="1">#REF!</definedName>
    <definedName name="_10__123Graph_ACHART_5" localSheetId="23" hidden="1">#REF!</definedName>
    <definedName name="_10__123Graph_ACHART_5" localSheetId="20" hidden="1">#REF!</definedName>
    <definedName name="_10__123Graph_ACHART_5" localSheetId="22" hidden="1">#REF!</definedName>
    <definedName name="_10__123Graph_ACHART_5" localSheetId="19" hidden="1">#REF!</definedName>
    <definedName name="_10__123Graph_ACHART_5" localSheetId="5" hidden="1">#REF!</definedName>
    <definedName name="_10__123Graph_ACHART_5" hidden="1">#REF!</definedName>
    <definedName name="_10__123Graph_BCHART_5" localSheetId="8" hidden="1">#REF!</definedName>
    <definedName name="_10__123Graph_BCHART_5" localSheetId="21" hidden="1">#REF!</definedName>
    <definedName name="_10__123Graph_BCHART_5" localSheetId="23" hidden="1">#REF!</definedName>
    <definedName name="_10__123Graph_BCHART_5" localSheetId="20" hidden="1">#REF!</definedName>
    <definedName name="_10__123Graph_BCHART_5" localSheetId="22" hidden="1">#REF!</definedName>
    <definedName name="_10__123Graph_BCHART_5" localSheetId="19" hidden="1">#REF!</definedName>
    <definedName name="_10__123Graph_BCHART_5" localSheetId="5" hidden="1">#REF!</definedName>
    <definedName name="_10__123Graph_BCHART_5" hidden="1">#REF!</definedName>
    <definedName name="_10INV_PERUSAHAA_2" localSheetId="8">#REF!</definedName>
    <definedName name="_10INV_PERUSAHAA_2" localSheetId="12">#REF!</definedName>
    <definedName name="_10INV_PERUSAHAA_2" localSheetId="21">#REF!</definedName>
    <definedName name="_10INV_PERUSAHAA_2" localSheetId="23">#REF!</definedName>
    <definedName name="_10INV_PERUSAHAA_2" localSheetId="20">#REF!</definedName>
    <definedName name="_10INV_PERUSAHAA_2" localSheetId="22">#REF!</definedName>
    <definedName name="_10INV_PERUSAHAA_2" localSheetId="19">#REF!</definedName>
    <definedName name="_10INV_PERUSAHAA_2" localSheetId="18">#REF!</definedName>
    <definedName name="_10INV_PERUSAHAA_2" localSheetId="5">#REF!</definedName>
    <definedName name="_10INV_PERUSAHAA_2">#REF!</definedName>
    <definedName name="_11" localSheetId="8">#REF!</definedName>
    <definedName name="_11" localSheetId="12">#REF!</definedName>
    <definedName name="_11" localSheetId="21">#REF!</definedName>
    <definedName name="_11" localSheetId="23">#REF!</definedName>
    <definedName name="_11" localSheetId="20">#REF!</definedName>
    <definedName name="_11" localSheetId="22">#REF!</definedName>
    <definedName name="_11" localSheetId="19">#REF!</definedName>
    <definedName name="_11" localSheetId="18">#REF!</definedName>
    <definedName name="_11" localSheetId="5">#REF!</definedName>
    <definedName name="_11">#REF!</definedName>
    <definedName name="_11__123Graph_CCHART_1" localSheetId="8" hidden="1">#REF!</definedName>
    <definedName name="_11__123Graph_CCHART_1" localSheetId="21" hidden="1">#REF!</definedName>
    <definedName name="_11__123Graph_CCHART_1" localSheetId="23" hidden="1">#REF!</definedName>
    <definedName name="_11__123Graph_CCHART_1" localSheetId="20" hidden="1">#REF!</definedName>
    <definedName name="_11__123Graph_CCHART_1" localSheetId="22" hidden="1">#REF!</definedName>
    <definedName name="_11__123Graph_CCHART_1" localSheetId="19" hidden="1">#REF!</definedName>
    <definedName name="_11__123Graph_CCHART_1" hidden="1">#REF!</definedName>
    <definedName name="_11INV_PERUSAHAAN" localSheetId="8">#REF!</definedName>
    <definedName name="_11INV_PERUSAHAAN" localSheetId="12">#REF!</definedName>
    <definedName name="_11INV_PERUSAHAAN" localSheetId="21">#REF!</definedName>
    <definedName name="_11INV_PERUSAHAAN" localSheetId="23">#REF!</definedName>
    <definedName name="_11INV_PERUSAHAAN" localSheetId="20">#REF!</definedName>
    <definedName name="_11INV_PERUSAHAAN" localSheetId="22">#REF!</definedName>
    <definedName name="_11INV_PERUSAHAAN" localSheetId="19">#REF!</definedName>
    <definedName name="_11INV_PERUSAHAAN" localSheetId="18">#REF!</definedName>
    <definedName name="_11INV_PERUSAHAAN" localSheetId="5">#REF!</definedName>
    <definedName name="_11INV_PERUSAHAAN">#REF!</definedName>
    <definedName name="_12" localSheetId="8">#REF!</definedName>
    <definedName name="_12" localSheetId="12">#REF!</definedName>
    <definedName name="_12" localSheetId="21">#REF!</definedName>
    <definedName name="_12" localSheetId="23">#REF!</definedName>
    <definedName name="_12" localSheetId="20">#REF!</definedName>
    <definedName name="_12" localSheetId="22">#REF!</definedName>
    <definedName name="_12" localSheetId="19">#REF!</definedName>
    <definedName name="_12" localSheetId="18">#REF!</definedName>
    <definedName name="_12" localSheetId="5">#REF!</definedName>
    <definedName name="_12">#REF!</definedName>
    <definedName name="_12__123Graph_BCHART_1" localSheetId="8" hidden="1">#REF!</definedName>
    <definedName name="_12__123Graph_BCHART_1" localSheetId="21" hidden="1">#REF!</definedName>
    <definedName name="_12__123Graph_BCHART_1" localSheetId="23" hidden="1">#REF!</definedName>
    <definedName name="_12__123Graph_BCHART_1" localSheetId="20" hidden="1">#REF!</definedName>
    <definedName name="_12__123Graph_BCHART_1" localSheetId="22" hidden="1">#REF!</definedName>
    <definedName name="_12__123Graph_BCHART_1" localSheetId="19" hidden="1">#REF!</definedName>
    <definedName name="_12__123Graph_BCHART_1" hidden="1">#REF!</definedName>
    <definedName name="_12__123Graph_CCHART_2" localSheetId="8" hidden="1">#REF!</definedName>
    <definedName name="_12__123Graph_CCHART_2" localSheetId="21" hidden="1">#REF!</definedName>
    <definedName name="_12__123Graph_CCHART_2" localSheetId="23" hidden="1">#REF!</definedName>
    <definedName name="_12__123Graph_CCHART_2" localSheetId="20" hidden="1">#REF!</definedName>
    <definedName name="_12__123Graph_CCHART_2" localSheetId="22" hidden="1">#REF!</definedName>
    <definedName name="_12__123Graph_CCHART_2" localSheetId="19" hidden="1">#REF!</definedName>
    <definedName name="_12__123Graph_CCHART_2" hidden="1">#REF!</definedName>
    <definedName name="_128__123Graph_ACHART_4" localSheetId="8" hidden="1">#REF!</definedName>
    <definedName name="_128__123Graph_ACHART_4" localSheetId="21" hidden="1">#REF!</definedName>
    <definedName name="_128__123Graph_ACHART_4" localSheetId="23" hidden="1">#REF!</definedName>
    <definedName name="_128__123Graph_ACHART_4" localSheetId="20" hidden="1">#REF!</definedName>
    <definedName name="_128__123Graph_ACHART_4" localSheetId="22" hidden="1">#REF!</definedName>
    <definedName name="_128__123Graph_ACHART_4" localSheetId="19" hidden="1">#REF!</definedName>
    <definedName name="_128__123Graph_ACHART_4" hidden="1">#REF!</definedName>
    <definedName name="_12JTM_PER_TW" localSheetId="8">#REF!</definedName>
    <definedName name="_12JTM_PER_TW" localSheetId="12">#REF!</definedName>
    <definedName name="_12JTM_PER_TW" localSheetId="21">#REF!</definedName>
    <definedName name="_12JTM_PER_TW" localSheetId="23">#REF!</definedName>
    <definedName name="_12JTM_PER_TW" localSheetId="20">#REF!</definedName>
    <definedName name="_12JTM_PER_TW" localSheetId="22">#REF!</definedName>
    <definedName name="_12JTM_PER_TW" localSheetId="19">#REF!</definedName>
    <definedName name="_12JTM_PER_TW" localSheetId="18">#REF!</definedName>
    <definedName name="_12JTM_PER_TW" localSheetId="5">#REF!</definedName>
    <definedName name="_12JTM_PER_TW">#REF!</definedName>
    <definedName name="_13__123Graph_CCHART_3" localSheetId="8" hidden="1">#REF!</definedName>
    <definedName name="_13__123Graph_CCHART_3" localSheetId="21" hidden="1">#REF!</definedName>
    <definedName name="_13__123Graph_CCHART_3" localSheetId="23" hidden="1">#REF!</definedName>
    <definedName name="_13__123Graph_CCHART_3" localSheetId="20" hidden="1">#REF!</definedName>
    <definedName name="_13__123Graph_CCHART_3" localSheetId="22" hidden="1">#REF!</definedName>
    <definedName name="_13__123Graph_CCHART_3" localSheetId="19" hidden="1">#REF!</definedName>
    <definedName name="_13__123Graph_CCHART_3" hidden="1">#REF!</definedName>
    <definedName name="_13REKAP_KEGIATAN" localSheetId="8">#REF!</definedName>
    <definedName name="_13REKAP_KEGIATAN" localSheetId="12">#REF!</definedName>
    <definedName name="_13REKAP_KEGIATAN" localSheetId="21">#REF!</definedName>
    <definedName name="_13REKAP_KEGIATAN" localSheetId="23">#REF!</definedName>
    <definedName name="_13REKAP_KEGIATAN" localSheetId="20">#REF!</definedName>
    <definedName name="_13REKAP_KEGIATAN" localSheetId="22">#REF!</definedName>
    <definedName name="_13REKAP_KEGIATAN" localSheetId="19">#REF!</definedName>
    <definedName name="_13REKAP_KEGIATAN" localSheetId="18">#REF!</definedName>
    <definedName name="_13REKAP_KEGIATAN" localSheetId="5">#REF!</definedName>
    <definedName name="_13REKAP_KEGIATAN">#REF!</definedName>
    <definedName name="_14__123Graph_BCHART_2" localSheetId="8" hidden="1">#REF!</definedName>
    <definedName name="_14__123Graph_BCHART_2" localSheetId="21" hidden="1">#REF!</definedName>
    <definedName name="_14__123Graph_BCHART_2" localSheetId="23" hidden="1">#REF!</definedName>
    <definedName name="_14__123Graph_BCHART_2" localSheetId="20" hidden="1">#REF!</definedName>
    <definedName name="_14__123Graph_BCHART_2" localSheetId="22" hidden="1">#REF!</definedName>
    <definedName name="_14__123Graph_BCHART_2" localSheetId="19" hidden="1">#REF!</definedName>
    <definedName name="_14__123Graph_BCHART_2" hidden="1">#REF!</definedName>
    <definedName name="_14__123Graph_CCHART_4" localSheetId="8" hidden="1">#REF!</definedName>
    <definedName name="_14__123Graph_CCHART_4" localSheetId="21" hidden="1">#REF!</definedName>
    <definedName name="_14__123Graph_CCHART_4" localSheetId="23" hidden="1">#REF!</definedName>
    <definedName name="_14__123Graph_CCHART_4" localSheetId="20" hidden="1">#REF!</definedName>
    <definedName name="_14__123Graph_CCHART_4" localSheetId="22" hidden="1">#REF!</definedName>
    <definedName name="_14__123Graph_CCHART_4" localSheetId="19" hidden="1">#REF!</definedName>
    <definedName name="_14__123Graph_CCHART_4" hidden="1">#REF!</definedName>
    <definedName name="_14REKAP_PAK_AEP" localSheetId="8">#REF!</definedName>
    <definedName name="_14REKAP_PAK_AEP" localSheetId="12">#REF!</definedName>
    <definedName name="_14REKAP_PAK_AEP" localSheetId="21">#REF!</definedName>
    <definedName name="_14REKAP_PAK_AEP" localSheetId="23">#REF!</definedName>
    <definedName name="_14REKAP_PAK_AEP" localSheetId="20">#REF!</definedName>
    <definedName name="_14REKAP_PAK_AEP" localSheetId="22">#REF!</definedName>
    <definedName name="_14REKAP_PAK_AEP" localSheetId="19">#REF!</definedName>
    <definedName name="_14REKAP_PAK_AEP" localSheetId="18">#REF!</definedName>
    <definedName name="_14REKAP_PAK_AEP" localSheetId="5">#REF!</definedName>
    <definedName name="_14REKAP_PAK_AEP">#REF!</definedName>
    <definedName name="_15__123Graph_CCHART_5" localSheetId="8" hidden="1">#REF!</definedName>
    <definedName name="_15__123Graph_CCHART_5" localSheetId="21" hidden="1">#REF!</definedName>
    <definedName name="_15__123Graph_CCHART_5" localSheetId="23" hidden="1">#REF!</definedName>
    <definedName name="_15__123Graph_CCHART_5" localSheetId="20" hidden="1">#REF!</definedName>
    <definedName name="_15__123Graph_CCHART_5" localSheetId="22" hidden="1">#REF!</definedName>
    <definedName name="_15__123Graph_CCHART_5" localSheetId="19" hidden="1">#REF!</definedName>
    <definedName name="_15__123Graph_CCHART_5" hidden="1">#REF!</definedName>
    <definedName name="_15SUM_MUTDAL" localSheetId="8">#REF!</definedName>
    <definedName name="_15SUM_MUTDAL" localSheetId="12">#REF!</definedName>
    <definedName name="_15SUM_MUTDAL" localSheetId="21">#REF!</definedName>
    <definedName name="_15SUM_MUTDAL" localSheetId="23">#REF!</definedName>
    <definedName name="_15SUM_MUTDAL" localSheetId="20">#REF!</definedName>
    <definedName name="_15SUM_MUTDAL" localSheetId="22">#REF!</definedName>
    <definedName name="_15SUM_MUTDAL" localSheetId="19">#REF!</definedName>
    <definedName name="_15SUM_MUTDAL" localSheetId="18">#REF!</definedName>
    <definedName name="_15SUM_MUTDAL" localSheetId="5">#REF!</definedName>
    <definedName name="_15SUM_MUTDAL">#REF!</definedName>
    <definedName name="_16__123Graph_BCHART_3" localSheetId="8" hidden="1">#REF!</definedName>
    <definedName name="_16__123Graph_BCHART_3" localSheetId="21" hidden="1">#REF!</definedName>
    <definedName name="_16__123Graph_BCHART_3" localSheetId="23" hidden="1">#REF!</definedName>
    <definedName name="_16__123Graph_BCHART_3" localSheetId="20" hidden="1">#REF!</definedName>
    <definedName name="_16__123Graph_BCHART_3" localSheetId="22" hidden="1">#REF!</definedName>
    <definedName name="_16__123Graph_BCHART_3" localSheetId="19" hidden="1">#REF!</definedName>
    <definedName name="_16__123Graph_BCHART_3" hidden="1">#REF!</definedName>
    <definedName name="_16__123Graph_DCHART_5" localSheetId="8" hidden="1">#REF!</definedName>
    <definedName name="_16__123Graph_DCHART_5" localSheetId="21" hidden="1">#REF!</definedName>
    <definedName name="_16__123Graph_DCHART_5" localSheetId="23" hidden="1">#REF!</definedName>
    <definedName name="_16__123Graph_DCHART_5" localSheetId="20" hidden="1">#REF!</definedName>
    <definedName name="_16__123Graph_DCHART_5" localSheetId="22" hidden="1">#REF!</definedName>
    <definedName name="_16__123Graph_DCHART_5" localSheetId="19" hidden="1">#REF!</definedName>
    <definedName name="_16__123Graph_DCHART_5" hidden="1">#REF!</definedName>
    <definedName name="_160__123Graph_ACHART_5" localSheetId="8" hidden="1">#REF!</definedName>
    <definedName name="_160__123Graph_ACHART_5" localSheetId="21" hidden="1">#REF!</definedName>
    <definedName name="_160__123Graph_ACHART_5" localSheetId="23" hidden="1">#REF!</definedName>
    <definedName name="_160__123Graph_ACHART_5" localSheetId="20" hidden="1">#REF!</definedName>
    <definedName name="_160__123Graph_ACHART_5" localSheetId="22" hidden="1">#REF!</definedName>
    <definedName name="_160__123Graph_ACHART_5" localSheetId="19" hidden="1">#REF!</definedName>
    <definedName name="_160__123Graph_ACHART_5" hidden="1">#REF!</definedName>
    <definedName name="_17__123Graph_XCHART_1" localSheetId="8" hidden="1">#REF!</definedName>
    <definedName name="_17__123Graph_XCHART_1" localSheetId="21" hidden="1">#REF!</definedName>
    <definedName name="_17__123Graph_XCHART_1" localSheetId="23" hidden="1">#REF!</definedName>
    <definedName name="_17__123Graph_XCHART_1" localSheetId="20" hidden="1">#REF!</definedName>
    <definedName name="_17__123Graph_XCHART_1" localSheetId="22" hidden="1">#REF!</definedName>
    <definedName name="_17__123Graph_XCHART_1" localSheetId="19" hidden="1">#REF!</definedName>
    <definedName name="_17__123Graph_XCHART_1" hidden="1">#REF!</definedName>
    <definedName name="_18__123Graph_BCHART_4" localSheetId="8" hidden="1">#REF!</definedName>
    <definedName name="_18__123Graph_BCHART_4" localSheetId="21" hidden="1">#REF!</definedName>
    <definedName name="_18__123Graph_BCHART_4" localSheetId="23" hidden="1">#REF!</definedName>
    <definedName name="_18__123Graph_BCHART_4" localSheetId="20" hidden="1">#REF!</definedName>
    <definedName name="_18__123Graph_BCHART_4" localSheetId="22" hidden="1">#REF!</definedName>
    <definedName name="_18__123Graph_BCHART_4" localSheetId="19" hidden="1">#REF!</definedName>
    <definedName name="_18__123Graph_BCHART_4" hidden="1">#REF!</definedName>
    <definedName name="_18__123Graph_XCHART_2" localSheetId="8" hidden="1">#REF!</definedName>
    <definedName name="_18__123Graph_XCHART_2" localSheetId="21" hidden="1">#REF!</definedName>
    <definedName name="_18__123Graph_XCHART_2" localSheetId="23" hidden="1">#REF!</definedName>
    <definedName name="_18__123Graph_XCHART_2" localSheetId="20" hidden="1">#REF!</definedName>
    <definedName name="_18__123Graph_XCHART_2" localSheetId="22" hidden="1">#REF!</definedName>
    <definedName name="_18__123Graph_XCHART_2" localSheetId="19" hidden="1">#REF!</definedName>
    <definedName name="_18__123Graph_XCHART_2" hidden="1">#REF!</definedName>
    <definedName name="_19__123Graph_XCHART_3" localSheetId="8" hidden="1">#REF!</definedName>
    <definedName name="_19__123Graph_XCHART_3" localSheetId="21" hidden="1">#REF!</definedName>
    <definedName name="_19__123Graph_XCHART_3" localSheetId="23" hidden="1">#REF!</definedName>
    <definedName name="_19__123Graph_XCHART_3" localSheetId="20" hidden="1">#REF!</definedName>
    <definedName name="_19__123Graph_XCHART_3" localSheetId="22" hidden="1">#REF!</definedName>
    <definedName name="_19__123Graph_XCHART_3" localSheetId="19" hidden="1">#REF!</definedName>
    <definedName name="_19__123Graph_XCHART_3" hidden="1">#REF!</definedName>
    <definedName name="_192__123Graph_BCHART_1" localSheetId="8" hidden="1">#REF!</definedName>
    <definedName name="_192__123Graph_BCHART_1" localSheetId="21" hidden="1">#REF!</definedName>
    <definedName name="_192__123Graph_BCHART_1" localSheetId="23" hidden="1">#REF!</definedName>
    <definedName name="_192__123Graph_BCHART_1" localSheetId="20" hidden="1">#REF!</definedName>
    <definedName name="_192__123Graph_BCHART_1" localSheetId="22" hidden="1">#REF!</definedName>
    <definedName name="_192__123Graph_BCHART_1" localSheetId="19" hidden="1">#REF!</definedName>
    <definedName name="_192__123Graph_BCHART_1" hidden="1">#REF!</definedName>
    <definedName name="_1S" localSheetId="8">#REF!</definedName>
    <definedName name="_1S" localSheetId="12">#REF!</definedName>
    <definedName name="_1S" localSheetId="21">#REF!</definedName>
    <definedName name="_1S" localSheetId="23">#REF!</definedName>
    <definedName name="_1S" localSheetId="20">#REF!</definedName>
    <definedName name="_1S" localSheetId="22">#REF!</definedName>
    <definedName name="_1S" localSheetId="19">#REF!</definedName>
    <definedName name="_1S" localSheetId="18">#REF!</definedName>
    <definedName name="_1S" localSheetId="5">#REF!</definedName>
    <definedName name="_1S">#REF!</definedName>
    <definedName name="_1T" localSheetId="8">#REF!</definedName>
    <definedName name="_1T" localSheetId="12">#REF!</definedName>
    <definedName name="_1T" localSheetId="21">#REF!</definedName>
    <definedName name="_1T" localSheetId="23">#REF!</definedName>
    <definedName name="_1T" localSheetId="20">#REF!</definedName>
    <definedName name="_1T" localSheetId="22">#REF!</definedName>
    <definedName name="_1T" localSheetId="19">#REF!</definedName>
    <definedName name="_1T" localSheetId="18">#REF!</definedName>
    <definedName name="_1T" localSheetId="5">#REF!</definedName>
    <definedName name="_1T">#REF!</definedName>
    <definedName name="_2" localSheetId="8">#REF!</definedName>
    <definedName name="_2" localSheetId="12">#REF!</definedName>
    <definedName name="_2" localSheetId="21">#REF!</definedName>
    <definedName name="_2" localSheetId="23">#REF!</definedName>
    <definedName name="_2" localSheetId="20">#REF!</definedName>
    <definedName name="_2" localSheetId="22">#REF!</definedName>
    <definedName name="_2" localSheetId="19">#REF!</definedName>
    <definedName name="_2" localSheetId="18">#REF!</definedName>
    <definedName name="_2" localSheetId="5">#REF!</definedName>
    <definedName name="_2">#REF!</definedName>
    <definedName name="_2__123Graph_ACHART_1" localSheetId="8" hidden="1">#REF!</definedName>
    <definedName name="_2__123Graph_ACHART_1" localSheetId="21" hidden="1">#REF!</definedName>
    <definedName name="_2__123Graph_ACHART_1" localSheetId="23" hidden="1">#REF!</definedName>
    <definedName name="_2__123Graph_ACHART_1" localSheetId="20" hidden="1">#REF!</definedName>
    <definedName name="_2__123Graph_ACHART_1" localSheetId="22" hidden="1">#REF!</definedName>
    <definedName name="_2__123Graph_ACHART_1" localSheetId="19" hidden="1">#REF!</definedName>
    <definedName name="_2__123Graph_ACHART_1" localSheetId="5" hidden="1">#REF!</definedName>
    <definedName name="_2__123Graph_ACHART_1" hidden="1">#REF!</definedName>
    <definedName name="_2__123Graph_ACHART_2" localSheetId="8" hidden="1">#REF!</definedName>
    <definedName name="_2__123Graph_ACHART_2" localSheetId="21" hidden="1">#REF!</definedName>
    <definedName name="_2__123Graph_ACHART_2" localSheetId="23" hidden="1">#REF!</definedName>
    <definedName name="_2__123Graph_ACHART_2" localSheetId="20" hidden="1">#REF!</definedName>
    <definedName name="_2__123Graph_ACHART_2" localSheetId="22" hidden="1">#REF!</definedName>
    <definedName name="_2__123Graph_ACHART_2" localSheetId="19" hidden="1">#REF!</definedName>
    <definedName name="_2__123Graph_ACHART_2" localSheetId="5" hidden="1">#REF!</definedName>
    <definedName name="_2__123Graph_ACHART_2" hidden="1">#REF!</definedName>
    <definedName name="_20__123Graph_BCHART_5" localSheetId="8" hidden="1">#REF!</definedName>
    <definedName name="_20__123Graph_BCHART_5" localSheetId="21" hidden="1">#REF!</definedName>
    <definedName name="_20__123Graph_BCHART_5" localSheetId="23" hidden="1">#REF!</definedName>
    <definedName name="_20__123Graph_BCHART_5" localSheetId="20" hidden="1">#REF!</definedName>
    <definedName name="_20__123Graph_BCHART_5" localSheetId="22" hidden="1">#REF!</definedName>
    <definedName name="_20__123Graph_BCHART_5" localSheetId="19" hidden="1">#REF!</definedName>
    <definedName name="_20__123Graph_BCHART_5" hidden="1">#REF!</definedName>
    <definedName name="_20__123Graph_XCHART_4" localSheetId="8" hidden="1">#REF!</definedName>
    <definedName name="_20__123Graph_XCHART_4" localSheetId="21" hidden="1">#REF!</definedName>
    <definedName name="_20__123Graph_XCHART_4" localSheetId="23" hidden="1">#REF!</definedName>
    <definedName name="_20__123Graph_XCHART_4" localSheetId="20" hidden="1">#REF!</definedName>
    <definedName name="_20__123Graph_XCHART_4" localSheetId="22" hidden="1">#REF!</definedName>
    <definedName name="_20__123Graph_XCHART_4" localSheetId="19" hidden="1">#REF!</definedName>
    <definedName name="_20__123Graph_XCHART_4" hidden="1">#REF!</definedName>
    <definedName name="_21__123Graph_XCHART_5" localSheetId="8" hidden="1">#REF!</definedName>
    <definedName name="_21__123Graph_XCHART_5" localSheetId="21" hidden="1">#REF!</definedName>
    <definedName name="_21__123Graph_XCHART_5" localSheetId="23" hidden="1">#REF!</definedName>
    <definedName name="_21__123Graph_XCHART_5" localSheetId="20" hidden="1">#REF!</definedName>
    <definedName name="_21__123Graph_XCHART_5" localSheetId="22" hidden="1">#REF!</definedName>
    <definedName name="_21__123Graph_XCHART_5" localSheetId="19" hidden="1">#REF!</definedName>
    <definedName name="_21__123Graph_XCHART_5" hidden="1">#REF!</definedName>
    <definedName name="_22__123Graph_CCHART_1" localSheetId="8" hidden="1">#REF!</definedName>
    <definedName name="_22__123Graph_CCHART_1" localSheetId="21" hidden="1">#REF!</definedName>
    <definedName name="_22__123Graph_CCHART_1" localSheetId="23" hidden="1">#REF!</definedName>
    <definedName name="_22__123Graph_CCHART_1" localSheetId="20" hidden="1">#REF!</definedName>
    <definedName name="_22__123Graph_CCHART_1" localSheetId="22" hidden="1">#REF!</definedName>
    <definedName name="_22__123Graph_CCHART_1" localSheetId="19" hidden="1">#REF!</definedName>
    <definedName name="_22__123Graph_CCHART_1" hidden="1">#REF!</definedName>
    <definedName name="_224__123Graph_BCHART_2" localSheetId="8" hidden="1">#REF!</definedName>
    <definedName name="_224__123Graph_BCHART_2" localSheetId="21" hidden="1">#REF!</definedName>
    <definedName name="_224__123Graph_BCHART_2" localSheetId="23" hidden="1">#REF!</definedName>
    <definedName name="_224__123Graph_BCHART_2" localSheetId="20" hidden="1">#REF!</definedName>
    <definedName name="_224__123Graph_BCHART_2" localSheetId="22" hidden="1">#REF!</definedName>
    <definedName name="_224__123Graph_BCHART_2" localSheetId="19" hidden="1">#REF!</definedName>
    <definedName name="_224__123Graph_BCHART_2" hidden="1">#REF!</definedName>
    <definedName name="_24__123Graph_CCHART_2" localSheetId="8" hidden="1">#REF!</definedName>
    <definedName name="_24__123Graph_CCHART_2" localSheetId="21" hidden="1">#REF!</definedName>
    <definedName name="_24__123Graph_CCHART_2" localSheetId="23" hidden="1">#REF!</definedName>
    <definedName name="_24__123Graph_CCHART_2" localSheetId="20" hidden="1">#REF!</definedName>
    <definedName name="_24__123Graph_CCHART_2" localSheetId="22" hidden="1">#REF!</definedName>
    <definedName name="_24__123Graph_CCHART_2" localSheetId="19" hidden="1">#REF!</definedName>
    <definedName name="_24__123Graph_CCHART_2" hidden="1">#REF!</definedName>
    <definedName name="_256__123Graph_BCHART_3" localSheetId="8" hidden="1">#REF!</definedName>
    <definedName name="_256__123Graph_BCHART_3" localSheetId="21" hidden="1">#REF!</definedName>
    <definedName name="_256__123Graph_BCHART_3" localSheetId="23" hidden="1">#REF!</definedName>
    <definedName name="_256__123Graph_BCHART_3" localSheetId="20" hidden="1">#REF!</definedName>
    <definedName name="_256__123Graph_BCHART_3" localSheetId="22" hidden="1">#REF!</definedName>
    <definedName name="_256__123Graph_BCHART_3" localSheetId="19" hidden="1">#REF!</definedName>
    <definedName name="_256__123Graph_BCHART_3" hidden="1">#REF!</definedName>
    <definedName name="_26__123Graph_CCHART_3" localSheetId="8" hidden="1">#REF!</definedName>
    <definedName name="_26__123Graph_CCHART_3" localSheetId="21" hidden="1">#REF!</definedName>
    <definedName name="_26__123Graph_CCHART_3" localSheetId="23" hidden="1">#REF!</definedName>
    <definedName name="_26__123Graph_CCHART_3" localSheetId="20" hidden="1">#REF!</definedName>
    <definedName name="_26__123Graph_CCHART_3" localSheetId="22" hidden="1">#REF!</definedName>
    <definedName name="_26__123Graph_CCHART_3" localSheetId="19" hidden="1">#REF!</definedName>
    <definedName name="_26__123Graph_CCHART_3" hidden="1">#REF!</definedName>
    <definedName name="_28__123Graph_CCHART_4" localSheetId="8" hidden="1">#REF!</definedName>
    <definedName name="_28__123Graph_CCHART_4" localSheetId="21" hidden="1">#REF!</definedName>
    <definedName name="_28__123Graph_CCHART_4" localSheetId="23" hidden="1">#REF!</definedName>
    <definedName name="_28__123Graph_CCHART_4" localSheetId="20" hidden="1">#REF!</definedName>
    <definedName name="_28__123Graph_CCHART_4" localSheetId="22" hidden="1">#REF!</definedName>
    <definedName name="_28__123Graph_CCHART_4" localSheetId="19" hidden="1">#REF!</definedName>
    <definedName name="_28__123Graph_CCHART_4" hidden="1">#REF!</definedName>
    <definedName name="_288__123Graph_BCHART_4" localSheetId="8" hidden="1">#REF!</definedName>
    <definedName name="_288__123Graph_BCHART_4" localSheetId="21" hidden="1">#REF!</definedName>
    <definedName name="_288__123Graph_BCHART_4" localSheetId="23" hidden="1">#REF!</definedName>
    <definedName name="_288__123Graph_BCHART_4" localSheetId="20" hidden="1">#REF!</definedName>
    <definedName name="_288__123Graph_BCHART_4" localSheetId="22" hidden="1">#REF!</definedName>
    <definedName name="_288__123Graph_BCHART_4" localSheetId="19" hidden="1">#REF!</definedName>
    <definedName name="_288__123Graph_BCHART_4" hidden="1">#REF!</definedName>
    <definedName name="_2ANGG_PERUSAHA_2" localSheetId="8">#REF!</definedName>
    <definedName name="_2ANGG_PERUSAHA_2" localSheetId="12">#REF!</definedName>
    <definedName name="_2ANGG_PERUSAHA_2" localSheetId="21">#REF!</definedName>
    <definedName name="_2ANGG_PERUSAHA_2" localSheetId="23">#REF!</definedName>
    <definedName name="_2ANGG_PERUSAHA_2" localSheetId="20">#REF!</definedName>
    <definedName name="_2ANGG_PERUSAHA_2" localSheetId="22">#REF!</definedName>
    <definedName name="_2ANGG_PERUSAHA_2" localSheetId="19">#REF!</definedName>
    <definedName name="_2ANGG_PERUSAHA_2" localSheetId="18">#REF!</definedName>
    <definedName name="_2ANGG_PERUSAHA_2" localSheetId="5">#REF!</definedName>
    <definedName name="_2ANGG_PERUSAHA_2">#REF!</definedName>
    <definedName name="_2T" localSheetId="8">#REF!</definedName>
    <definedName name="_2T" localSheetId="12">#REF!</definedName>
    <definedName name="_2T" localSheetId="21">#REF!</definedName>
    <definedName name="_2T" localSheetId="23">#REF!</definedName>
    <definedName name="_2T" localSheetId="20">#REF!</definedName>
    <definedName name="_2T" localSheetId="22">#REF!</definedName>
    <definedName name="_2T" localSheetId="19">#REF!</definedName>
    <definedName name="_2T" localSheetId="18">#REF!</definedName>
    <definedName name="_2T" localSheetId="5">#REF!</definedName>
    <definedName name="_2T">#REF!</definedName>
    <definedName name="_3" localSheetId="8">#REF!</definedName>
    <definedName name="_3" localSheetId="12">#REF!</definedName>
    <definedName name="_3" localSheetId="21">#REF!</definedName>
    <definedName name="_3" localSheetId="23">#REF!</definedName>
    <definedName name="_3" localSheetId="20">#REF!</definedName>
    <definedName name="_3" localSheetId="22">#REF!</definedName>
    <definedName name="_3" localSheetId="19">#REF!</definedName>
    <definedName name="_3" localSheetId="18">#REF!</definedName>
    <definedName name="_3" localSheetId="5">#REF!</definedName>
    <definedName name="_3">#REF!</definedName>
    <definedName name="_3__123Graph_ACHART_3" localSheetId="8" hidden="1">#REF!</definedName>
    <definedName name="_3__123Graph_ACHART_3" localSheetId="21" hidden="1">#REF!</definedName>
    <definedName name="_3__123Graph_ACHART_3" localSheetId="23" hidden="1">#REF!</definedName>
    <definedName name="_3__123Graph_ACHART_3" localSheetId="20" hidden="1">#REF!</definedName>
    <definedName name="_3__123Graph_ACHART_3" localSheetId="22" hidden="1">#REF!</definedName>
    <definedName name="_3__123Graph_ACHART_3" localSheetId="19" hidden="1">#REF!</definedName>
    <definedName name="_3__123Graph_ACHART_3" localSheetId="5" hidden="1">#REF!</definedName>
    <definedName name="_3__123Graph_ACHART_3" hidden="1">#REF!</definedName>
    <definedName name="_30__123Graph_CCHART_5" localSheetId="8" hidden="1">#REF!</definedName>
    <definedName name="_30__123Graph_CCHART_5" localSheetId="21" hidden="1">#REF!</definedName>
    <definedName name="_30__123Graph_CCHART_5" localSheetId="23" hidden="1">#REF!</definedName>
    <definedName name="_30__123Graph_CCHART_5" localSheetId="20" hidden="1">#REF!</definedName>
    <definedName name="_30__123Graph_CCHART_5" localSheetId="22" hidden="1">#REF!</definedName>
    <definedName name="_30__123Graph_CCHART_5" localSheetId="19" hidden="1">#REF!</definedName>
    <definedName name="_30__123Graph_CCHART_5" localSheetId="5" hidden="1">#REF!</definedName>
    <definedName name="_30__123Graph_CCHART_5" hidden="1">#REF!</definedName>
    <definedName name="_32__123Graph_ACHART_1" localSheetId="8" hidden="1">#REF!</definedName>
    <definedName name="_32__123Graph_ACHART_1" localSheetId="21" hidden="1">#REF!</definedName>
    <definedName name="_32__123Graph_ACHART_1" localSheetId="23" hidden="1">#REF!</definedName>
    <definedName name="_32__123Graph_ACHART_1" localSheetId="20" hidden="1">#REF!</definedName>
    <definedName name="_32__123Graph_ACHART_1" localSheetId="22" hidden="1">#REF!</definedName>
    <definedName name="_32__123Graph_ACHART_1" localSheetId="19" hidden="1">#REF!</definedName>
    <definedName name="_32__123Graph_ACHART_1" hidden="1">#REF!</definedName>
    <definedName name="_32__123Graph_DCHART_5" localSheetId="8" hidden="1">#REF!</definedName>
    <definedName name="_32__123Graph_DCHART_5" localSheetId="21" hidden="1">#REF!</definedName>
    <definedName name="_32__123Graph_DCHART_5" localSheetId="23" hidden="1">#REF!</definedName>
    <definedName name="_32__123Graph_DCHART_5" localSheetId="20" hidden="1">#REF!</definedName>
    <definedName name="_32__123Graph_DCHART_5" localSheetId="22" hidden="1">#REF!</definedName>
    <definedName name="_32__123Graph_DCHART_5" localSheetId="19" hidden="1">#REF!</definedName>
    <definedName name="_32__123Graph_DCHART_5" hidden="1">#REF!</definedName>
    <definedName name="_320__123Graph_BCHART_5" localSheetId="8" hidden="1">#REF!</definedName>
    <definedName name="_320__123Graph_BCHART_5" localSheetId="21" hidden="1">#REF!</definedName>
    <definedName name="_320__123Graph_BCHART_5" localSheetId="23" hidden="1">#REF!</definedName>
    <definedName name="_320__123Graph_BCHART_5" localSheetId="20" hidden="1">#REF!</definedName>
    <definedName name="_320__123Graph_BCHART_5" localSheetId="22" hidden="1">#REF!</definedName>
    <definedName name="_320__123Graph_BCHART_5" localSheetId="19" hidden="1">#REF!</definedName>
    <definedName name="_320__123Graph_BCHART_5" hidden="1">#REF!</definedName>
    <definedName name="_34__123Graph_XCHART_1" localSheetId="8" hidden="1">#REF!</definedName>
    <definedName name="_34__123Graph_XCHART_1" localSheetId="21" hidden="1">#REF!</definedName>
    <definedName name="_34__123Graph_XCHART_1" localSheetId="23" hidden="1">#REF!</definedName>
    <definedName name="_34__123Graph_XCHART_1" localSheetId="20" hidden="1">#REF!</definedName>
    <definedName name="_34__123Graph_XCHART_1" localSheetId="22" hidden="1">#REF!</definedName>
    <definedName name="_34__123Graph_XCHART_1" localSheetId="19" hidden="1">#REF!</definedName>
    <definedName name="_34__123Graph_XCHART_1" hidden="1">#REF!</definedName>
    <definedName name="_352__123Graph_CCHART_1" localSheetId="8" hidden="1">#REF!</definedName>
    <definedName name="_352__123Graph_CCHART_1" localSheetId="21" hidden="1">#REF!</definedName>
    <definedName name="_352__123Graph_CCHART_1" localSheetId="23" hidden="1">#REF!</definedName>
    <definedName name="_352__123Graph_CCHART_1" localSheetId="20" hidden="1">#REF!</definedName>
    <definedName name="_352__123Graph_CCHART_1" localSheetId="22" hidden="1">#REF!</definedName>
    <definedName name="_352__123Graph_CCHART_1" localSheetId="19" hidden="1">#REF!</definedName>
    <definedName name="_352__123Graph_CCHART_1" hidden="1">#REF!</definedName>
    <definedName name="_36__123Graph_XCHART_2" localSheetId="8" hidden="1">#REF!</definedName>
    <definedName name="_36__123Graph_XCHART_2" localSheetId="21" hidden="1">#REF!</definedName>
    <definedName name="_36__123Graph_XCHART_2" localSheetId="23" hidden="1">#REF!</definedName>
    <definedName name="_36__123Graph_XCHART_2" localSheetId="20" hidden="1">#REF!</definedName>
    <definedName name="_36__123Graph_XCHART_2" localSheetId="22" hidden="1">#REF!</definedName>
    <definedName name="_36__123Graph_XCHART_2" localSheetId="19" hidden="1">#REF!</definedName>
    <definedName name="_36__123Graph_XCHART_2" hidden="1">#REF!</definedName>
    <definedName name="_38__123Graph_XCHART_3" localSheetId="8" hidden="1">#REF!</definedName>
    <definedName name="_38__123Graph_XCHART_3" localSheetId="21" hidden="1">#REF!</definedName>
    <definedName name="_38__123Graph_XCHART_3" localSheetId="23" hidden="1">#REF!</definedName>
    <definedName name="_38__123Graph_XCHART_3" localSheetId="20" hidden="1">#REF!</definedName>
    <definedName name="_38__123Graph_XCHART_3" localSheetId="22" hidden="1">#REF!</definedName>
    <definedName name="_38__123Graph_XCHART_3" localSheetId="19" hidden="1">#REF!</definedName>
    <definedName name="_38__123Graph_XCHART_3" hidden="1">#REF!</definedName>
    <definedName name="_384__123Graph_CCHART_2" localSheetId="8" hidden="1">#REF!</definedName>
    <definedName name="_384__123Graph_CCHART_2" localSheetId="21" hidden="1">#REF!</definedName>
    <definedName name="_384__123Graph_CCHART_2" localSheetId="23" hidden="1">#REF!</definedName>
    <definedName name="_384__123Graph_CCHART_2" localSheetId="20" hidden="1">#REF!</definedName>
    <definedName name="_384__123Graph_CCHART_2" localSheetId="22" hidden="1">#REF!</definedName>
    <definedName name="_384__123Graph_CCHART_2" localSheetId="19" hidden="1">#REF!</definedName>
    <definedName name="_384__123Graph_CCHART_2" hidden="1">#REF!</definedName>
    <definedName name="_3ANGG_PERUSAHAAN" localSheetId="8">#REF!</definedName>
    <definedName name="_3ANGG_PERUSAHAAN" localSheetId="12">#REF!</definedName>
    <definedName name="_3ANGG_PERUSAHAAN" localSheetId="21">#REF!</definedName>
    <definedName name="_3ANGG_PERUSAHAAN" localSheetId="23">#REF!</definedName>
    <definedName name="_3ANGG_PERUSAHAAN" localSheetId="20">#REF!</definedName>
    <definedName name="_3ANGG_PERUSAHAAN" localSheetId="22">#REF!</definedName>
    <definedName name="_3ANGG_PERUSAHAAN" localSheetId="19">#REF!</definedName>
    <definedName name="_3ANGG_PERUSAHAAN" localSheetId="18">#REF!</definedName>
    <definedName name="_3ANGG_PERUSAHAAN" localSheetId="5">#REF!</definedName>
    <definedName name="_3ANGG_PERUSAHAAN">#REF!</definedName>
    <definedName name="_3T" localSheetId="8">#REF!</definedName>
    <definedName name="_3T" localSheetId="12">#REF!</definedName>
    <definedName name="_3T" localSheetId="21">#REF!</definedName>
    <definedName name="_3T" localSheetId="23">#REF!</definedName>
    <definedName name="_3T" localSheetId="20">#REF!</definedName>
    <definedName name="_3T" localSheetId="22">#REF!</definedName>
    <definedName name="_3T" localSheetId="19">#REF!</definedName>
    <definedName name="_3T" localSheetId="18">#REF!</definedName>
    <definedName name="_3T" localSheetId="5">#REF!</definedName>
    <definedName name="_3T">#REF!</definedName>
    <definedName name="_3TR" localSheetId="8">#REF!</definedName>
    <definedName name="_3TR" localSheetId="12">#REF!</definedName>
    <definedName name="_3TR" localSheetId="21">#REF!</definedName>
    <definedName name="_3TR" localSheetId="23">#REF!</definedName>
    <definedName name="_3TR" localSheetId="20">#REF!</definedName>
    <definedName name="_3TR" localSheetId="22">#REF!</definedName>
    <definedName name="_3TR" localSheetId="19">#REF!</definedName>
    <definedName name="_3TR" localSheetId="18">#REF!</definedName>
    <definedName name="_3TR" localSheetId="5">#REF!</definedName>
    <definedName name="_3TR">#REF!</definedName>
    <definedName name="_4" localSheetId="8">#REF!</definedName>
    <definedName name="_4" localSheetId="12">#REF!</definedName>
    <definedName name="_4" localSheetId="21">#REF!</definedName>
    <definedName name="_4" localSheetId="23">#REF!</definedName>
    <definedName name="_4" localSheetId="20">#REF!</definedName>
    <definedName name="_4" localSheetId="22">#REF!</definedName>
    <definedName name="_4" localSheetId="19">#REF!</definedName>
    <definedName name="_4" localSheetId="18">#REF!</definedName>
    <definedName name="_4">#REF!</definedName>
    <definedName name="_4__123Graph_ACHART_2" localSheetId="8" hidden="1">#REF!</definedName>
    <definedName name="_4__123Graph_ACHART_2" localSheetId="21" hidden="1">#REF!</definedName>
    <definedName name="_4__123Graph_ACHART_2" localSheetId="23" hidden="1">#REF!</definedName>
    <definedName name="_4__123Graph_ACHART_2" localSheetId="20" hidden="1">#REF!</definedName>
    <definedName name="_4__123Graph_ACHART_2" localSheetId="22" hidden="1">#REF!</definedName>
    <definedName name="_4__123Graph_ACHART_2" localSheetId="19" hidden="1">#REF!</definedName>
    <definedName name="_4__123Graph_ACHART_2" localSheetId="5" hidden="1">#REF!</definedName>
    <definedName name="_4__123Graph_ACHART_2" hidden="1">#REF!</definedName>
    <definedName name="_4__123Graph_ACHART_4" localSheetId="8" hidden="1">#REF!</definedName>
    <definedName name="_4__123Graph_ACHART_4" localSheetId="21" hidden="1">#REF!</definedName>
    <definedName name="_4__123Graph_ACHART_4" localSheetId="23" hidden="1">#REF!</definedName>
    <definedName name="_4__123Graph_ACHART_4" localSheetId="20" hidden="1">#REF!</definedName>
    <definedName name="_4__123Graph_ACHART_4" localSheetId="22" hidden="1">#REF!</definedName>
    <definedName name="_4__123Graph_ACHART_4" localSheetId="19" hidden="1">#REF!</definedName>
    <definedName name="_4__123Graph_ACHART_4" localSheetId="5" hidden="1">#REF!</definedName>
    <definedName name="_4__123Graph_ACHART_4" hidden="1">#REF!</definedName>
    <definedName name="_40__123Graph_XCHART_4" localSheetId="8" hidden="1">#REF!</definedName>
    <definedName name="_40__123Graph_XCHART_4" localSheetId="21" hidden="1">#REF!</definedName>
    <definedName name="_40__123Graph_XCHART_4" localSheetId="23" hidden="1">#REF!</definedName>
    <definedName name="_40__123Graph_XCHART_4" localSheetId="20" hidden="1">#REF!</definedName>
    <definedName name="_40__123Graph_XCHART_4" localSheetId="22" hidden="1">#REF!</definedName>
    <definedName name="_40__123Graph_XCHART_4" localSheetId="19" hidden="1">#REF!</definedName>
    <definedName name="_40__123Graph_XCHART_4" localSheetId="5" hidden="1">#REF!</definedName>
    <definedName name="_40__123Graph_XCHART_4" hidden="1">#REF!</definedName>
    <definedName name="_416__123Graph_CCHART_3" localSheetId="8" hidden="1">#REF!</definedName>
    <definedName name="_416__123Graph_CCHART_3" localSheetId="21" hidden="1">#REF!</definedName>
    <definedName name="_416__123Graph_CCHART_3" localSheetId="23" hidden="1">#REF!</definedName>
    <definedName name="_416__123Graph_CCHART_3" localSheetId="20" hidden="1">#REF!</definedName>
    <definedName name="_416__123Graph_CCHART_3" localSheetId="22" hidden="1">#REF!</definedName>
    <definedName name="_416__123Graph_CCHART_3" localSheetId="19" hidden="1">#REF!</definedName>
    <definedName name="_416__123Graph_CCHART_3" localSheetId="5" hidden="1">#REF!</definedName>
    <definedName name="_416__123Graph_CCHART_3" hidden="1">#REF!</definedName>
    <definedName name="_42__123Graph_XCHART_5" localSheetId="8" hidden="1">#REF!</definedName>
    <definedName name="_42__123Graph_XCHART_5" localSheetId="21" hidden="1">#REF!</definedName>
    <definedName name="_42__123Graph_XCHART_5" localSheetId="23" hidden="1">#REF!</definedName>
    <definedName name="_42__123Graph_XCHART_5" localSheetId="20" hidden="1">#REF!</definedName>
    <definedName name="_42__123Graph_XCHART_5" localSheetId="22" hidden="1">#REF!</definedName>
    <definedName name="_42__123Graph_XCHART_5" localSheetId="19" hidden="1">#REF!</definedName>
    <definedName name="_42__123Graph_XCHART_5" hidden="1">#REF!</definedName>
    <definedName name="_448__123Graph_CCHART_4" localSheetId="8" hidden="1">#REF!</definedName>
    <definedName name="_448__123Graph_CCHART_4" localSheetId="21" hidden="1">#REF!</definedName>
    <definedName name="_448__123Graph_CCHART_4" localSheetId="23" hidden="1">#REF!</definedName>
    <definedName name="_448__123Graph_CCHART_4" localSheetId="20" hidden="1">#REF!</definedName>
    <definedName name="_448__123Graph_CCHART_4" localSheetId="22" hidden="1">#REF!</definedName>
    <definedName name="_448__123Graph_CCHART_4" localSheetId="19" hidden="1">#REF!</definedName>
    <definedName name="_448__123Graph_CCHART_4" hidden="1">#REF!</definedName>
    <definedName name="_480__123Graph_CCHART_5" localSheetId="8" hidden="1">#REF!</definedName>
    <definedName name="_480__123Graph_CCHART_5" localSheetId="21" hidden="1">#REF!</definedName>
    <definedName name="_480__123Graph_CCHART_5" localSheetId="23" hidden="1">#REF!</definedName>
    <definedName name="_480__123Graph_CCHART_5" localSheetId="20" hidden="1">#REF!</definedName>
    <definedName name="_480__123Graph_CCHART_5" localSheetId="22" hidden="1">#REF!</definedName>
    <definedName name="_480__123Graph_CCHART_5" localSheetId="19" hidden="1">#REF!</definedName>
    <definedName name="_480__123Graph_CCHART_5" hidden="1">#REF!</definedName>
    <definedName name="_4BAHAS_ANGG." localSheetId="8">#REF!</definedName>
    <definedName name="_4BAHAS_ANGG." localSheetId="12">#REF!</definedName>
    <definedName name="_4BAHAS_ANGG." localSheetId="21">#REF!</definedName>
    <definedName name="_4BAHAS_ANGG." localSheetId="23">#REF!</definedName>
    <definedName name="_4BAHAS_ANGG." localSheetId="20">#REF!</definedName>
    <definedName name="_4BAHAS_ANGG." localSheetId="22">#REF!</definedName>
    <definedName name="_4BAHAS_ANGG." localSheetId="19">#REF!</definedName>
    <definedName name="_4BAHAS_ANGG." localSheetId="18">#REF!</definedName>
    <definedName name="_4BAHAS_ANGG." localSheetId="5">#REF!</definedName>
    <definedName name="_4BAHAS_ANGG.">#REF!</definedName>
    <definedName name="_4T" localSheetId="8">#REF!</definedName>
    <definedName name="_4T" localSheetId="12">#REF!</definedName>
    <definedName name="_4T" localSheetId="21">#REF!</definedName>
    <definedName name="_4T" localSheetId="23">#REF!</definedName>
    <definedName name="_4T" localSheetId="20">#REF!</definedName>
    <definedName name="_4T" localSheetId="22">#REF!</definedName>
    <definedName name="_4T" localSheetId="19">#REF!</definedName>
    <definedName name="_4T" localSheetId="18">#REF!</definedName>
    <definedName name="_4T" localSheetId="5">#REF!</definedName>
    <definedName name="_4T">#REF!</definedName>
    <definedName name="_5" localSheetId="8">#REF!</definedName>
    <definedName name="_5" localSheetId="12">#REF!</definedName>
    <definedName name="_5" localSheetId="21">#REF!</definedName>
    <definedName name="_5" localSheetId="23">#REF!</definedName>
    <definedName name="_5" localSheetId="20">#REF!</definedName>
    <definedName name="_5" localSheetId="22">#REF!</definedName>
    <definedName name="_5" localSheetId="19">#REF!</definedName>
    <definedName name="_5" localSheetId="18">#REF!</definedName>
    <definedName name="_5" localSheetId="5">#REF!</definedName>
    <definedName name="_5">#REF!</definedName>
    <definedName name="_5__123Graph_ACHART_5" localSheetId="8" hidden="1">#REF!</definedName>
    <definedName name="_5__123Graph_ACHART_5" localSheetId="21" hidden="1">#REF!</definedName>
    <definedName name="_5__123Graph_ACHART_5" localSheetId="23" hidden="1">#REF!</definedName>
    <definedName name="_5__123Graph_ACHART_5" localSheetId="20" hidden="1">#REF!</definedName>
    <definedName name="_5__123Graph_ACHART_5" localSheetId="22" hidden="1">#REF!</definedName>
    <definedName name="_5__123Graph_ACHART_5" localSheetId="19" hidden="1">#REF!</definedName>
    <definedName name="_5__123Graph_ACHART_5" localSheetId="5" hidden="1">#REF!</definedName>
    <definedName name="_5__123Graph_ACHART_5" hidden="1">#REF!</definedName>
    <definedName name="_512__123Graph_DCHART_5" localSheetId="8" hidden="1">#REF!</definedName>
    <definedName name="_512__123Graph_DCHART_5" localSheetId="21" hidden="1">#REF!</definedName>
    <definedName name="_512__123Graph_DCHART_5" localSheetId="23" hidden="1">#REF!</definedName>
    <definedName name="_512__123Graph_DCHART_5" localSheetId="20" hidden="1">#REF!</definedName>
    <definedName name="_512__123Graph_DCHART_5" localSheetId="22" hidden="1">#REF!</definedName>
    <definedName name="_512__123Graph_DCHART_5" localSheetId="19" hidden="1">#REF!</definedName>
    <definedName name="_512__123Graph_DCHART_5" localSheetId="5" hidden="1">#REF!</definedName>
    <definedName name="_512__123Graph_DCHART_5" hidden="1">#REF!</definedName>
    <definedName name="_544__123Graph_XCHART_1" localSheetId="8" hidden="1">#REF!</definedName>
    <definedName name="_544__123Graph_XCHART_1" localSheetId="21" hidden="1">#REF!</definedName>
    <definedName name="_544__123Graph_XCHART_1" localSheetId="23" hidden="1">#REF!</definedName>
    <definedName name="_544__123Graph_XCHART_1" localSheetId="20" hidden="1">#REF!</definedName>
    <definedName name="_544__123Graph_XCHART_1" localSheetId="22" hidden="1">#REF!</definedName>
    <definedName name="_544__123Graph_XCHART_1" localSheetId="19" hidden="1">#REF!</definedName>
    <definedName name="_544__123Graph_XCHART_1" hidden="1">#REF!</definedName>
    <definedName name="_576__123Graph_XCHART_2" localSheetId="8" hidden="1">#REF!</definedName>
    <definedName name="_576__123Graph_XCHART_2" localSheetId="21" hidden="1">#REF!</definedName>
    <definedName name="_576__123Graph_XCHART_2" localSheetId="23" hidden="1">#REF!</definedName>
    <definedName name="_576__123Graph_XCHART_2" localSheetId="20" hidden="1">#REF!</definedName>
    <definedName name="_576__123Graph_XCHART_2" localSheetId="22" hidden="1">#REF!</definedName>
    <definedName name="_576__123Graph_XCHART_2" localSheetId="19" hidden="1">#REF!</definedName>
    <definedName name="_576__123Graph_XCHART_2" hidden="1">#REF!</definedName>
    <definedName name="_5BAHAS_DISTURB" localSheetId="8">#REF!</definedName>
    <definedName name="_5BAHAS_DISTURB" localSheetId="12">#REF!</definedName>
    <definedName name="_5BAHAS_DISTURB" localSheetId="21">#REF!</definedName>
    <definedName name="_5BAHAS_DISTURB" localSheetId="23">#REF!</definedName>
    <definedName name="_5BAHAS_DISTURB" localSheetId="20">#REF!</definedName>
    <definedName name="_5BAHAS_DISTURB" localSheetId="22">#REF!</definedName>
    <definedName name="_5BAHAS_DISTURB" localSheetId="19">#REF!</definedName>
    <definedName name="_5BAHAS_DISTURB" localSheetId="18">#REF!</definedName>
    <definedName name="_5BAHAS_DISTURB" localSheetId="5">#REF!</definedName>
    <definedName name="_5BAHAS_DISTURB">#REF!</definedName>
    <definedName name="_6" localSheetId="8">#REF!</definedName>
    <definedName name="_6" localSheetId="12">#REF!</definedName>
    <definedName name="_6" localSheetId="21">#REF!</definedName>
    <definedName name="_6" localSheetId="23">#REF!</definedName>
    <definedName name="_6" localSheetId="20">#REF!</definedName>
    <definedName name="_6" localSheetId="22">#REF!</definedName>
    <definedName name="_6" localSheetId="19">#REF!</definedName>
    <definedName name="_6" localSheetId="18">#REF!</definedName>
    <definedName name="_6" localSheetId="5">#REF!</definedName>
    <definedName name="_6">#REF!</definedName>
    <definedName name="_6__123Graph_ACHART_3" localSheetId="8" hidden="1">#REF!</definedName>
    <definedName name="_6__123Graph_ACHART_3" localSheetId="21" hidden="1">#REF!</definedName>
    <definedName name="_6__123Graph_ACHART_3" localSheetId="23" hidden="1">#REF!</definedName>
    <definedName name="_6__123Graph_ACHART_3" localSheetId="20" hidden="1">#REF!</definedName>
    <definedName name="_6__123Graph_ACHART_3" localSheetId="22" hidden="1">#REF!</definedName>
    <definedName name="_6__123Graph_ACHART_3" localSheetId="19" hidden="1">#REF!</definedName>
    <definedName name="_6__123Graph_ACHART_3" hidden="1">#REF!</definedName>
    <definedName name="_6__123Graph_BCHART_1" localSheetId="8" hidden="1">#REF!</definedName>
    <definedName name="_6__123Graph_BCHART_1" localSheetId="21" hidden="1">#REF!</definedName>
    <definedName name="_6__123Graph_BCHART_1" localSheetId="23" hidden="1">#REF!</definedName>
    <definedName name="_6__123Graph_BCHART_1" localSheetId="20" hidden="1">#REF!</definedName>
    <definedName name="_6__123Graph_BCHART_1" localSheetId="22" hidden="1">#REF!</definedName>
    <definedName name="_6__123Graph_BCHART_1" localSheetId="19" hidden="1">#REF!</definedName>
    <definedName name="_6__123Graph_BCHART_1" hidden="1">#REF!</definedName>
    <definedName name="_608__123Graph_XCHART_3" localSheetId="8" hidden="1">#REF!</definedName>
    <definedName name="_608__123Graph_XCHART_3" localSheetId="21" hidden="1">#REF!</definedName>
    <definedName name="_608__123Graph_XCHART_3" localSheetId="23" hidden="1">#REF!</definedName>
    <definedName name="_608__123Graph_XCHART_3" localSheetId="20" hidden="1">#REF!</definedName>
    <definedName name="_608__123Graph_XCHART_3" localSheetId="22" hidden="1">#REF!</definedName>
    <definedName name="_608__123Graph_XCHART_3" localSheetId="19" hidden="1">#REF!</definedName>
    <definedName name="_608__123Graph_XCHART_3" hidden="1">#REF!</definedName>
    <definedName name="_64__123Graph_ACHART_2" localSheetId="8" hidden="1">#REF!</definedName>
    <definedName name="_64__123Graph_ACHART_2" localSheetId="21" hidden="1">#REF!</definedName>
    <definedName name="_64__123Graph_ACHART_2" localSheetId="23" hidden="1">#REF!</definedName>
    <definedName name="_64__123Graph_ACHART_2" localSheetId="20" hidden="1">#REF!</definedName>
    <definedName name="_64__123Graph_ACHART_2" localSheetId="22" hidden="1">#REF!</definedName>
    <definedName name="_64__123Graph_ACHART_2" localSheetId="19" hidden="1">#REF!</definedName>
    <definedName name="_64__123Graph_ACHART_2" hidden="1">#REF!</definedName>
    <definedName name="_640__123Graph_XCHART_4" localSheetId="8" hidden="1">#REF!</definedName>
    <definedName name="_640__123Graph_XCHART_4" localSheetId="21" hidden="1">#REF!</definedName>
    <definedName name="_640__123Graph_XCHART_4" localSheetId="23" hidden="1">#REF!</definedName>
    <definedName name="_640__123Graph_XCHART_4" localSheetId="20" hidden="1">#REF!</definedName>
    <definedName name="_640__123Graph_XCHART_4" localSheetId="22" hidden="1">#REF!</definedName>
    <definedName name="_640__123Graph_XCHART_4" localSheetId="19" hidden="1">#REF!</definedName>
    <definedName name="_640__123Graph_XCHART_4" hidden="1">#REF!</definedName>
    <definedName name="_672__123Graph_XCHART_5" localSheetId="8" hidden="1">#REF!</definedName>
    <definedName name="_672__123Graph_XCHART_5" localSheetId="21" hidden="1">#REF!</definedName>
    <definedName name="_672__123Graph_XCHART_5" localSheetId="23" hidden="1">#REF!</definedName>
    <definedName name="_672__123Graph_XCHART_5" localSheetId="20" hidden="1">#REF!</definedName>
    <definedName name="_672__123Graph_XCHART_5" localSheetId="22" hidden="1">#REF!</definedName>
    <definedName name="_672__123Graph_XCHART_5" localSheetId="19" hidden="1">#REF!</definedName>
    <definedName name="_672__123Graph_XCHART_5" hidden="1">#REF!</definedName>
    <definedName name="_6A" localSheetId="8">#REF!</definedName>
    <definedName name="_6A" localSheetId="12">#REF!</definedName>
    <definedName name="_6A" localSheetId="21">#REF!</definedName>
    <definedName name="_6A" localSheetId="23">#REF!</definedName>
    <definedName name="_6A" localSheetId="20">#REF!</definedName>
    <definedName name="_6A" localSheetId="22">#REF!</definedName>
    <definedName name="_6A" localSheetId="19">#REF!</definedName>
    <definedName name="_6A" localSheetId="18">#REF!</definedName>
    <definedName name="_6A" localSheetId="5">#REF!</definedName>
    <definedName name="_6A">#REF!</definedName>
    <definedName name="_6B" localSheetId="8">#REF!</definedName>
    <definedName name="_6B" localSheetId="12">#REF!</definedName>
    <definedName name="_6B" localSheetId="21">#REF!</definedName>
    <definedName name="_6B" localSheetId="23">#REF!</definedName>
    <definedName name="_6B" localSheetId="20">#REF!</definedName>
    <definedName name="_6B" localSheetId="22">#REF!</definedName>
    <definedName name="_6B" localSheetId="19">#REF!</definedName>
    <definedName name="_6B" localSheetId="18">#REF!</definedName>
    <definedName name="_6B" localSheetId="5">#REF!</definedName>
    <definedName name="_6B">#REF!</definedName>
    <definedName name="_6FORM_A" localSheetId="8">#REF!</definedName>
    <definedName name="_6FORM_A" localSheetId="12">#REF!</definedName>
    <definedName name="_6FORM_A" localSheetId="21">#REF!</definedName>
    <definedName name="_6FORM_A" localSheetId="23">#REF!</definedName>
    <definedName name="_6FORM_A" localSheetId="20">#REF!</definedName>
    <definedName name="_6FORM_A" localSheetId="22">#REF!</definedName>
    <definedName name="_6FORM_A" localSheetId="19">#REF!</definedName>
    <definedName name="_6FORM_A" localSheetId="18">#REF!</definedName>
    <definedName name="_6FORM_A" localSheetId="5">#REF!</definedName>
    <definedName name="_6FORM_A">#REF!</definedName>
    <definedName name="_7" localSheetId="8">#REF!</definedName>
    <definedName name="_7" localSheetId="12">#REF!</definedName>
    <definedName name="_7" localSheetId="21">#REF!</definedName>
    <definedName name="_7" localSheetId="23">#REF!</definedName>
    <definedName name="_7" localSheetId="20">#REF!</definedName>
    <definedName name="_7" localSheetId="22">#REF!</definedName>
    <definedName name="_7" localSheetId="19">#REF!</definedName>
    <definedName name="_7" localSheetId="18">#REF!</definedName>
    <definedName name="_7">#REF!</definedName>
    <definedName name="_7__123Graph_BCHART_2" localSheetId="8" hidden="1">#REF!</definedName>
    <definedName name="_7__123Graph_BCHART_2" localSheetId="21" hidden="1">#REF!</definedName>
    <definedName name="_7__123Graph_BCHART_2" localSheetId="23" hidden="1">#REF!</definedName>
    <definedName name="_7__123Graph_BCHART_2" localSheetId="20" hidden="1">#REF!</definedName>
    <definedName name="_7__123Graph_BCHART_2" localSheetId="22" hidden="1">#REF!</definedName>
    <definedName name="_7__123Graph_BCHART_2" localSheetId="19" hidden="1">#REF!</definedName>
    <definedName name="_7__123Graph_BCHART_2" localSheetId="5" hidden="1">#REF!</definedName>
    <definedName name="_7__123Graph_BCHART_2" hidden="1">#REF!</definedName>
    <definedName name="_7FORM_B" localSheetId="8">#REF!</definedName>
    <definedName name="_7FORM_B" localSheetId="12">#REF!</definedName>
    <definedName name="_7FORM_B" localSheetId="21">#REF!</definedName>
    <definedName name="_7FORM_B" localSheetId="23">#REF!</definedName>
    <definedName name="_7FORM_B" localSheetId="20">#REF!</definedName>
    <definedName name="_7FORM_B" localSheetId="22">#REF!</definedName>
    <definedName name="_7FORM_B" localSheetId="19">#REF!</definedName>
    <definedName name="_7FORM_B" localSheetId="18">#REF!</definedName>
    <definedName name="_7FORM_B" localSheetId="5">#REF!</definedName>
    <definedName name="_7FORM_B">#REF!</definedName>
    <definedName name="_8" localSheetId="8">#REF!</definedName>
    <definedName name="_8" localSheetId="12">#REF!</definedName>
    <definedName name="_8" localSheetId="21">#REF!</definedName>
    <definedName name="_8" localSheetId="23">#REF!</definedName>
    <definedName name="_8" localSheetId="20">#REF!</definedName>
    <definedName name="_8" localSheetId="22">#REF!</definedName>
    <definedName name="_8" localSheetId="19">#REF!</definedName>
    <definedName name="_8" localSheetId="18">#REF!</definedName>
    <definedName name="_8" localSheetId="5">#REF!</definedName>
    <definedName name="_8">#REF!</definedName>
    <definedName name="_8__123Graph_ACHART_4" localSheetId="8" hidden="1">#REF!</definedName>
    <definedName name="_8__123Graph_ACHART_4" localSheetId="21" hidden="1">#REF!</definedName>
    <definedName name="_8__123Graph_ACHART_4" localSheetId="23" hidden="1">#REF!</definedName>
    <definedName name="_8__123Graph_ACHART_4" localSheetId="20" hidden="1">#REF!</definedName>
    <definedName name="_8__123Graph_ACHART_4" localSheetId="22" hidden="1">#REF!</definedName>
    <definedName name="_8__123Graph_ACHART_4" localSheetId="19" hidden="1">#REF!</definedName>
    <definedName name="_8__123Graph_ACHART_4" localSheetId="5" hidden="1">#REF!</definedName>
    <definedName name="_8__123Graph_ACHART_4" hidden="1">#REF!</definedName>
    <definedName name="_8__123Graph_BCHART_3" localSheetId="8" hidden="1">#REF!</definedName>
    <definedName name="_8__123Graph_BCHART_3" localSheetId="21" hidden="1">#REF!</definedName>
    <definedName name="_8__123Graph_BCHART_3" localSheetId="23" hidden="1">#REF!</definedName>
    <definedName name="_8__123Graph_BCHART_3" localSheetId="20" hidden="1">#REF!</definedName>
    <definedName name="_8__123Graph_BCHART_3" localSheetId="22" hidden="1">#REF!</definedName>
    <definedName name="_8__123Graph_BCHART_3" localSheetId="19" hidden="1">#REF!</definedName>
    <definedName name="_8__123Graph_BCHART_3" localSheetId="5" hidden="1">#REF!</definedName>
    <definedName name="_8__123Graph_BCHART_3" hidden="1">#REF!</definedName>
    <definedName name="_8GD_PER_TW" localSheetId="8">#REF!</definedName>
    <definedName name="_8GD_PER_TW" localSheetId="12">#REF!</definedName>
    <definedName name="_8GD_PER_TW" localSheetId="21">#REF!</definedName>
    <definedName name="_8GD_PER_TW" localSheetId="23">#REF!</definedName>
    <definedName name="_8GD_PER_TW" localSheetId="20">#REF!</definedName>
    <definedName name="_8GD_PER_TW" localSheetId="22">#REF!</definedName>
    <definedName name="_8GD_PER_TW" localSheetId="19">#REF!</definedName>
    <definedName name="_8GD_PER_TW" localSheetId="18">#REF!</definedName>
    <definedName name="_8GD_PER_TW" localSheetId="5">#REF!</definedName>
    <definedName name="_8GD_PER_TW">#REF!</definedName>
    <definedName name="_9" localSheetId="8">#REF!</definedName>
    <definedName name="_9" localSheetId="12">#REF!</definedName>
    <definedName name="_9" localSheetId="21">#REF!</definedName>
    <definedName name="_9" localSheetId="23">#REF!</definedName>
    <definedName name="_9" localSheetId="20">#REF!</definedName>
    <definedName name="_9" localSheetId="22">#REF!</definedName>
    <definedName name="_9" localSheetId="19">#REF!</definedName>
    <definedName name="_9" localSheetId="18">#REF!</definedName>
    <definedName name="_9" localSheetId="5">#REF!</definedName>
    <definedName name="_9">#REF!</definedName>
    <definedName name="_9__123Graph_BCHART_4" localSheetId="8" hidden="1">#REF!</definedName>
    <definedName name="_9__123Graph_BCHART_4" localSheetId="21" hidden="1">#REF!</definedName>
    <definedName name="_9__123Graph_BCHART_4" localSheetId="23" hidden="1">#REF!</definedName>
    <definedName name="_9__123Graph_BCHART_4" localSheetId="20" hidden="1">#REF!</definedName>
    <definedName name="_9__123Graph_BCHART_4" localSheetId="22" hidden="1">#REF!</definedName>
    <definedName name="_9__123Graph_BCHART_4" localSheetId="19" hidden="1">#REF!</definedName>
    <definedName name="_9__123Graph_BCHART_4" hidden="1">#REF!</definedName>
    <definedName name="_96__123Graph_ACHART_3" localSheetId="8" hidden="1">#REF!</definedName>
    <definedName name="_96__123Graph_ACHART_3" localSheetId="21" hidden="1">#REF!</definedName>
    <definedName name="_96__123Graph_ACHART_3" localSheetId="23" hidden="1">#REF!</definedName>
    <definedName name="_96__123Graph_ACHART_3" localSheetId="20" hidden="1">#REF!</definedName>
    <definedName name="_96__123Graph_ACHART_3" localSheetId="22" hidden="1">#REF!</definedName>
    <definedName name="_96__123Graph_ACHART_3" localSheetId="19" hidden="1">#REF!</definedName>
    <definedName name="_96__123Graph_ACHART_3" hidden="1">#REF!</definedName>
    <definedName name="_9GH_2_SPINDEL" localSheetId="8">#REF!</definedName>
    <definedName name="_9GH_2_SPINDEL" localSheetId="12">#REF!</definedName>
    <definedName name="_9GH_2_SPINDEL" localSheetId="21">#REF!</definedName>
    <definedName name="_9GH_2_SPINDEL" localSheetId="23">#REF!</definedName>
    <definedName name="_9GH_2_SPINDEL" localSheetId="20">#REF!</definedName>
    <definedName name="_9GH_2_SPINDEL" localSheetId="22">#REF!</definedName>
    <definedName name="_9GH_2_SPINDEL" localSheetId="19">#REF!</definedName>
    <definedName name="_9GH_2_SPINDEL" localSheetId="18">#REF!</definedName>
    <definedName name="_9GH_2_SPINDEL" localSheetId="5">#REF!</definedName>
    <definedName name="_9GH_2_SPINDEL">#REF!</definedName>
    <definedName name="_BAT48100">#REF!</definedName>
    <definedName name="_DAF1" localSheetId="8">#REF!</definedName>
    <definedName name="_DAF1" localSheetId="12">#REF!</definedName>
    <definedName name="_DAF1" localSheetId="21">#REF!</definedName>
    <definedName name="_DAF1" localSheetId="23">#REF!</definedName>
    <definedName name="_DAF1" localSheetId="20">#REF!</definedName>
    <definedName name="_DAF1" localSheetId="22">#REF!</definedName>
    <definedName name="_DAF1" localSheetId="19">#REF!</definedName>
    <definedName name="_DAF1" localSheetId="18">#REF!</definedName>
    <definedName name="_DAF1" localSheetId="5">#REF!</definedName>
    <definedName name="_DAF1">#REF!</definedName>
    <definedName name="_DAF11" localSheetId="8">#REF!</definedName>
    <definedName name="_DAF11" localSheetId="12">#REF!</definedName>
    <definedName name="_DAF11" localSheetId="21">#REF!</definedName>
    <definedName name="_DAF11" localSheetId="23">#REF!</definedName>
    <definedName name="_DAF11" localSheetId="20">#REF!</definedName>
    <definedName name="_DAF11" localSheetId="22">#REF!</definedName>
    <definedName name="_DAF11" localSheetId="19">#REF!</definedName>
    <definedName name="_DAF11" localSheetId="18">#REF!</definedName>
    <definedName name="_DAF11" localSheetId="5">#REF!</definedName>
    <definedName name="_DAF11">#REF!</definedName>
    <definedName name="_DAF12" localSheetId="8">#REF!</definedName>
    <definedName name="_DAF12" localSheetId="12">#REF!</definedName>
    <definedName name="_DAF12" localSheetId="21">#REF!</definedName>
    <definedName name="_DAF12" localSheetId="23">#REF!</definedName>
    <definedName name="_DAF12" localSheetId="20">#REF!</definedName>
    <definedName name="_DAF12" localSheetId="22">#REF!</definedName>
    <definedName name="_DAF12" localSheetId="19">#REF!</definedName>
    <definedName name="_DAF12" localSheetId="18">#REF!</definedName>
    <definedName name="_DAF12" localSheetId="5">#REF!</definedName>
    <definedName name="_DAF12">#REF!</definedName>
    <definedName name="_DAF13" localSheetId="8">#REF!</definedName>
    <definedName name="_DAF13" localSheetId="12">#REF!</definedName>
    <definedName name="_DAF13" localSheetId="21">#REF!</definedName>
    <definedName name="_DAF13" localSheetId="23">#REF!</definedName>
    <definedName name="_DAF13" localSheetId="20">#REF!</definedName>
    <definedName name="_DAF13" localSheetId="22">#REF!</definedName>
    <definedName name="_DAF13" localSheetId="19">#REF!</definedName>
    <definedName name="_DAF13" localSheetId="18">#REF!</definedName>
    <definedName name="_DAF13">#REF!</definedName>
    <definedName name="_daf133" localSheetId="8">#REF!</definedName>
    <definedName name="_daf133" localSheetId="12">#REF!</definedName>
    <definedName name="_daf133" localSheetId="21">#REF!</definedName>
    <definedName name="_daf133" localSheetId="23">#REF!</definedName>
    <definedName name="_daf133" localSheetId="20">#REF!</definedName>
    <definedName name="_daf133" localSheetId="22">#REF!</definedName>
    <definedName name="_daf133" localSheetId="19">#REF!</definedName>
    <definedName name="_daf133" localSheetId="18">#REF!</definedName>
    <definedName name="_daf133">#REF!</definedName>
    <definedName name="_DAF14" localSheetId="8">#REF!</definedName>
    <definedName name="_DAF14" localSheetId="12">#REF!</definedName>
    <definedName name="_DAF14" localSheetId="21">#REF!</definedName>
    <definedName name="_DAF14" localSheetId="23">#REF!</definedName>
    <definedName name="_DAF14" localSheetId="20">#REF!</definedName>
    <definedName name="_DAF14" localSheetId="22">#REF!</definedName>
    <definedName name="_DAF14" localSheetId="19">#REF!</definedName>
    <definedName name="_DAF14" localSheetId="18">#REF!</definedName>
    <definedName name="_DAF14">#REF!</definedName>
    <definedName name="_DAF15" localSheetId="8">#REF!</definedName>
    <definedName name="_DAF15" localSheetId="12">#REF!</definedName>
    <definedName name="_DAF15" localSheetId="21">#REF!</definedName>
    <definedName name="_DAF15" localSheetId="23">#REF!</definedName>
    <definedName name="_DAF15" localSheetId="20">#REF!</definedName>
    <definedName name="_DAF15" localSheetId="22">#REF!</definedName>
    <definedName name="_DAF15" localSheetId="19">#REF!</definedName>
    <definedName name="_DAF15" localSheetId="18">#REF!</definedName>
    <definedName name="_DAF15">#REF!</definedName>
    <definedName name="_DAF16" localSheetId="8">#REF!</definedName>
    <definedName name="_DAF16" localSheetId="12">#REF!</definedName>
    <definedName name="_DAF16" localSheetId="21">#REF!</definedName>
    <definedName name="_DAF16" localSheetId="23">#REF!</definedName>
    <definedName name="_DAF16" localSheetId="20">#REF!</definedName>
    <definedName name="_DAF16" localSheetId="22">#REF!</definedName>
    <definedName name="_DAF16" localSheetId="19">#REF!</definedName>
    <definedName name="_DAF16" localSheetId="18">#REF!</definedName>
    <definedName name="_DAF16">#REF!</definedName>
    <definedName name="_DAF17" localSheetId="8">#REF!</definedName>
    <definedName name="_DAF17" localSheetId="12">#REF!</definedName>
    <definedName name="_DAF17" localSheetId="21">#REF!</definedName>
    <definedName name="_DAF17" localSheetId="23">#REF!</definedName>
    <definedName name="_DAF17" localSheetId="20">#REF!</definedName>
    <definedName name="_DAF17" localSheetId="22">#REF!</definedName>
    <definedName name="_DAF17" localSheetId="19">#REF!</definedName>
    <definedName name="_DAF17" localSheetId="18">#REF!</definedName>
    <definedName name="_DAF17">#REF!</definedName>
    <definedName name="_DAF2" localSheetId="8">#REF!</definedName>
    <definedName name="_DAF2" localSheetId="12">#REF!</definedName>
    <definedName name="_DAF2" localSheetId="21">#REF!</definedName>
    <definedName name="_DAF2" localSheetId="23">#REF!</definedName>
    <definedName name="_DAF2" localSheetId="20">#REF!</definedName>
    <definedName name="_DAF2" localSheetId="22">#REF!</definedName>
    <definedName name="_DAF2" localSheetId="19">#REF!</definedName>
    <definedName name="_DAF2" localSheetId="18">#REF!</definedName>
    <definedName name="_DAF2">#REF!</definedName>
    <definedName name="_DAF3" localSheetId="8">#REF!</definedName>
    <definedName name="_DAF3" localSheetId="12">#REF!</definedName>
    <definedName name="_DAF3" localSheetId="21">#REF!</definedName>
    <definedName name="_DAF3" localSheetId="23">#REF!</definedName>
    <definedName name="_DAF3" localSheetId="20">#REF!</definedName>
    <definedName name="_DAF3" localSheetId="22">#REF!</definedName>
    <definedName name="_DAF3" localSheetId="19">#REF!</definedName>
    <definedName name="_DAF3" localSheetId="18">#REF!</definedName>
    <definedName name="_DAF3">#REF!</definedName>
    <definedName name="_Dist_Bin" localSheetId="8" hidden="1">#REF!</definedName>
    <definedName name="_Dist_Bin" localSheetId="12" hidden="1">#REF!</definedName>
    <definedName name="_Dist_Bin" localSheetId="21" hidden="1">#REF!</definedName>
    <definedName name="_Dist_Bin" localSheetId="23" hidden="1">#REF!</definedName>
    <definedName name="_Dist_Bin" localSheetId="20" hidden="1">#REF!</definedName>
    <definedName name="_Dist_Bin" localSheetId="22" hidden="1">#REF!</definedName>
    <definedName name="_Dist_Bin" localSheetId="19" hidden="1">#REF!</definedName>
    <definedName name="_Dist_Bin" localSheetId="18" hidden="1">#REF!</definedName>
    <definedName name="_Dist_Bin" hidden="1">#REF!</definedName>
    <definedName name="_Dist_Values" localSheetId="8" hidden="1">#REF!</definedName>
    <definedName name="_Dist_Values" localSheetId="12" hidden="1">#REF!</definedName>
    <definedName name="_Dist_Values" localSheetId="21" hidden="1">#REF!</definedName>
    <definedName name="_Dist_Values" localSheetId="23" hidden="1">#REF!</definedName>
    <definedName name="_Dist_Values" localSheetId="20" hidden="1">#REF!</definedName>
    <definedName name="_Dist_Values" localSheetId="22" hidden="1">#REF!</definedName>
    <definedName name="_Dist_Values" localSheetId="19" hidden="1">#REF!</definedName>
    <definedName name="_Dist_Values" localSheetId="18" hidden="1">#REF!</definedName>
    <definedName name="_Dist_Values" hidden="1">#REF!</definedName>
    <definedName name="_DMA7">#REF!</definedName>
    <definedName name="_Fill" localSheetId="8" hidden="1">#REF!</definedName>
    <definedName name="_Fill" localSheetId="12" hidden="1">#REF!</definedName>
    <definedName name="_Fill" localSheetId="21" hidden="1">#REF!</definedName>
    <definedName name="_Fill" localSheetId="23" hidden="1">#REF!</definedName>
    <definedName name="_Fill" localSheetId="20" hidden="1">#REF!</definedName>
    <definedName name="_Fill" localSheetId="22" hidden="1">#REF!</definedName>
    <definedName name="_Fill" localSheetId="19" hidden="1">#REF!</definedName>
    <definedName name="_Fill" localSheetId="18" hidden="1">#REF!</definedName>
    <definedName name="_Fill" localSheetId="5" hidden="1">#REF!</definedName>
    <definedName name="_Fill" hidden="1">#REF!</definedName>
    <definedName name="_hal1" localSheetId="8">#REF!</definedName>
    <definedName name="_hal1" localSheetId="12">#REF!</definedName>
    <definedName name="_hal1" localSheetId="21">#REF!</definedName>
    <definedName name="_hal1" localSheetId="23">#REF!</definedName>
    <definedName name="_hal1" localSheetId="20">#REF!</definedName>
    <definedName name="_hal1" localSheetId="22">#REF!</definedName>
    <definedName name="_hal1" localSheetId="19">#REF!</definedName>
    <definedName name="_hal1" localSheetId="18">#REF!</definedName>
    <definedName name="_hal1" localSheetId="5">#REF!</definedName>
    <definedName name="_hal1">#REF!</definedName>
    <definedName name="_hal2" localSheetId="8">#REF!</definedName>
    <definedName name="_hal2" localSheetId="12">#REF!</definedName>
    <definedName name="_hal2" localSheetId="21">#REF!</definedName>
    <definedName name="_hal2" localSheetId="23">#REF!</definedName>
    <definedName name="_hal2" localSheetId="20">#REF!</definedName>
    <definedName name="_hal2" localSheetId="22">#REF!</definedName>
    <definedName name="_hal2" localSheetId="19">#REF!</definedName>
    <definedName name="_hal2" localSheetId="18">#REF!</definedName>
    <definedName name="_hal2" localSheetId="5">#REF!</definedName>
    <definedName name="_hal2">#REF!</definedName>
    <definedName name="_hal3" localSheetId="8">#REF!</definedName>
    <definedName name="_hal3" localSheetId="12">#REF!</definedName>
    <definedName name="_hal3" localSheetId="21">#REF!</definedName>
    <definedName name="_hal3" localSheetId="23">#REF!</definedName>
    <definedName name="_hal3" localSheetId="20">#REF!</definedName>
    <definedName name="_hal3" localSheetId="22">#REF!</definedName>
    <definedName name="_hal3" localSheetId="19">#REF!</definedName>
    <definedName name="_hal3" localSheetId="18">#REF!</definedName>
    <definedName name="_hal3" localSheetId="5">#REF!</definedName>
    <definedName name="_hal3">#REF!</definedName>
    <definedName name="_hal4" localSheetId="8">#REF!</definedName>
    <definedName name="_hal4" localSheetId="12">#REF!</definedName>
    <definedName name="_hal4" localSheetId="21">#REF!</definedName>
    <definedName name="_hal4" localSheetId="23">#REF!</definedName>
    <definedName name="_hal4" localSheetId="20">#REF!</definedName>
    <definedName name="_hal4" localSheetId="22">#REF!</definedName>
    <definedName name="_hal4" localSheetId="19">#REF!</definedName>
    <definedName name="_hal4" localSheetId="18">#REF!</definedName>
    <definedName name="_hal4">#REF!</definedName>
    <definedName name="_hal5" localSheetId="8">#REF!</definedName>
    <definedName name="_hal5" localSheetId="12">#REF!</definedName>
    <definedName name="_hal5" localSheetId="21">#REF!</definedName>
    <definedName name="_hal5" localSheetId="23">#REF!</definedName>
    <definedName name="_hal5" localSheetId="20">#REF!</definedName>
    <definedName name="_hal5" localSheetId="22">#REF!</definedName>
    <definedName name="_hal5" localSheetId="19">#REF!</definedName>
    <definedName name="_hal5" localSheetId="18">#REF!</definedName>
    <definedName name="_hal5">#REF!</definedName>
    <definedName name="_hal6" localSheetId="8">#REF!</definedName>
    <definedName name="_hal6" localSheetId="12">#REF!</definedName>
    <definedName name="_hal6" localSheetId="21">#REF!</definedName>
    <definedName name="_hal6" localSheetId="23">#REF!</definedName>
    <definedName name="_hal6" localSheetId="20">#REF!</definedName>
    <definedName name="_hal6" localSheetId="22">#REF!</definedName>
    <definedName name="_hal6" localSheetId="19">#REF!</definedName>
    <definedName name="_hal6" localSheetId="18">#REF!</definedName>
    <definedName name="_hal6">#REF!</definedName>
    <definedName name="_HLM1">#REF!</definedName>
    <definedName name="_HLM2" localSheetId="8">#REF!</definedName>
    <definedName name="_HLM2" localSheetId="21">#REF!</definedName>
    <definedName name="_HLM2" localSheetId="23">#REF!</definedName>
    <definedName name="_HLM2" localSheetId="20">#REF!</definedName>
    <definedName name="_HLM2" localSheetId="22">#REF!</definedName>
    <definedName name="_HLM2" localSheetId="19">#REF!</definedName>
    <definedName name="_HLM2" localSheetId="5">#REF!</definedName>
    <definedName name="_HLM2">#REF!</definedName>
    <definedName name="_HLM3" localSheetId="8">#REF!</definedName>
    <definedName name="_HLM3" localSheetId="21">#REF!</definedName>
    <definedName name="_HLM3" localSheetId="23">#REF!</definedName>
    <definedName name="_HLM3" localSheetId="20">#REF!</definedName>
    <definedName name="_HLM3" localSheetId="22">#REF!</definedName>
    <definedName name="_HLM3" localSheetId="19">#REF!</definedName>
    <definedName name="_HLM3" localSheetId="5">#REF!</definedName>
    <definedName name="_HLM3">#REF!</definedName>
    <definedName name="_JUD1" localSheetId="8">#REF!</definedName>
    <definedName name="_JUD1" localSheetId="21">#REF!</definedName>
    <definedName name="_JUD1" localSheetId="23">#REF!</definedName>
    <definedName name="_JUD1" localSheetId="20">#REF!</definedName>
    <definedName name="_JUD1" localSheetId="22">#REF!</definedName>
    <definedName name="_JUD1" localSheetId="19">#REF!</definedName>
    <definedName name="_JUD1" localSheetId="5">#REF!</definedName>
    <definedName name="_JUD1">#REF!</definedName>
    <definedName name="_JUD2" localSheetId="8">#REF!</definedName>
    <definedName name="_JUD2" localSheetId="21">#REF!</definedName>
    <definedName name="_JUD2" localSheetId="23">#REF!</definedName>
    <definedName name="_JUD2" localSheetId="20">#REF!</definedName>
    <definedName name="_JUD2" localSheetId="22">#REF!</definedName>
    <definedName name="_JUD2" localSheetId="19">#REF!</definedName>
    <definedName name="_JUD2" localSheetId="5">#REF!</definedName>
    <definedName name="_JUD2">#REF!</definedName>
    <definedName name="_JUD3" localSheetId="8">#REF!</definedName>
    <definedName name="_JUD3" localSheetId="21">#REF!</definedName>
    <definedName name="_JUD3" localSheetId="23">#REF!</definedName>
    <definedName name="_JUD3" localSheetId="20">#REF!</definedName>
    <definedName name="_JUD3" localSheetId="22">#REF!</definedName>
    <definedName name="_JUD3" localSheetId="19">#REF!</definedName>
    <definedName name="_JUD3">#REF!</definedName>
    <definedName name="_JUD4" localSheetId="8">#REF!</definedName>
    <definedName name="_JUD4" localSheetId="21">#REF!</definedName>
    <definedName name="_JUD4" localSheetId="23">#REF!</definedName>
    <definedName name="_JUD4" localSheetId="20">#REF!</definedName>
    <definedName name="_JUD4" localSheetId="22">#REF!</definedName>
    <definedName name="_JUD4" localSheetId="19">#REF!</definedName>
    <definedName name="_JUD4">#REF!</definedName>
    <definedName name="_JUD5" localSheetId="8">#REF!</definedName>
    <definedName name="_JUD5" localSheetId="21">#REF!</definedName>
    <definedName name="_JUD5" localSheetId="23">#REF!</definedName>
    <definedName name="_JUD5" localSheetId="20">#REF!</definedName>
    <definedName name="_JUD5" localSheetId="22">#REF!</definedName>
    <definedName name="_JUD5" localSheetId="19">#REF!</definedName>
    <definedName name="_JUD5">#REF!</definedName>
    <definedName name="_JUD6" localSheetId="8">#REF!</definedName>
    <definedName name="_JUD6" localSheetId="21">#REF!</definedName>
    <definedName name="_JUD6" localSheetId="23">#REF!</definedName>
    <definedName name="_JUD6" localSheetId="20">#REF!</definedName>
    <definedName name="_JUD6" localSheetId="22">#REF!</definedName>
    <definedName name="_JUD6" localSheetId="19">#REF!</definedName>
    <definedName name="_JUD6">#REF!</definedName>
    <definedName name="_JUD7" localSheetId="8">#REF!</definedName>
    <definedName name="_JUD7" localSheetId="21">#REF!</definedName>
    <definedName name="_JUD7" localSheetId="23">#REF!</definedName>
    <definedName name="_JUD7" localSheetId="20">#REF!</definedName>
    <definedName name="_JUD7" localSheetId="22">#REF!</definedName>
    <definedName name="_JUD7" localSheetId="19">#REF!</definedName>
    <definedName name="_JUD7">#REF!</definedName>
    <definedName name="_JUL3" localSheetId="8">#REF!</definedName>
    <definedName name="_JUL3" localSheetId="21">#REF!</definedName>
    <definedName name="_JUL3" localSheetId="23">#REF!</definedName>
    <definedName name="_JUL3" localSheetId="20">#REF!</definedName>
    <definedName name="_JUL3" localSheetId="22">#REF!</definedName>
    <definedName name="_JUL3" localSheetId="19">#REF!</definedName>
    <definedName name="_JUL3" localSheetId="5">#REF!</definedName>
    <definedName name="_JUL3">#REF!</definedName>
    <definedName name="_kb1" localSheetId="8">#REF!</definedName>
    <definedName name="_kb1" localSheetId="12">#REF!</definedName>
    <definedName name="_kb1" localSheetId="21">#REF!</definedName>
    <definedName name="_kb1" localSheetId="23">#REF!</definedName>
    <definedName name="_kb1" localSheetId="20">#REF!</definedName>
    <definedName name="_kb1" localSheetId="22">#REF!</definedName>
    <definedName name="_kb1" localSheetId="19">#REF!</definedName>
    <definedName name="_kb1" localSheetId="18">#REF!</definedName>
    <definedName name="_kb1">#REF!</definedName>
    <definedName name="_kb2" localSheetId="8">#REF!</definedName>
    <definedName name="_kb2" localSheetId="12">#REF!</definedName>
    <definedName name="_kb2" localSheetId="21">#REF!</definedName>
    <definedName name="_kb2" localSheetId="23">#REF!</definedName>
    <definedName name="_kb2" localSheetId="20">#REF!</definedName>
    <definedName name="_kb2" localSheetId="22">#REF!</definedName>
    <definedName name="_kb2" localSheetId="19">#REF!</definedName>
    <definedName name="_kb2" localSheetId="18">#REF!</definedName>
    <definedName name="_kb2">#REF!</definedName>
    <definedName name="_Key1" localSheetId="8" hidden="1">#REF!</definedName>
    <definedName name="_Key1" localSheetId="12" hidden="1">#REF!</definedName>
    <definedName name="_Key1" localSheetId="21" hidden="1">#REF!</definedName>
    <definedName name="_Key1" localSheetId="23" hidden="1">#REF!</definedName>
    <definedName name="_Key1" localSheetId="20" hidden="1">#REF!</definedName>
    <definedName name="_Key1" localSheetId="22" hidden="1">#REF!</definedName>
    <definedName name="_Key1" localSheetId="19" hidden="1">#REF!</definedName>
    <definedName name="_Key1" localSheetId="18" hidden="1">#REF!</definedName>
    <definedName name="_Key1" localSheetId="5" hidden="1">#REF!</definedName>
    <definedName name="_Key1" hidden="1">#REF!</definedName>
    <definedName name="_Key2" localSheetId="8" hidden="1">#REF!</definedName>
    <definedName name="_Key2" localSheetId="12" hidden="1">#REF!</definedName>
    <definedName name="_Key2" localSheetId="21" hidden="1">#REF!</definedName>
    <definedName name="_Key2" localSheetId="23" hidden="1">#REF!</definedName>
    <definedName name="_Key2" localSheetId="20" hidden="1">#REF!</definedName>
    <definedName name="_Key2" localSheetId="22" hidden="1">#REF!</definedName>
    <definedName name="_Key2" localSheetId="19" hidden="1">#REF!</definedName>
    <definedName name="_Key2" localSheetId="18" hidden="1">#REF!</definedName>
    <definedName name="_Key2" localSheetId="5" hidden="1">#REF!</definedName>
    <definedName name="_Key2" hidden="1">#REF!</definedName>
    <definedName name="_kp1" localSheetId="8">#REF!</definedName>
    <definedName name="_kp1" localSheetId="12">#REF!</definedName>
    <definedName name="_kp1" localSheetId="21">#REF!</definedName>
    <definedName name="_kp1" localSheetId="23">#REF!</definedName>
    <definedName name="_kp1" localSheetId="20">#REF!</definedName>
    <definedName name="_kp1" localSheetId="22">#REF!</definedName>
    <definedName name="_kp1" localSheetId="19">#REF!</definedName>
    <definedName name="_kp1" localSheetId="18">#REF!</definedName>
    <definedName name="_kp1">#REF!</definedName>
    <definedName name="_la150">#REF!</definedName>
    <definedName name="_LinkPic_148B9ED1F0E34034A77CBB6312C3737E" localSheetId="8">#REF!</definedName>
    <definedName name="_LinkPic_148B9ED1F0E34034A77CBB6312C3737E" localSheetId="12">#REF!</definedName>
    <definedName name="_LinkPic_148B9ED1F0E34034A77CBB6312C3737E" localSheetId="21">#REF!</definedName>
    <definedName name="_LinkPic_148B9ED1F0E34034A77CBB6312C3737E" localSheetId="23">#REF!</definedName>
    <definedName name="_LinkPic_148B9ED1F0E34034A77CBB6312C3737E" localSheetId="20">#REF!</definedName>
    <definedName name="_LinkPic_148B9ED1F0E34034A77CBB6312C3737E" localSheetId="22">#REF!</definedName>
    <definedName name="_LinkPic_148B9ED1F0E34034A77CBB6312C3737E" localSheetId="19">#REF!</definedName>
    <definedName name="_LinkPic_148B9ED1F0E34034A77CBB6312C3737E" localSheetId="18">#REF!</definedName>
    <definedName name="_LinkPic_148B9ED1F0E34034A77CBB6312C3737E" localSheetId="5">#REF!</definedName>
    <definedName name="_LinkPic_148B9ED1F0E34034A77CBB6312C3737E">#REF!</definedName>
    <definedName name="_LinkPic_3BD6DC9EA1244135BB44D10D9B947A20" localSheetId="8">#REF!</definedName>
    <definedName name="_LinkPic_3BD6DC9EA1244135BB44D10D9B947A20" localSheetId="12">#REF!</definedName>
    <definedName name="_LinkPic_3BD6DC9EA1244135BB44D10D9B947A20" localSheetId="21">#REF!</definedName>
    <definedName name="_LinkPic_3BD6DC9EA1244135BB44D10D9B947A20" localSheetId="23">#REF!</definedName>
    <definedName name="_LinkPic_3BD6DC9EA1244135BB44D10D9B947A20" localSheetId="20">#REF!</definedName>
    <definedName name="_LinkPic_3BD6DC9EA1244135BB44D10D9B947A20" localSheetId="22">#REF!</definedName>
    <definedName name="_LinkPic_3BD6DC9EA1244135BB44D10D9B947A20" localSheetId="19">#REF!</definedName>
    <definedName name="_LinkPic_3BD6DC9EA1244135BB44D10D9B947A20" localSheetId="18">#REF!</definedName>
    <definedName name="_LinkPic_3BD6DC9EA1244135BB44D10D9B947A20" localSheetId="5">#REF!</definedName>
    <definedName name="_LinkPic_3BD6DC9EA1244135BB44D10D9B947A20">#REF!</definedName>
    <definedName name="_LinkPic_450384875BDD4637926F9BC2A5B87B18" localSheetId="8">#REF!</definedName>
    <definedName name="_LinkPic_450384875BDD4637926F9BC2A5B87B18" localSheetId="12">#REF!</definedName>
    <definedName name="_LinkPic_450384875BDD4637926F9BC2A5B87B18" localSheetId="21">#REF!</definedName>
    <definedName name="_LinkPic_450384875BDD4637926F9BC2A5B87B18" localSheetId="23">#REF!</definedName>
    <definedName name="_LinkPic_450384875BDD4637926F9BC2A5B87B18" localSheetId="20">#REF!</definedName>
    <definedName name="_LinkPic_450384875BDD4637926F9BC2A5B87B18" localSheetId="22">#REF!</definedName>
    <definedName name="_LinkPic_450384875BDD4637926F9BC2A5B87B18" localSheetId="19">#REF!</definedName>
    <definedName name="_LinkPic_450384875BDD4637926F9BC2A5B87B18" localSheetId="18">#REF!</definedName>
    <definedName name="_LinkPic_450384875BDD4637926F9BC2A5B87B18" localSheetId="5">#REF!</definedName>
    <definedName name="_LinkPic_450384875BDD4637926F9BC2A5B87B18">#REF!</definedName>
    <definedName name="_LinkPic_5D9A26180F9345689881A3AD580D3F7A">#REF!</definedName>
    <definedName name="_LinkPic_DC9E3C4193F340C38D569535AFB3BB77">#REF!</definedName>
    <definedName name="_LinkPic_E9349935B30E48F09406EDCF5D273022" localSheetId="8">#REF!</definedName>
    <definedName name="_LinkPic_E9349935B30E48F09406EDCF5D273022" localSheetId="12">#REF!</definedName>
    <definedName name="_LinkPic_E9349935B30E48F09406EDCF5D273022" localSheetId="21">#REF!</definedName>
    <definedName name="_LinkPic_E9349935B30E48F09406EDCF5D273022" localSheetId="23">#REF!</definedName>
    <definedName name="_LinkPic_E9349935B30E48F09406EDCF5D273022" localSheetId="20">#REF!</definedName>
    <definedName name="_LinkPic_E9349935B30E48F09406EDCF5D273022" localSheetId="22">#REF!</definedName>
    <definedName name="_LinkPic_E9349935B30E48F09406EDCF5D273022" localSheetId="19">#REF!</definedName>
    <definedName name="_LinkPic_E9349935B30E48F09406EDCF5D273022" localSheetId="18">#REF!</definedName>
    <definedName name="_LinkPic_E9349935B30E48F09406EDCF5D273022" localSheetId="5">#REF!</definedName>
    <definedName name="_LinkPic_E9349935B30E48F09406EDCF5D273022">#REF!</definedName>
    <definedName name="_LinkPic_F2A3E2A02A344C94935E694361951F2D" localSheetId="8">#REF!</definedName>
    <definedName name="_LinkPic_F2A3E2A02A344C94935E694361951F2D" localSheetId="12">#REF!</definedName>
    <definedName name="_LinkPic_F2A3E2A02A344C94935E694361951F2D" localSheetId="21">#REF!</definedName>
    <definedName name="_LinkPic_F2A3E2A02A344C94935E694361951F2D" localSheetId="23">#REF!</definedName>
    <definedName name="_LinkPic_F2A3E2A02A344C94935E694361951F2D" localSheetId="20">#REF!</definedName>
    <definedName name="_LinkPic_F2A3E2A02A344C94935E694361951F2D" localSheetId="22">#REF!</definedName>
    <definedName name="_LinkPic_F2A3E2A02A344C94935E694361951F2D" localSheetId="19">#REF!</definedName>
    <definedName name="_LinkPic_F2A3E2A02A344C94935E694361951F2D" localSheetId="18">#REF!</definedName>
    <definedName name="_LinkPic_F2A3E2A02A344C94935E694361951F2D" localSheetId="5">#REF!</definedName>
    <definedName name="_LinkPic_F2A3E2A02A344C94935E694361951F2D">#REF!</definedName>
    <definedName name="_LinkPic_F92207FEB2A6436FA348F7B54826350A" localSheetId="8">#REF!</definedName>
    <definedName name="_LinkPic_F92207FEB2A6436FA348F7B54826350A" localSheetId="12">#REF!</definedName>
    <definedName name="_LinkPic_F92207FEB2A6436FA348F7B54826350A" localSheetId="21">#REF!</definedName>
    <definedName name="_LinkPic_F92207FEB2A6436FA348F7B54826350A" localSheetId="23">#REF!</definedName>
    <definedName name="_LinkPic_F92207FEB2A6436FA348F7B54826350A" localSheetId="20">#REF!</definedName>
    <definedName name="_LinkPic_F92207FEB2A6436FA348F7B54826350A" localSheetId="22">#REF!</definedName>
    <definedName name="_LinkPic_F92207FEB2A6436FA348F7B54826350A" localSheetId="19">#REF!</definedName>
    <definedName name="_LinkPic_F92207FEB2A6436FA348F7B54826350A" localSheetId="18">#REF!</definedName>
    <definedName name="_LinkPic_F92207FEB2A6436FA348F7B54826350A" localSheetId="5">#REF!</definedName>
    <definedName name="_LinkPic_F92207FEB2A6436FA348F7B54826350A">#REF!</definedName>
    <definedName name="_LinkPic_FD057638FD704751A8053D1BA1E0275E" localSheetId="8">#REF!</definedName>
    <definedName name="_LinkPic_FD057638FD704751A8053D1BA1E0275E" localSheetId="12">#REF!</definedName>
    <definedName name="_LinkPic_FD057638FD704751A8053D1BA1E0275E" localSheetId="21">#REF!</definedName>
    <definedName name="_LinkPic_FD057638FD704751A8053D1BA1E0275E" localSheetId="23">#REF!</definedName>
    <definedName name="_LinkPic_FD057638FD704751A8053D1BA1E0275E" localSheetId="20">#REF!</definedName>
    <definedName name="_LinkPic_FD057638FD704751A8053D1BA1E0275E" localSheetId="22">#REF!</definedName>
    <definedName name="_LinkPic_FD057638FD704751A8053D1BA1E0275E" localSheetId="19">#REF!</definedName>
    <definedName name="_LinkPic_FD057638FD704751A8053D1BA1E0275E" localSheetId="18">#REF!</definedName>
    <definedName name="_LinkPic_FD057638FD704751A8053D1BA1E0275E">#REF!</definedName>
    <definedName name="_LinkPic_FF645AB2FF2843DCB43AEDF9934790E6" localSheetId="8">#REF!</definedName>
    <definedName name="_LinkPic_FF645AB2FF2843DCB43AEDF9934790E6" localSheetId="12">#REF!</definedName>
    <definedName name="_LinkPic_FF645AB2FF2843DCB43AEDF9934790E6" localSheetId="21">#REF!</definedName>
    <definedName name="_LinkPic_FF645AB2FF2843DCB43AEDF9934790E6" localSheetId="23">#REF!</definedName>
    <definedName name="_LinkPic_FF645AB2FF2843DCB43AEDF9934790E6" localSheetId="20">#REF!</definedName>
    <definedName name="_LinkPic_FF645AB2FF2843DCB43AEDF9934790E6" localSheetId="22">#REF!</definedName>
    <definedName name="_LinkPic_FF645AB2FF2843DCB43AEDF9934790E6" localSheetId="19">#REF!</definedName>
    <definedName name="_LinkPic_FF645AB2FF2843DCB43AEDF9934790E6" localSheetId="18">#REF!</definedName>
    <definedName name="_LinkPic_FF645AB2FF2843DCB43AEDF9934790E6">#REF!</definedName>
    <definedName name="_MAN1">#REF!</definedName>
    <definedName name="_MAN2" localSheetId="8">#REF!</definedName>
    <definedName name="_MAN2" localSheetId="21">#REF!</definedName>
    <definedName name="_MAN2" localSheetId="23">#REF!</definedName>
    <definedName name="_MAN2" localSheetId="20">#REF!</definedName>
    <definedName name="_MAN2" localSheetId="22">#REF!</definedName>
    <definedName name="_MAN2" localSheetId="19">#REF!</definedName>
    <definedName name="_MAN2" localSheetId="5">#REF!</definedName>
    <definedName name="_MAN2">#REF!</definedName>
    <definedName name="_MAN3" localSheetId="8">#REF!</definedName>
    <definedName name="_MAN3" localSheetId="21">#REF!</definedName>
    <definedName name="_MAN3" localSheetId="23">#REF!</definedName>
    <definedName name="_MAN3" localSheetId="20">#REF!</definedName>
    <definedName name="_MAN3" localSheetId="22">#REF!</definedName>
    <definedName name="_MAN3" localSheetId="19">#REF!</definedName>
    <definedName name="_MAN3" localSheetId="5">#REF!</definedName>
    <definedName name="_MAN3">#REF!</definedName>
    <definedName name="_MEI92" localSheetId="8">#REF!</definedName>
    <definedName name="_MEI92" localSheetId="12">#REF!</definedName>
    <definedName name="_MEI92" localSheetId="21">#REF!</definedName>
    <definedName name="_MEI92" localSheetId="23">#REF!</definedName>
    <definedName name="_MEI92" localSheetId="20">#REF!</definedName>
    <definedName name="_MEI92" localSheetId="22">#REF!</definedName>
    <definedName name="_MEI92" localSheetId="19">#REF!</definedName>
    <definedName name="_MEI92" localSheetId="18">#REF!</definedName>
    <definedName name="_MEI92" localSheetId="5">#REF!</definedName>
    <definedName name="_MEI92">#REF!</definedName>
    <definedName name="_npv1" localSheetId="8">#REF!</definedName>
    <definedName name="_npv1" localSheetId="12">#REF!</definedName>
    <definedName name="_npv1" localSheetId="21">#REF!</definedName>
    <definedName name="_npv1" localSheetId="23">#REF!</definedName>
    <definedName name="_npv1" localSheetId="20">#REF!</definedName>
    <definedName name="_npv1" localSheetId="22">#REF!</definedName>
    <definedName name="_npv1" localSheetId="19">#REF!</definedName>
    <definedName name="_npv1" localSheetId="18">#REF!</definedName>
    <definedName name="_npv1" localSheetId="5">#REF!</definedName>
    <definedName name="_npv1">#REF!</definedName>
    <definedName name="_npv2" localSheetId="8">#REF!</definedName>
    <definedName name="_npv2" localSheetId="12">#REF!</definedName>
    <definedName name="_npv2" localSheetId="21">#REF!</definedName>
    <definedName name="_npv2" localSheetId="23">#REF!</definedName>
    <definedName name="_npv2" localSheetId="20">#REF!</definedName>
    <definedName name="_npv2" localSheetId="22">#REF!</definedName>
    <definedName name="_npv2" localSheetId="19">#REF!</definedName>
    <definedName name="_npv2" localSheetId="18">#REF!</definedName>
    <definedName name="_npv2" localSheetId="5">#REF!</definedName>
    <definedName name="_npv2">#REF!</definedName>
    <definedName name="_Order1" hidden="1">0</definedName>
    <definedName name="_Order2" hidden="1">255</definedName>
    <definedName name="_pmt7040">#REF!</definedName>
    <definedName name="_PRSB_A11..B_O1" localSheetId="8">#REF!</definedName>
    <definedName name="_PRSB_A11..B_O1" localSheetId="12">#REF!</definedName>
    <definedName name="_PRSB_A11..B_O1" localSheetId="21">#REF!</definedName>
    <definedName name="_PRSB_A11..B_O1" localSheetId="23">#REF!</definedName>
    <definedName name="_PRSB_A11..B_O1" localSheetId="20">#REF!</definedName>
    <definedName name="_PRSB_A11..B_O1" localSheetId="22">#REF!</definedName>
    <definedName name="_PRSB_A11..B_O1" localSheetId="19">#REF!</definedName>
    <definedName name="_PRSB_A11..B_O1" localSheetId="18">#REF!</definedName>
    <definedName name="_PRSB_A11..B_O1" localSheetId="5">#REF!</definedName>
    <definedName name="_PRSB_A11..B_O1">#REF!</definedName>
    <definedName name="_PRSS1..AD1683_" localSheetId="8">#REF!</definedName>
    <definedName name="_PRSS1..AD1683_" localSheetId="12">#REF!</definedName>
    <definedName name="_PRSS1..AD1683_" localSheetId="21">#REF!</definedName>
    <definedName name="_PRSS1..AD1683_" localSheetId="23">#REF!</definedName>
    <definedName name="_PRSS1..AD1683_" localSheetId="20">#REF!</definedName>
    <definedName name="_PRSS1..AD1683_" localSheetId="22">#REF!</definedName>
    <definedName name="_PRSS1..AD1683_" localSheetId="19">#REF!</definedName>
    <definedName name="_PRSS1..AD1683_" localSheetId="18">#REF!</definedName>
    <definedName name="_PRSS1..AD1683_" localSheetId="5">#REF!</definedName>
    <definedName name="_PRSS1..AD1683_">#REF!</definedName>
    <definedName name="_rab1" localSheetId="8">#REF!</definedName>
    <definedName name="_rab1" localSheetId="12">#REF!</definedName>
    <definedName name="_rab1" localSheetId="21">#REF!</definedName>
    <definedName name="_rab1" localSheetId="23">#REF!</definedName>
    <definedName name="_rab1" localSheetId="20">#REF!</definedName>
    <definedName name="_rab1" localSheetId="22">#REF!</definedName>
    <definedName name="_rab1" localSheetId="19">#REF!</definedName>
    <definedName name="_rab1" localSheetId="18">#REF!</definedName>
    <definedName name="_rab1" localSheetId="5">#REF!</definedName>
    <definedName name="_rab1">#REF!</definedName>
    <definedName name="_rab2" localSheetId="8">#REF!</definedName>
    <definedName name="_rab2" localSheetId="12">#REF!</definedName>
    <definedName name="_rab2" localSheetId="21">#REF!</definedName>
    <definedName name="_rab2" localSheetId="23">#REF!</definedName>
    <definedName name="_rab2" localSheetId="20">#REF!</definedName>
    <definedName name="_rab2" localSheetId="22">#REF!</definedName>
    <definedName name="_rab2" localSheetId="19">#REF!</definedName>
    <definedName name="_rab2" localSheetId="18">#REF!</definedName>
    <definedName name="_rab2">#REF!</definedName>
    <definedName name="_Regression_Int">1</definedName>
    <definedName name="_sem1" localSheetId="8">#REF!</definedName>
    <definedName name="_sem1" localSheetId="12">#REF!</definedName>
    <definedName name="_sem1" localSheetId="21">#REF!</definedName>
    <definedName name="_sem1" localSheetId="23">#REF!</definedName>
    <definedName name="_sem1" localSheetId="20">#REF!</definedName>
    <definedName name="_sem1" localSheetId="22">#REF!</definedName>
    <definedName name="_sem1" localSheetId="19">#REF!</definedName>
    <definedName name="_sem1" localSheetId="18">#REF!</definedName>
    <definedName name="_sem1">#REF!</definedName>
    <definedName name="_sm1" localSheetId="8">#REF!</definedName>
    <definedName name="_sm1" localSheetId="12">#REF!</definedName>
    <definedName name="_sm1" localSheetId="21">#REF!</definedName>
    <definedName name="_sm1" localSheetId="23">#REF!</definedName>
    <definedName name="_sm1" localSheetId="20">#REF!</definedName>
    <definedName name="_sm1" localSheetId="22">#REF!</definedName>
    <definedName name="_sm1" localSheetId="19">#REF!</definedName>
    <definedName name="_sm1" localSheetId="18">#REF!</definedName>
    <definedName name="_sm1">#REF!</definedName>
    <definedName name="_Sort" localSheetId="8" hidden="1">#REF!</definedName>
    <definedName name="_Sort" localSheetId="12" hidden="1">#REF!</definedName>
    <definedName name="_Sort" localSheetId="21" hidden="1">#REF!</definedName>
    <definedName name="_Sort" localSheetId="23" hidden="1">#REF!</definedName>
    <definedName name="_Sort" localSheetId="20" hidden="1">#REF!</definedName>
    <definedName name="_Sort" localSheetId="22" hidden="1">#REF!</definedName>
    <definedName name="_Sort" localSheetId="19" hidden="1">#REF!</definedName>
    <definedName name="_Sort" localSheetId="18" hidden="1">#REF!</definedName>
    <definedName name="_Sort" hidden="1">#REF!</definedName>
    <definedName name="_Tab1" localSheetId="8">#REF!</definedName>
    <definedName name="_Tab1" localSheetId="12">#REF!</definedName>
    <definedName name="_Tab1" localSheetId="21">#REF!</definedName>
    <definedName name="_Tab1" localSheetId="23">#REF!</definedName>
    <definedName name="_Tab1" localSheetId="20">#REF!</definedName>
    <definedName name="_Tab1" localSheetId="22">#REF!</definedName>
    <definedName name="_Tab1" localSheetId="19">#REF!</definedName>
    <definedName name="_Tab1" localSheetId="18">#REF!</definedName>
    <definedName name="_Tab1" localSheetId="5">#REF!</definedName>
    <definedName name="_Tab1">#REF!</definedName>
    <definedName name="_Tab2" localSheetId="8">#REF!</definedName>
    <definedName name="_Tab2" localSheetId="12">#REF!</definedName>
    <definedName name="_Tab2" localSheetId="21">#REF!</definedName>
    <definedName name="_Tab2" localSheetId="23">#REF!</definedName>
    <definedName name="_Tab2" localSheetId="20">#REF!</definedName>
    <definedName name="_Tab2" localSheetId="22">#REF!</definedName>
    <definedName name="_Tab2" localSheetId="19">#REF!</definedName>
    <definedName name="_Tab2" localSheetId="18">#REF!</definedName>
    <definedName name="_Tab2" localSheetId="5">#REF!</definedName>
    <definedName name="_Tab2">#REF!</definedName>
    <definedName name="_Tab3" localSheetId="8">#REF!</definedName>
    <definedName name="_Tab3" localSheetId="12">#REF!</definedName>
    <definedName name="_Tab3" localSheetId="21">#REF!</definedName>
    <definedName name="_Tab3" localSheetId="23">#REF!</definedName>
    <definedName name="_Tab3" localSheetId="20">#REF!</definedName>
    <definedName name="_Tab3" localSheetId="22">#REF!</definedName>
    <definedName name="_Tab3" localSheetId="19">#REF!</definedName>
    <definedName name="_Tab3" localSheetId="18">#REF!</definedName>
    <definedName name="_Tab3" localSheetId="5">#REF!</definedName>
    <definedName name="_Tab3">#REF!</definedName>
    <definedName name="_TRP1" localSheetId="8">#REF!</definedName>
    <definedName name="_TRP1" localSheetId="21">#REF!</definedName>
    <definedName name="_TRP1" localSheetId="23">#REF!</definedName>
    <definedName name="_TRP1" localSheetId="20">#REF!</definedName>
    <definedName name="_TRP1" localSheetId="22">#REF!</definedName>
    <definedName name="_TRP1" localSheetId="19">#REF!</definedName>
    <definedName name="_TRP1" localSheetId="5">#REF!</definedName>
    <definedName name="_TRP1">#REF!</definedName>
    <definedName name="_trw1" localSheetId="8">#REF!</definedName>
    <definedName name="_trw1" localSheetId="12">#REF!</definedName>
    <definedName name="_trw1" localSheetId="21">#REF!</definedName>
    <definedName name="_trw1" localSheetId="23">#REF!</definedName>
    <definedName name="_trw1" localSheetId="20">#REF!</definedName>
    <definedName name="_trw1" localSheetId="22">#REF!</definedName>
    <definedName name="_trw1" localSheetId="19">#REF!</definedName>
    <definedName name="_trw1" localSheetId="18">#REF!</definedName>
    <definedName name="_trw1" localSheetId="5">#REF!</definedName>
    <definedName name="_trw1">#REF!</definedName>
    <definedName name="_trw2" localSheetId="8">#REF!</definedName>
    <definedName name="_trw2" localSheetId="12">#REF!</definedName>
    <definedName name="_trw2" localSheetId="21">#REF!</definedName>
    <definedName name="_trw2" localSheetId="23">#REF!</definedName>
    <definedName name="_trw2" localSheetId="20">#REF!</definedName>
    <definedName name="_trw2" localSheetId="22">#REF!</definedName>
    <definedName name="_trw2" localSheetId="19">#REF!</definedName>
    <definedName name="_trw2" localSheetId="18">#REF!</definedName>
    <definedName name="_trw2" localSheetId="5">#REF!</definedName>
    <definedName name="_trw2">#REF!</definedName>
    <definedName name="_trw3" localSheetId="8">#REF!</definedName>
    <definedName name="_trw3" localSheetId="12">#REF!</definedName>
    <definedName name="_trw3" localSheetId="21">#REF!</definedName>
    <definedName name="_trw3" localSheetId="23">#REF!</definedName>
    <definedName name="_trw3" localSheetId="20">#REF!</definedName>
    <definedName name="_trw3" localSheetId="22">#REF!</definedName>
    <definedName name="_trw3" localSheetId="19">#REF!</definedName>
    <definedName name="_trw3" localSheetId="18">#REF!</definedName>
    <definedName name="_trw3" localSheetId="5">#REF!</definedName>
    <definedName name="_trw3">#REF!</definedName>
    <definedName name="_TVA1" localSheetId="8">#REF!</definedName>
    <definedName name="_TVA1" localSheetId="21">#REF!</definedName>
    <definedName name="_TVA1" localSheetId="23">#REF!</definedName>
    <definedName name="_TVA1" localSheetId="20">#REF!</definedName>
    <definedName name="_TVA1" localSheetId="22">#REF!</definedName>
    <definedName name="_TVA1" localSheetId="19">#REF!</definedName>
    <definedName name="_TVA1" localSheetId="5">#REF!</definedName>
    <definedName name="_TVA1">#REF!</definedName>
    <definedName name="_TW1" localSheetId="8">#REF!</definedName>
    <definedName name="_TW1" localSheetId="12">#REF!</definedName>
    <definedName name="_TW1" localSheetId="21">#REF!</definedName>
    <definedName name="_TW1" localSheetId="23">#REF!</definedName>
    <definedName name="_TW1" localSheetId="20">#REF!</definedName>
    <definedName name="_TW1" localSheetId="22">#REF!</definedName>
    <definedName name="_TW1" localSheetId="19">#REF!</definedName>
    <definedName name="_TW1" localSheetId="18">#REF!</definedName>
    <definedName name="_TW1" localSheetId="5">#REF!</definedName>
    <definedName name="_TW1">#REF!</definedName>
    <definedName name="_TW2" localSheetId="8">#REF!</definedName>
    <definedName name="_TW2" localSheetId="12">#REF!</definedName>
    <definedName name="_TW2" localSheetId="21">#REF!</definedName>
    <definedName name="_TW2" localSheetId="23">#REF!</definedName>
    <definedName name="_TW2" localSheetId="20">#REF!</definedName>
    <definedName name="_TW2" localSheetId="22">#REF!</definedName>
    <definedName name="_TW2" localSheetId="19">#REF!</definedName>
    <definedName name="_TW2" localSheetId="18">#REF!</definedName>
    <definedName name="_TW2" localSheetId="5">#REF!</definedName>
    <definedName name="_TW2">#REF!</definedName>
    <definedName name="_UPI2">#REF!</definedName>
    <definedName name="A" localSheetId="8">#REF!</definedName>
    <definedName name="A" localSheetId="12">#REF!</definedName>
    <definedName name="A" localSheetId="21">#REF!</definedName>
    <definedName name="A" localSheetId="23">#REF!</definedName>
    <definedName name="A" localSheetId="20">#REF!</definedName>
    <definedName name="A" localSheetId="22">#REF!</definedName>
    <definedName name="A" localSheetId="19">#REF!</definedName>
    <definedName name="A" localSheetId="18">#REF!</definedName>
    <definedName name="A" localSheetId="5">#REF!</definedName>
    <definedName name="A">#REF!</definedName>
    <definedName name="a\" localSheetId="8">#REF!</definedName>
    <definedName name="a\" localSheetId="12">#REF!</definedName>
    <definedName name="a\" localSheetId="21">#REF!</definedName>
    <definedName name="a\" localSheetId="23">#REF!</definedName>
    <definedName name="a\" localSheetId="20">#REF!</definedName>
    <definedName name="a\" localSheetId="22">#REF!</definedName>
    <definedName name="a\" localSheetId="19">#REF!</definedName>
    <definedName name="a\" localSheetId="18">#REF!</definedName>
    <definedName name="a\" localSheetId="5">#REF!</definedName>
    <definedName name="a\">#REF!</definedName>
    <definedName name="AA" localSheetId="8">#REF!</definedName>
    <definedName name="AA" localSheetId="21">#REF!</definedName>
    <definedName name="AA" localSheetId="23">#REF!</definedName>
    <definedName name="AA" localSheetId="20">#REF!</definedName>
    <definedName name="AA" localSheetId="22">#REF!</definedName>
    <definedName name="AA" localSheetId="19">#REF!</definedName>
    <definedName name="AA" localSheetId="5">#REF!</definedName>
    <definedName name="AA">#REF!</definedName>
    <definedName name="ABS" localSheetId="8">#REF!</definedName>
    <definedName name="ABS" localSheetId="21">#REF!</definedName>
    <definedName name="ABS" localSheetId="23">#REF!</definedName>
    <definedName name="ABS" localSheetId="20">#REF!</definedName>
    <definedName name="ABS" localSheetId="22">#REF!</definedName>
    <definedName name="ABS" localSheetId="19">#REF!</definedName>
    <definedName name="ABS" localSheetId="5">#REF!</definedName>
    <definedName name="ABS">#REF!</definedName>
    <definedName name="ABULAN" localSheetId="8">#REF!</definedName>
    <definedName name="ABULAN" localSheetId="21">#REF!</definedName>
    <definedName name="ABULAN" localSheetId="23">#REF!</definedName>
    <definedName name="ABULAN" localSheetId="20">#REF!</definedName>
    <definedName name="ABULAN" localSheetId="22">#REF!</definedName>
    <definedName name="ABULAN" localSheetId="19">#REF!</definedName>
    <definedName name="ABULAN" localSheetId="5">#REF!</definedName>
    <definedName name="ABULAN">#REF!</definedName>
    <definedName name="ac" localSheetId="12">#REF!</definedName>
    <definedName name="ac" localSheetId="21">#REF!</definedName>
    <definedName name="ac" localSheetId="23">#REF!</definedName>
    <definedName name="ac" localSheetId="20">#REF!</definedName>
    <definedName name="ac" localSheetId="22">#REF!</definedName>
    <definedName name="ac" localSheetId="19">#REF!</definedName>
    <definedName name="ac" localSheetId="18">#REF!</definedName>
    <definedName name="ACUAN1" localSheetId="8">#REF!</definedName>
    <definedName name="ACUAN1" localSheetId="12">#REF!</definedName>
    <definedName name="ACUAN1" localSheetId="21">#REF!</definedName>
    <definedName name="ACUAN1" localSheetId="23">#REF!</definedName>
    <definedName name="ACUAN1" localSheetId="20">#REF!</definedName>
    <definedName name="ACUAN1" localSheetId="22">#REF!</definedName>
    <definedName name="ACUAN1" localSheetId="19">#REF!</definedName>
    <definedName name="ACUAN1" localSheetId="18">#REF!</definedName>
    <definedName name="ACUAN1" localSheetId="5">#REF!</definedName>
    <definedName name="ACUAN1">#REF!</definedName>
    <definedName name="ACUAN2" localSheetId="8">#REF!</definedName>
    <definedName name="ACUAN2" localSheetId="12">#REF!</definedName>
    <definedName name="ACUAN2" localSheetId="21">#REF!</definedName>
    <definedName name="ACUAN2" localSheetId="23">#REF!</definedName>
    <definedName name="ACUAN2" localSheetId="20">#REF!</definedName>
    <definedName name="ACUAN2" localSheetId="22">#REF!</definedName>
    <definedName name="ACUAN2" localSheetId="19">#REF!</definedName>
    <definedName name="ACUAN2" localSheetId="18">#REF!</definedName>
    <definedName name="ACUAN2" localSheetId="5">#REF!</definedName>
    <definedName name="ACUAN2">#REF!</definedName>
    <definedName name="ags" localSheetId="8">#REF!</definedName>
    <definedName name="ags" localSheetId="12">#REF!</definedName>
    <definedName name="ags" localSheetId="21">#REF!</definedName>
    <definedName name="ags" localSheetId="23">#REF!</definedName>
    <definedName name="ags" localSheetId="20">#REF!</definedName>
    <definedName name="ags" localSheetId="22">#REF!</definedName>
    <definedName name="ags" localSheetId="19">#REF!</definedName>
    <definedName name="ags" localSheetId="18">#REF!</definedName>
    <definedName name="ags" localSheetId="5">#REF!</definedName>
    <definedName name="ags">#REF!</definedName>
    <definedName name="AGUNG" localSheetId="8">#REF!</definedName>
    <definedName name="AGUNG" localSheetId="12">#REF!</definedName>
    <definedName name="AGUNG" localSheetId="21">#REF!</definedName>
    <definedName name="AGUNG" localSheetId="23">#REF!</definedName>
    <definedName name="AGUNG" localSheetId="20">#REF!</definedName>
    <definedName name="AGUNG" localSheetId="22">#REF!</definedName>
    <definedName name="AGUNG" localSheetId="19">#REF!</definedName>
    <definedName name="AGUNG" localSheetId="18">#REF!</definedName>
    <definedName name="AGUNG">#REF!</definedName>
    <definedName name="AGUNG1" localSheetId="8">#REF!</definedName>
    <definedName name="AGUNG1" localSheetId="12">#REF!</definedName>
    <definedName name="AGUNG1" localSheetId="21">#REF!</definedName>
    <definedName name="AGUNG1" localSheetId="23">#REF!</definedName>
    <definedName name="AGUNG1" localSheetId="20">#REF!</definedName>
    <definedName name="AGUNG1" localSheetId="22">#REF!</definedName>
    <definedName name="AGUNG1" localSheetId="19">#REF!</definedName>
    <definedName name="AGUNG1" localSheetId="18">#REF!</definedName>
    <definedName name="AGUNG1">#REF!</definedName>
    <definedName name="ah" localSheetId="8">#REF!</definedName>
    <definedName name="ah" localSheetId="21">#REF!</definedName>
    <definedName name="ah" localSheetId="23">#REF!</definedName>
    <definedName name="ah" localSheetId="20">#REF!</definedName>
    <definedName name="ah" localSheetId="22">#REF!</definedName>
    <definedName name="ah" localSheetId="19">#REF!</definedName>
    <definedName name="ah">#REF!</definedName>
    <definedName name="Ahir" localSheetId="12">#REF!</definedName>
    <definedName name="Ahir" localSheetId="21">#REF!</definedName>
    <definedName name="Ahir" localSheetId="23">#REF!</definedName>
    <definedName name="Ahir" localSheetId="20">#REF!</definedName>
    <definedName name="Ahir" localSheetId="22">#REF!</definedName>
    <definedName name="Ahir" localSheetId="19">#REF!</definedName>
    <definedName name="Ahir" localSheetId="18">#REF!</definedName>
    <definedName name="Ahirl" localSheetId="8">#REF!</definedName>
    <definedName name="Ahirl" localSheetId="12">#REF!</definedName>
    <definedName name="Ahirl" localSheetId="21">#REF!</definedName>
    <definedName name="Ahirl" localSheetId="23">#REF!</definedName>
    <definedName name="Ahirl" localSheetId="20">#REF!</definedName>
    <definedName name="Ahirl" localSheetId="22">#REF!</definedName>
    <definedName name="Ahirl" localSheetId="19">#REF!</definedName>
    <definedName name="Ahirl" localSheetId="18">#REF!</definedName>
    <definedName name="Ahirl">#REF!</definedName>
    <definedName name="akhir" localSheetId="8">#REF!</definedName>
    <definedName name="akhir" localSheetId="12">#REF!</definedName>
    <definedName name="akhir" localSheetId="21">#REF!</definedName>
    <definedName name="akhir" localSheetId="23">#REF!</definedName>
    <definedName name="akhir" localSheetId="20">#REF!</definedName>
    <definedName name="akhir" localSheetId="22">#REF!</definedName>
    <definedName name="akhir" localSheetId="19">#REF!</definedName>
    <definedName name="akhir" localSheetId="18">#REF!</definedName>
    <definedName name="akhir">#REF!</definedName>
    <definedName name="AkumATFungsi" localSheetId="8">#REF!</definedName>
    <definedName name="AkumATFungsi" localSheetId="12">#REF!</definedName>
    <definedName name="AkumATFungsi" localSheetId="21">#REF!</definedName>
    <definedName name="AkumATFungsi" localSheetId="23">#REF!</definedName>
    <definedName name="AkumATFungsi" localSheetId="20">#REF!</definedName>
    <definedName name="AkumATFungsi" localSheetId="22">#REF!</definedName>
    <definedName name="AkumATFungsi" localSheetId="19">#REF!</definedName>
    <definedName name="AkumATFungsi" localSheetId="18">#REF!</definedName>
    <definedName name="AkumATFungsi">#REF!</definedName>
    <definedName name="AkumATJenis" localSheetId="8">#REF!</definedName>
    <definedName name="AkumATJenis" localSheetId="12">#REF!</definedName>
    <definedName name="AkumATJenis" localSheetId="21">#REF!</definedName>
    <definedName name="AkumATJenis" localSheetId="23">#REF!</definedName>
    <definedName name="AkumATJenis" localSheetId="20">#REF!</definedName>
    <definedName name="AkumATJenis" localSheetId="22">#REF!</definedName>
    <definedName name="AkumATJenis" localSheetId="19">#REF!</definedName>
    <definedName name="AkumATJenis" localSheetId="18">#REF!</definedName>
    <definedName name="AkumATJenis">#REF!</definedName>
    <definedName name="analisa" localSheetId="8">#REF!</definedName>
    <definedName name="analisa" localSheetId="12">#REF!</definedName>
    <definedName name="analisa" localSheetId="21">#REF!</definedName>
    <definedName name="analisa" localSheetId="23">#REF!</definedName>
    <definedName name="analisa" localSheetId="20">#REF!</definedName>
    <definedName name="analisa" localSheetId="22">#REF!</definedName>
    <definedName name="analisa" localSheetId="19">#REF!</definedName>
    <definedName name="analisa" localSheetId="18">#REF!</definedName>
    <definedName name="analisa">#REF!</definedName>
    <definedName name="AnalisaPenjualan" localSheetId="8">#REF!</definedName>
    <definedName name="AnalisaPenjualan" localSheetId="12">#REF!</definedName>
    <definedName name="AnalisaPenjualan" localSheetId="21">#REF!</definedName>
    <definedName name="AnalisaPenjualan" localSheetId="23">#REF!</definedName>
    <definedName name="AnalisaPenjualan" localSheetId="20">#REF!</definedName>
    <definedName name="AnalisaPenjualan" localSheetId="22">#REF!</definedName>
    <definedName name="AnalisaPenjualan" localSheetId="19">#REF!</definedName>
    <definedName name="AnalisaPenjualan" localSheetId="18">#REF!</definedName>
    <definedName name="AnalisaPenjualan">#REF!</definedName>
    <definedName name="ANGGARAN">#REF!</definedName>
    <definedName name="apar" localSheetId="12">#REF!</definedName>
    <definedName name="apar" localSheetId="21">#REF!</definedName>
    <definedName name="apar" localSheetId="23">#REF!</definedName>
    <definedName name="apar" localSheetId="20">#REF!</definedName>
    <definedName name="apar" localSheetId="22">#REF!</definedName>
    <definedName name="apar" localSheetId="19">#REF!</definedName>
    <definedName name="apar" localSheetId="18">#REF!</definedName>
    <definedName name="apdes" localSheetId="8">#REF!</definedName>
    <definedName name="apdes" localSheetId="12">#REF!</definedName>
    <definedName name="apdes" localSheetId="21">#REF!</definedName>
    <definedName name="apdes" localSheetId="23">#REF!</definedName>
    <definedName name="apdes" localSheetId="20">#REF!</definedName>
    <definedName name="apdes" localSheetId="22">#REF!</definedName>
    <definedName name="apdes" localSheetId="19">#REF!</definedName>
    <definedName name="apdes" localSheetId="18">#REF!</definedName>
    <definedName name="apdes" localSheetId="5">#REF!</definedName>
    <definedName name="apdes">#REF!</definedName>
    <definedName name="apr" localSheetId="8">#REF!</definedName>
    <definedName name="apr" localSheetId="12">#REF!</definedName>
    <definedName name="apr" localSheetId="21">#REF!</definedName>
    <definedName name="apr" localSheetId="23">#REF!</definedName>
    <definedName name="apr" localSheetId="20">#REF!</definedName>
    <definedName name="apr" localSheetId="22">#REF!</definedName>
    <definedName name="apr" localSheetId="19">#REF!</definedName>
    <definedName name="apr" localSheetId="18">#REF!</definedName>
    <definedName name="apr" localSheetId="5">#REF!</definedName>
    <definedName name="apr">#REF!</definedName>
    <definedName name="APRIL92" localSheetId="8">#REF!</definedName>
    <definedName name="APRIL92" localSheetId="12">#REF!</definedName>
    <definedName name="APRIL92" localSheetId="21">#REF!</definedName>
    <definedName name="APRIL92" localSheetId="23">#REF!</definedName>
    <definedName name="APRIL92" localSheetId="20">#REF!</definedName>
    <definedName name="APRIL92" localSheetId="22">#REF!</definedName>
    <definedName name="APRIL92" localSheetId="19">#REF!</definedName>
    <definedName name="APRIL92" localSheetId="18">#REF!</definedName>
    <definedName name="APRIL92" localSheetId="5">#REF!</definedName>
    <definedName name="APRIL92">#REF!</definedName>
    <definedName name="AREA">#REF!</definedName>
    <definedName name="ART" localSheetId="8">#REF!</definedName>
    <definedName name="ART" localSheetId="12">#REF!</definedName>
    <definedName name="ART" localSheetId="21">#REF!</definedName>
    <definedName name="ART" localSheetId="23">#REF!</definedName>
    <definedName name="ART" localSheetId="20">#REF!</definedName>
    <definedName name="ART" localSheetId="22">#REF!</definedName>
    <definedName name="ART" localSheetId="19">#REF!</definedName>
    <definedName name="ART" localSheetId="18">#REF!</definedName>
    <definedName name="ART" localSheetId="5">#REF!</definedName>
    <definedName name="ART">#REF!</definedName>
    <definedName name="ArusKas" localSheetId="8">#REF!</definedName>
    <definedName name="ArusKas" localSheetId="12">#REF!</definedName>
    <definedName name="ArusKas" localSheetId="21">#REF!</definedName>
    <definedName name="ArusKas" localSheetId="23">#REF!</definedName>
    <definedName name="ArusKas" localSheetId="20">#REF!</definedName>
    <definedName name="ArusKas" localSheetId="22">#REF!</definedName>
    <definedName name="ArusKas" localSheetId="19">#REF!</definedName>
    <definedName name="ArusKas" localSheetId="18">#REF!</definedName>
    <definedName name="ArusKas" localSheetId="5">#REF!</definedName>
    <definedName name="ArusKas">#REF!</definedName>
    <definedName name="AS2DocOpenMode" hidden="1">"AS2DocumentEdit"</definedName>
    <definedName name="asdasd" localSheetId="8">#REF!</definedName>
    <definedName name="asdasd" localSheetId="21">#REF!</definedName>
    <definedName name="asdasd" localSheetId="23">#REF!</definedName>
    <definedName name="asdasd" localSheetId="20">#REF!</definedName>
    <definedName name="asdasd" localSheetId="22">#REF!</definedName>
    <definedName name="asdasd" localSheetId="19">#REF!</definedName>
    <definedName name="asdasd" localSheetId="5">#REF!</definedName>
    <definedName name="asdasd">#REF!</definedName>
    <definedName name="assumptions" localSheetId="8">#REF!</definedName>
    <definedName name="assumptions" localSheetId="12">#REF!</definedName>
    <definedName name="assumptions" localSheetId="21">#REF!</definedName>
    <definedName name="assumptions" localSheetId="23">#REF!</definedName>
    <definedName name="assumptions" localSheetId="20">#REF!</definedName>
    <definedName name="assumptions" localSheetId="22">#REF!</definedName>
    <definedName name="assumptions" localSheetId="19">#REF!</definedName>
    <definedName name="assumptions" localSheetId="18">#REF!</definedName>
    <definedName name="assumptions" localSheetId="5">#REF!</definedName>
    <definedName name="assumptions">#REF!</definedName>
    <definedName name="Asumsi" localSheetId="8">#REF!</definedName>
    <definedName name="Asumsi" localSheetId="12">#REF!</definedName>
    <definedName name="Asumsi" localSheetId="21">#REF!</definedName>
    <definedName name="Asumsi" localSheetId="23">#REF!</definedName>
    <definedName name="Asumsi" localSheetId="20">#REF!</definedName>
    <definedName name="Asumsi" localSheetId="22">#REF!</definedName>
    <definedName name="Asumsi" localSheetId="19">#REF!</definedName>
    <definedName name="Asumsi" localSheetId="18">#REF!</definedName>
    <definedName name="Asumsi" localSheetId="5">#REF!</definedName>
    <definedName name="Asumsi">#REF!</definedName>
    <definedName name="ATFungsi" localSheetId="8">#REF!</definedName>
    <definedName name="ATFungsi" localSheetId="12">#REF!</definedName>
    <definedName name="ATFungsi" localSheetId="21">#REF!</definedName>
    <definedName name="ATFungsi" localSheetId="23">#REF!</definedName>
    <definedName name="ATFungsi" localSheetId="20">#REF!</definedName>
    <definedName name="ATFungsi" localSheetId="22">#REF!</definedName>
    <definedName name="ATFungsi" localSheetId="19">#REF!</definedName>
    <definedName name="ATFungsi" localSheetId="18">#REF!</definedName>
    <definedName name="ATFungsi">#REF!</definedName>
    <definedName name="ATJenis" localSheetId="8">#REF!</definedName>
    <definedName name="ATJenis" localSheetId="12">#REF!</definedName>
    <definedName name="ATJenis" localSheetId="21">#REF!</definedName>
    <definedName name="ATJenis" localSheetId="23">#REF!</definedName>
    <definedName name="ATJenis" localSheetId="20">#REF!</definedName>
    <definedName name="ATJenis" localSheetId="22">#REF!</definedName>
    <definedName name="ATJenis" localSheetId="19">#REF!</definedName>
    <definedName name="ATJenis" localSheetId="18">#REF!</definedName>
    <definedName name="ATJenis">#REF!</definedName>
    <definedName name="AUD" localSheetId="8">#REF!</definedName>
    <definedName name="AUD" localSheetId="12">#REF!</definedName>
    <definedName name="AUD" localSheetId="21">#REF!</definedName>
    <definedName name="AUD" localSheetId="23">#REF!</definedName>
    <definedName name="AUD" localSheetId="20">#REF!</definedName>
    <definedName name="AUD" localSheetId="22">#REF!</definedName>
    <definedName name="AUD" localSheetId="19">#REF!</definedName>
    <definedName name="AUD" localSheetId="18">#REF!</definedName>
    <definedName name="AUD">#REF!</definedName>
    <definedName name="awal" localSheetId="8">#REF!</definedName>
    <definedName name="awal" localSheetId="12">#REF!</definedName>
    <definedName name="awal" localSheetId="21">#REF!</definedName>
    <definedName name="awal" localSheetId="23">#REF!</definedName>
    <definedName name="awal" localSheetId="20">#REF!</definedName>
    <definedName name="awal" localSheetId="22">#REF!</definedName>
    <definedName name="awal" localSheetId="19">#REF!</definedName>
    <definedName name="awal" localSheetId="18">#REF!</definedName>
    <definedName name="awal">#REF!</definedName>
    <definedName name="Basket">#REF!</definedName>
    <definedName name="Batt.110V300ah">#REF!</definedName>
    <definedName name="Battere48V300">#REF!</definedName>
    <definedName name="beban" localSheetId="8">#REF!</definedName>
    <definedName name="beban" localSheetId="12">#REF!</definedName>
    <definedName name="beban" localSheetId="21">#REF!</definedName>
    <definedName name="beban" localSheetId="23">#REF!</definedName>
    <definedName name="beban" localSheetId="20">#REF!</definedName>
    <definedName name="beban" localSheetId="22">#REF!</definedName>
    <definedName name="beban" localSheetId="19">#REF!</definedName>
    <definedName name="beban" localSheetId="18">#REF!</definedName>
    <definedName name="beban" localSheetId="5">#REF!</definedName>
    <definedName name="beban">#REF!</definedName>
    <definedName name="beli" localSheetId="8">#REF!</definedName>
    <definedName name="beli" localSheetId="12">#REF!</definedName>
    <definedName name="beli" localSheetId="21">#REF!</definedName>
    <definedName name="beli" localSheetId="23">#REF!</definedName>
    <definedName name="beli" localSheetId="20">#REF!</definedName>
    <definedName name="beli" localSheetId="22">#REF!</definedName>
    <definedName name="beli" localSheetId="19">#REF!</definedName>
    <definedName name="beli" localSheetId="18">#REF!</definedName>
    <definedName name="beli" localSheetId="5">#REF!</definedName>
    <definedName name="beli">#REF!</definedName>
    <definedName name="bh" localSheetId="8">#REF!</definedName>
    <definedName name="bh" localSheetId="12">#REF!</definedName>
    <definedName name="bh" localSheetId="21">#REF!</definedName>
    <definedName name="bh" localSheetId="23">#REF!</definedName>
    <definedName name="bh" localSheetId="20">#REF!</definedName>
    <definedName name="bh" localSheetId="22">#REF!</definedName>
    <definedName name="bh" localSheetId="19">#REF!</definedName>
    <definedName name="bh" localSheetId="18">#REF!</definedName>
    <definedName name="bh" localSheetId="5">#REF!</definedName>
    <definedName name="bh">#REF!</definedName>
    <definedName name="bhg" localSheetId="8">#REF!</definedName>
    <definedName name="bhg" localSheetId="21">#REF!</definedName>
    <definedName name="bhg" localSheetId="23">#REF!</definedName>
    <definedName name="bhg" localSheetId="20">#REF!</definedName>
    <definedName name="bhg" localSheetId="22">#REF!</definedName>
    <definedName name="bhg" localSheetId="19">#REF!</definedName>
    <definedName name="bhg" localSheetId="5">#REF!</definedName>
    <definedName name="bhg">#REF!</definedName>
    <definedName name="biaya1" localSheetId="8">#REF!</definedName>
    <definedName name="biaya1" localSheetId="12">#REF!</definedName>
    <definedName name="biaya1" localSheetId="21">#REF!</definedName>
    <definedName name="biaya1" localSheetId="23">#REF!</definedName>
    <definedName name="biaya1" localSheetId="20">#REF!</definedName>
    <definedName name="biaya1" localSheetId="22">#REF!</definedName>
    <definedName name="biaya1" localSheetId="19">#REF!</definedName>
    <definedName name="biaya1" localSheetId="18">#REF!</definedName>
    <definedName name="biaya1" localSheetId="5">#REF!</definedName>
    <definedName name="biaya1">#REF!</definedName>
    <definedName name="biaya2" localSheetId="8">#REF!</definedName>
    <definedName name="biaya2" localSheetId="12">#REF!</definedName>
    <definedName name="biaya2" localSheetId="21">#REF!</definedName>
    <definedName name="biaya2" localSheetId="23">#REF!</definedName>
    <definedName name="biaya2" localSheetId="20">#REF!</definedName>
    <definedName name="biaya2" localSheetId="22">#REF!</definedName>
    <definedName name="biaya2" localSheetId="19">#REF!</definedName>
    <definedName name="biaya2" localSheetId="18">#REF!</definedName>
    <definedName name="biaya2" localSheetId="5">#REF!</definedName>
    <definedName name="biaya2">#REF!</definedName>
    <definedName name="BiInvest" localSheetId="8">#REF!</definedName>
    <definedName name="BiInvest" localSheetId="12">#REF!</definedName>
    <definedName name="BiInvest" localSheetId="21">#REF!</definedName>
    <definedName name="BiInvest" localSheetId="23">#REF!</definedName>
    <definedName name="BiInvest" localSheetId="20">#REF!</definedName>
    <definedName name="BiInvest" localSheetId="22">#REF!</definedName>
    <definedName name="BiInvest" localSheetId="19">#REF!</definedName>
    <definedName name="BiInvest" localSheetId="18">#REF!</definedName>
    <definedName name="BiInvest">#REF!</definedName>
    <definedName name="bkimia4tb">#REF!</definedName>
    <definedName name="bkimia6tb">#REF!</definedName>
    <definedName name="bkimia7tb">#REF!</definedName>
    <definedName name="bkimiapjb1tb">#REF!</definedName>
    <definedName name="bkimiapjb2tb">#REF!</definedName>
    <definedName name="BLNINI" localSheetId="8">#REF!</definedName>
    <definedName name="BLNINI" localSheetId="21">#REF!</definedName>
    <definedName name="BLNINI" localSheetId="23">#REF!</definedName>
    <definedName name="BLNINI" localSheetId="20">#REF!</definedName>
    <definedName name="BLNINI" localSheetId="22">#REF!</definedName>
    <definedName name="BLNINI" localSheetId="19">#REF!</definedName>
    <definedName name="BLNINI" localSheetId="5">#REF!</definedName>
    <definedName name="BLNINI">#REF!</definedName>
    <definedName name="BLNINI1" localSheetId="8">#REF!</definedName>
    <definedName name="BLNINI1" localSheetId="21">#REF!</definedName>
    <definedName name="BLNINI1" localSheetId="23">#REF!</definedName>
    <definedName name="BLNINI1" localSheetId="20">#REF!</definedName>
    <definedName name="BLNINI1" localSheetId="22">#REF!</definedName>
    <definedName name="BLNINI1" localSheetId="19">#REF!</definedName>
    <definedName name="BLNINI1" localSheetId="5">#REF!</definedName>
    <definedName name="BLNINI1">#REF!</definedName>
    <definedName name="BLNLALU" localSheetId="8">#REF!</definedName>
    <definedName name="BLNLALU" localSheetId="21">#REF!</definedName>
    <definedName name="BLNLALU" localSheetId="23">#REF!</definedName>
    <definedName name="BLNLALU" localSheetId="20">#REF!</definedName>
    <definedName name="BLNLALU" localSheetId="22">#REF!</definedName>
    <definedName name="BLNLALU" localSheetId="19">#REF!</definedName>
    <definedName name="BLNLALU" localSheetId="5">#REF!</definedName>
    <definedName name="BLNLALU">#REF!</definedName>
    <definedName name="BLNLALU1" localSheetId="8">#REF!</definedName>
    <definedName name="BLNLALU1" localSheetId="21">#REF!</definedName>
    <definedName name="BLNLALU1" localSheetId="23">#REF!</definedName>
    <definedName name="BLNLALU1" localSheetId="20">#REF!</definedName>
    <definedName name="BLNLALU1" localSheetId="22">#REF!</definedName>
    <definedName name="BLNLALU1" localSheetId="19">#REF!</definedName>
    <definedName name="BLNLALU1" localSheetId="5">#REF!</definedName>
    <definedName name="BLNLALU1">#REF!</definedName>
    <definedName name="bnn" localSheetId="8">#REF!</definedName>
    <definedName name="bnn" localSheetId="12">#REF!</definedName>
    <definedName name="bnn" localSheetId="21">#REF!</definedName>
    <definedName name="bnn" localSheetId="23">#REF!</definedName>
    <definedName name="bnn" localSheetId="20">#REF!</definedName>
    <definedName name="bnn" localSheetId="22">#REF!</definedName>
    <definedName name="bnn" localSheetId="19">#REF!</definedName>
    <definedName name="bnn" localSheetId="18">#REF!</definedName>
    <definedName name="bnn">#REF!</definedName>
    <definedName name="bp" localSheetId="8">#REF!</definedName>
    <definedName name="bp" localSheetId="12">#REF!</definedName>
    <definedName name="bp" localSheetId="21">#REF!</definedName>
    <definedName name="bp" localSheetId="23">#REF!</definedName>
    <definedName name="bp" localSheetId="20">#REF!</definedName>
    <definedName name="bp" localSheetId="22">#REF!</definedName>
    <definedName name="bp" localSheetId="19">#REF!</definedName>
    <definedName name="bp" localSheetId="18">#REF!</definedName>
    <definedName name="bp" localSheetId="5">#REF!</definedName>
    <definedName name="bp">#REF!</definedName>
    <definedName name="BPP" localSheetId="8">#REF!</definedName>
    <definedName name="BPP" localSheetId="12">#REF!</definedName>
    <definedName name="BPP" localSheetId="21">#REF!</definedName>
    <definedName name="BPP" localSheetId="23">#REF!</definedName>
    <definedName name="BPP" localSheetId="20">#REF!</definedName>
    <definedName name="BPP" localSheetId="22">#REF!</definedName>
    <definedName name="BPP" localSheetId="19">#REF!</definedName>
    <definedName name="BPP" localSheetId="18">#REF!</definedName>
    <definedName name="BPP">#REF!</definedName>
    <definedName name="BukuBesar" localSheetId="8">#REF!</definedName>
    <definedName name="BukuBesar" localSheetId="12">#REF!</definedName>
    <definedName name="BukuBesar" localSheetId="21">#REF!</definedName>
    <definedName name="BukuBesar" localSheetId="23">#REF!</definedName>
    <definedName name="BukuBesar" localSheetId="20">#REF!</definedName>
    <definedName name="BukuBesar" localSheetId="22">#REF!</definedName>
    <definedName name="BukuBesar" localSheetId="19">#REF!</definedName>
    <definedName name="BukuBesar" localSheetId="18">#REF!</definedName>
    <definedName name="BukuBesar" localSheetId="5">#REF!</definedName>
    <definedName name="BukuBesar">#REF!</definedName>
    <definedName name="BukuBesarJawa" localSheetId="8">#REF!</definedName>
    <definedName name="BukuBesarJawa" localSheetId="12">#REF!</definedName>
    <definedName name="BukuBesarJawa" localSheetId="21">#REF!</definedName>
    <definedName name="BukuBesarJawa" localSheetId="23">#REF!</definedName>
    <definedName name="BukuBesarJawa" localSheetId="20">#REF!</definedName>
    <definedName name="BukuBesarJawa" localSheetId="22">#REF!</definedName>
    <definedName name="BukuBesarJawa" localSheetId="19">#REF!</definedName>
    <definedName name="BukuBesarJawa" localSheetId="18">#REF!</definedName>
    <definedName name="BukuBesarJawa">#REF!</definedName>
    <definedName name="BULAN" localSheetId="2">#REF!</definedName>
    <definedName name="Bulan">#REF!</definedName>
    <definedName name="byk" localSheetId="8">#REF!</definedName>
    <definedName name="byk" localSheetId="21">#REF!</definedName>
    <definedName name="byk" localSheetId="23">#REF!</definedName>
    <definedName name="byk" localSheetId="20">#REF!</definedName>
    <definedName name="byk" localSheetId="22">#REF!</definedName>
    <definedName name="byk" localSheetId="19">#REF!</definedName>
    <definedName name="byk" localSheetId="5">#REF!</definedName>
    <definedName name="byk">#REF!</definedName>
    <definedName name="C_" localSheetId="8">#REF!</definedName>
    <definedName name="C_" localSheetId="12">#REF!</definedName>
    <definedName name="C_" localSheetId="21">#REF!</definedName>
    <definedName name="C_" localSheetId="23">#REF!</definedName>
    <definedName name="C_" localSheetId="20">#REF!</definedName>
    <definedName name="C_" localSheetId="22">#REF!</definedName>
    <definedName name="C_" localSheetId="19">#REF!</definedName>
    <definedName name="C_" localSheetId="18">#REF!</definedName>
    <definedName name="C_" localSheetId="5">#REF!</definedName>
    <definedName name="C_">#REF!</definedName>
    <definedName name="Cabang">#REF!</definedName>
    <definedName name="CAPASITOR">#REF!</definedName>
    <definedName name="cashflowoperasi" localSheetId="8">#REF!</definedName>
    <definedName name="cashflowoperasi" localSheetId="12">#REF!</definedName>
    <definedName name="cashflowoperasi" localSheetId="21">#REF!</definedName>
    <definedName name="cashflowoperasi" localSheetId="23">#REF!</definedName>
    <definedName name="cashflowoperasi" localSheetId="20">#REF!</definedName>
    <definedName name="cashflowoperasi" localSheetId="22">#REF!</definedName>
    <definedName name="cashflowoperasi" localSheetId="19">#REF!</definedName>
    <definedName name="cashflowoperasi" localSheetId="18">#REF!</definedName>
    <definedName name="cashflowoperasi" localSheetId="5">#REF!</definedName>
    <definedName name="cashflowoperasi">#REF!</definedName>
    <definedName name="CETAK" localSheetId="8">#REF!</definedName>
    <definedName name="CETAK" localSheetId="21">#REF!</definedName>
    <definedName name="CETAK" localSheetId="23">#REF!</definedName>
    <definedName name="CETAK" localSheetId="20">#REF!</definedName>
    <definedName name="CETAK" localSheetId="22">#REF!</definedName>
    <definedName name="CETAK" localSheetId="19">#REF!</definedName>
    <definedName name="CETAK" localSheetId="5">#REF!</definedName>
    <definedName name="CETAK">#REF!</definedName>
    <definedName name="cf" localSheetId="8">#REF!</definedName>
    <definedName name="cf" localSheetId="12">#REF!</definedName>
    <definedName name="cf" localSheetId="21">#REF!</definedName>
    <definedName name="cf" localSheetId="23">#REF!</definedName>
    <definedName name="cf" localSheetId="20">#REF!</definedName>
    <definedName name="cf" localSheetId="22">#REF!</definedName>
    <definedName name="cf" localSheetId="19">#REF!</definedName>
    <definedName name="cf" localSheetId="18">#REF!</definedName>
    <definedName name="cf" localSheetId="5">#REF!</definedName>
    <definedName name="cf">#REF!</definedName>
    <definedName name="Charger75">#REF!</definedName>
    <definedName name="COUNTER" localSheetId="8">#REF!</definedName>
    <definedName name="COUNTER" localSheetId="12">#REF!</definedName>
    <definedName name="COUNTER" localSheetId="21">#REF!</definedName>
    <definedName name="COUNTER" localSheetId="23">#REF!</definedName>
    <definedName name="COUNTER" localSheetId="20">#REF!</definedName>
    <definedName name="COUNTER" localSheetId="22">#REF!</definedName>
    <definedName name="COUNTER" localSheetId="19">#REF!</definedName>
    <definedName name="COUNTER" localSheetId="18">#REF!</definedName>
    <definedName name="COUNTER" localSheetId="5">#REF!</definedName>
    <definedName name="COUNTER">#REF!</definedName>
    <definedName name="COUNTER_CHECK" localSheetId="8">#REF!</definedName>
    <definedName name="COUNTER_CHECK" localSheetId="12">#REF!</definedName>
    <definedName name="COUNTER_CHECK" localSheetId="21">#REF!</definedName>
    <definedName name="COUNTER_CHECK" localSheetId="23">#REF!</definedName>
    <definedName name="COUNTER_CHECK" localSheetId="20">#REF!</definedName>
    <definedName name="COUNTER_CHECK" localSheetId="22">#REF!</definedName>
    <definedName name="COUNTER_CHECK" localSheetId="19">#REF!</definedName>
    <definedName name="COUNTER_CHECK" localSheetId="18">#REF!</definedName>
    <definedName name="COUNTER_CHECK" localSheetId="5">#REF!</definedName>
    <definedName name="COUNTER_CHECK">#REF!</definedName>
    <definedName name="Cover" localSheetId="8">#REF!</definedName>
    <definedName name="Cover" localSheetId="12">#REF!</definedName>
    <definedName name="Cover" localSheetId="21">#REF!</definedName>
    <definedName name="Cover" localSheetId="23">#REF!</definedName>
    <definedName name="Cover" localSheetId="20">#REF!</definedName>
    <definedName name="Cover" localSheetId="22">#REF!</definedName>
    <definedName name="Cover" localSheetId="19">#REF!</definedName>
    <definedName name="Cover" localSheetId="18">#REF!</definedName>
    <definedName name="Cover" localSheetId="5">#REF!</definedName>
    <definedName name="Cover">#REF!</definedName>
    <definedName name="csDesignMode">1</definedName>
    <definedName name="ct150kv">#REF!</definedName>
    <definedName name="cus">#REF!</definedName>
    <definedName name="cuti">#REF!</definedName>
    <definedName name="cuti_besar">#REF!</definedName>
    <definedName name="DAF13A" localSheetId="8">#REF!</definedName>
    <definedName name="DAF13A" localSheetId="12">#REF!</definedName>
    <definedName name="DAF13A" localSheetId="21">#REF!</definedName>
    <definedName name="DAF13A" localSheetId="23">#REF!</definedName>
    <definedName name="DAF13A" localSheetId="20">#REF!</definedName>
    <definedName name="DAF13A" localSheetId="22">#REF!</definedName>
    <definedName name="DAF13A" localSheetId="19">#REF!</definedName>
    <definedName name="DAF13A" localSheetId="18">#REF!</definedName>
    <definedName name="DAF13A" localSheetId="5">#REF!</definedName>
    <definedName name="DAF13A">#REF!</definedName>
    <definedName name="DAF13B" localSheetId="8">#REF!</definedName>
    <definedName name="DAF13B" localSheetId="12">#REF!</definedName>
    <definedName name="DAF13B" localSheetId="21">#REF!</definedName>
    <definedName name="DAF13B" localSheetId="23">#REF!</definedName>
    <definedName name="DAF13B" localSheetId="20">#REF!</definedName>
    <definedName name="DAF13B" localSheetId="22">#REF!</definedName>
    <definedName name="DAF13B" localSheetId="19">#REF!</definedName>
    <definedName name="DAF13B" localSheetId="18">#REF!</definedName>
    <definedName name="DAF13B" localSheetId="5">#REF!</definedName>
    <definedName name="DAF13B">#REF!</definedName>
    <definedName name="DAF14A" localSheetId="8">#REF!</definedName>
    <definedName name="DAF14A" localSheetId="12">#REF!</definedName>
    <definedName name="DAF14A" localSheetId="21">#REF!</definedName>
    <definedName name="DAF14A" localSheetId="23">#REF!</definedName>
    <definedName name="DAF14A" localSheetId="20">#REF!</definedName>
    <definedName name="DAF14A" localSheetId="22">#REF!</definedName>
    <definedName name="DAF14A" localSheetId="19">#REF!</definedName>
    <definedName name="DAF14A" localSheetId="18">#REF!</definedName>
    <definedName name="DAF14A" localSheetId="5">#REF!</definedName>
    <definedName name="DAF14A">#REF!</definedName>
    <definedName name="DAF14B" localSheetId="8">#REF!</definedName>
    <definedName name="DAF14B" localSheetId="12">#REF!</definedName>
    <definedName name="DAF14B" localSheetId="21">#REF!</definedName>
    <definedName name="DAF14B" localSheetId="23">#REF!</definedName>
    <definedName name="DAF14B" localSheetId="20">#REF!</definedName>
    <definedName name="DAF14B" localSheetId="22">#REF!</definedName>
    <definedName name="DAF14B" localSheetId="19">#REF!</definedName>
    <definedName name="DAF14B" localSheetId="18">#REF!</definedName>
    <definedName name="DAF14B">#REF!</definedName>
    <definedName name="DAF14C" localSheetId="8">#REF!</definedName>
    <definedName name="DAF14C" localSheetId="12">#REF!</definedName>
    <definedName name="DAF14C" localSheetId="21">#REF!</definedName>
    <definedName name="DAF14C" localSheetId="23">#REF!</definedName>
    <definedName name="DAF14C" localSheetId="20">#REF!</definedName>
    <definedName name="DAF14C" localSheetId="22">#REF!</definedName>
    <definedName name="DAF14C" localSheetId="19">#REF!</definedName>
    <definedName name="DAF14C" localSheetId="18">#REF!</definedName>
    <definedName name="DAF14C">#REF!</definedName>
    <definedName name="DAF14D" localSheetId="8">#REF!</definedName>
    <definedName name="DAF14D" localSheetId="12">#REF!</definedName>
    <definedName name="DAF14D" localSheetId="21">#REF!</definedName>
    <definedName name="DAF14D" localSheetId="23">#REF!</definedName>
    <definedName name="DAF14D" localSheetId="20">#REF!</definedName>
    <definedName name="DAF14D" localSheetId="22">#REF!</definedName>
    <definedName name="DAF14D" localSheetId="19">#REF!</definedName>
    <definedName name="DAF14D" localSheetId="18">#REF!</definedName>
    <definedName name="DAF14D">#REF!</definedName>
    <definedName name="DAF14E" localSheetId="8">#REF!</definedName>
    <definedName name="DAF14E" localSheetId="12">#REF!</definedName>
    <definedName name="DAF14E" localSheetId="21">#REF!</definedName>
    <definedName name="DAF14E" localSheetId="23">#REF!</definedName>
    <definedName name="DAF14E" localSheetId="20">#REF!</definedName>
    <definedName name="DAF14E" localSheetId="22">#REF!</definedName>
    <definedName name="DAF14E" localSheetId="19">#REF!</definedName>
    <definedName name="DAF14E" localSheetId="18">#REF!</definedName>
    <definedName name="DAF14E">#REF!</definedName>
    <definedName name="Daftar" localSheetId="8">#REF!</definedName>
    <definedName name="Daftar" localSheetId="12">#REF!</definedName>
    <definedName name="Daftar" localSheetId="21">#REF!</definedName>
    <definedName name="Daftar" localSheetId="23">#REF!</definedName>
    <definedName name="Daftar" localSheetId="20">#REF!</definedName>
    <definedName name="Daftar" localSheetId="22">#REF!</definedName>
    <definedName name="Daftar" localSheetId="19">#REF!</definedName>
    <definedName name="Daftar" localSheetId="18">#REF!</definedName>
    <definedName name="Daftar">#REF!</definedName>
    <definedName name="data_koreksi">#REF!</definedName>
    <definedName name="_xlnm.Database" localSheetId="8">#REF!</definedName>
    <definedName name="_xlnm.Database" localSheetId="14">#REF!</definedName>
    <definedName name="_xlnm.Database" localSheetId="17">#REF!</definedName>
    <definedName name="_xlnm.Database" localSheetId="15">#REF!</definedName>
    <definedName name="_xlnm.Database" localSheetId="16">#REF!</definedName>
    <definedName name="_xlnm.Database" localSheetId="13">#REF!</definedName>
    <definedName name="_xlnm.Database" localSheetId="12">#REF!</definedName>
    <definedName name="_xlnm.Database" localSheetId="2">#REF!</definedName>
    <definedName name="_xlnm.Database" localSheetId="21">#REF!</definedName>
    <definedName name="_xlnm.Database" localSheetId="23">#REF!</definedName>
    <definedName name="_xlnm.Database" localSheetId="20">#REF!</definedName>
    <definedName name="_xlnm.Database" localSheetId="22">#REF!</definedName>
    <definedName name="_xlnm.Database" localSheetId="19">#REF!</definedName>
    <definedName name="_xlnm.Database" localSheetId="18">#REF!</definedName>
    <definedName name="_xlnm.Database" localSheetId="5">#REF!</definedName>
    <definedName name="_xlnm.Database">#REF!</definedName>
    <definedName name="Database_MI" localSheetId="8">#REF!</definedName>
    <definedName name="Database_MI" localSheetId="12">#REF!</definedName>
    <definedName name="Database_MI" localSheetId="21">#REF!</definedName>
    <definedName name="Database_MI" localSheetId="23">#REF!</definedName>
    <definedName name="Database_MI" localSheetId="20">#REF!</definedName>
    <definedName name="Database_MI" localSheetId="22">#REF!</definedName>
    <definedName name="Database_MI" localSheetId="19">#REF!</definedName>
    <definedName name="Database_MI" localSheetId="18">#REF!</definedName>
    <definedName name="Database_MI" localSheetId="5">#REF!</definedName>
    <definedName name="Database_MI">#REF!</definedName>
    <definedName name="DATES">#REF!</definedName>
    <definedName name="daya" localSheetId="8">#REF!</definedName>
    <definedName name="daya" localSheetId="12">#REF!</definedName>
    <definedName name="daya" localSheetId="21">#REF!</definedName>
    <definedName name="daya" localSheetId="23">#REF!</definedName>
    <definedName name="daya" localSheetId="20">#REF!</definedName>
    <definedName name="daya" localSheetId="22">#REF!</definedName>
    <definedName name="daya" localSheetId="19">#REF!</definedName>
    <definedName name="daya" localSheetId="18">#REF!</definedName>
    <definedName name="daya" localSheetId="5">#REF!</definedName>
    <definedName name="daya">#REF!</definedName>
    <definedName name="DBSend">#REF!</definedName>
    <definedName name="dbulan">#REF!</definedName>
    <definedName name="dbulan1">#REF!</definedName>
    <definedName name="ddddddddddd" localSheetId="8">#REF!</definedName>
    <definedName name="ddddddddddd" localSheetId="12">#REF!</definedName>
    <definedName name="ddddddddddd" localSheetId="21">#REF!</definedName>
    <definedName name="ddddddddddd" localSheetId="23">#REF!</definedName>
    <definedName name="ddddddddddd" localSheetId="20">#REF!</definedName>
    <definedName name="ddddddddddd" localSheetId="22">#REF!</definedName>
    <definedName name="ddddddddddd" localSheetId="19">#REF!</definedName>
    <definedName name="ddddddddddd" localSheetId="18">#REF!</definedName>
    <definedName name="ddddddddddd" localSheetId="5">#REF!</definedName>
    <definedName name="ddddddddddd">#REF!</definedName>
    <definedName name="deposito" localSheetId="8">#REF!</definedName>
    <definedName name="deposito" localSheetId="12">#REF!</definedName>
    <definedName name="deposito" localSheetId="21">#REF!</definedName>
    <definedName name="deposito" localSheetId="23">#REF!</definedName>
    <definedName name="deposito" localSheetId="20">#REF!</definedName>
    <definedName name="deposito" localSheetId="22">#REF!</definedName>
    <definedName name="deposito" localSheetId="19">#REF!</definedName>
    <definedName name="deposito" localSheetId="18">#REF!</definedName>
    <definedName name="deposito" localSheetId="5">#REF!</definedName>
    <definedName name="deposito">#REF!</definedName>
    <definedName name="des" localSheetId="8">#REF!</definedName>
    <definedName name="des" localSheetId="12">#REF!</definedName>
    <definedName name="des" localSheetId="21">#REF!</definedName>
    <definedName name="des" localSheetId="23">#REF!</definedName>
    <definedName name="des" localSheetId="20">#REF!</definedName>
    <definedName name="des" localSheetId="22">#REF!</definedName>
    <definedName name="des" localSheetId="19">#REF!</definedName>
    <definedName name="des" localSheetId="18">#REF!</definedName>
    <definedName name="des" localSheetId="5">#REF!</definedName>
    <definedName name="des">#REF!</definedName>
    <definedName name="dfgfter" localSheetId="8">#REF!</definedName>
    <definedName name="dfgfter" localSheetId="21">#REF!</definedName>
    <definedName name="dfgfter" localSheetId="23">#REF!</definedName>
    <definedName name="dfgfter" localSheetId="20">#REF!</definedName>
    <definedName name="dfgfter" localSheetId="22">#REF!</definedName>
    <definedName name="dfgfter" localSheetId="19">#REF!</definedName>
    <definedName name="dfgfter">#REF!</definedName>
    <definedName name="DFR">#REF!</definedName>
    <definedName name="dhari">#REF!</definedName>
    <definedName name="discount" localSheetId="8">#REF!</definedName>
    <definedName name="discount" localSheetId="12">#REF!</definedName>
    <definedName name="discount" localSheetId="21">#REF!</definedName>
    <definedName name="discount" localSheetId="23">#REF!</definedName>
    <definedName name="discount" localSheetId="20">#REF!</definedName>
    <definedName name="discount" localSheetId="22">#REF!</definedName>
    <definedName name="discount" localSheetId="19">#REF!</definedName>
    <definedName name="discount" localSheetId="18">#REF!</definedName>
    <definedName name="discount" localSheetId="5">#REF!</definedName>
    <definedName name="discount">#REF!</definedName>
    <definedName name="discount1" localSheetId="8">#REF!</definedName>
    <definedName name="discount1" localSheetId="12">#REF!</definedName>
    <definedName name="discount1" localSheetId="21">#REF!</definedName>
    <definedName name="discount1" localSheetId="23">#REF!</definedName>
    <definedName name="discount1" localSheetId="20">#REF!</definedName>
    <definedName name="discount1" localSheetId="22">#REF!</definedName>
    <definedName name="discount1" localSheetId="19">#REF!</definedName>
    <definedName name="discount1" localSheetId="18">#REF!</definedName>
    <definedName name="discount1" localSheetId="5">#REF!</definedName>
    <definedName name="discount1">#REF!</definedName>
    <definedName name="discount2" localSheetId="8">#REF!</definedName>
    <definedName name="discount2" localSheetId="12">#REF!</definedName>
    <definedName name="discount2" localSheetId="21">#REF!</definedName>
    <definedName name="discount2" localSheetId="23">#REF!</definedName>
    <definedName name="discount2" localSheetId="20">#REF!</definedName>
    <definedName name="discount2" localSheetId="22">#REF!</definedName>
    <definedName name="discount2" localSheetId="19">#REF!</definedName>
    <definedName name="discount2" localSheetId="18">#REF!</definedName>
    <definedName name="discount2" localSheetId="5">#REF!</definedName>
    <definedName name="discount2">#REF!</definedName>
    <definedName name="Dist.rele">#REF!</definedName>
    <definedName name="djshdjsah" localSheetId="8">#REF!</definedName>
    <definedName name="djshdjsah" localSheetId="21">#REF!</definedName>
    <definedName name="djshdjsah" localSheetId="23">#REF!</definedName>
    <definedName name="djshdjsah" localSheetId="20">#REF!</definedName>
    <definedName name="djshdjsah" localSheetId="22">#REF!</definedName>
    <definedName name="djshdjsah" localSheetId="19">#REF!</definedName>
    <definedName name="djshdjsah" localSheetId="5">#REF!</definedName>
    <definedName name="djshdjsah">#REF!</definedName>
    <definedName name="DKWH" localSheetId="8">#REF!</definedName>
    <definedName name="DKWH" localSheetId="21">#REF!</definedName>
    <definedName name="DKWH" localSheetId="23">#REF!</definedName>
    <definedName name="DKWH" localSheetId="20">#REF!</definedName>
    <definedName name="DKWH" localSheetId="22">#REF!</definedName>
    <definedName name="DKWH" localSheetId="19">#REF!</definedName>
    <definedName name="DKWH" localSheetId="5">#REF!</definedName>
    <definedName name="DKWH">#REF!</definedName>
    <definedName name="DPLG" localSheetId="8">#REF!</definedName>
    <definedName name="DPLG" localSheetId="21">#REF!</definedName>
    <definedName name="DPLG" localSheetId="23">#REF!</definedName>
    <definedName name="DPLG" localSheetId="20">#REF!</definedName>
    <definedName name="DPLG" localSheetId="22">#REF!</definedName>
    <definedName name="DPLG" localSheetId="19">#REF!</definedName>
    <definedName name="DPLG" localSheetId="5">#REF!</definedName>
    <definedName name="DPLG">#REF!</definedName>
    <definedName name="DRP" localSheetId="8">#REF!</definedName>
    <definedName name="DRP" localSheetId="21">#REF!</definedName>
    <definedName name="DRP" localSheetId="23">#REF!</definedName>
    <definedName name="DRP" localSheetId="20">#REF!</definedName>
    <definedName name="DRP" localSheetId="22">#REF!</definedName>
    <definedName name="DRP" localSheetId="19">#REF!</definedName>
    <definedName name="DRP">#REF!</definedName>
    <definedName name="DRPKWH" localSheetId="8">#REF!</definedName>
    <definedName name="DRPKWH" localSheetId="21">#REF!</definedName>
    <definedName name="DRPKWH" localSheetId="23">#REF!</definedName>
    <definedName name="DRPKWH" localSheetId="20">#REF!</definedName>
    <definedName name="DRPKWH" localSheetId="22">#REF!</definedName>
    <definedName name="DRPKWH" localSheetId="19">#REF!</definedName>
    <definedName name="DRPKWH">#REF!</definedName>
    <definedName name="dt_multiguna">#REF!</definedName>
    <definedName name="dt_P2TL">#REF!</definedName>
    <definedName name="dtahun">#REF!</definedName>
    <definedName name="dtanggal">#REF!</definedName>
    <definedName name="dtrf" localSheetId="8">#REF!</definedName>
    <definedName name="dtrf" localSheetId="12">#REF!</definedName>
    <definedName name="dtrf" localSheetId="21">#REF!</definedName>
    <definedName name="dtrf" localSheetId="23">#REF!</definedName>
    <definedName name="dtrf" localSheetId="20">#REF!</definedName>
    <definedName name="dtrf" localSheetId="22">#REF!</definedName>
    <definedName name="dtrf" localSheetId="19">#REF!</definedName>
    <definedName name="dtrf" localSheetId="18">#REF!</definedName>
    <definedName name="dtrf" localSheetId="5">#REF!</definedName>
    <definedName name="dtrf">#REF!</definedName>
    <definedName name="DVA" localSheetId="8">#REF!</definedName>
    <definedName name="DVA" localSheetId="21">#REF!</definedName>
    <definedName name="DVA" localSheetId="23">#REF!</definedName>
    <definedName name="DVA" localSheetId="20">#REF!</definedName>
    <definedName name="DVA" localSheetId="22">#REF!</definedName>
    <definedName name="DVA" localSheetId="19">#REF!</definedName>
    <definedName name="DVA">#REF!</definedName>
    <definedName name="Ea" localSheetId="8">#REF!</definedName>
    <definedName name="Ea" localSheetId="21">#REF!</definedName>
    <definedName name="Ea" localSheetId="23">#REF!</definedName>
    <definedName name="Ea" localSheetId="20">#REF!</definedName>
    <definedName name="Ea" localSheetId="22">#REF!</definedName>
    <definedName name="Ea" localSheetId="19">#REF!</definedName>
    <definedName name="Ea" localSheetId="5">#REF!</definedName>
    <definedName name="Ea">#REF!</definedName>
    <definedName name="Egiapbn1" localSheetId="8">#REF!</definedName>
    <definedName name="Egiapbn1" localSheetId="12">#REF!</definedName>
    <definedName name="Egiapbn1" localSheetId="21">#REF!</definedName>
    <definedName name="Egiapbn1" localSheetId="23">#REF!</definedName>
    <definedName name="Egiapbn1" localSheetId="20">#REF!</definedName>
    <definedName name="Egiapbn1" localSheetId="22">#REF!</definedName>
    <definedName name="Egiapbn1" localSheetId="19">#REF!</definedName>
    <definedName name="Egiapbn1" localSheetId="18">#REF!</definedName>
    <definedName name="Egiapbn1" localSheetId="5">#REF!</definedName>
    <definedName name="Egiapbn1">#REF!</definedName>
    <definedName name="Egiapbn2" localSheetId="8">#REF!</definedName>
    <definedName name="Egiapbn2" localSheetId="12">#REF!</definedName>
    <definedName name="Egiapbn2" localSheetId="21">#REF!</definedName>
    <definedName name="Egiapbn2" localSheetId="23">#REF!</definedName>
    <definedName name="Egiapbn2" localSheetId="20">#REF!</definedName>
    <definedName name="Egiapbn2" localSheetId="22">#REF!</definedName>
    <definedName name="Egiapbn2" localSheetId="19">#REF!</definedName>
    <definedName name="Egiapbn2" localSheetId="18">#REF!</definedName>
    <definedName name="Egiapbn2" localSheetId="5">#REF!</definedName>
    <definedName name="Egiapbn2">#REF!</definedName>
    <definedName name="Egiapbn4" localSheetId="8">#REF!</definedName>
    <definedName name="Egiapbn4" localSheetId="12">#REF!</definedName>
    <definedName name="Egiapbn4" localSheetId="21">#REF!</definedName>
    <definedName name="Egiapbn4" localSheetId="23">#REF!</definedName>
    <definedName name="Egiapbn4" localSheetId="20">#REF!</definedName>
    <definedName name="Egiapbn4" localSheetId="22">#REF!</definedName>
    <definedName name="Egiapbn4" localSheetId="19">#REF!</definedName>
    <definedName name="Egiapbn4" localSheetId="18">#REF!</definedName>
    <definedName name="Egiapbn4">#REF!</definedName>
    <definedName name="Egiapln1" localSheetId="8">#REF!</definedName>
    <definedName name="Egiapln1" localSheetId="12">#REF!</definedName>
    <definedName name="Egiapln1" localSheetId="21">#REF!</definedName>
    <definedName name="Egiapln1" localSheetId="23">#REF!</definedName>
    <definedName name="Egiapln1" localSheetId="20">#REF!</definedName>
    <definedName name="Egiapln1" localSheetId="22">#REF!</definedName>
    <definedName name="Egiapln1" localSheetId="19">#REF!</definedName>
    <definedName name="Egiapln1" localSheetId="18">#REF!</definedName>
    <definedName name="Egiapln1">#REF!</definedName>
    <definedName name="Egiapln2" localSheetId="8">#REF!</definedName>
    <definedName name="Egiapln2" localSheetId="12">#REF!</definedName>
    <definedName name="Egiapln2" localSheetId="21">#REF!</definedName>
    <definedName name="Egiapln2" localSheetId="23">#REF!</definedName>
    <definedName name="Egiapln2" localSheetId="20">#REF!</definedName>
    <definedName name="Egiapln2" localSheetId="22">#REF!</definedName>
    <definedName name="Egiapln2" localSheetId="19">#REF!</definedName>
    <definedName name="Egiapln2" localSheetId="18">#REF!</definedName>
    <definedName name="Egiapln2">#REF!</definedName>
    <definedName name="Egiapln3" localSheetId="8">#REF!</definedName>
    <definedName name="Egiapln3" localSheetId="12">#REF!</definedName>
    <definedName name="Egiapln3" localSheetId="21">#REF!</definedName>
    <definedName name="Egiapln3" localSheetId="23">#REF!</definedName>
    <definedName name="Egiapln3" localSheetId="20">#REF!</definedName>
    <definedName name="Egiapln3" localSheetId="22">#REF!</definedName>
    <definedName name="Egiapln3" localSheetId="19">#REF!</definedName>
    <definedName name="Egiapln3" localSheetId="18">#REF!</definedName>
    <definedName name="Egiapln3">#REF!</definedName>
    <definedName name="Egiapln4" localSheetId="8">#REF!</definedName>
    <definedName name="Egiapln4" localSheetId="12">#REF!</definedName>
    <definedName name="Egiapln4" localSheetId="21">#REF!</definedName>
    <definedName name="Egiapln4" localSheetId="23">#REF!</definedName>
    <definedName name="Egiapln4" localSheetId="20">#REF!</definedName>
    <definedName name="Egiapln4" localSheetId="22">#REF!</definedName>
    <definedName name="Egiapln4" localSheetId="19">#REF!</definedName>
    <definedName name="Egiapln4" localSheetId="18">#REF!</definedName>
    <definedName name="Egiapln4">#REF!</definedName>
    <definedName name="Egisla2" localSheetId="8">#REF!</definedName>
    <definedName name="Egisla2" localSheetId="12">#REF!</definedName>
    <definedName name="Egisla2" localSheetId="21">#REF!</definedName>
    <definedName name="Egisla2" localSheetId="23">#REF!</definedName>
    <definedName name="Egisla2" localSheetId="20">#REF!</definedName>
    <definedName name="Egisla2" localSheetId="22">#REF!</definedName>
    <definedName name="Egisla2" localSheetId="19">#REF!</definedName>
    <definedName name="Egisla2" localSheetId="18">#REF!</definedName>
    <definedName name="Egisla2">#REF!</definedName>
    <definedName name="Egisla4" localSheetId="8">#REF!</definedName>
    <definedName name="Egisla4" localSheetId="12">#REF!</definedName>
    <definedName name="Egisla4" localSheetId="21">#REF!</definedName>
    <definedName name="Egisla4" localSheetId="23">#REF!</definedName>
    <definedName name="Egisla4" localSheetId="20">#REF!</definedName>
    <definedName name="Egisla4" localSheetId="22">#REF!</definedName>
    <definedName name="Egisla4" localSheetId="19">#REF!</definedName>
    <definedName name="Egisla4" localSheetId="18">#REF!</definedName>
    <definedName name="Egisla4">#REF!</definedName>
    <definedName name="Epltaapln4" localSheetId="8">#REF!</definedName>
    <definedName name="Epltaapln4" localSheetId="12">#REF!</definedName>
    <definedName name="Epltaapln4" localSheetId="21">#REF!</definedName>
    <definedName name="Epltaapln4" localSheetId="23">#REF!</definedName>
    <definedName name="Epltaapln4" localSheetId="20">#REF!</definedName>
    <definedName name="Epltaapln4" localSheetId="22">#REF!</definedName>
    <definedName name="Epltaapln4" localSheetId="19">#REF!</definedName>
    <definedName name="Epltaapln4" localSheetId="18">#REF!</definedName>
    <definedName name="Epltaapln4">#REF!</definedName>
    <definedName name="Epltdapln1" localSheetId="8">#REF!</definedName>
    <definedName name="Epltdapln1" localSheetId="12">#REF!</definedName>
    <definedName name="Epltdapln1" localSheetId="21">#REF!</definedName>
    <definedName name="Epltdapln1" localSheetId="23">#REF!</definedName>
    <definedName name="Epltdapln1" localSheetId="20">#REF!</definedName>
    <definedName name="Epltdapln1" localSheetId="22">#REF!</definedName>
    <definedName name="Epltdapln1" localSheetId="19">#REF!</definedName>
    <definedName name="Epltdapln1" localSheetId="18">#REF!</definedName>
    <definedName name="Epltdapln1">#REF!</definedName>
    <definedName name="Epltdapln4" localSheetId="8">#REF!</definedName>
    <definedName name="Epltdapln4" localSheetId="12">#REF!</definedName>
    <definedName name="Epltdapln4" localSheetId="21">#REF!</definedName>
    <definedName name="Epltdapln4" localSheetId="23">#REF!</definedName>
    <definedName name="Epltdapln4" localSheetId="20">#REF!</definedName>
    <definedName name="Epltdapln4" localSheetId="22">#REF!</definedName>
    <definedName name="Epltdapln4" localSheetId="19">#REF!</definedName>
    <definedName name="Epltdapln4" localSheetId="18">#REF!</definedName>
    <definedName name="Epltdapln4">#REF!</definedName>
    <definedName name="Epltdsla1" localSheetId="8">#REF!</definedName>
    <definedName name="Epltdsla1" localSheetId="12">#REF!</definedName>
    <definedName name="Epltdsla1" localSheetId="21">#REF!</definedName>
    <definedName name="Epltdsla1" localSheetId="23">#REF!</definedName>
    <definedName name="Epltdsla1" localSheetId="20">#REF!</definedName>
    <definedName name="Epltdsla1" localSheetId="22">#REF!</definedName>
    <definedName name="Epltdsla1" localSheetId="19">#REF!</definedName>
    <definedName name="Epltdsla1" localSheetId="18">#REF!</definedName>
    <definedName name="Epltdsla1">#REF!</definedName>
    <definedName name="Epltdsla4" localSheetId="8">#REF!</definedName>
    <definedName name="Epltdsla4" localSheetId="12">#REF!</definedName>
    <definedName name="Epltdsla4" localSheetId="21">#REF!</definedName>
    <definedName name="Epltdsla4" localSheetId="23">#REF!</definedName>
    <definedName name="Epltdsla4" localSheetId="20">#REF!</definedName>
    <definedName name="Epltdsla4" localSheetId="22">#REF!</definedName>
    <definedName name="Epltdsla4" localSheetId="19">#REF!</definedName>
    <definedName name="Epltdsla4" localSheetId="18">#REF!</definedName>
    <definedName name="Epltdsla4">#REF!</definedName>
    <definedName name="Epltmapln1" localSheetId="8">#REF!</definedName>
    <definedName name="Epltmapln1" localSheetId="12">#REF!</definedName>
    <definedName name="Epltmapln1" localSheetId="21">#REF!</definedName>
    <definedName name="Epltmapln1" localSheetId="23">#REF!</definedName>
    <definedName name="Epltmapln1" localSheetId="20">#REF!</definedName>
    <definedName name="Epltmapln1" localSheetId="22">#REF!</definedName>
    <definedName name="Epltmapln1" localSheetId="19">#REF!</definedName>
    <definedName name="Epltmapln1" localSheetId="18">#REF!</definedName>
    <definedName name="Epltmapln1">#REF!</definedName>
    <definedName name="Epltmsla1" localSheetId="8">#REF!</definedName>
    <definedName name="Epltmsla1" localSheetId="12">#REF!</definedName>
    <definedName name="Epltmsla1" localSheetId="21">#REF!</definedName>
    <definedName name="Epltmsla1" localSheetId="23">#REF!</definedName>
    <definedName name="Epltmsla1" localSheetId="20">#REF!</definedName>
    <definedName name="Epltmsla1" localSheetId="22">#REF!</definedName>
    <definedName name="Epltmsla1" localSheetId="19">#REF!</definedName>
    <definedName name="Epltmsla1" localSheetId="18">#REF!</definedName>
    <definedName name="Epltmsla1">#REF!</definedName>
    <definedName name="Epltuapln1" localSheetId="8">#REF!</definedName>
    <definedName name="Epltuapln1" localSheetId="12">#REF!</definedName>
    <definedName name="Epltuapln1" localSheetId="21">#REF!</definedName>
    <definedName name="Epltuapln1" localSheetId="23">#REF!</definedName>
    <definedName name="Epltuapln1" localSheetId="20">#REF!</definedName>
    <definedName name="Epltuapln1" localSheetId="22">#REF!</definedName>
    <definedName name="Epltuapln1" localSheetId="19">#REF!</definedName>
    <definedName name="Epltuapln1" localSheetId="18">#REF!</definedName>
    <definedName name="Epltuapln1">#REF!</definedName>
    <definedName name="Epltuapln2" localSheetId="8">#REF!</definedName>
    <definedName name="Epltuapln2" localSheetId="12">#REF!</definedName>
    <definedName name="Epltuapln2" localSheetId="21">#REF!</definedName>
    <definedName name="Epltuapln2" localSheetId="23">#REF!</definedName>
    <definedName name="Epltuapln2" localSheetId="20">#REF!</definedName>
    <definedName name="Epltuapln2" localSheetId="22">#REF!</definedName>
    <definedName name="Epltuapln2" localSheetId="19">#REF!</definedName>
    <definedName name="Epltuapln2" localSheetId="18">#REF!</definedName>
    <definedName name="Epltuapln2">#REF!</definedName>
    <definedName name="Epltuapln3" localSheetId="8">#REF!</definedName>
    <definedName name="Epltuapln3" localSheetId="12">#REF!</definedName>
    <definedName name="Epltuapln3" localSheetId="21">#REF!</definedName>
    <definedName name="Epltuapln3" localSheetId="23">#REF!</definedName>
    <definedName name="Epltuapln3" localSheetId="20">#REF!</definedName>
    <definedName name="Epltuapln3" localSheetId="22">#REF!</definedName>
    <definedName name="Epltuapln3" localSheetId="19">#REF!</definedName>
    <definedName name="Epltuapln3" localSheetId="18">#REF!</definedName>
    <definedName name="Epltuapln3">#REF!</definedName>
    <definedName name="epltuapln4" localSheetId="8">#REF!</definedName>
    <definedName name="epltuapln4" localSheetId="12">#REF!</definedName>
    <definedName name="epltuapln4" localSheetId="21">#REF!</definedName>
    <definedName name="epltuapln4" localSheetId="23">#REF!</definedName>
    <definedName name="epltuapln4" localSheetId="20">#REF!</definedName>
    <definedName name="epltuapln4" localSheetId="22">#REF!</definedName>
    <definedName name="epltuapln4" localSheetId="19">#REF!</definedName>
    <definedName name="epltuapln4" localSheetId="18">#REF!</definedName>
    <definedName name="epltuapln4">#REF!</definedName>
    <definedName name="Epltuapln5" localSheetId="8">#REF!</definedName>
    <definedName name="Epltuapln5" localSheetId="12">#REF!</definedName>
    <definedName name="Epltuapln5" localSheetId="21">#REF!</definedName>
    <definedName name="Epltuapln5" localSheetId="23">#REF!</definedName>
    <definedName name="Epltuapln5" localSheetId="20">#REF!</definedName>
    <definedName name="Epltuapln5" localSheetId="22">#REF!</definedName>
    <definedName name="Epltuapln5" localSheetId="19">#REF!</definedName>
    <definedName name="Epltuapln5" localSheetId="18">#REF!</definedName>
    <definedName name="Epltuapln5">#REF!</definedName>
    <definedName name="Epltusla5" localSheetId="8">#REF!</definedName>
    <definedName name="Epltusla5" localSheetId="12">#REF!</definedName>
    <definedName name="Epltusla5" localSheetId="21">#REF!</definedName>
    <definedName name="Epltusla5" localSheetId="23">#REF!</definedName>
    <definedName name="Epltusla5" localSheetId="20">#REF!</definedName>
    <definedName name="Epltusla5" localSheetId="22">#REF!</definedName>
    <definedName name="Epltusla5" localSheetId="19">#REF!</definedName>
    <definedName name="Epltusla5" localSheetId="18">#REF!</definedName>
    <definedName name="Epltusla5">#REF!</definedName>
    <definedName name="eppjb2tb">#REF!</definedName>
    <definedName name="ERE">#REF!</definedName>
    <definedName name="Esuttapbn1" localSheetId="8">#REF!</definedName>
    <definedName name="Esuttapbn1" localSheetId="12">#REF!</definedName>
    <definedName name="Esuttapbn1" localSheetId="21">#REF!</definedName>
    <definedName name="Esuttapbn1" localSheetId="23">#REF!</definedName>
    <definedName name="Esuttapbn1" localSheetId="20">#REF!</definedName>
    <definedName name="Esuttapbn1" localSheetId="22">#REF!</definedName>
    <definedName name="Esuttapbn1" localSheetId="19">#REF!</definedName>
    <definedName name="Esuttapbn1" localSheetId="18">#REF!</definedName>
    <definedName name="Esuttapbn1" localSheetId="5">#REF!</definedName>
    <definedName name="Esuttapbn1">#REF!</definedName>
    <definedName name="Esuttapbn2" localSheetId="8">#REF!</definedName>
    <definedName name="Esuttapbn2" localSheetId="12">#REF!</definedName>
    <definedName name="Esuttapbn2" localSheetId="21">#REF!</definedName>
    <definedName name="Esuttapbn2" localSheetId="23">#REF!</definedName>
    <definedName name="Esuttapbn2" localSheetId="20">#REF!</definedName>
    <definedName name="Esuttapbn2" localSheetId="22">#REF!</definedName>
    <definedName name="Esuttapbn2" localSheetId="19">#REF!</definedName>
    <definedName name="Esuttapbn2" localSheetId="18">#REF!</definedName>
    <definedName name="Esuttapbn2" localSheetId="5">#REF!</definedName>
    <definedName name="Esuttapbn2">#REF!</definedName>
    <definedName name="Esuttapbn4" localSheetId="8">#REF!</definedName>
    <definedName name="Esuttapbn4" localSheetId="12">#REF!</definedName>
    <definedName name="Esuttapbn4" localSheetId="21">#REF!</definedName>
    <definedName name="Esuttapbn4" localSheetId="23">#REF!</definedName>
    <definedName name="Esuttapbn4" localSheetId="20">#REF!</definedName>
    <definedName name="Esuttapbn4" localSheetId="22">#REF!</definedName>
    <definedName name="Esuttapbn4" localSheetId="19">#REF!</definedName>
    <definedName name="Esuttapbn4" localSheetId="18">#REF!</definedName>
    <definedName name="Esuttapbn4" localSheetId="5">#REF!</definedName>
    <definedName name="Esuttapbn4">#REF!</definedName>
    <definedName name="Esuttapln1" localSheetId="8">#REF!</definedName>
    <definedName name="Esuttapln1" localSheetId="12">#REF!</definedName>
    <definedName name="Esuttapln1" localSheetId="21">#REF!</definedName>
    <definedName name="Esuttapln1" localSheetId="23">#REF!</definedName>
    <definedName name="Esuttapln1" localSheetId="20">#REF!</definedName>
    <definedName name="Esuttapln1" localSheetId="22">#REF!</definedName>
    <definedName name="Esuttapln1" localSheetId="19">#REF!</definedName>
    <definedName name="Esuttapln1" localSheetId="18">#REF!</definedName>
    <definedName name="Esuttapln1">#REF!</definedName>
    <definedName name="Esuttapln2" localSheetId="8">#REF!</definedName>
    <definedName name="Esuttapln2" localSheetId="12">#REF!</definedName>
    <definedName name="Esuttapln2" localSheetId="21">#REF!</definedName>
    <definedName name="Esuttapln2" localSheetId="23">#REF!</definedName>
    <definedName name="Esuttapln2" localSheetId="20">#REF!</definedName>
    <definedName name="Esuttapln2" localSheetId="22">#REF!</definedName>
    <definedName name="Esuttapln2" localSheetId="19">#REF!</definedName>
    <definedName name="Esuttapln2" localSheetId="18">#REF!</definedName>
    <definedName name="Esuttapln2">#REF!</definedName>
    <definedName name="Esuttapln3" localSheetId="8">#REF!</definedName>
    <definedName name="Esuttapln3" localSheetId="12">#REF!</definedName>
    <definedName name="Esuttapln3" localSheetId="21">#REF!</definedName>
    <definedName name="Esuttapln3" localSheetId="23">#REF!</definedName>
    <definedName name="Esuttapln3" localSheetId="20">#REF!</definedName>
    <definedName name="Esuttapln3" localSheetId="22">#REF!</definedName>
    <definedName name="Esuttapln3" localSheetId="19">#REF!</definedName>
    <definedName name="Esuttapln3" localSheetId="18">#REF!</definedName>
    <definedName name="Esuttapln3">#REF!</definedName>
    <definedName name="Esuttapln4" localSheetId="8">#REF!</definedName>
    <definedName name="Esuttapln4" localSheetId="12">#REF!</definedName>
    <definedName name="Esuttapln4" localSheetId="21">#REF!</definedName>
    <definedName name="Esuttapln4" localSheetId="23">#REF!</definedName>
    <definedName name="Esuttapln4" localSheetId="20">#REF!</definedName>
    <definedName name="Esuttapln4" localSheetId="22">#REF!</definedName>
    <definedName name="Esuttapln4" localSheetId="19">#REF!</definedName>
    <definedName name="Esuttapln4" localSheetId="18">#REF!</definedName>
    <definedName name="Esuttapln4">#REF!</definedName>
    <definedName name="Esuttsla2" localSheetId="8">#REF!</definedName>
    <definedName name="Esuttsla2" localSheetId="12">#REF!</definedName>
    <definedName name="Esuttsla2" localSheetId="21">#REF!</definedName>
    <definedName name="Esuttsla2" localSheetId="23">#REF!</definedName>
    <definedName name="Esuttsla2" localSheetId="20">#REF!</definedName>
    <definedName name="Esuttsla2" localSheetId="22">#REF!</definedName>
    <definedName name="Esuttsla2" localSheetId="19">#REF!</definedName>
    <definedName name="Esuttsla2" localSheetId="18">#REF!</definedName>
    <definedName name="Esuttsla2">#REF!</definedName>
    <definedName name="Esuttsla4" localSheetId="8">#REF!</definedName>
    <definedName name="Esuttsla4" localSheetId="12">#REF!</definedName>
    <definedName name="Esuttsla4" localSheetId="21">#REF!</definedName>
    <definedName name="Esuttsla4" localSheetId="23">#REF!</definedName>
    <definedName name="Esuttsla4" localSheetId="20">#REF!</definedName>
    <definedName name="Esuttsla4" localSheetId="22">#REF!</definedName>
    <definedName name="Esuttsla4" localSheetId="19">#REF!</definedName>
    <definedName name="Esuttsla4" localSheetId="18">#REF!</definedName>
    <definedName name="Esuttsla4">#REF!</definedName>
    <definedName name="EUR" localSheetId="8">#REF!</definedName>
    <definedName name="EUR" localSheetId="12">#REF!</definedName>
    <definedName name="EUR" localSheetId="21">#REF!</definedName>
    <definedName name="EUR" localSheetId="23">#REF!</definedName>
    <definedName name="EUR" localSheetId="20">#REF!</definedName>
    <definedName name="EUR" localSheetId="22">#REF!</definedName>
    <definedName name="EUR" localSheetId="19">#REF!</definedName>
    <definedName name="EUR" localSheetId="18">#REF!</definedName>
    <definedName name="EUR">#REF!</definedName>
    <definedName name="expend_balanced_fund" localSheetId="8">#REF!</definedName>
    <definedName name="expend_balanced_fund" localSheetId="12">#REF!</definedName>
    <definedName name="expend_balanced_fund" localSheetId="21">#REF!</definedName>
    <definedName name="expend_balanced_fund" localSheetId="23">#REF!</definedName>
    <definedName name="expend_balanced_fund" localSheetId="20">#REF!</definedName>
    <definedName name="expend_balanced_fund" localSheetId="22">#REF!</definedName>
    <definedName name="expend_balanced_fund" localSheetId="19">#REF!</definedName>
    <definedName name="expend_balanced_fund" localSheetId="18">#REF!</definedName>
    <definedName name="expend_balanced_fund">#REF!</definedName>
    <definedName name="expend_central_govt" localSheetId="8">#REF!</definedName>
    <definedName name="expend_central_govt" localSheetId="12">#REF!</definedName>
    <definedName name="expend_central_govt" localSheetId="21">#REF!</definedName>
    <definedName name="expend_central_govt" localSheetId="23">#REF!</definedName>
    <definedName name="expend_central_govt" localSheetId="20">#REF!</definedName>
    <definedName name="expend_central_govt" localSheetId="22">#REF!</definedName>
    <definedName name="expend_central_govt" localSheetId="19">#REF!</definedName>
    <definedName name="expend_central_govt" localSheetId="18">#REF!</definedName>
    <definedName name="expend_central_govt">#REF!</definedName>
    <definedName name="expend_current" localSheetId="8">#REF!</definedName>
    <definedName name="expend_current" localSheetId="12">#REF!</definedName>
    <definedName name="expend_current" localSheetId="21">#REF!</definedName>
    <definedName name="expend_current" localSheetId="23">#REF!</definedName>
    <definedName name="expend_current" localSheetId="20">#REF!</definedName>
    <definedName name="expend_current" localSheetId="22">#REF!</definedName>
    <definedName name="expend_current" localSheetId="19">#REF!</definedName>
    <definedName name="expend_current" localSheetId="18">#REF!</definedName>
    <definedName name="expend_current">#REF!</definedName>
    <definedName name="expend_devt" localSheetId="8">#REF!</definedName>
    <definedName name="expend_devt" localSheetId="12">#REF!</definedName>
    <definedName name="expend_devt" localSheetId="21">#REF!</definedName>
    <definedName name="expend_devt" localSheetId="23">#REF!</definedName>
    <definedName name="expend_devt" localSheetId="20">#REF!</definedName>
    <definedName name="expend_devt" localSheetId="22">#REF!</definedName>
    <definedName name="expend_devt" localSheetId="19">#REF!</definedName>
    <definedName name="expend_devt" localSheetId="18">#REF!</definedName>
    <definedName name="expend_devt">#REF!</definedName>
    <definedName name="expenditures" localSheetId="8">#REF!</definedName>
    <definedName name="expenditures" localSheetId="12">#REF!</definedName>
    <definedName name="expenditures" localSheetId="21">#REF!</definedName>
    <definedName name="expenditures" localSheetId="23">#REF!</definedName>
    <definedName name="expenditures" localSheetId="20">#REF!</definedName>
    <definedName name="expenditures" localSheetId="22">#REF!</definedName>
    <definedName name="expenditures" localSheetId="19">#REF!</definedName>
    <definedName name="expenditures" localSheetId="18">#REF!</definedName>
    <definedName name="expenditures">#REF!</definedName>
    <definedName name="FAD" localSheetId="8">#REF!</definedName>
    <definedName name="FAD" localSheetId="12">#REF!</definedName>
    <definedName name="FAD" localSheetId="21">#REF!</definedName>
    <definedName name="FAD" localSheetId="23">#REF!</definedName>
    <definedName name="FAD" localSheetId="20">#REF!</definedName>
    <definedName name="FAD" localSheetId="22">#REF!</definedName>
    <definedName name="FAD" localSheetId="19">#REF!</definedName>
    <definedName name="FAD" localSheetId="18">#REF!</definedName>
    <definedName name="FAD">#REF!</definedName>
    <definedName name="FADF" localSheetId="8">#REF!</definedName>
    <definedName name="FADF" localSheetId="12">#REF!</definedName>
    <definedName name="FADF" localSheetId="21">#REF!</definedName>
    <definedName name="FADF" localSheetId="23">#REF!</definedName>
    <definedName name="FADF" localSheetId="20">#REF!</definedName>
    <definedName name="FADF" localSheetId="22">#REF!</definedName>
    <definedName name="FADF" localSheetId="19">#REF!</definedName>
    <definedName name="FADF" localSheetId="18">#REF!</definedName>
    <definedName name="FADF">#REF!</definedName>
    <definedName name="FADS" localSheetId="8">#REF!</definedName>
    <definedName name="FADS" localSheetId="12">#REF!</definedName>
    <definedName name="FADS" localSheetId="21">#REF!</definedName>
    <definedName name="FADS" localSheetId="23">#REF!</definedName>
    <definedName name="FADS" localSheetId="20">#REF!</definedName>
    <definedName name="FADS" localSheetId="22">#REF!</definedName>
    <definedName name="FADS" localSheetId="19">#REF!</definedName>
    <definedName name="FADS" localSheetId="18">#REF!</definedName>
    <definedName name="FADS">#REF!</definedName>
    <definedName name="Faktor_Kali" localSheetId="8">#REF!</definedName>
    <definedName name="Faktor_Kali" localSheetId="21">#REF!</definedName>
    <definedName name="Faktor_Kali" localSheetId="23">#REF!</definedName>
    <definedName name="Faktor_Kali" localSheetId="20">#REF!</definedName>
    <definedName name="Faktor_Kali" localSheetId="22">#REF!</definedName>
    <definedName name="Faktor_Kali" localSheetId="19">#REF!</definedName>
    <definedName name="Faktor_Kali">#REF!</definedName>
    <definedName name="FASDF" localSheetId="8">#REF!</definedName>
    <definedName name="FASDF" localSheetId="12">#REF!</definedName>
    <definedName name="FASDF" localSheetId="21">#REF!</definedName>
    <definedName name="FASDF" localSheetId="23">#REF!</definedName>
    <definedName name="FASDF" localSheetId="20">#REF!</definedName>
    <definedName name="FASDF" localSheetId="22">#REF!</definedName>
    <definedName name="FASDF" localSheetId="19">#REF!</definedName>
    <definedName name="FASDF" localSheetId="18">#REF!</definedName>
    <definedName name="FASDF">#REF!</definedName>
    <definedName name="fd" localSheetId="8">#REF!</definedName>
    <definedName name="fd" localSheetId="12">#REF!</definedName>
    <definedName name="fd" localSheetId="21">#REF!</definedName>
    <definedName name="fd" localSheetId="23">#REF!</definedName>
    <definedName name="fd" localSheetId="20">#REF!</definedName>
    <definedName name="fd" localSheetId="22">#REF!</definedName>
    <definedName name="fd" localSheetId="19">#REF!</definedName>
    <definedName name="fd" localSheetId="18">#REF!</definedName>
    <definedName name="fd">#REF!</definedName>
    <definedName name="feeder">#REF!</definedName>
    <definedName name="ffsfas" localSheetId="8">#REF!</definedName>
    <definedName name="ffsfas" localSheetId="21">#REF!</definedName>
    <definedName name="ffsfas" localSheetId="23">#REF!</definedName>
    <definedName name="ffsfas" localSheetId="20">#REF!</definedName>
    <definedName name="ffsfas" localSheetId="22">#REF!</definedName>
    <definedName name="ffsfas" localSheetId="19">#REF!</definedName>
    <definedName name="ffsfas" localSheetId="5">#REF!</definedName>
    <definedName name="ffsfas">#REF!</definedName>
    <definedName name="fgbhgh" localSheetId="8">#REF!</definedName>
    <definedName name="fgbhgh" localSheetId="21">#REF!</definedName>
    <definedName name="fgbhgh" localSheetId="23">#REF!</definedName>
    <definedName name="fgbhgh" localSheetId="20">#REF!</definedName>
    <definedName name="fgbhgh" localSheetId="22">#REF!</definedName>
    <definedName name="fgbhgh" localSheetId="19">#REF!</definedName>
    <definedName name="fgbhgh" localSheetId="5">#REF!</definedName>
    <definedName name="fgbhgh">#REF!</definedName>
    <definedName name="fgf" localSheetId="8">#REF!</definedName>
    <definedName name="fgf" localSheetId="21">#REF!</definedName>
    <definedName name="fgf" localSheetId="23">#REF!</definedName>
    <definedName name="fgf" localSheetId="20">#REF!</definedName>
    <definedName name="fgf" localSheetId="22">#REF!</definedName>
    <definedName name="fgf" localSheetId="19">#REF!</definedName>
    <definedName name="fgf" localSheetId="5">#REF!</definedName>
    <definedName name="fgf">#REF!</definedName>
    <definedName name="FILL" localSheetId="8" hidden="1">#REF!</definedName>
    <definedName name="FILL" localSheetId="12" hidden="1">#REF!</definedName>
    <definedName name="FILL" localSheetId="21" hidden="1">#REF!</definedName>
    <definedName name="FILL" localSheetId="23" hidden="1">#REF!</definedName>
    <definedName name="FILL" localSheetId="20" hidden="1">#REF!</definedName>
    <definedName name="FILL" localSheetId="22" hidden="1">#REF!</definedName>
    <definedName name="FILL" localSheetId="19" hidden="1">#REF!</definedName>
    <definedName name="FILL" localSheetId="18" hidden="1">#REF!</definedName>
    <definedName name="FILL" localSheetId="5" hidden="1">#REF!</definedName>
    <definedName name="FILL" hidden="1">#REF!</definedName>
    <definedName name="financing" localSheetId="8">#REF!</definedName>
    <definedName name="financing" localSheetId="12">#REF!</definedName>
    <definedName name="financing" localSheetId="21">#REF!</definedName>
    <definedName name="financing" localSheetId="23">#REF!</definedName>
    <definedName name="financing" localSheetId="20">#REF!</definedName>
    <definedName name="financing" localSheetId="22">#REF!</definedName>
    <definedName name="financing" localSheetId="19">#REF!</definedName>
    <definedName name="financing" localSheetId="18">#REF!</definedName>
    <definedName name="financing" localSheetId="5">#REF!</definedName>
    <definedName name="financing">#REF!</definedName>
    <definedName name="FIREALARM">#REF!</definedName>
    <definedName name="FIS_B" localSheetId="8">#REF!</definedName>
    <definedName name="FIS_B" localSheetId="21">#REF!</definedName>
    <definedName name="FIS_B" localSheetId="23">#REF!</definedName>
    <definedName name="FIS_B" localSheetId="20">#REF!</definedName>
    <definedName name="FIS_B" localSheetId="22">#REF!</definedName>
    <definedName name="FIS_B" localSheetId="19">#REF!</definedName>
    <definedName name="FIS_B" localSheetId="5">#REF!</definedName>
    <definedName name="FIS_B">#REF!</definedName>
    <definedName name="fj" localSheetId="8">#REF!</definedName>
    <definedName name="fj" localSheetId="21">#REF!</definedName>
    <definedName name="fj" localSheetId="23">#REF!</definedName>
    <definedName name="fj" localSheetId="20">#REF!</definedName>
    <definedName name="fj" localSheetId="22">#REF!</definedName>
    <definedName name="fj" localSheetId="19">#REF!</definedName>
    <definedName name="fj" localSheetId="5">#REF!</definedName>
    <definedName name="fj">#REF!</definedName>
    <definedName name="FSDF" localSheetId="8">#REF!</definedName>
    <definedName name="FSDF" localSheetId="12">#REF!</definedName>
    <definedName name="FSDF" localSheetId="21">#REF!</definedName>
    <definedName name="FSDF" localSheetId="23">#REF!</definedName>
    <definedName name="FSDF" localSheetId="20">#REF!</definedName>
    <definedName name="FSDF" localSheetId="22">#REF!</definedName>
    <definedName name="FSDF" localSheetId="19">#REF!</definedName>
    <definedName name="FSDF" localSheetId="18">#REF!</definedName>
    <definedName name="FSDF" localSheetId="5">#REF!</definedName>
    <definedName name="FSDF">#REF!</definedName>
    <definedName name="FUNGSI">#REF!</definedName>
    <definedName name="GABUNG" localSheetId="8">#REF!</definedName>
    <definedName name="GABUNG" localSheetId="21">#REF!</definedName>
    <definedName name="GABUNG" localSheetId="23">#REF!</definedName>
    <definedName name="GABUNG" localSheetId="20">#REF!</definedName>
    <definedName name="GABUNG" localSheetId="22">#REF!</definedName>
    <definedName name="GABUNG" localSheetId="19">#REF!</definedName>
    <definedName name="GABUNG" localSheetId="5">#REF!</definedName>
    <definedName name="GABUNG">#REF!</definedName>
    <definedName name="gang">#REF!</definedName>
    <definedName name="GBP" localSheetId="12">#REF!</definedName>
    <definedName name="GBP" localSheetId="21">#REF!</definedName>
    <definedName name="GBP" localSheetId="23">#REF!</definedName>
    <definedName name="GBP" localSheetId="20">#REF!</definedName>
    <definedName name="GBP" localSheetId="22">#REF!</definedName>
    <definedName name="GBP" localSheetId="19">#REF!</definedName>
    <definedName name="GBP" localSheetId="18">#REF!</definedName>
    <definedName name="GBP">#REF!</definedName>
    <definedName name="gdfg" localSheetId="8">#REF!</definedName>
    <definedName name="gdfg" localSheetId="12">#REF!</definedName>
    <definedName name="gdfg" localSheetId="21">#REF!</definedName>
    <definedName name="gdfg" localSheetId="23">#REF!</definedName>
    <definedName name="gdfg" localSheetId="20">#REF!</definedName>
    <definedName name="gdfg" localSheetId="22">#REF!</definedName>
    <definedName name="gdfg" localSheetId="19">#REF!</definedName>
    <definedName name="gdfg" localSheetId="18">#REF!</definedName>
    <definedName name="gdfg" localSheetId="5">#REF!</definedName>
    <definedName name="gdfg">#REF!</definedName>
    <definedName name="GFHHG" localSheetId="8">#REF!</definedName>
    <definedName name="GFHHG" localSheetId="12">#REF!</definedName>
    <definedName name="GFHHG" localSheetId="21">#REF!</definedName>
    <definedName name="GFHHG" localSheetId="23">#REF!</definedName>
    <definedName name="GFHHG" localSheetId="20">#REF!</definedName>
    <definedName name="GFHHG" localSheetId="22">#REF!</definedName>
    <definedName name="GFHHG" localSheetId="19">#REF!</definedName>
    <definedName name="GFHHG" localSheetId="18">#REF!</definedName>
    <definedName name="GFHHG" localSheetId="5">#REF!</definedName>
    <definedName name="GFHHG">#REF!</definedName>
    <definedName name="gg">#REF!</definedName>
    <definedName name="ggfhgf" localSheetId="8">#REF!</definedName>
    <definedName name="ggfhgf" localSheetId="21">#REF!</definedName>
    <definedName name="ggfhgf" localSheetId="23">#REF!</definedName>
    <definedName name="ggfhgf" localSheetId="20">#REF!</definedName>
    <definedName name="ggfhgf" localSheetId="22">#REF!</definedName>
    <definedName name="ggfhgf" localSheetId="19">#REF!</definedName>
    <definedName name="ggfhgf" localSheetId="5">#REF!</definedName>
    <definedName name="ggfhgf">#REF!</definedName>
    <definedName name="giapbn1" localSheetId="8">#REF!</definedName>
    <definedName name="giapbn1" localSheetId="12">#REF!</definedName>
    <definedName name="giapbn1" localSheetId="21">#REF!</definedName>
    <definedName name="giapbn1" localSheetId="23">#REF!</definedName>
    <definedName name="giapbn1" localSheetId="20">#REF!</definedName>
    <definedName name="giapbn1" localSheetId="22">#REF!</definedName>
    <definedName name="giapbn1" localSheetId="19">#REF!</definedName>
    <definedName name="giapbn1" localSheetId="18">#REF!</definedName>
    <definedName name="giapbn1" localSheetId="5">#REF!</definedName>
    <definedName name="giapbn1">#REF!</definedName>
    <definedName name="giapbn2" localSheetId="8">#REF!</definedName>
    <definedName name="giapbn2" localSheetId="12">#REF!</definedName>
    <definedName name="giapbn2" localSheetId="21">#REF!</definedName>
    <definedName name="giapbn2" localSheetId="23">#REF!</definedName>
    <definedName name="giapbn2" localSheetId="20">#REF!</definedName>
    <definedName name="giapbn2" localSheetId="22">#REF!</definedName>
    <definedName name="giapbn2" localSheetId="19">#REF!</definedName>
    <definedName name="giapbn2" localSheetId="18">#REF!</definedName>
    <definedName name="giapbn2" localSheetId="5">#REF!</definedName>
    <definedName name="giapbn2">#REF!</definedName>
    <definedName name="giapbn4" localSheetId="8">#REF!</definedName>
    <definedName name="giapbn4" localSheetId="12">#REF!</definedName>
    <definedName name="giapbn4" localSheetId="21">#REF!</definedName>
    <definedName name="giapbn4" localSheetId="23">#REF!</definedName>
    <definedName name="giapbn4" localSheetId="20">#REF!</definedName>
    <definedName name="giapbn4" localSheetId="22">#REF!</definedName>
    <definedName name="giapbn4" localSheetId="19">#REF!</definedName>
    <definedName name="giapbn4" localSheetId="18">#REF!</definedName>
    <definedName name="giapbn4">#REF!</definedName>
    <definedName name="giapln1" localSheetId="8">#REF!</definedName>
    <definedName name="giapln1" localSheetId="12">#REF!</definedName>
    <definedName name="giapln1" localSheetId="21">#REF!</definedName>
    <definedName name="giapln1" localSheetId="23">#REF!</definedName>
    <definedName name="giapln1" localSheetId="20">#REF!</definedName>
    <definedName name="giapln1" localSheetId="22">#REF!</definedName>
    <definedName name="giapln1" localSheetId="19">#REF!</definedName>
    <definedName name="giapln1" localSheetId="18">#REF!</definedName>
    <definedName name="giapln1">#REF!</definedName>
    <definedName name="giapln2" localSheetId="8">#REF!</definedName>
    <definedName name="giapln2" localSheetId="12">#REF!</definedName>
    <definedName name="giapln2" localSheetId="21">#REF!</definedName>
    <definedName name="giapln2" localSheetId="23">#REF!</definedName>
    <definedName name="giapln2" localSheetId="20">#REF!</definedName>
    <definedName name="giapln2" localSheetId="22">#REF!</definedName>
    <definedName name="giapln2" localSheetId="19">#REF!</definedName>
    <definedName name="giapln2" localSheetId="18">#REF!</definedName>
    <definedName name="giapln2">#REF!</definedName>
    <definedName name="giapln3" localSheetId="8">#REF!</definedName>
    <definedName name="giapln3" localSheetId="12">#REF!</definedName>
    <definedName name="giapln3" localSheetId="21">#REF!</definedName>
    <definedName name="giapln3" localSheetId="23">#REF!</definedName>
    <definedName name="giapln3" localSheetId="20">#REF!</definedName>
    <definedName name="giapln3" localSheetId="22">#REF!</definedName>
    <definedName name="giapln3" localSheetId="19">#REF!</definedName>
    <definedName name="giapln3" localSheetId="18">#REF!</definedName>
    <definedName name="giapln3">#REF!</definedName>
    <definedName name="giapln4" localSheetId="8">#REF!</definedName>
    <definedName name="giapln4" localSheetId="12">#REF!</definedName>
    <definedName name="giapln4" localSheetId="21">#REF!</definedName>
    <definedName name="giapln4" localSheetId="23">#REF!</definedName>
    <definedName name="giapln4" localSheetId="20">#REF!</definedName>
    <definedName name="giapln4" localSheetId="22">#REF!</definedName>
    <definedName name="giapln4" localSheetId="19">#REF!</definedName>
    <definedName name="giapln4" localSheetId="18">#REF!</definedName>
    <definedName name="giapln4">#REF!</definedName>
    <definedName name="gisla2" localSheetId="8">#REF!</definedName>
    <definedName name="gisla2" localSheetId="12">#REF!</definedName>
    <definedName name="gisla2" localSheetId="21">#REF!</definedName>
    <definedName name="gisla2" localSheetId="23">#REF!</definedName>
    <definedName name="gisla2" localSheetId="20">#REF!</definedName>
    <definedName name="gisla2" localSheetId="22">#REF!</definedName>
    <definedName name="gisla2" localSheetId="19">#REF!</definedName>
    <definedName name="gisla2" localSheetId="18">#REF!</definedName>
    <definedName name="gisla2">#REF!</definedName>
    <definedName name="gisla4" localSheetId="8">#REF!</definedName>
    <definedName name="gisla4" localSheetId="12">#REF!</definedName>
    <definedName name="gisla4" localSheetId="21">#REF!</definedName>
    <definedName name="gisla4" localSheetId="23">#REF!</definedName>
    <definedName name="gisla4" localSheetId="20">#REF!</definedName>
    <definedName name="gisla4" localSheetId="22">#REF!</definedName>
    <definedName name="gisla4" localSheetId="19">#REF!</definedName>
    <definedName name="gisla4" localSheetId="18">#REF!</definedName>
    <definedName name="gisla4">#REF!</definedName>
    <definedName name="GPD" localSheetId="8">#REF!</definedName>
    <definedName name="GPD" localSheetId="21">#REF!</definedName>
    <definedName name="GPD" localSheetId="23">#REF!</definedName>
    <definedName name="GPD" localSheetId="20">#REF!</definedName>
    <definedName name="GPD" localSheetId="22">#REF!</definedName>
    <definedName name="GPD" localSheetId="19">#REF!</definedName>
    <definedName name="GPD" localSheetId="5">#REF!</definedName>
    <definedName name="GPD">#REF!</definedName>
    <definedName name="GPRP" localSheetId="8">#REF!</definedName>
    <definedName name="GPRP" localSheetId="21">#REF!</definedName>
    <definedName name="GPRP" localSheetId="23">#REF!</definedName>
    <definedName name="GPRP" localSheetId="20">#REF!</definedName>
    <definedName name="GPRP" localSheetId="22">#REF!</definedName>
    <definedName name="GPRP" localSheetId="19">#REF!</definedName>
    <definedName name="GPRP" localSheetId="5">#REF!</definedName>
    <definedName name="GPRP">#REF!</definedName>
    <definedName name="gps">#REF!</definedName>
    <definedName name="h" localSheetId="8">#REF!</definedName>
    <definedName name="h" localSheetId="21">#REF!</definedName>
    <definedName name="h" localSheetId="23">#REF!</definedName>
    <definedName name="h" localSheetId="20">#REF!</definedName>
    <definedName name="h" localSheetId="22">#REF!</definedName>
    <definedName name="h" localSheetId="19">#REF!</definedName>
    <definedName name="h" localSheetId="5">#REF!</definedName>
    <definedName name="h">#REF!</definedName>
    <definedName name="hal1_1">#REF!</definedName>
    <definedName name="hal1_2">#REF!</definedName>
    <definedName name="hal2_1" localSheetId="8">#REF!</definedName>
    <definedName name="hal2_1" localSheetId="21">#REF!</definedName>
    <definedName name="hal2_1" localSheetId="23">#REF!</definedName>
    <definedName name="hal2_1" localSheetId="20">#REF!</definedName>
    <definedName name="hal2_1" localSheetId="22">#REF!</definedName>
    <definedName name="hal2_1" localSheetId="19">#REF!</definedName>
    <definedName name="hal2_1" localSheetId="5">#REF!</definedName>
    <definedName name="hal2_1">#REF!</definedName>
    <definedName name="hal2_2" localSheetId="8">#REF!</definedName>
    <definedName name="hal2_2" localSheetId="21">#REF!</definedName>
    <definedName name="hal2_2" localSheetId="23">#REF!</definedName>
    <definedName name="hal2_2" localSheetId="20">#REF!</definedName>
    <definedName name="hal2_2" localSheetId="22">#REF!</definedName>
    <definedName name="hal2_2" localSheetId="19">#REF!</definedName>
    <definedName name="hal2_2" localSheetId="5">#REF!</definedName>
    <definedName name="hal2_2">#REF!</definedName>
    <definedName name="hal2kehal3" localSheetId="8">#REF!</definedName>
    <definedName name="hal2kehal3" localSheetId="21">#REF!</definedName>
    <definedName name="hal2kehal3" localSheetId="23">#REF!</definedName>
    <definedName name="hal2kehal3" localSheetId="20">#REF!</definedName>
    <definedName name="hal2kehal3" localSheetId="22">#REF!</definedName>
    <definedName name="hal2kehal3" localSheetId="19">#REF!</definedName>
    <definedName name="hal2kehal3" localSheetId="5">#REF!</definedName>
    <definedName name="hal2kehal3">#REF!</definedName>
    <definedName name="Har">#REF!</definedName>
    <definedName name="harga" localSheetId="8">#REF!</definedName>
    <definedName name="harga" localSheetId="12">#REF!</definedName>
    <definedName name="harga" localSheetId="21">#REF!</definedName>
    <definedName name="harga" localSheetId="23">#REF!</definedName>
    <definedName name="harga" localSheetId="20">#REF!</definedName>
    <definedName name="harga" localSheetId="22">#REF!</definedName>
    <definedName name="harga" localSheetId="19">#REF!</definedName>
    <definedName name="harga" localSheetId="18">#REF!</definedName>
    <definedName name="harga" localSheetId="5">#REF!</definedName>
    <definedName name="harga">#REF!</definedName>
    <definedName name="Harga_BBM" localSheetId="8">#REF!</definedName>
    <definedName name="Harga_BBM" localSheetId="21">#REF!</definedName>
    <definedName name="Harga_BBM" localSheetId="23">#REF!</definedName>
    <definedName name="Harga_BBM" localSheetId="20">#REF!</definedName>
    <definedName name="Harga_BBM" localSheetId="22">#REF!</definedName>
    <definedName name="Harga_BBM" localSheetId="19">#REF!</definedName>
    <definedName name="Harga_BBM" localSheetId="5">#REF!</definedName>
    <definedName name="Harga_BBM">#REF!</definedName>
    <definedName name="hari" localSheetId="8">#REF!</definedName>
    <definedName name="hari" localSheetId="12">#REF!</definedName>
    <definedName name="hari" localSheetId="21">#REF!</definedName>
    <definedName name="hari" localSheetId="23">#REF!</definedName>
    <definedName name="hari" localSheetId="20">#REF!</definedName>
    <definedName name="hari" localSheetId="22">#REF!</definedName>
    <definedName name="hari" localSheetId="19">#REF!</definedName>
    <definedName name="hari" localSheetId="18">#REF!</definedName>
    <definedName name="hari" localSheetId="5">#REF!</definedName>
    <definedName name="hari">#REF!</definedName>
    <definedName name="HarMatTRWI" localSheetId="8">#REF!</definedName>
    <definedName name="HarMatTRWI" localSheetId="12">#REF!</definedName>
    <definedName name="HarMatTRWI" localSheetId="21">#REF!</definedName>
    <definedName name="HarMatTRWI" localSheetId="23">#REF!</definedName>
    <definedName name="HarMatTRWI" localSheetId="20">#REF!</definedName>
    <definedName name="HarMatTRWI" localSheetId="22">#REF!</definedName>
    <definedName name="HarMatTRWI" localSheetId="19">#REF!</definedName>
    <definedName name="HarMatTRWI" localSheetId="18">#REF!</definedName>
    <definedName name="HarMatTRWI">#REF!</definedName>
    <definedName name="HarMatTRWII" localSheetId="8">#REF!</definedName>
    <definedName name="HarMatTRWII" localSheetId="12">#REF!</definedName>
    <definedName name="HarMatTRWII" localSheetId="21">#REF!</definedName>
    <definedName name="HarMatTRWII" localSheetId="23">#REF!</definedName>
    <definedName name="HarMatTRWII" localSheetId="20">#REF!</definedName>
    <definedName name="HarMatTRWII" localSheetId="22">#REF!</definedName>
    <definedName name="HarMatTRWII" localSheetId="19">#REF!</definedName>
    <definedName name="HarMatTRWII" localSheetId="18">#REF!</definedName>
    <definedName name="HarMatTRWII">#REF!</definedName>
    <definedName name="HarMatTRWIII" localSheetId="8">#REF!</definedName>
    <definedName name="HarMatTRWIII" localSheetId="12">#REF!</definedName>
    <definedName name="HarMatTRWIII" localSheetId="21">#REF!</definedName>
    <definedName name="HarMatTRWIII" localSheetId="23">#REF!</definedName>
    <definedName name="HarMatTRWIII" localSheetId="20">#REF!</definedName>
    <definedName name="HarMatTRWIII" localSheetId="22">#REF!</definedName>
    <definedName name="HarMatTRWIII" localSheetId="19">#REF!</definedName>
    <definedName name="HarMatTRWIII" localSheetId="18">#REF!</definedName>
    <definedName name="HarMatTRWIII">#REF!</definedName>
    <definedName name="HarMatTRWIV" localSheetId="8">#REF!</definedName>
    <definedName name="HarMatTRWIV" localSheetId="12">#REF!</definedName>
    <definedName name="HarMatTRWIV" localSheetId="21">#REF!</definedName>
    <definedName name="HarMatTRWIV" localSheetId="23">#REF!</definedName>
    <definedName name="HarMatTRWIV" localSheetId="20">#REF!</definedName>
    <definedName name="HarMatTRWIV" localSheetId="22">#REF!</definedName>
    <definedName name="HarMatTRWIV" localSheetId="19">#REF!</definedName>
    <definedName name="HarMatTRWIV" localSheetId="18">#REF!</definedName>
    <definedName name="HarMatTRWIV">#REF!</definedName>
    <definedName name="HASIL" localSheetId="8">#REF!</definedName>
    <definedName name="HASIL" localSheetId="12">#REF!</definedName>
    <definedName name="HASIL" localSheetId="21">#REF!</definedName>
    <definedName name="HASIL" localSheetId="23">#REF!</definedName>
    <definedName name="HASIL" localSheetId="20">#REF!</definedName>
    <definedName name="HASIL" localSheetId="22">#REF!</definedName>
    <definedName name="HASIL" localSheetId="19">#REF!</definedName>
    <definedName name="HASIL" localSheetId="18">#REF!</definedName>
    <definedName name="HASIL">#REF!</definedName>
    <definedName name="hf" localSheetId="8">#REF!</definedName>
    <definedName name="hf" localSheetId="21">#REF!</definedName>
    <definedName name="hf" localSheetId="23">#REF!</definedName>
    <definedName name="hf" localSheetId="20">#REF!</definedName>
    <definedName name="hf" localSheetId="22">#REF!</definedName>
    <definedName name="hf" localSheetId="19">#REF!</definedName>
    <definedName name="hf">#REF!</definedName>
    <definedName name="HRGLAMP1">#REF!</definedName>
    <definedName name="HRGLAMP2" localSheetId="8">#REF!</definedName>
    <definedName name="HRGLAMP2" localSheetId="21">#REF!</definedName>
    <definedName name="HRGLAMP2" localSheetId="23">#REF!</definedName>
    <definedName name="HRGLAMP2" localSheetId="20">#REF!</definedName>
    <definedName name="HRGLAMP2" localSheetId="22">#REF!</definedName>
    <definedName name="HRGLAMP2" localSheetId="19">#REF!</definedName>
    <definedName name="HRGLAMP2" localSheetId="5">#REF!</definedName>
    <definedName name="HRGLAMP2">#REF!</definedName>
    <definedName name="HRGLAMP3" localSheetId="8">#REF!</definedName>
    <definedName name="HRGLAMP3" localSheetId="21">#REF!</definedName>
    <definedName name="HRGLAMP3" localSheetId="23">#REF!</definedName>
    <definedName name="HRGLAMP3" localSheetId="20">#REF!</definedName>
    <definedName name="HRGLAMP3" localSheetId="22">#REF!</definedName>
    <definedName name="HRGLAMP3" localSheetId="19">#REF!</definedName>
    <definedName name="HRGLAMP3" localSheetId="5">#REF!</definedName>
    <definedName name="HRGLAMP3">#REF!</definedName>
    <definedName name="hsdbaru">#REF!</definedName>
    <definedName name="I_Acc" localSheetId="8">#REF!</definedName>
    <definedName name="I_Acc" localSheetId="12">#REF!</definedName>
    <definedName name="I_Acc" localSheetId="21">#REF!</definedName>
    <definedName name="I_Acc" localSheetId="23">#REF!</definedName>
    <definedName name="I_Acc" localSheetId="20">#REF!</definedName>
    <definedName name="I_Acc" localSheetId="22">#REF!</definedName>
    <definedName name="I_Acc" localSheetId="19">#REF!</definedName>
    <definedName name="I_Acc" localSheetId="18">#REF!</definedName>
    <definedName name="I_Acc" localSheetId="5">#REF!</definedName>
    <definedName name="I_Acc">#REF!</definedName>
    <definedName name="i1234_567891011">#REF!</definedName>
    <definedName name="idobaru">#REF!</definedName>
    <definedName name="IDS">#REF!</definedName>
    <definedName name="IK" localSheetId="8">#REF!</definedName>
    <definedName name="IK" localSheetId="12">#REF!</definedName>
    <definedName name="IK" localSheetId="21">#REF!</definedName>
    <definedName name="IK" localSheetId="23">#REF!</definedName>
    <definedName name="IK" localSheetId="20">#REF!</definedName>
    <definedName name="IK" localSheetId="22">#REF!</definedName>
    <definedName name="IK" localSheetId="19">#REF!</definedName>
    <definedName name="IK" localSheetId="18">#REF!</definedName>
    <definedName name="IK" localSheetId="5">#REF!</definedName>
    <definedName name="IK">#REF!</definedName>
    <definedName name="Impor_W1_W2">#REF!</definedName>
    <definedName name="Indikator210" localSheetId="8">#REF!</definedName>
    <definedName name="Indikator210" localSheetId="12">#REF!</definedName>
    <definedName name="Indikator210" localSheetId="21">#REF!</definedName>
    <definedName name="Indikator210" localSheetId="23">#REF!</definedName>
    <definedName name="Indikator210" localSheetId="20">#REF!</definedName>
    <definedName name="Indikator210" localSheetId="22">#REF!</definedName>
    <definedName name="Indikator210" localSheetId="19">#REF!</definedName>
    <definedName name="Indikator210" localSheetId="18">#REF!</definedName>
    <definedName name="Indikator210" localSheetId="5">#REF!</definedName>
    <definedName name="Indikator210">#REF!</definedName>
    <definedName name="Indikator215" localSheetId="8">#REF!</definedName>
    <definedName name="Indikator215" localSheetId="12">#REF!</definedName>
    <definedName name="Indikator215" localSheetId="21">#REF!</definedName>
    <definedName name="Indikator215" localSheetId="23">#REF!</definedName>
    <definedName name="Indikator215" localSheetId="20">#REF!</definedName>
    <definedName name="Indikator215" localSheetId="22">#REF!</definedName>
    <definedName name="Indikator215" localSheetId="19">#REF!</definedName>
    <definedName name="Indikator215" localSheetId="18">#REF!</definedName>
    <definedName name="Indikator215" localSheetId="5">#REF!</definedName>
    <definedName name="Indikator215">#REF!</definedName>
    <definedName name="inflasi" localSheetId="8">#REF!</definedName>
    <definedName name="inflasi" localSheetId="12">#REF!</definedName>
    <definedName name="inflasi" localSheetId="21">#REF!</definedName>
    <definedName name="inflasi" localSheetId="23">#REF!</definedName>
    <definedName name="inflasi" localSheetId="20">#REF!</definedName>
    <definedName name="inflasi" localSheetId="22">#REF!</definedName>
    <definedName name="inflasi" localSheetId="19">#REF!</definedName>
    <definedName name="inflasi" localSheetId="18">#REF!</definedName>
    <definedName name="inflasi" localSheetId="5">#REF!</definedName>
    <definedName name="inflasi">#REF!</definedName>
    <definedName name="inflasi1" localSheetId="8">#REF!</definedName>
    <definedName name="inflasi1" localSheetId="12">#REF!</definedName>
    <definedName name="inflasi1" localSheetId="21">#REF!</definedName>
    <definedName name="inflasi1" localSheetId="23">#REF!</definedName>
    <definedName name="inflasi1" localSheetId="20">#REF!</definedName>
    <definedName name="inflasi1" localSheetId="22">#REF!</definedName>
    <definedName name="inflasi1" localSheetId="19">#REF!</definedName>
    <definedName name="inflasi1" localSheetId="18">#REF!</definedName>
    <definedName name="inflasi1">#REF!</definedName>
    <definedName name="inflasi2" localSheetId="8">#REF!</definedName>
    <definedName name="inflasi2" localSheetId="12">#REF!</definedName>
    <definedName name="inflasi2" localSheetId="21">#REF!</definedName>
    <definedName name="inflasi2" localSheetId="23">#REF!</definedName>
    <definedName name="inflasi2" localSheetId="20">#REF!</definedName>
    <definedName name="inflasi2" localSheetId="22">#REF!</definedName>
    <definedName name="inflasi2" localSheetId="19">#REF!</definedName>
    <definedName name="inflasi2" localSheetId="18">#REF!</definedName>
    <definedName name="inflasi2">#REF!</definedName>
    <definedName name="INTAKE" localSheetId="8">#REF!</definedName>
    <definedName name="INTAKE" localSheetId="12">#REF!</definedName>
    <definedName name="INTAKE" localSheetId="21">#REF!</definedName>
    <definedName name="INTAKE" localSheetId="23">#REF!</definedName>
    <definedName name="INTAKE" localSheetId="20">#REF!</definedName>
    <definedName name="INTAKE" localSheetId="22">#REF!</definedName>
    <definedName name="INTAKE" localSheetId="19">#REF!</definedName>
    <definedName name="INTAKE" localSheetId="18">#REF!</definedName>
    <definedName name="INTAKE">#REF!</definedName>
    <definedName name="inves1" localSheetId="8">#REF!</definedName>
    <definedName name="inves1" localSheetId="12">#REF!</definedName>
    <definedName name="inves1" localSheetId="21">#REF!</definedName>
    <definedName name="inves1" localSheetId="23">#REF!</definedName>
    <definedName name="inves1" localSheetId="20">#REF!</definedName>
    <definedName name="inves1" localSheetId="22">#REF!</definedName>
    <definedName name="inves1" localSheetId="19">#REF!</definedName>
    <definedName name="inves1" localSheetId="18">#REF!</definedName>
    <definedName name="inves1">#REF!</definedName>
    <definedName name="inves2" localSheetId="8">#REF!</definedName>
    <definedName name="inves2" localSheetId="12">#REF!</definedName>
    <definedName name="inves2" localSheetId="21">#REF!</definedName>
    <definedName name="inves2" localSheetId="23">#REF!</definedName>
    <definedName name="inves2" localSheetId="20">#REF!</definedName>
    <definedName name="inves2" localSheetId="22">#REF!</definedName>
    <definedName name="inves2" localSheetId="19">#REF!</definedName>
    <definedName name="inves2" localSheetId="18">#REF!</definedName>
    <definedName name="inves2" localSheetId="5">#REF!</definedName>
    <definedName name="inves2">#REF!</definedName>
    <definedName name="IPD">#REF!</definedName>
    <definedName name="IPRP">#REF!</definedName>
    <definedName name="IS" localSheetId="8">#REF!</definedName>
    <definedName name="IS" localSheetId="12">#REF!</definedName>
    <definedName name="IS" localSheetId="21">#REF!</definedName>
    <definedName name="IS" localSheetId="23">#REF!</definedName>
    <definedName name="IS" localSheetId="20">#REF!</definedName>
    <definedName name="IS" localSheetId="22">#REF!</definedName>
    <definedName name="IS" localSheetId="19">#REF!</definedName>
    <definedName name="IS" localSheetId="18">#REF!</definedName>
    <definedName name="IS" localSheetId="5">#REF!</definedName>
    <definedName name="IS">#REF!</definedName>
    <definedName name="IS1TRWI" localSheetId="8">#REF!</definedName>
    <definedName name="IS1TRWI" localSheetId="12">#REF!</definedName>
    <definedName name="IS1TRWI" localSheetId="21">#REF!</definedName>
    <definedName name="IS1TRWI" localSheetId="23">#REF!</definedName>
    <definedName name="IS1TRWI" localSheetId="20">#REF!</definedName>
    <definedName name="IS1TRWI" localSheetId="22">#REF!</definedName>
    <definedName name="IS1TRWI" localSheetId="19">#REF!</definedName>
    <definedName name="IS1TRWI" localSheetId="18">#REF!</definedName>
    <definedName name="IS1TRWI" localSheetId="5">#REF!</definedName>
    <definedName name="IS1TRWI">#REF!</definedName>
    <definedName name="IS1TRWII" localSheetId="8">#REF!</definedName>
    <definedName name="IS1TRWII" localSheetId="12">#REF!</definedName>
    <definedName name="IS1TRWII" localSheetId="21">#REF!</definedName>
    <definedName name="IS1TRWII" localSheetId="23">#REF!</definedName>
    <definedName name="IS1TRWII" localSheetId="20">#REF!</definedName>
    <definedName name="IS1TRWII" localSheetId="22">#REF!</definedName>
    <definedName name="IS1TRWII" localSheetId="19">#REF!</definedName>
    <definedName name="IS1TRWII" localSheetId="18">#REF!</definedName>
    <definedName name="IS1TRWII" localSheetId="5">#REF!</definedName>
    <definedName name="IS1TRWII">#REF!</definedName>
    <definedName name="IS1TRWIII" localSheetId="8">#REF!</definedName>
    <definedName name="IS1TRWIII" localSheetId="12">#REF!</definedName>
    <definedName name="IS1TRWIII" localSheetId="21">#REF!</definedName>
    <definedName name="IS1TRWIII" localSheetId="23">#REF!</definedName>
    <definedName name="IS1TRWIII" localSheetId="20">#REF!</definedName>
    <definedName name="IS1TRWIII" localSheetId="22">#REF!</definedName>
    <definedName name="IS1TRWIII" localSheetId="19">#REF!</definedName>
    <definedName name="IS1TRWIII" localSheetId="18">#REF!</definedName>
    <definedName name="IS1TRWIII">#REF!</definedName>
    <definedName name="IS1TRWIV" localSheetId="8">#REF!</definedName>
    <definedName name="IS1TRWIV" localSheetId="12">#REF!</definedName>
    <definedName name="IS1TRWIV" localSheetId="21">#REF!</definedName>
    <definedName name="IS1TRWIV" localSheetId="23">#REF!</definedName>
    <definedName name="IS1TRWIV" localSheetId="20">#REF!</definedName>
    <definedName name="IS1TRWIV" localSheetId="22">#REF!</definedName>
    <definedName name="IS1TRWIV" localSheetId="19">#REF!</definedName>
    <definedName name="IS1TRWIV" localSheetId="18">#REF!</definedName>
    <definedName name="IS1TRWIV">#REF!</definedName>
    <definedName name="IS21TRWI" localSheetId="8">#REF!</definedName>
    <definedName name="IS21TRWI" localSheetId="12">#REF!</definedName>
    <definedName name="IS21TRWI" localSheetId="21">#REF!</definedName>
    <definedName name="IS21TRWI" localSheetId="23">#REF!</definedName>
    <definedName name="IS21TRWI" localSheetId="20">#REF!</definedName>
    <definedName name="IS21TRWI" localSheetId="22">#REF!</definedName>
    <definedName name="IS21TRWI" localSheetId="19">#REF!</definedName>
    <definedName name="IS21TRWI" localSheetId="18">#REF!</definedName>
    <definedName name="IS21TRWI">#REF!</definedName>
    <definedName name="IS21TRWII" localSheetId="8">#REF!</definedName>
    <definedName name="IS21TRWII" localSheetId="12">#REF!</definedName>
    <definedName name="IS21TRWII" localSheetId="21">#REF!</definedName>
    <definedName name="IS21TRWII" localSheetId="23">#REF!</definedName>
    <definedName name="IS21TRWII" localSheetId="20">#REF!</definedName>
    <definedName name="IS21TRWII" localSheetId="22">#REF!</definedName>
    <definedName name="IS21TRWII" localSheetId="19">#REF!</definedName>
    <definedName name="IS21TRWII" localSheetId="18">#REF!</definedName>
    <definedName name="IS21TRWII">#REF!</definedName>
    <definedName name="IS21TRWIII" localSheetId="8">#REF!</definedName>
    <definedName name="IS21TRWIII" localSheetId="12">#REF!</definedName>
    <definedName name="IS21TRWIII" localSheetId="21">#REF!</definedName>
    <definedName name="IS21TRWIII" localSheetId="23">#REF!</definedName>
    <definedName name="IS21TRWIII" localSheetId="20">#REF!</definedName>
    <definedName name="IS21TRWIII" localSheetId="22">#REF!</definedName>
    <definedName name="IS21TRWIII" localSheetId="19">#REF!</definedName>
    <definedName name="IS21TRWIII" localSheetId="18">#REF!</definedName>
    <definedName name="IS21TRWIII">#REF!</definedName>
    <definedName name="IS21TRWIV" localSheetId="8">#REF!</definedName>
    <definedName name="IS21TRWIV" localSheetId="12">#REF!</definedName>
    <definedName name="IS21TRWIV" localSheetId="21">#REF!</definedName>
    <definedName name="IS21TRWIV" localSheetId="23">#REF!</definedName>
    <definedName name="IS21TRWIV" localSheetId="20">#REF!</definedName>
    <definedName name="IS21TRWIV" localSheetId="22">#REF!</definedName>
    <definedName name="IS21TRWIV" localSheetId="19">#REF!</definedName>
    <definedName name="IS21TRWIV" localSheetId="18">#REF!</definedName>
    <definedName name="IS21TRWIV">#REF!</definedName>
    <definedName name="IS22TRWI" localSheetId="8">#REF!</definedName>
    <definedName name="IS22TRWI" localSheetId="12">#REF!</definedName>
    <definedName name="IS22TRWI" localSheetId="21">#REF!</definedName>
    <definedName name="IS22TRWI" localSheetId="23">#REF!</definedName>
    <definedName name="IS22TRWI" localSheetId="20">#REF!</definedName>
    <definedName name="IS22TRWI" localSheetId="22">#REF!</definedName>
    <definedName name="IS22TRWI" localSheetId="19">#REF!</definedName>
    <definedName name="IS22TRWI" localSheetId="18">#REF!</definedName>
    <definedName name="IS22TRWI">#REF!</definedName>
    <definedName name="IS22TRWII" localSheetId="8">#REF!</definedName>
    <definedName name="IS22TRWII" localSheetId="12">#REF!</definedName>
    <definedName name="IS22TRWII" localSheetId="21">#REF!</definedName>
    <definedName name="IS22TRWII" localSheetId="23">#REF!</definedName>
    <definedName name="IS22TRWII" localSheetId="20">#REF!</definedName>
    <definedName name="IS22TRWII" localSheetId="22">#REF!</definedName>
    <definedName name="IS22TRWII" localSheetId="19">#REF!</definedName>
    <definedName name="IS22TRWII" localSheetId="18">#REF!</definedName>
    <definedName name="IS22TRWII">#REF!</definedName>
    <definedName name="IS22TRWIII" localSheetId="8">#REF!</definedName>
    <definedName name="IS22TRWIII" localSheetId="12">#REF!</definedName>
    <definedName name="IS22TRWIII" localSheetId="21">#REF!</definedName>
    <definedName name="IS22TRWIII" localSheetId="23">#REF!</definedName>
    <definedName name="IS22TRWIII" localSheetId="20">#REF!</definedName>
    <definedName name="IS22TRWIII" localSheetId="22">#REF!</definedName>
    <definedName name="IS22TRWIII" localSheetId="19">#REF!</definedName>
    <definedName name="IS22TRWIII" localSheetId="18">#REF!</definedName>
    <definedName name="IS22TRWIII">#REF!</definedName>
    <definedName name="IS22TRWIV" localSheetId="8">#REF!</definedName>
    <definedName name="IS22TRWIV" localSheetId="12">#REF!</definedName>
    <definedName name="IS22TRWIV" localSheetId="21">#REF!</definedName>
    <definedName name="IS22TRWIV" localSheetId="23">#REF!</definedName>
    <definedName name="IS22TRWIV" localSheetId="20">#REF!</definedName>
    <definedName name="IS22TRWIV" localSheetId="22">#REF!</definedName>
    <definedName name="IS22TRWIV" localSheetId="19">#REF!</definedName>
    <definedName name="IS22TRWIV" localSheetId="18">#REF!</definedName>
    <definedName name="IS22TRWIV">#REF!</definedName>
    <definedName name="ISI_ANGKA_TEKAN" localSheetId="8">#REF!</definedName>
    <definedName name="ISI_ANGKA_TEKAN" localSheetId="21">#REF!</definedName>
    <definedName name="ISI_ANGKA_TEKAN" localSheetId="23">#REF!</definedName>
    <definedName name="ISI_ANGKA_TEKAN" localSheetId="20">#REF!</definedName>
    <definedName name="ISI_ANGKA_TEKAN" localSheetId="22">#REF!</definedName>
    <definedName name="ISI_ANGKA_TEKAN" localSheetId="19">#REF!</definedName>
    <definedName name="ISI_ANGKA_TEKAN" localSheetId="5">#REF!</definedName>
    <definedName name="ISI_ANGKA_TEKAN">#REF!</definedName>
    <definedName name="iwan" localSheetId="8">#REF!</definedName>
    <definedName name="iwan" localSheetId="21">#REF!</definedName>
    <definedName name="iwan" localSheetId="23">#REF!</definedName>
    <definedName name="iwan" localSheetId="20">#REF!</definedName>
    <definedName name="iwan" localSheetId="22">#REF!</definedName>
    <definedName name="iwan" localSheetId="19">#REF!</definedName>
    <definedName name="iwan" localSheetId="5">#REF!</definedName>
    <definedName name="iwan">#REF!</definedName>
    <definedName name="JAJA" localSheetId="8">#REF!</definedName>
    <definedName name="JAJA" localSheetId="12">#REF!</definedName>
    <definedName name="JAJA" localSheetId="21">#REF!</definedName>
    <definedName name="JAJA" localSheetId="23">#REF!</definedName>
    <definedName name="JAJA" localSheetId="20">#REF!</definedName>
    <definedName name="JAJA" localSheetId="22">#REF!</definedName>
    <definedName name="JAJA" localSheetId="19">#REF!</definedName>
    <definedName name="JAJA" localSheetId="18">#REF!</definedName>
    <definedName name="JAJA" localSheetId="5">#REF!</definedName>
    <definedName name="JAJA">#REF!</definedName>
    <definedName name="JAMBI" localSheetId="8">#REF!</definedName>
    <definedName name="JAMBI" localSheetId="12">#REF!</definedName>
    <definedName name="JAMBI" localSheetId="21">#REF!</definedName>
    <definedName name="JAMBI" localSheetId="23">#REF!</definedName>
    <definedName name="JAMBI" localSheetId="20">#REF!</definedName>
    <definedName name="JAMBI" localSheetId="22">#REF!</definedName>
    <definedName name="JAMBI" localSheetId="19">#REF!</definedName>
    <definedName name="JAMBI" localSheetId="18">#REF!</definedName>
    <definedName name="JAMBI" localSheetId="5">#REF!</definedName>
    <definedName name="JAMBI">#REF!</definedName>
    <definedName name="JenisProgramList">#REF!</definedName>
    <definedName name="ji" localSheetId="8">#REF!</definedName>
    <definedName name="ji" localSheetId="12">#REF!</definedName>
    <definedName name="ji" localSheetId="21">#REF!</definedName>
    <definedName name="ji" localSheetId="23">#REF!</definedName>
    <definedName name="ji" localSheetId="20">#REF!</definedName>
    <definedName name="ji" localSheetId="22">#REF!</definedName>
    <definedName name="ji" localSheetId="19">#REF!</definedName>
    <definedName name="ji" localSheetId="18">#REF!</definedName>
    <definedName name="ji" localSheetId="5">#REF!</definedName>
    <definedName name="ji">#REF!</definedName>
    <definedName name="jj" localSheetId="8">#REF!</definedName>
    <definedName name="jj" localSheetId="12">#REF!</definedName>
    <definedName name="jj" localSheetId="21">#REF!</definedName>
    <definedName name="jj" localSheetId="23">#REF!</definedName>
    <definedName name="jj" localSheetId="20">#REF!</definedName>
    <definedName name="jj" localSheetId="22">#REF!</definedName>
    <definedName name="jj" localSheetId="19">#REF!</definedName>
    <definedName name="jj" localSheetId="18">#REF!</definedName>
    <definedName name="jj" localSheetId="5">#REF!</definedName>
    <definedName name="jj">#REF!</definedName>
    <definedName name="JJJ">#N/A</definedName>
    <definedName name="jk" localSheetId="8">#REF!</definedName>
    <definedName name="jk" localSheetId="12">#REF!</definedName>
    <definedName name="jk" localSheetId="21">#REF!</definedName>
    <definedName name="jk" localSheetId="23">#REF!</definedName>
    <definedName name="jk" localSheetId="20">#REF!</definedName>
    <definedName name="jk" localSheetId="22">#REF!</definedName>
    <definedName name="jk" localSheetId="19">#REF!</definedName>
    <definedName name="jk" localSheetId="18">#REF!</definedName>
    <definedName name="jk" localSheetId="5">#REF!</definedName>
    <definedName name="jk">#REF!</definedName>
    <definedName name="JKLJL" localSheetId="8">#REF!</definedName>
    <definedName name="JKLJL" localSheetId="12">#REF!</definedName>
    <definedName name="JKLJL" localSheetId="21">#REF!</definedName>
    <definedName name="JKLJL" localSheetId="23">#REF!</definedName>
    <definedName name="JKLJL" localSheetId="20">#REF!</definedName>
    <definedName name="JKLJL" localSheetId="22">#REF!</definedName>
    <definedName name="JKLJL" localSheetId="19">#REF!</definedName>
    <definedName name="JKLJL" localSheetId="18">#REF!</definedName>
    <definedName name="JKLJL" localSheetId="5">#REF!</definedName>
    <definedName name="JKLJL">#REF!</definedName>
    <definedName name="JL">#N/A</definedName>
    <definedName name="JPY" localSheetId="12">#REF!</definedName>
    <definedName name="JPY" localSheetId="21">#REF!</definedName>
    <definedName name="JPY" localSheetId="23">#REF!</definedName>
    <definedName name="JPY" localSheetId="20">#REF!</definedName>
    <definedName name="JPY" localSheetId="22">#REF!</definedName>
    <definedName name="JPY" localSheetId="19">#REF!</definedName>
    <definedName name="JPY" localSheetId="18">#REF!</definedName>
    <definedName name="JPY">#REF!</definedName>
    <definedName name="JUA">#N/A</definedName>
    <definedName name="jual" localSheetId="8">#REF!</definedName>
    <definedName name="jual" localSheetId="12">#REF!</definedName>
    <definedName name="jual" localSheetId="21">#REF!</definedName>
    <definedName name="jual" localSheetId="23">#REF!</definedName>
    <definedName name="jual" localSheetId="20">#REF!</definedName>
    <definedName name="jual" localSheetId="22">#REF!</definedName>
    <definedName name="jual" localSheetId="19">#REF!</definedName>
    <definedName name="jual" localSheetId="18">#REF!</definedName>
    <definedName name="jual" localSheetId="5">#REF!</definedName>
    <definedName name="jual">#REF!</definedName>
    <definedName name="JualGLangTRWI" localSheetId="8">#REF!</definedName>
    <definedName name="JualGLangTRWI" localSheetId="12">#REF!</definedName>
    <definedName name="JualGLangTRWI" localSheetId="21">#REF!</definedName>
    <definedName name="JualGLangTRWI" localSheetId="23">#REF!</definedName>
    <definedName name="JualGLangTRWI" localSheetId="20">#REF!</definedName>
    <definedName name="JualGLangTRWI" localSheetId="22">#REF!</definedName>
    <definedName name="JualGLangTRWI" localSheetId="19">#REF!</definedName>
    <definedName name="JualGLangTRWI" localSheetId="18">#REF!</definedName>
    <definedName name="JualGLangTRWI" localSheetId="5">#REF!</definedName>
    <definedName name="JualGLangTRWI">#REF!</definedName>
    <definedName name="JualGLangTRWII" localSheetId="8">#REF!</definedName>
    <definedName name="JualGLangTRWII" localSheetId="12">#REF!</definedName>
    <definedName name="JualGLangTRWII" localSheetId="21">#REF!</definedName>
    <definedName name="JualGLangTRWII" localSheetId="23">#REF!</definedName>
    <definedName name="JualGLangTRWII" localSheetId="20">#REF!</definedName>
    <definedName name="JualGLangTRWII" localSheetId="22">#REF!</definedName>
    <definedName name="JualGLangTRWII" localSheetId="19">#REF!</definedName>
    <definedName name="JualGLangTRWII" localSheetId="18">#REF!</definedName>
    <definedName name="JualGLangTRWII" localSheetId="5">#REF!</definedName>
    <definedName name="JualGLangTRWII">#REF!</definedName>
    <definedName name="JualGLangTRWIII" localSheetId="8">#REF!</definedName>
    <definedName name="JualGLangTRWIII" localSheetId="12">#REF!</definedName>
    <definedName name="JualGLangTRWIII" localSheetId="21">#REF!</definedName>
    <definedName name="JualGLangTRWIII" localSheetId="23">#REF!</definedName>
    <definedName name="JualGLangTRWIII" localSheetId="20">#REF!</definedName>
    <definedName name="JualGLangTRWIII" localSheetId="22">#REF!</definedName>
    <definedName name="JualGLangTRWIII" localSheetId="19">#REF!</definedName>
    <definedName name="JualGLangTRWIII" localSheetId="18">#REF!</definedName>
    <definedName name="JualGLangTRWIII">#REF!</definedName>
    <definedName name="JualGLangTRWIV" localSheetId="8">#REF!</definedName>
    <definedName name="JualGLangTRWIV" localSheetId="12">#REF!</definedName>
    <definedName name="JualGLangTRWIV" localSheetId="21">#REF!</definedName>
    <definedName name="JualGLangTRWIV" localSheetId="23">#REF!</definedName>
    <definedName name="JualGLangTRWIV" localSheetId="20">#REF!</definedName>
    <definedName name="JualGLangTRWIV" localSheetId="22">#REF!</definedName>
    <definedName name="JualGLangTRWIV" localSheetId="19">#REF!</definedName>
    <definedName name="JualGLangTRWIV" localSheetId="18">#REF!</definedName>
    <definedName name="JualGLangTRWIV">#REF!</definedName>
    <definedName name="judulhal1">#REF!</definedName>
    <definedName name="judulhal2" localSheetId="8">#REF!</definedName>
    <definedName name="judulhal2" localSheetId="21">#REF!</definedName>
    <definedName name="judulhal2" localSheetId="23">#REF!</definedName>
    <definedName name="judulhal2" localSheetId="20">#REF!</definedName>
    <definedName name="judulhal2" localSheetId="22">#REF!</definedName>
    <definedName name="judulhal2" localSheetId="19">#REF!</definedName>
    <definedName name="judulhal2" localSheetId="5">#REF!</definedName>
    <definedName name="judulhal2">#REF!</definedName>
    <definedName name="jul" localSheetId="8">#REF!</definedName>
    <definedName name="jul" localSheetId="12">#REF!</definedName>
    <definedName name="jul" localSheetId="21">#REF!</definedName>
    <definedName name="jul" localSheetId="23">#REF!</definedName>
    <definedName name="jul" localSheetId="20">#REF!</definedName>
    <definedName name="jul" localSheetId="22">#REF!</definedName>
    <definedName name="jul" localSheetId="19">#REF!</definedName>
    <definedName name="jul" localSheetId="18">#REF!</definedName>
    <definedName name="jul" localSheetId="5">#REF!</definedName>
    <definedName name="jul">#REF!</definedName>
    <definedName name="JUL_DB01" localSheetId="8">#REF!</definedName>
    <definedName name="JUL_DB01" localSheetId="21">#REF!</definedName>
    <definedName name="JUL_DB01" localSheetId="23">#REF!</definedName>
    <definedName name="JUL_DB01" localSheetId="20">#REF!</definedName>
    <definedName name="JUL_DB01" localSheetId="22">#REF!</definedName>
    <definedName name="JUL_DB01" localSheetId="19">#REF!</definedName>
    <definedName name="JUL_DB01" localSheetId="5">#REF!</definedName>
    <definedName name="JUL_DB01">#REF!</definedName>
    <definedName name="jun" localSheetId="8">#REF!</definedName>
    <definedName name="jun" localSheetId="12">#REF!</definedName>
    <definedName name="jun" localSheetId="21">#REF!</definedName>
    <definedName name="jun" localSheetId="23">#REF!</definedName>
    <definedName name="jun" localSheetId="20">#REF!</definedName>
    <definedName name="jun" localSheetId="22">#REF!</definedName>
    <definedName name="jun" localSheetId="19">#REF!</definedName>
    <definedName name="jun" localSheetId="18">#REF!</definedName>
    <definedName name="jun" localSheetId="5">#REF!</definedName>
    <definedName name="jun">#REF!</definedName>
    <definedName name="JUNI92" localSheetId="8">#REF!</definedName>
    <definedName name="JUNI92" localSheetId="12">#REF!</definedName>
    <definedName name="JUNI92" localSheetId="21">#REF!</definedName>
    <definedName name="JUNI92" localSheetId="23">#REF!</definedName>
    <definedName name="JUNI92" localSheetId="20">#REF!</definedName>
    <definedName name="JUNI92" localSheetId="22">#REF!</definedName>
    <definedName name="JUNI92" localSheetId="19">#REF!</definedName>
    <definedName name="JUNI92" localSheetId="18">#REF!</definedName>
    <definedName name="JUNI92">#REF!</definedName>
    <definedName name="JYJYTJ" localSheetId="8">#REF!</definedName>
    <definedName name="JYJYTJ" localSheetId="12">#REF!</definedName>
    <definedName name="JYJYTJ" localSheetId="21">#REF!</definedName>
    <definedName name="JYJYTJ" localSheetId="23">#REF!</definedName>
    <definedName name="JYJYTJ" localSheetId="20">#REF!</definedName>
    <definedName name="JYJYTJ" localSheetId="22">#REF!</definedName>
    <definedName name="JYJYTJ" localSheetId="19">#REF!</definedName>
    <definedName name="JYJYTJ" localSheetId="18">#REF!</definedName>
    <definedName name="JYJYTJ">#REF!</definedName>
    <definedName name="kali" localSheetId="8">#REF!</definedName>
    <definedName name="kali" localSheetId="21">#REF!</definedName>
    <definedName name="kali" localSheetId="23">#REF!</definedName>
    <definedName name="kali" localSheetId="20">#REF!</definedName>
    <definedName name="kali" localSheetId="22">#REF!</definedName>
    <definedName name="kali" localSheetId="19">#REF!</definedName>
    <definedName name="kali">#REF!</definedName>
    <definedName name="kdunit_criteria">#REF!</definedName>
    <definedName name="Kebutuhan" localSheetId="8">#REF!</definedName>
    <definedName name="Kebutuhan" localSheetId="12">#REF!</definedName>
    <definedName name="Kebutuhan" localSheetId="21">#REF!</definedName>
    <definedName name="Kebutuhan" localSheetId="23">#REF!</definedName>
    <definedName name="Kebutuhan" localSheetId="20">#REF!</definedName>
    <definedName name="Kebutuhan" localSheetId="22">#REF!</definedName>
    <definedName name="Kebutuhan" localSheetId="19">#REF!</definedName>
    <definedName name="Kebutuhan" localSheetId="18">#REF!</definedName>
    <definedName name="Kebutuhan" localSheetId="5">#REF!</definedName>
    <definedName name="Kebutuhan">#REF!</definedName>
    <definedName name="khj" localSheetId="8">#REF!</definedName>
    <definedName name="khj" localSheetId="12">#REF!</definedName>
    <definedName name="khj" localSheetId="21">#REF!</definedName>
    <definedName name="khj" localSheetId="23">#REF!</definedName>
    <definedName name="khj" localSheetId="20">#REF!</definedName>
    <definedName name="khj" localSheetId="22">#REF!</definedName>
    <definedName name="khj" localSheetId="19">#REF!</definedName>
    <definedName name="khj" localSheetId="18">#REF!</definedName>
    <definedName name="khj" localSheetId="5">#REF!</definedName>
    <definedName name="khj">#REF!</definedName>
    <definedName name="khusus" localSheetId="8">#REF!</definedName>
    <definedName name="khusus" localSheetId="12">#REF!</definedName>
    <definedName name="khusus" localSheetId="21">#REF!</definedName>
    <definedName name="khusus" localSheetId="23">#REF!</definedName>
    <definedName name="khusus" localSheetId="20">#REF!</definedName>
    <definedName name="khusus" localSheetId="22">#REF!</definedName>
    <definedName name="khusus" localSheetId="19">#REF!</definedName>
    <definedName name="khusus" localSheetId="18">#REF!</definedName>
    <definedName name="khusus" localSheetId="5">#REF!</definedName>
    <definedName name="khusus">#REF!</definedName>
    <definedName name="khusus1" localSheetId="8">#REF!</definedName>
    <definedName name="khusus1" localSheetId="12">#REF!</definedName>
    <definedName name="khusus1" localSheetId="21">#REF!</definedName>
    <definedName name="khusus1" localSheetId="23">#REF!</definedName>
    <definedName name="khusus1" localSheetId="20">#REF!</definedName>
    <definedName name="khusus1" localSheetId="22">#REF!</definedName>
    <definedName name="khusus1" localSheetId="19">#REF!</definedName>
    <definedName name="khusus1" localSheetId="18">#REF!</definedName>
    <definedName name="khusus1">#REF!</definedName>
    <definedName name="khusus1a" localSheetId="8">#REF!</definedName>
    <definedName name="khusus1a" localSheetId="12">#REF!</definedName>
    <definedName name="khusus1a" localSheetId="21">#REF!</definedName>
    <definedName name="khusus1a" localSheetId="23">#REF!</definedName>
    <definedName name="khusus1a" localSheetId="20">#REF!</definedName>
    <definedName name="khusus1a" localSheetId="22">#REF!</definedName>
    <definedName name="khusus1a" localSheetId="19">#REF!</definedName>
    <definedName name="khusus1a" localSheetId="18">#REF!</definedName>
    <definedName name="khusus1a">#REF!</definedName>
    <definedName name="klarifikasi" localSheetId="8">#REF!</definedName>
    <definedName name="klarifikasi" localSheetId="12">#REF!</definedName>
    <definedName name="klarifikasi" localSheetId="21">#REF!</definedName>
    <definedName name="klarifikasi" localSheetId="23">#REF!</definedName>
    <definedName name="klarifikasi" localSheetId="20">#REF!</definedName>
    <definedName name="klarifikasi" localSheetId="22">#REF!</definedName>
    <definedName name="klarifikasi" localSheetId="19">#REF!</definedName>
    <definedName name="klarifikasi" localSheetId="18">#REF!</definedName>
    <definedName name="klarifikasi" localSheetId="5">#REF!</definedName>
    <definedName name="klarifikasi">#REF!</definedName>
    <definedName name="kode" localSheetId="8">#REF!</definedName>
    <definedName name="kode" localSheetId="21">#REF!</definedName>
    <definedName name="kode" localSheetId="23">#REF!</definedName>
    <definedName name="kode" localSheetId="20">#REF!</definedName>
    <definedName name="kode" localSheetId="22">#REF!</definedName>
    <definedName name="kode" localSheetId="19">#REF!</definedName>
    <definedName name="kode" localSheetId="5">#REF!</definedName>
    <definedName name="kode">#REF!</definedName>
    <definedName name="KolPenjualanStart">#REF!</definedName>
    <definedName name="KolProduksiSendiriStart">#REF!</definedName>
    <definedName name="KolPSStart">#REF!</definedName>
    <definedName name="KolSewaBeliStart">#REF!</definedName>
    <definedName name="KolTransferStart">#REF!</definedName>
    <definedName name="konsolidasi1">#REF!</definedName>
    <definedName name="KONTROL">#REF!</definedName>
    <definedName name="KontrolBukuBesar" localSheetId="8">#REF!</definedName>
    <definedName name="KontrolBukuBesar" localSheetId="12">#REF!</definedName>
    <definedName name="KontrolBukuBesar" localSheetId="21">#REF!</definedName>
    <definedName name="KontrolBukuBesar" localSheetId="23">#REF!</definedName>
    <definedName name="KontrolBukuBesar" localSheetId="20">#REF!</definedName>
    <definedName name="KontrolBukuBesar" localSheetId="22">#REF!</definedName>
    <definedName name="KontrolBukuBesar" localSheetId="19">#REF!</definedName>
    <definedName name="KontrolBukuBesar" localSheetId="18">#REF!</definedName>
    <definedName name="KontrolBukuBesar" localSheetId="5">#REF!</definedName>
    <definedName name="KontrolBukuBesar">#REF!</definedName>
    <definedName name="KontrolPP" localSheetId="8">#REF!</definedName>
    <definedName name="KontrolPP" localSheetId="12">#REF!</definedName>
    <definedName name="KontrolPP" localSheetId="21">#REF!</definedName>
    <definedName name="KontrolPP" localSheetId="23">#REF!</definedName>
    <definedName name="KontrolPP" localSheetId="20">#REF!</definedName>
    <definedName name="KontrolPP" localSheetId="22">#REF!</definedName>
    <definedName name="KontrolPP" localSheetId="19">#REF!</definedName>
    <definedName name="KontrolPP" localSheetId="18">#REF!</definedName>
    <definedName name="KontrolPP" localSheetId="5">#REF!</definedName>
    <definedName name="KontrolPP">#REF!</definedName>
    <definedName name="KorPajak" localSheetId="8">#REF!</definedName>
    <definedName name="KorPajak" localSheetId="12">#REF!</definedName>
    <definedName name="KorPajak" localSheetId="21">#REF!</definedName>
    <definedName name="KorPajak" localSheetId="23">#REF!</definedName>
    <definedName name="KorPajak" localSheetId="20">#REF!</definedName>
    <definedName name="KorPajak" localSheetId="22">#REF!</definedName>
    <definedName name="KorPajak" localSheetId="19">#REF!</definedName>
    <definedName name="KorPajak" localSheetId="18">#REF!</definedName>
    <definedName name="KorPajak" localSheetId="5">#REF!</definedName>
    <definedName name="KorPajak">#REF!</definedName>
    <definedName name="kurs">#REF!</definedName>
    <definedName name="kva" localSheetId="8">#REF!</definedName>
    <definedName name="kva" localSheetId="12">#REF!</definedName>
    <definedName name="kva" localSheetId="21">#REF!</definedName>
    <definedName name="kva" localSheetId="23">#REF!</definedName>
    <definedName name="kva" localSheetId="20">#REF!</definedName>
    <definedName name="kva" localSheetId="22">#REF!</definedName>
    <definedName name="kva" localSheetId="19">#REF!</definedName>
    <definedName name="kva" localSheetId="18">#REF!</definedName>
    <definedName name="kva" localSheetId="5">#REF!</definedName>
    <definedName name="kva">#REF!</definedName>
    <definedName name="kw" localSheetId="8">#REF!</definedName>
    <definedName name="kw" localSheetId="12">#REF!</definedName>
    <definedName name="kw" localSheetId="21">#REF!</definedName>
    <definedName name="kw" localSheetId="23">#REF!</definedName>
    <definedName name="kw" localSheetId="20">#REF!</definedName>
    <definedName name="kw" localSheetId="22">#REF!</definedName>
    <definedName name="kw" localSheetId="19">#REF!</definedName>
    <definedName name="kw" localSheetId="18">#REF!</definedName>
    <definedName name="kw" localSheetId="5">#REF!</definedName>
    <definedName name="kw">#REF!</definedName>
    <definedName name="kwh" localSheetId="8">#REF!</definedName>
    <definedName name="kwh" localSheetId="12">#REF!</definedName>
    <definedName name="kwh" localSheetId="21">#REF!</definedName>
    <definedName name="kwh" localSheetId="23">#REF!</definedName>
    <definedName name="kwh" localSheetId="20">#REF!</definedName>
    <definedName name="kwh" localSheetId="22">#REF!</definedName>
    <definedName name="kwh" localSheetId="19">#REF!</definedName>
    <definedName name="kwh" localSheetId="18">#REF!</definedName>
    <definedName name="kwh" localSheetId="5">#REF!</definedName>
    <definedName name="kwh">#REF!</definedName>
    <definedName name="LabaRugi" localSheetId="12">#REF!</definedName>
    <definedName name="LabaRugi" localSheetId="21">#REF!</definedName>
    <definedName name="LabaRugi" localSheetId="23">#REF!</definedName>
    <definedName name="LabaRugi" localSheetId="20">#REF!</definedName>
    <definedName name="LabaRugi" localSheetId="22">#REF!</definedName>
    <definedName name="LabaRugi" localSheetId="19">#REF!</definedName>
    <definedName name="LabaRugi" localSheetId="18">#REF!</definedName>
    <definedName name="LABARUGI">#REF!</definedName>
    <definedName name="LabaRugiKompre" localSheetId="8">#REF!</definedName>
    <definedName name="LabaRugiKompre" localSheetId="21">#REF!</definedName>
    <definedName name="LabaRugiKompre" localSheetId="23">#REF!</definedName>
    <definedName name="LabaRugiKompre" localSheetId="20">#REF!</definedName>
    <definedName name="LabaRugiKompre" localSheetId="22">#REF!</definedName>
    <definedName name="LabaRugiKompre" localSheetId="19">#REF!</definedName>
    <definedName name="LabaRugiKompre" localSheetId="5">#REF!</definedName>
    <definedName name="LabaRugiKompre">#REF!</definedName>
    <definedName name="LABARUGIYR">#REF!</definedName>
    <definedName name="lama" localSheetId="8">#REF!</definedName>
    <definedName name="lama" localSheetId="21">#REF!</definedName>
    <definedName name="lama" localSheetId="23">#REF!</definedName>
    <definedName name="lama" localSheetId="20">#REF!</definedName>
    <definedName name="lama" localSheetId="22">#REF!</definedName>
    <definedName name="lama" localSheetId="19">#REF!</definedName>
    <definedName name="lama" localSheetId="5">#REF!</definedName>
    <definedName name="lama">#REF!</definedName>
    <definedName name="Lamp_10" localSheetId="8">#REF!</definedName>
    <definedName name="Lamp_10" localSheetId="12">#REF!</definedName>
    <definedName name="Lamp_10" localSheetId="21">#REF!</definedName>
    <definedName name="Lamp_10" localSheetId="23">#REF!</definedName>
    <definedName name="Lamp_10" localSheetId="20">#REF!</definedName>
    <definedName name="Lamp_10" localSheetId="22">#REF!</definedName>
    <definedName name="Lamp_10" localSheetId="19">#REF!</definedName>
    <definedName name="Lamp_10" localSheetId="18">#REF!</definedName>
    <definedName name="Lamp_10" localSheetId="5">#REF!</definedName>
    <definedName name="Lamp_10">#REF!</definedName>
    <definedName name="Lamp_11" localSheetId="8">#REF!</definedName>
    <definedName name="Lamp_11" localSheetId="12">#REF!</definedName>
    <definedName name="Lamp_11" localSheetId="21">#REF!</definedName>
    <definedName name="Lamp_11" localSheetId="23">#REF!</definedName>
    <definedName name="Lamp_11" localSheetId="20">#REF!</definedName>
    <definedName name="Lamp_11" localSheetId="22">#REF!</definedName>
    <definedName name="Lamp_11" localSheetId="19">#REF!</definedName>
    <definedName name="Lamp_11" localSheetId="18">#REF!</definedName>
    <definedName name="Lamp_11" localSheetId="5">#REF!</definedName>
    <definedName name="Lamp_11">#REF!</definedName>
    <definedName name="Lamp_12" localSheetId="8">#REF!</definedName>
    <definedName name="Lamp_12" localSheetId="12">#REF!</definedName>
    <definedName name="Lamp_12" localSheetId="21">#REF!</definedName>
    <definedName name="Lamp_12" localSheetId="23">#REF!</definedName>
    <definedName name="Lamp_12" localSheetId="20">#REF!</definedName>
    <definedName name="Lamp_12" localSheetId="22">#REF!</definedName>
    <definedName name="Lamp_12" localSheetId="19">#REF!</definedName>
    <definedName name="Lamp_12" localSheetId="18">#REF!</definedName>
    <definedName name="Lamp_12">#REF!</definedName>
    <definedName name="Lamp_13" localSheetId="8">#REF!</definedName>
    <definedName name="Lamp_13" localSheetId="12">#REF!</definedName>
    <definedName name="Lamp_13" localSheetId="21">#REF!</definedName>
    <definedName name="Lamp_13" localSheetId="23">#REF!</definedName>
    <definedName name="Lamp_13" localSheetId="20">#REF!</definedName>
    <definedName name="Lamp_13" localSheetId="22">#REF!</definedName>
    <definedName name="Lamp_13" localSheetId="19">#REF!</definedName>
    <definedName name="Lamp_13" localSheetId="18">#REF!</definedName>
    <definedName name="Lamp_13">#REF!</definedName>
    <definedName name="Lamp_14" localSheetId="8">#REF!</definedName>
    <definedName name="Lamp_14" localSheetId="12">#REF!</definedName>
    <definedName name="Lamp_14" localSheetId="21">#REF!</definedName>
    <definedName name="Lamp_14" localSheetId="23">#REF!</definedName>
    <definedName name="Lamp_14" localSheetId="20">#REF!</definedName>
    <definedName name="Lamp_14" localSheetId="22">#REF!</definedName>
    <definedName name="Lamp_14" localSheetId="19">#REF!</definedName>
    <definedName name="Lamp_14" localSheetId="18">#REF!</definedName>
    <definedName name="Lamp_14">#REF!</definedName>
    <definedName name="Lamp_15" localSheetId="8">#REF!</definedName>
    <definedName name="Lamp_15" localSheetId="12">#REF!</definedName>
    <definedName name="Lamp_15" localSheetId="21">#REF!</definedName>
    <definedName name="Lamp_15" localSheetId="23">#REF!</definedName>
    <definedName name="Lamp_15" localSheetId="20">#REF!</definedName>
    <definedName name="Lamp_15" localSheetId="22">#REF!</definedName>
    <definedName name="Lamp_15" localSheetId="19">#REF!</definedName>
    <definedName name="Lamp_15" localSheetId="18">#REF!</definedName>
    <definedName name="Lamp_15">#REF!</definedName>
    <definedName name="Lamp_16" localSheetId="8">#REF!</definedName>
    <definedName name="Lamp_16" localSheetId="12">#REF!</definedName>
    <definedName name="Lamp_16" localSheetId="21">#REF!</definedName>
    <definedName name="Lamp_16" localSheetId="23">#REF!</definedName>
    <definedName name="Lamp_16" localSheetId="20">#REF!</definedName>
    <definedName name="Lamp_16" localSheetId="22">#REF!</definedName>
    <definedName name="Lamp_16" localSheetId="19">#REF!</definedName>
    <definedName name="Lamp_16" localSheetId="18">#REF!</definedName>
    <definedName name="Lamp_16">#REF!</definedName>
    <definedName name="Lamp_1a" localSheetId="8">#REF!</definedName>
    <definedName name="Lamp_1a" localSheetId="12">#REF!</definedName>
    <definedName name="Lamp_1a" localSheetId="21">#REF!</definedName>
    <definedName name="Lamp_1a" localSheetId="23">#REF!</definedName>
    <definedName name="Lamp_1a" localSheetId="20">#REF!</definedName>
    <definedName name="Lamp_1a" localSheetId="22">#REF!</definedName>
    <definedName name="Lamp_1a" localSheetId="19">#REF!</definedName>
    <definedName name="Lamp_1a" localSheetId="18">#REF!</definedName>
    <definedName name="Lamp_1a">#REF!</definedName>
    <definedName name="Lamp_1b" localSheetId="8">#REF!</definedName>
    <definedName name="Lamp_1b" localSheetId="12">#REF!</definedName>
    <definedName name="Lamp_1b" localSheetId="21">#REF!</definedName>
    <definedName name="Lamp_1b" localSheetId="23">#REF!</definedName>
    <definedName name="Lamp_1b" localSheetId="20">#REF!</definedName>
    <definedName name="Lamp_1b" localSheetId="22">#REF!</definedName>
    <definedName name="Lamp_1b" localSheetId="19">#REF!</definedName>
    <definedName name="Lamp_1b" localSheetId="18">#REF!</definedName>
    <definedName name="Lamp_1b">#REF!</definedName>
    <definedName name="Lamp_2a" localSheetId="8">#REF!</definedName>
    <definedName name="Lamp_2a" localSheetId="12">#REF!</definedName>
    <definedName name="Lamp_2a" localSheetId="21">#REF!</definedName>
    <definedName name="Lamp_2a" localSheetId="23">#REF!</definedName>
    <definedName name="Lamp_2a" localSheetId="20">#REF!</definedName>
    <definedName name="Lamp_2a" localSheetId="22">#REF!</definedName>
    <definedName name="Lamp_2a" localSheetId="19">#REF!</definedName>
    <definedName name="Lamp_2a" localSheetId="18">#REF!</definedName>
    <definedName name="Lamp_2a">#REF!</definedName>
    <definedName name="Lamp_2b" localSheetId="8">#REF!</definedName>
    <definedName name="Lamp_2b" localSheetId="12">#REF!</definedName>
    <definedName name="Lamp_2b" localSheetId="21">#REF!</definedName>
    <definedName name="Lamp_2b" localSheetId="23">#REF!</definedName>
    <definedName name="Lamp_2b" localSheetId="20">#REF!</definedName>
    <definedName name="Lamp_2b" localSheetId="22">#REF!</definedName>
    <definedName name="Lamp_2b" localSheetId="19">#REF!</definedName>
    <definedName name="Lamp_2b" localSheetId="18">#REF!</definedName>
    <definedName name="Lamp_2b">#REF!</definedName>
    <definedName name="Lamp_3a" localSheetId="8">#REF!</definedName>
    <definedName name="Lamp_3a" localSheetId="12">#REF!</definedName>
    <definedName name="Lamp_3a" localSheetId="21">#REF!</definedName>
    <definedName name="Lamp_3a" localSheetId="23">#REF!</definedName>
    <definedName name="Lamp_3a" localSheetId="20">#REF!</definedName>
    <definedName name="Lamp_3a" localSheetId="22">#REF!</definedName>
    <definedName name="Lamp_3a" localSheetId="19">#REF!</definedName>
    <definedName name="Lamp_3a" localSheetId="18">#REF!</definedName>
    <definedName name="Lamp_3a">#REF!</definedName>
    <definedName name="Lamp_3b" localSheetId="8">#REF!</definedName>
    <definedName name="Lamp_3b" localSheetId="12">#REF!</definedName>
    <definedName name="Lamp_3b" localSheetId="21">#REF!</definedName>
    <definedName name="Lamp_3b" localSheetId="23">#REF!</definedName>
    <definedName name="Lamp_3b" localSheetId="20">#REF!</definedName>
    <definedName name="Lamp_3b" localSheetId="22">#REF!</definedName>
    <definedName name="Lamp_3b" localSheetId="19">#REF!</definedName>
    <definedName name="Lamp_3b" localSheetId="18">#REF!</definedName>
    <definedName name="Lamp_3b">#REF!</definedName>
    <definedName name="Lamp_4a" localSheetId="8">#REF!</definedName>
    <definedName name="Lamp_4a" localSheetId="12">#REF!</definedName>
    <definedName name="Lamp_4a" localSheetId="21">#REF!</definedName>
    <definedName name="Lamp_4a" localSheetId="23">#REF!</definedName>
    <definedName name="Lamp_4a" localSheetId="20">#REF!</definedName>
    <definedName name="Lamp_4a" localSheetId="22">#REF!</definedName>
    <definedName name="Lamp_4a" localSheetId="19">#REF!</definedName>
    <definedName name="Lamp_4a" localSheetId="18">#REF!</definedName>
    <definedName name="Lamp_4a">#REF!</definedName>
    <definedName name="Lamp_4b" localSheetId="8">#REF!</definedName>
    <definedName name="Lamp_4b" localSheetId="12">#REF!</definedName>
    <definedName name="Lamp_4b" localSheetId="21">#REF!</definedName>
    <definedName name="Lamp_4b" localSheetId="23">#REF!</definedName>
    <definedName name="Lamp_4b" localSheetId="20">#REF!</definedName>
    <definedName name="Lamp_4b" localSheetId="22">#REF!</definedName>
    <definedName name="Lamp_4b" localSheetId="19">#REF!</definedName>
    <definedName name="Lamp_4b" localSheetId="18">#REF!</definedName>
    <definedName name="Lamp_4b">#REF!</definedName>
    <definedName name="Lamp_5a" localSheetId="8">#REF!</definedName>
    <definedName name="Lamp_5a" localSheetId="12">#REF!</definedName>
    <definedName name="Lamp_5a" localSheetId="21">#REF!</definedName>
    <definedName name="Lamp_5a" localSheetId="23">#REF!</definedName>
    <definedName name="Lamp_5a" localSheetId="20">#REF!</definedName>
    <definedName name="Lamp_5a" localSheetId="22">#REF!</definedName>
    <definedName name="Lamp_5a" localSheetId="19">#REF!</definedName>
    <definedName name="Lamp_5a" localSheetId="18">#REF!</definedName>
    <definedName name="Lamp_5a">#REF!</definedName>
    <definedName name="Lamp_5b" localSheetId="8">#REF!</definedName>
    <definedName name="Lamp_5b" localSheetId="12">#REF!</definedName>
    <definedName name="Lamp_5b" localSheetId="21">#REF!</definedName>
    <definedName name="Lamp_5b" localSheetId="23">#REF!</definedName>
    <definedName name="Lamp_5b" localSheetId="20">#REF!</definedName>
    <definedName name="Lamp_5b" localSheetId="22">#REF!</definedName>
    <definedName name="Lamp_5b" localSheetId="19">#REF!</definedName>
    <definedName name="Lamp_5b" localSheetId="18">#REF!</definedName>
    <definedName name="Lamp_5b">#REF!</definedName>
    <definedName name="Lamp_6a" localSheetId="8">#REF!</definedName>
    <definedName name="Lamp_6a" localSheetId="12">#REF!</definedName>
    <definedName name="Lamp_6a" localSheetId="21">#REF!</definedName>
    <definedName name="Lamp_6a" localSheetId="23">#REF!</definedName>
    <definedName name="Lamp_6a" localSheetId="20">#REF!</definedName>
    <definedName name="Lamp_6a" localSheetId="22">#REF!</definedName>
    <definedName name="Lamp_6a" localSheetId="19">#REF!</definedName>
    <definedName name="Lamp_6a" localSheetId="18">#REF!</definedName>
    <definedName name="Lamp_6a">#REF!</definedName>
    <definedName name="Lamp_6b" localSheetId="8">#REF!</definedName>
    <definedName name="Lamp_6b" localSheetId="12">#REF!</definedName>
    <definedName name="Lamp_6b" localSheetId="21">#REF!</definedName>
    <definedName name="Lamp_6b" localSheetId="23">#REF!</definedName>
    <definedName name="Lamp_6b" localSheetId="20">#REF!</definedName>
    <definedName name="Lamp_6b" localSheetId="22">#REF!</definedName>
    <definedName name="Lamp_6b" localSheetId="19">#REF!</definedName>
    <definedName name="Lamp_6b" localSheetId="18">#REF!</definedName>
    <definedName name="Lamp_6b">#REF!</definedName>
    <definedName name="Lamp_7a" localSheetId="8">#REF!</definedName>
    <definedName name="Lamp_7a" localSheetId="12">#REF!</definedName>
    <definedName name="Lamp_7a" localSheetId="21">#REF!</definedName>
    <definedName name="Lamp_7a" localSheetId="23">#REF!</definedName>
    <definedName name="Lamp_7a" localSheetId="20">#REF!</definedName>
    <definedName name="Lamp_7a" localSheetId="22">#REF!</definedName>
    <definedName name="Lamp_7a" localSheetId="19">#REF!</definedName>
    <definedName name="Lamp_7a" localSheetId="18">#REF!</definedName>
    <definedName name="Lamp_7a">#REF!</definedName>
    <definedName name="Lamp_7b" localSheetId="8">#REF!</definedName>
    <definedName name="Lamp_7b" localSheetId="12">#REF!</definedName>
    <definedName name="Lamp_7b" localSheetId="21">#REF!</definedName>
    <definedName name="Lamp_7b" localSheetId="23">#REF!</definedName>
    <definedName name="Lamp_7b" localSheetId="20">#REF!</definedName>
    <definedName name="Lamp_7b" localSheetId="22">#REF!</definedName>
    <definedName name="Lamp_7b" localSheetId="19">#REF!</definedName>
    <definedName name="Lamp_7b" localSheetId="18">#REF!</definedName>
    <definedName name="Lamp_7b">#REF!</definedName>
    <definedName name="Lamp_7c" localSheetId="8">#REF!</definedName>
    <definedName name="Lamp_7c" localSheetId="12">#REF!</definedName>
    <definedName name="Lamp_7c" localSheetId="21">#REF!</definedName>
    <definedName name="Lamp_7c" localSheetId="23">#REF!</definedName>
    <definedName name="Lamp_7c" localSheetId="20">#REF!</definedName>
    <definedName name="Lamp_7c" localSheetId="22">#REF!</definedName>
    <definedName name="Lamp_7c" localSheetId="19">#REF!</definedName>
    <definedName name="Lamp_7c" localSheetId="18">#REF!</definedName>
    <definedName name="Lamp_7c">#REF!</definedName>
    <definedName name="Lamp_8a" localSheetId="8">#REF!</definedName>
    <definedName name="Lamp_8a" localSheetId="12">#REF!</definedName>
    <definedName name="Lamp_8a" localSheetId="21">#REF!</definedName>
    <definedName name="Lamp_8a" localSheetId="23">#REF!</definedName>
    <definedName name="Lamp_8a" localSheetId="20">#REF!</definedName>
    <definedName name="Lamp_8a" localSheetId="22">#REF!</definedName>
    <definedName name="Lamp_8a" localSheetId="19">#REF!</definedName>
    <definedName name="Lamp_8a" localSheetId="18">#REF!</definedName>
    <definedName name="Lamp_8a">#REF!</definedName>
    <definedName name="Lamp_8b" localSheetId="8">#REF!</definedName>
    <definedName name="Lamp_8b" localSheetId="12">#REF!</definedName>
    <definedName name="Lamp_8b" localSheetId="21">#REF!</definedName>
    <definedName name="Lamp_8b" localSheetId="23">#REF!</definedName>
    <definedName name="Lamp_8b" localSheetId="20">#REF!</definedName>
    <definedName name="Lamp_8b" localSheetId="22">#REF!</definedName>
    <definedName name="Lamp_8b" localSheetId="19">#REF!</definedName>
    <definedName name="Lamp_8b" localSheetId="18">#REF!</definedName>
    <definedName name="Lamp_8b">#REF!</definedName>
    <definedName name="Lamp_9" localSheetId="8">#REF!</definedName>
    <definedName name="Lamp_9" localSheetId="12">#REF!</definedName>
    <definedName name="Lamp_9" localSheetId="21">#REF!</definedName>
    <definedName name="Lamp_9" localSheetId="23">#REF!</definedName>
    <definedName name="Lamp_9" localSheetId="20">#REF!</definedName>
    <definedName name="Lamp_9" localSheetId="22">#REF!</definedName>
    <definedName name="Lamp_9" localSheetId="19">#REF!</definedName>
    <definedName name="Lamp_9" localSheetId="18">#REF!</definedName>
    <definedName name="Lamp_9">#REF!</definedName>
    <definedName name="LaporanAnak" localSheetId="8">#REF!</definedName>
    <definedName name="LaporanAnak" localSheetId="12">#REF!</definedName>
    <definedName name="LaporanAnak" localSheetId="21">#REF!</definedName>
    <definedName name="LaporanAnak" localSheetId="23">#REF!</definedName>
    <definedName name="LaporanAnak" localSheetId="20">#REF!</definedName>
    <definedName name="LaporanAnak" localSheetId="22">#REF!</definedName>
    <definedName name="LaporanAnak" localSheetId="19">#REF!</definedName>
    <definedName name="LaporanAnak" localSheetId="18">#REF!</definedName>
    <definedName name="LaporanAnak">#REF!</definedName>
    <definedName name="LaporanJawa" localSheetId="8">#REF!</definedName>
    <definedName name="LaporanJawa" localSheetId="12">#REF!</definedName>
    <definedName name="LaporanJawa" localSheetId="21">#REF!</definedName>
    <definedName name="LaporanJawa" localSheetId="23">#REF!</definedName>
    <definedName name="LaporanJawa" localSheetId="20">#REF!</definedName>
    <definedName name="LaporanJawa" localSheetId="22">#REF!</definedName>
    <definedName name="LaporanJawa" localSheetId="19">#REF!</definedName>
    <definedName name="LaporanJawa" localSheetId="18">#REF!</definedName>
    <definedName name="LaporanJawa">#REF!</definedName>
    <definedName name="LaporanKonsolidasi" localSheetId="8">#REF!</definedName>
    <definedName name="LaporanKonsolidasi" localSheetId="12">#REF!</definedName>
    <definedName name="LaporanKonsolidasi" localSheetId="21">#REF!</definedName>
    <definedName name="LaporanKonsolidasi" localSheetId="23">#REF!</definedName>
    <definedName name="LaporanKonsolidasi" localSheetId="20">#REF!</definedName>
    <definedName name="LaporanKonsolidasi" localSheetId="22">#REF!</definedName>
    <definedName name="LaporanKonsolidasi" localSheetId="19">#REF!</definedName>
    <definedName name="LaporanKonsolidasi" localSheetId="18">#REF!</definedName>
    <definedName name="LaporanKonsolidasi">#REF!</definedName>
    <definedName name="LaporanUtama" localSheetId="8">#REF!</definedName>
    <definedName name="LaporanUtama" localSheetId="12">#REF!</definedName>
    <definedName name="LaporanUtama" localSheetId="21">#REF!</definedName>
    <definedName name="LaporanUtama" localSheetId="23">#REF!</definedName>
    <definedName name="LaporanUtama" localSheetId="20">#REF!</definedName>
    <definedName name="LaporanUtama" localSheetId="22">#REF!</definedName>
    <definedName name="LaporanUtama" localSheetId="19">#REF!</definedName>
    <definedName name="LaporanUtama" localSheetId="18">#REF!</definedName>
    <definedName name="LaporanUtama">#REF!</definedName>
    <definedName name="LAPUNIT" localSheetId="8">#REF!</definedName>
    <definedName name="LAPUNIT" localSheetId="21">#REF!</definedName>
    <definedName name="LAPUNIT" localSheetId="23">#REF!</definedName>
    <definedName name="LAPUNIT" localSheetId="20">#REF!</definedName>
    <definedName name="LAPUNIT" localSheetId="22">#REF!</definedName>
    <definedName name="LAPUNIT" localSheetId="19">#REF!</definedName>
    <definedName name="LAPUNIT">#REF!</definedName>
    <definedName name="Least" localSheetId="8">#REF!</definedName>
    <definedName name="Least" localSheetId="12">#REF!</definedName>
    <definedName name="Least" localSheetId="21">#REF!</definedName>
    <definedName name="Least" localSheetId="23">#REF!</definedName>
    <definedName name="Least" localSheetId="20">#REF!</definedName>
    <definedName name="Least" localSheetId="22">#REF!</definedName>
    <definedName name="Least" localSheetId="19">#REF!</definedName>
    <definedName name="Least" localSheetId="18">#REF!</definedName>
    <definedName name="Least">#REF!</definedName>
    <definedName name="lincuran" localSheetId="8">#REF!</definedName>
    <definedName name="lincuran" localSheetId="12">#REF!</definedName>
    <definedName name="lincuran" localSheetId="21">#REF!</definedName>
    <definedName name="lincuran" localSheetId="23">#REF!</definedName>
    <definedName name="lincuran" localSheetId="20">#REF!</definedName>
    <definedName name="lincuran" localSheetId="22">#REF!</definedName>
    <definedName name="lincuran" localSheetId="19">#REF!</definedName>
    <definedName name="lincuran" localSheetId="18">#REF!</definedName>
    <definedName name="lincuran">#REF!</definedName>
    <definedName name="lo" localSheetId="8">#REF!</definedName>
    <definedName name="lo" localSheetId="12">#REF!</definedName>
    <definedName name="lo" localSheetId="21">#REF!</definedName>
    <definedName name="lo" localSheetId="23">#REF!</definedName>
    <definedName name="lo" localSheetId="20">#REF!</definedName>
    <definedName name="lo" localSheetId="22">#REF!</definedName>
    <definedName name="lo" localSheetId="19">#REF!</definedName>
    <definedName name="lo" localSheetId="18">#REF!</definedName>
    <definedName name="lo">#REF!</definedName>
    <definedName name="LPGAB" localSheetId="8">#REF!</definedName>
    <definedName name="LPGAB" localSheetId="21">#REF!</definedName>
    <definedName name="LPGAB" localSheetId="23">#REF!</definedName>
    <definedName name="LPGAB" localSheetId="20">#REF!</definedName>
    <definedName name="LPGAB" localSheetId="22">#REF!</definedName>
    <definedName name="LPGAB" localSheetId="19">#REF!</definedName>
    <definedName name="LPGAB">#REF!</definedName>
    <definedName name="LRFungsi" localSheetId="8">#REF!</definedName>
    <definedName name="LRFungsi" localSheetId="12">#REF!</definedName>
    <definedName name="LRFungsi" localSheetId="21">#REF!</definedName>
    <definedName name="LRFungsi" localSheetId="23">#REF!</definedName>
    <definedName name="LRFungsi" localSheetId="20">#REF!</definedName>
    <definedName name="LRFungsi" localSheetId="22">#REF!</definedName>
    <definedName name="LRFungsi" localSheetId="19">#REF!</definedName>
    <definedName name="LRFungsi" localSheetId="18">#REF!</definedName>
    <definedName name="LRFungsi">#REF!</definedName>
    <definedName name="LRUnsur" localSheetId="8">#REF!</definedName>
    <definedName name="LRUnsur" localSheetId="12">#REF!</definedName>
    <definedName name="LRUnsur" localSheetId="21">#REF!</definedName>
    <definedName name="LRUnsur" localSheetId="23">#REF!</definedName>
    <definedName name="LRUnsur" localSheetId="20">#REF!</definedName>
    <definedName name="LRUnsur" localSheetId="22">#REF!</definedName>
    <definedName name="LRUnsur" localSheetId="19">#REF!</definedName>
    <definedName name="LRUnsur" localSheetId="18">#REF!</definedName>
    <definedName name="LRUnsur">#REF!</definedName>
    <definedName name="luncur">#REF!</definedName>
    <definedName name="luncuran">#REF!</definedName>
    <definedName name="M" localSheetId="8">#REF!</definedName>
    <definedName name="M" localSheetId="12">#REF!</definedName>
    <definedName name="M" localSheetId="21">#REF!</definedName>
    <definedName name="M" localSheetId="23">#REF!</definedName>
    <definedName name="M" localSheetId="20">#REF!</definedName>
    <definedName name="M" localSheetId="22">#REF!</definedName>
    <definedName name="M" localSheetId="19">#REF!</definedName>
    <definedName name="M" localSheetId="18">#REF!</definedName>
    <definedName name="M" localSheetId="5">#REF!</definedName>
    <definedName name="M">#REF!</definedName>
    <definedName name="masa" localSheetId="8">#REF!</definedName>
    <definedName name="masa" localSheetId="12">#REF!</definedName>
    <definedName name="masa" localSheetId="21">#REF!</definedName>
    <definedName name="masa" localSheetId="23">#REF!</definedName>
    <definedName name="masa" localSheetId="20">#REF!</definedName>
    <definedName name="masa" localSheetId="22">#REF!</definedName>
    <definedName name="masa" localSheetId="19">#REF!</definedName>
    <definedName name="masa" localSheetId="18">#REF!</definedName>
    <definedName name="masa" localSheetId="5">#REF!</definedName>
    <definedName name="masa">#REF!</definedName>
    <definedName name="masa1" localSheetId="8">#REF!</definedName>
    <definedName name="masa1" localSheetId="12">#REF!</definedName>
    <definedName name="masa1" localSheetId="21">#REF!</definedName>
    <definedName name="masa1" localSheetId="23">#REF!</definedName>
    <definedName name="masa1" localSheetId="20">#REF!</definedName>
    <definedName name="masa1" localSheetId="22">#REF!</definedName>
    <definedName name="masa1" localSheetId="19">#REF!</definedName>
    <definedName name="masa1" localSheetId="18">#REF!</definedName>
    <definedName name="masa1" localSheetId="5">#REF!</definedName>
    <definedName name="masa1">#REF!</definedName>
    <definedName name="masa2" localSheetId="8">#REF!</definedName>
    <definedName name="masa2" localSheetId="12">#REF!</definedName>
    <definedName name="masa2" localSheetId="21">#REF!</definedName>
    <definedName name="masa2" localSheetId="23">#REF!</definedName>
    <definedName name="masa2" localSheetId="20">#REF!</definedName>
    <definedName name="masa2" localSheetId="22">#REF!</definedName>
    <definedName name="masa2" localSheetId="19">#REF!</definedName>
    <definedName name="masa2" localSheetId="18">#REF!</definedName>
    <definedName name="masa2">#REF!</definedName>
    <definedName name="mcperiod" localSheetId="8">#REF!</definedName>
    <definedName name="mcperiod" localSheetId="12">#REF!</definedName>
    <definedName name="mcperiod" localSheetId="21">#REF!</definedName>
    <definedName name="mcperiod" localSheetId="23">#REF!</definedName>
    <definedName name="mcperiod" localSheetId="20">#REF!</definedName>
    <definedName name="mcperiod" localSheetId="22">#REF!</definedName>
    <definedName name="mcperiod" localSheetId="19">#REF!</definedName>
    <definedName name="mcperiod" localSheetId="18">#REF!</definedName>
    <definedName name="mcperiod">#REF!</definedName>
    <definedName name="mei" localSheetId="8">#REF!</definedName>
    <definedName name="mei" localSheetId="12">#REF!</definedName>
    <definedName name="mei" localSheetId="21">#REF!</definedName>
    <definedName name="mei" localSheetId="23">#REF!</definedName>
    <definedName name="mei" localSheetId="20">#REF!</definedName>
    <definedName name="mei" localSheetId="22">#REF!</definedName>
    <definedName name="mei" localSheetId="19">#REF!</definedName>
    <definedName name="mei" localSheetId="18">#REF!</definedName>
    <definedName name="mei">#REF!</definedName>
    <definedName name="MENU" localSheetId="8">#REF!</definedName>
    <definedName name="MENU" localSheetId="21">#REF!</definedName>
    <definedName name="MENU" localSheetId="23">#REF!</definedName>
    <definedName name="MENU" localSheetId="20">#REF!</definedName>
    <definedName name="MENU" localSheetId="22">#REF!</definedName>
    <definedName name="MENU" localSheetId="19">#REF!</definedName>
    <definedName name="MENU">#REF!</definedName>
    <definedName name="MENU1" localSheetId="8">#REF!</definedName>
    <definedName name="MENU1" localSheetId="21">#REF!</definedName>
    <definedName name="MENU1" localSheetId="23">#REF!</definedName>
    <definedName name="MENU1" localSheetId="20">#REF!</definedName>
    <definedName name="MENU1" localSheetId="22">#REF!</definedName>
    <definedName name="MENU1" localSheetId="19">#REF!</definedName>
    <definedName name="MENU1">#REF!</definedName>
    <definedName name="MENUBB" localSheetId="8">#REF!</definedName>
    <definedName name="MENUBB" localSheetId="21">#REF!</definedName>
    <definedName name="MENUBB" localSheetId="23">#REF!</definedName>
    <definedName name="MENUBB" localSheetId="20">#REF!</definedName>
    <definedName name="MENUBB" localSheetId="22">#REF!</definedName>
    <definedName name="MENUBB" localSheetId="19">#REF!</definedName>
    <definedName name="MENUBB">#REF!</definedName>
    <definedName name="MENURH" localSheetId="8">#REF!</definedName>
    <definedName name="MENURH" localSheetId="21">#REF!</definedName>
    <definedName name="MENURH" localSheetId="23">#REF!</definedName>
    <definedName name="MENURH" localSheetId="20">#REF!</definedName>
    <definedName name="MENURH" localSheetId="22">#REF!</definedName>
    <definedName name="MENURH" localSheetId="19">#REF!</definedName>
    <definedName name="MENURH">#REF!</definedName>
    <definedName name="MENUWW" localSheetId="8">#REF!</definedName>
    <definedName name="MENUWW" localSheetId="21">#REF!</definedName>
    <definedName name="MENUWW" localSheetId="23">#REF!</definedName>
    <definedName name="MENUWW" localSheetId="20">#REF!</definedName>
    <definedName name="MENUWW" localSheetId="22">#REF!</definedName>
    <definedName name="MENUWW" localSheetId="19">#REF!</definedName>
    <definedName name="MENUWW">#REF!</definedName>
    <definedName name="mfobaru">#REF!</definedName>
    <definedName name="MICOHM">#REF!</definedName>
    <definedName name="MQAR" localSheetId="8">#REF!</definedName>
    <definedName name="MQAR" localSheetId="12">#REF!</definedName>
    <definedName name="MQAR" localSheetId="21">#REF!</definedName>
    <definedName name="MQAR" localSheetId="23">#REF!</definedName>
    <definedName name="MQAR" localSheetId="20">#REF!</definedName>
    <definedName name="MQAR" localSheetId="22">#REF!</definedName>
    <definedName name="MQAR" localSheetId="19">#REF!</definedName>
    <definedName name="MQAR" localSheetId="18">#REF!</definedName>
    <definedName name="MQAR" localSheetId="5">#REF!</definedName>
    <definedName name="MQAR">#REF!</definedName>
    <definedName name="mtrafoksutb">#REF!</definedName>
    <definedName name="MutasiMatPDP" localSheetId="8">#REF!</definedName>
    <definedName name="MutasiMatPDP" localSheetId="12">#REF!</definedName>
    <definedName name="MutasiMatPDP" localSheetId="21">#REF!</definedName>
    <definedName name="MutasiMatPDP" localSheetId="23">#REF!</definedName>
    <definedName name="MutasiMatPDP" localSheetId="20">#REF!</definedName>
    <definedName name="MutasiMatPDP" localSheetId="22">#REF!</definedName>
    <definedName name="MutasiMatPDP" localSheetId="19">#REF!</definedName>
    <definedName name="MutasiMatPDP" localSheetId="18">#REF!</definedName>
    <definedName name="MutasiMatPDP" localSheetId="5">#REF!</definedName>
    <definedName name="MutasiMatPDP">#REF!</definedName>
    <definedName name="NAR" localSheetId="8">#REF!</definedName>
    <definedName name="NAR" localSheetId="21">#REF!</definedName>
    <definedName name="NAR" localSheetId="23">#REF!</definedName>
    <definedName name="NAR" localSheetId="20">#REF!</definedName>
    <definedName name="NAR" localSheetId="22">#REF!</definedName>
    <definedName name="NAR" localSheetId="19">#REF!</definedName>
    <definedName name="NAR" localSheetId="5">#REF!</definedName>
    <definedName name="NAR">#REF!</definedName>
    <definedName name="NBULAN" localSheetId="8">#REF!</definedName>
    <definedName name="NBULAN" localSheetId="21">#REF!</definedName>
    <definedName name="NBULAN" localSheetId="23">#REF!</definedName>
    <definedName name="NBULAN" localSheetId="20">#REF!</definedName>
    <definedName name="NBULAN" localSheetId="22">#REF!</definedName>
    <definedName name="NBULAN" localSheetId="19">#REF!</definedName>
    <definedName name="NBULAN" localSheetId="5">#REF!</definedName>
    <definedName name="NBULAN">#REF!</definedName>
    <definedName name="Neraca" localSheetId="8">#REF!</definedName>
    <definedName name="Neraca" localSheetId="12">#REF!</definedName>
    <definedName name="Neraca" localSheetId="21">#REF!</definedName>
    <definedName name="Neraca" localSheetId="23">#REF!</definedName>
    <definedName name="Neraca" localSheetId="20">#REF!</definedName>
    <definedName name="Neraca" localSheetId="22">#REF!</definedName>
    <definedName name="Neraca" localSheetId="19">#REF!</definedName>
    <definedName name="Neraca" localSheetId="18">#REF!</definedName>
    <definedName name="Neraca" localSheetId="5">#REF!</definedName>
    <definedName name="Neraca">#REF!</definedName>
    <definedName name="netmargim" localSheetId="8">#REF!</definedName>
    <definedName name="netmargim" localSheetId="12">#REF!</definedName>
    <definedName name="netmargim" localSheetId="21">#REF!</definedName>
    <definedName name="netmargim" localSheetId="23">#REF!</definedName>
    <definedName name="netmargim" localSheetId="20">#REF!</definedName>
    <definedName name="netmargim" localSheetId="22">#REF!</definedName>
    <definedName name="netmargim" localSheetId="19">#REF!</definedName>
    <definedName name="netmargim" localSheetId="18">#REF!</definedName>
    <definedName name="netmargim" localSheetId="5">#REF!</definedName>
    <definedName name="netmargim">#REF!</definedName>
    <definedName name="new" localSheetId="8">#REF!</definedName>
    <definedName name="new" localSheetId="12">#REF!</definedName>
    <definedName name="new" localSheetId="21">#REF!</definedName>
    <definedName name="new" localSheetId="23">#REF!</definedName>
    <definedName name="new" localSheetId="20">#REF!</definedName>
    <definedName name="new" localSheetId="22">#REF!</definedName>
    <definedName name="new" localSheetId="19">#REF!</definedName>
    <definedName name="new" localSheetId="18">#REF!</definedName>
    <definedName name="new" localSheetId="5">#REF!</definedName>
    <definedName name="new">#REF!</definedName>
    <definedName name="nn" localSheetId="8">#REF!</definedName>
    <definedName name="nn" localSheetId="12">#REF!</definedName>
    <definedName name="nn" localSheetId="21">#REF!</definedName>
    <definedName name="nn" localSheetId="23">#REF!</definedName>
    <definedName name="nn" localSheetId="20">#REF!</definedName>
    <definedName name="nn" localSheetId="22">#REF!</definedName>
    <definedName name="nn" localSheetId="19">#REF!</definedName>
    <definedName name="nn" localSheetId="18">#REF!</definedName>
    <definedName name="nn" localSheetId="5">#REF!</definedName>
    <definedName name="nn">#REF!</definedName>
    <definedName name="NNG" localSheetId="8">#REF!</definedName>
    <definedName name="NNG" localSheetId="12">#REF!</definedName>
    <definedName name="NNG" localSheetId="21">#REF!</definedName>
    <definedName name="NNG" localSheetId="23">#REF!</definedName>
    <definedName name="NNG" localSheetId="20">#REF!</definedName>
    <definedName name="NNG" localSheetId="22">#REF!</definedName>
    <definedName name="NNG" localSheetId="19">#REF!</definedName>
    <definedName name="NNG" localSheetId="18">#REF!</definedName>
    <definedName name="NNG" localSheetId="5">#REF!</definedName>
    <definedName name="NNG">#REF!</definedName>
    <definedName name="NNNN" localSheetId="8">#REF!</definedName>
    <definedName name="NNNN" localSheetId="21">#REF!</definedName>
    <definedName name="NNNN" localSheetId="23">#REF!</definedName>
    <definedName name="NNNN" localSheetId="20">#REF!</definedName>
    <definedName name="NNNN" localSheetId="22">#REF!</definedName>
    <definedName name="NNNN" localSheetId="19">#REF!</definedName>
    <definedName name="NNNN" localSheetId="5">#REF!</definedName>
    <definedName name="NNNN">#REF!</definedName>
    <definedName name="nop" localSheetId="8">#REF!</definedName>
    <definedName name="nop" localSheetId="12">#REF!</definedName>
    <definedName name="nop" localSheetId="21">#REF!</definedName>
    <definedName name="nop" localSheetId="23">#REF!</definedName>
    <definedName name="nop" localSheetId="20">#REF!</definedName>
    <definedName name="nop" localSheetId="22">#REF!</definedName>
    <definedName name="nop" localSheetId="19">#REF!</definedName>
    <definedName name="nop" localSheetId="18">#REF!</definedName>
    <definedName name="nop" localSheetId="5">#REF!</definedName>
    <definedName name="nop">#REF!</definedName>
    <definedName name="nyoman">#REF!</definedName>
    <definedName name="o_m" localSheetId="8">#REF!</definedName>
    <definedName name="o_m" localSheetId="12">#REF!</definedName>
    <definedName name="o_m" localSheetId="21">#REF!</definedName>
    <definedName name="o_m" localSheetId="23">#REF!</definedName>
    <definedName name="o_m" localSheetId="20">#REF!</definedName>
    <definedName name="o_m" localSheetId="22">#REF!</definedName>
    <definedName name="o_m" localSheetId="19">#REF!</definedName>
    <definedName name="o_m" localSheetId="18">#REF!</definedName>
    <definedName name="o_m" localSheetId="5">#REF!</definedName>
    <definedName name="o_m">#REF!</definedName>
    <definedName name="OBS">#REF!</definedName>
    <definedName name="OILTEST">#REF!</definedName>
    <definedName name="okt" localSheetId="8">#REF!</definedName>
    <definedName name="okt" localSheetId="12">#REF!</definedName>
    <definedName name="okt" localSheetId="21">#REF!</definedName>
    <definedName name="okt" localSheetId="23">#REF!</definedName>
    <definedName name="okt" localSheetId="20">#REF!</definedName>
    <definedName name="okt" localSheetId="22">#REF!</definedName>
    <definedName name="okt" localSheetId="19">#REF!</definedName>
    <definedName name="okt" localSheetId="18">#REF!</definedName>
    <definedName name="okt" localSheetId="5">#REF!</definedName>
    <definedName name="okt">#REF!</definedName>
    <definedName name="okto" localSheetId="8">#REF!</definedName>
    <definedName name="okto" localSheetId="12">#REF!</definedName>
    <definedName name="okto" localSheetId="21">#REF!</definedName>
    <definedName name="okto" localSheetId="23">#REF!</definedName>
    <definedName name="okto" localSheetId="20">#REF!</definedName>
    <definedName name="okto" localSheetId="22">#REF!</definedName>
    <definedName name="okto" localSheetId="19">#REF!</definedName>
    <definedName name="okto" localSheetId="18">#REF!</definedName>
    <definedName name="okto" localSheetId="5">#REF!</definedName>
    <definedName name="okto">#REF!</definedName>
    <definedName name="OPERASI" localSheetId="8">#REF!</definedName>
    <definedName name="OPERASI" localSheetId="12">#REF!</definedName>
    <definedName name="OPERASI" localSheetId="21">#REF!</definedName>
    <definedName name="OPERASI" localSheetId="23">#REF!</definedName>
    <definedName name="OPERASI" localSheetId="20">#REF!</definedName>
    <definedName name="OPERASI" localSheetId="22">#REF!</definedName>
    <definedName name="OPERASI" localSheetId="19">#REF!</definedName>
    <definedName name="OPERASI" localSheetId="18">#REF!</definedName>
    <definedName name="OPERASI" localSheetId="5">#REF!</definedName>
    <definedName name="OPERASI">#REF!</definedName>
    <definedName name="p2tl_n">#REF!</definedName>
    <definedName name="p2tl_p">#REF!</definedName>
    <definedName name="parsialdis">#REF!</definedName>
    <definedName name="pdi" localSheetId="12" hidden="1">#REF!</definedName>
    <definedName name="pdi" localSheetId="21" hidden="1">#REF!</definedName>
    <definedName name="pdi" localSheetId="23" hidden="1">#REF!</definedName>
    <definedName name="pdi" localSheetId="20" hidden="1">#REF!</definedName>
    <definedName name="pdi" localSheetId="22" hidden="1">#REF!</definedName>
    <definedName name="pdi" localSheetId="19" hidden="1">#REF!</definedName>
    <definedName name="pdi" localSheetId="18" hidden="1">#REF!</definedName>
    <definedName name="PDPKons" localSheetId="8">#REF!</definedName>
    <definedName name="PDPKons" localSheetId="12">#REF!</definedName>
    <definedName name="PDPKons" localSheetId="21">#REF!</definedName>
    <definedName name="PDPKons" localSheetId="23">#REF!</definedName>
    <definedName name="PDPKons" localSheetId="20">#REF!</definedName>
    <definedName name="PDPKons" localSheetId="22">#REF!</definedName>
    <definedName name="PDPKons" localSheetId="19">#REF!</definedName>
    <definedName name="PDPKons" localSheetId="18">#REF!</definedName>
    <definedName name="PDPKons" localSheetId="5">#REF!</definedName>
    <definedName name="PDPKons">#REF!</definedName>
    <definedName name="PDPMaterial" localSheetId="8">#REF!</definedName>
    <definedName name="PDPMaterial" localSheetId="12">#REF!</definedName>
    <definedName name="PDPMaterial" localSheetId="21">#REF!</definedName>
    <definedName name="PDPMaterial" localSheetId="23">#REF!</definedName>
    <definedName name="PDPMaterial" localSheetId="20">#REF!</definedName>
    <definedName name="PDPMaterial" localSheetId="22">#REF!</definedName>
    <definedName name="PDPMaterial" localSheetId="19">#REF!</definedName>
    <definedName name="PDPMaterial" localSheetId="18">#REF!</definedName>
    <definedName name="PDPMaterial" localSheetId="5">#REF!</definedName>
    <definedName name="PDPMaterial">#REF!</definedName>
    <definedName name="PDPPembDimuka" localSheetId="8">#REF!</definedName>
    <definedName name="PDPPembDimuka" localSheetId="12">#REF!</definedName>
    <definedName name="PDPPembDimuka" localSheetId="21">#REF!</definedName>
    <definedName name="PDPPembDimuka" localSheetId="23">#REF!</definedName>
    <definedName name="PDPPembDimuka" localSheetId="20">#REF!</definedName>
    <definedName name="PDPPembDimuka" localSheetId="22">#REF!</definedName>
    <definedName name="PDPPembDimuka" localSheetId="19">#REF!</definedName>
    <definedName name="PDPPembDimuka" localSheetId="18">#REF!</definedName>
    <definedName name="PDPPembDimuka" localSheetId="5">#REF!</definedName>
    <definedName name="PDPPembDimuka">#REF!</definedName>
    <definedName name="PEMBANGKIT">#REF!</definedName>
    <definedName name="pembiayaan" localSheetId="8">#REF!</definedName>
    <definedName name="pembiayaan" localSheetId="12">#REF!</definedName>
    <definedName name="pembiayaan" localSheetId="21">#REF!</definedName>
    <definedName name="pembiayaan" localSheetId="23">#REF!</definedName>
    <definedName name="pembiayaan" localSheetId="20">#REF!</definedName>
    <definedName name="pembiayaan" localSheetId="22">#REF!</definedName>
    <definedName name="pembiayaan" localSheetId="19">#REF!</definedName>
    <definedName name="pembiayaan" localSheetId="18">#REF!</definedName>
    <definedName name="pembiayaan" localSheetId="5">#REF!</definedName>
    <definedName name="pembiayaan">#REF!</definedName>
    <definedName name="Pembukuan" localSheetId="8">#REF!</definedName>
    <definedName name="Pembukuan" localSheetId="12">#REF!</definedName>
    <definedName name="Pembukuan" localSheetId="21">#REF!</definedName>
    <definedName name="Pembukuan" localSheetId="23">#REF!</definedName>
    <definedName name="Pembukuan" localSheetId="20">#REF!</definedName>
    <definedName name="Pembukuan" localSheetId="22">#REF!</definedName>
    <definedName name="Pembukuan" localSheetId="19">#REF!</definedName>
    <definedName name="Pembukuan" localSheetId="18">#REF!</definedName>
    <definedName name="Pembukuan" localSheetId="5">#REF!</definedName>
    <definedName name="Pembukuan">#REF!</definedName>
    <definedName name="Penjelas" localSheetId="8">#REF!</definedName>
    <definedName name="Penjelas" localSheetId="21">#REF!</definedName>
    <definedName name="Penjelas" localSheetId="23">#REF!</definedName>
    <definedName name="Penjelas" localSheetId="20">#REF!</definedName>
    <definedName name="Penjelas" localSheetId="22">#REF!</definedName>
    <definedName name="Penjelas" localSheetId="19">#REF!</definedName>
    <definedName name="Penjelas" localSheetId="5">#REF!</definedName>
    <definedName name="Penjelas">#REF!</definedName>
    <definedName name="PenjTLTRWI" localSheetId="8">#REF!</definedName>
    <definedName name="PenjTLTRWI" localSheetId="12">#REF!</definedName>
    <definedName name="PenjTLTRWI" localSheetId="21">#REF!</definedName>
    <definedName name="PenjTLTRWI" localSheetId="23">#REF!</definedName>
    <definedName name="PenjTLTRWI" localSheetId="20">#REF!</definedName>
    <definedName name="PenjTLTRWI" localSheetId="22">#REF!</definedName>
    <definedName name="PenjTLTRWI" localSheetId="19">#REF!</definedName>
    <definedName name="PenjTLTRWI" localSheetId="18">#REF!</definedName>
    <definedName name="PenjTLTRWI">#REF!</definedName>
    <definedName name="PenjTLTRWII" localSheetId="8">#REF!</definedName>
    <definedName name="PenjTLTRWII" localSheetId="12">#REF!</definedName>
    <definedName name="PenjTLTRWII" localSheetId="21">#REF!</definedName>
    <definedName name="PenjTLTRWII" localSheetId="23">#REF!</definedName>
    <definedName name="PenjTLTRWII" localSheetId="20">#REF!</definedName>
    <definedName name="PenjTLTRWII" localSheetId="22">#REF!</definedName>
    <definedName name="PenjTLTRWII" localSheetId="19">#REF!</definedName>
    <definedName name="PenjTLTRWII" localSheetId="18">#REF!</definedName>
    <definedName name="PenjTLTRWII">#REF!</definedName>
    <definedName name="PenjTLTRWIII" localSheetId="8">#REF!</definedName>
    <definedName name="PenjTLTRWIII" localSheetId="12">#REF!</definedName>
    <definedName name="PenjTLTRWIII" localSheetId="21">#REF!</definedName>
    <definedName name="PenjTLTRWIII" localSheetId="23">#REF!</definedName>
    <definedName name="PenjTLTRWIII" localSheetId="20">#REF!</definedName>
    <definedName name="PenjTLTRWIII" localSheetId="22">#REF!</definedName>
    <definedName name="PenjTLTRWIII" localSheetId="19">#REF!</definedName>
    <definedName name="PenjTLTRWIII" localSheetId="18">#REF!</definedName>
    <definedName name="PenjTLTRWIII">#REF!</definedName>
    <definedName name="PenjTLTRWIV" localSheetId="8">#REF!</definedName>
    <definedName name="PenjTLTRWIV" localSheetId="12">#REF!</definedName>
    <definedName name="PenjTLTRWIV" localSheetId="21">#REF!</definedName>
    <definedName name="PenjTLTRWIV" localSheetId="23">#REF!</definedName>
    <definedName name="PenjTLTRWIV" localSheetId="20">#REF!</definedName>
    <definedName name="PenjTLTRWIV" localSheetId="22">#REF!</definedName>
    <definedName name="PenjTLTRWIV" localSheetId="19">#REF!</definedName>
    <definedName name="PenjTLTRWIV" localSheetId="18">#REF!</definedName>
    <definedName name="PenjTLTRWIV">#REF!</definedName>
    <definedName name="PENSIUN">#REF!</definedName>
    <definedName name="period" localSheetId="8">#REF!</definedName>
    <definedName name="period" localSheetId="12">#REF!</definedName>
    <definedName name="period" localSheetId="21">#REF!</definedName>
    <definedName name="period" localSheetId="23">#REF!</definedName>
    <definedName name="period" localSheetId="20">#REF!</definedName>
    <definedName name="period" localSheetId="22">#REF!</definedName>
    <definedName name="period" localSheetId="19">#REF!</definedName>
    <definedName name="period" localSheetId="18">#REF!</definedName>
    <definedName name="period" localSheetId="5">#REF!</definedName>
    <definedName name="period">#REF!</definedName>
    <definedName name="periode" localSheetId="8">#REF!</definedName>
    <definedName name="periode" localSheetId="21">#REF!</definedName>
    <definedName name="periode" localSheetId="23">#REF!</definedName>
    <definedName name="periode" localSheetId="20">#REF!</definedName>
    <definedName name="periode" localSheetId="22">#REF!</definedName>
    <definedName name="periode" localSheetId="19">#REF!</definedName>
    <definedName name="periode" localSheetId="5">#REF!</definedName>
    <definedName name="periode">#REF!</definedName>
    <definedName name="PILBB" localSheetId="8">#REF!</definedName>
    <definedName name="PILBB" localSheetId="21">#REF!</definedName>
    <definedName name="PILBB" localSheetId="23">#REF!</definedName>
    <definedName name="PILBB" localSheetId="20">#REF!</definedName>
    <definedName name="PILBB" localSheetId="22">#REF!</definedName>
    <definedName name="PILBB" localSheetId="19">#REF!</definedName>
    <definedName name="PILBB" localSheetId="5">#REF!</definedName>
    <definedName name="PILBB">#REF!</definedName>
    <definedName name="PILGAB" localSheetId="8">#REF!</definedName>
    <definedName name="PILGAB" localSheetId="21">#REF!</definedName>
    <definedName name="PILGAB" localSheetId="23">#REF!</definedName>
    <definedName name="PILGAB" localSheetId="20">#REF!</definedName>
    <definedName name="PILGAB" localSheetId="22">#REF!</definedName>
    <definedName name="PILGAB" localSheetId="19">#REF!</definedName>
    <definedName name="PILGAB">#REF!</definedName>
    <definedName name="PILIH" localSheetId="8">#REF!</definedName>
    <definedName name="PILIH" localSheetId="21">#REF!</definedName>
    <definedName name="PILIH" localSheetId="23">#REF!</definedName>
    <definedName name="PILIH" localSheetId="20">#REF!</definedName>
    <definedName name="PILIH" localSheetId="22">#REF!</definedName>
    <definedName name="PILIH" localSheetId="19">#REF!</definedName>
    <definedName name="PILIH">#REF!</definedName>
    <definedName name="PILRH" localSheetId="8">#REF!</definedName>
    <definedName name="PILRH" localSheetId="21">#REF!</definedName>
    <definedName name="PILRH" localSheetId="23">#REF!</definedName>
    <definedName name="PILRH" localSheetId="20">#REF!</definedName>
    <definedName name="PILRH" localSheetId="22">#REF!</definedName>
    <definedName name="PILRH" localSheetId="19">#REF!</definedName>
    <definedName name="PILRH">#REF!</definedName>
    <definedName name="PILWW" localSheetId="8">#REF!</definedName>
    <definedName name="PILWW" localSheetId="21">#REF!</definedName>
    <definedName name="PILWW" localSheetId="23">#REF!</definedName>
    <definedName name="PILWW" localSheetId="20">#REF!</definedName>
    <definedName name="PILWW" localSheetId="22">#REF!</definedName>
    <definedName name="PILWW" localSheetId="19">#REF!</definedName>
    <definedName name="PILWW">#REF!</definedName>
    <definedName name="PINDAH" localSheetId="8">#REF!</definedName>
    <definedName name="PINDAH" localSheetId="21">#REF!</definedName>
    <definedName name="PINDAH" localSheetId="23">#REF!</definedName>
    <definedName name="PINDAH" localSheetId="20">#REF!</definedName>
    <definedName name="PINDAH" localSheetId="22">#REF!</definedName>
    <definedName name="PINDAH" localSheetId="19">#REF!</definedName>
    <definedName name="PINDAH">#REF!</definedName>
    <definedName name="pinjaman" localSheetId="8">#REF!</definedName>
    <definedName name="pinjaman" localSheetId="12">#REF!</definedName>
    <definedName name="pinjaman" localSheetId="21">#REF!</definedName>
    <definedName name="pinjaman" localSheetId="23">#REF!</definedName>
    <definedName name="pinjaman" localSheetId="20">#REF!</definedName>
    <definedName name="pinjaman" localSheetId="22">#REF!</definedName>
    <definedName name="pinjaman" localSheetId="19">#REF!</definedName>
    <definedName name="pinjaman" localSheetId="18">#REF!</definedName>
    <definedName name="pinjaman">#REF!</definedName>
    <definedName name="plg" localSheetId="8">#REF!</definedName>
    <definedName name="plg" localSheetId="21">#REF!</definedName>
    <definedName name="plg" localSheetId="23">#REF!</definedName>
    <definedName name="plg" localSheetId="20">#REF!</definedName>
    <definedName name="plg" localSheetId="22">#REF!</definedName>
    <definedName name="plg" localSheetId="19">#REF!</definedName>
    <definedName name="plg">#REF!</definedName>
    <definedName name="pltmapln1" localSheetId="8">#REF!</definedName>
    <definedName name="pltmapln1" localSheetId="12">#REF!</definedName>
    <definedName name="pltmapln1" localSheetId="21">#REF!</definedName>
    <definedName name="pltmapln1" localSheetId="23">#REF!</definedName>
    <definedName name="pltmapln1" localSheetId="20">#REF!</definedName>
    <definedName name="pltmapln1" localSheetId="22">#REF!</definedName>
    <definedName name="pltmapln1" localSheetId="19">#REF!</definedName>
    <definedName name="pltmapln1" localSheetId="18">#REF!</definedName>
    <definedName name="pltmapln1">#REF!</definedName>
    <definedName name="pltmsla1" localSheetId="8">#REF!</definedName>
    <definedName name="pltmsla1" localSheetId="12">#REF!</definedName>
    <definedName name="pltmsla1" localSheetId="21">#REF!</definedName>
    <definedName name="pltmsla1" localSheetId="23">#REF!</definedName>
    <definedName name="pltmsla1" localSheetId="20">#REF!</definedName>
    <definedName name="pltmsla1" localSheetId="22">#REF!</definedName>
    <definedName name="pltmsla1" localSheetId="19">#REF!</definedName>
    <definedName name="pltmsla1" localSheetId="18">#REF!</definedName>
    <definedName name="pltmsla1">#REF!</definedName>
    <definedName name="pltuapln1" localSheetId="8">#REF!</definedName>
    <definedName name="pltuapln1" localSheetId="12">#REF!</definedName>
    <definedName name="pltuapln1" localSheetId="21">#REF!</definedName>
    <definedName name="pltuapln1" localSheetId="23">#REF!</definedName>
    <definedName name="pltuapln1" localSheetId="20">#REF!</definedName>
    <definedName name="pltuapln1" localSheetId="22">#REF!</definedName>
    <definedName name="pltuapln1" localSheetId="19">#REF!</definedName>
    <definedName name="pltuapln1" localSheetId="18">#REF!</definedName>
    <definedName name="pltuapln1">#REF!</definedName>
    <definedName name="pltuapln2" localSheetId="8">#REF!</definedName>
    <definedName name="pltuapln2" localSheetId="12">#REF!</definedName>
    <definedName name="pltuapln2" localSheetId="21">#REF!</definedName>
    <definedName name="pltuapln2" localSheetId="23">#REF!</definedName>
    <definedName name="pltuapln2" localSheetId="20">#REF!</definedName>
    <definedName name="pltuapln2" localSheetId="22">#REF!</definedName>
    <definedName name="pltuapln2" localSheetId="19">#REF!</definedName>
    <definedName name="pltuapln2" localSheetId="18">#REF!</definedName>
    <definedName name="pltuapln2">#REF!</definedName>
    <definedName name="pltuapln3" localSheetId="8">#REF!</definedName>
    <definedName name="pltuapln3" localSheetId="12">#REF!</definedName>
    <definedName name="pltuapln3" localSheetId="21">#REF!</definedName>
    <definedName name="pltuapln3" localSheetId="23">#REF!</definedName>
    <definedName name="pltuapln3" localSheetId="20">#REF!</definedName>
    <definedName name="pltuapln3" localSheetId="22">#REF!</definedName>
    <definedName name="pltuapln3" localSheetId="19">#REF!</definedName>
    <definedName name="pltuapln3" localSheetId="18">#REF!</definedName>
    <definedName name="pltuapln3">#REF!</definedName>
    <definedName name="pltuapln4" localSheetId="8">#REF!</definedName>
    <definedName name="pltuapln4" localSheetId="12">#REF!</definedName>
    <definedName name="pltuapln4" localSheetId="21">#REF!</definedName>
    <definedName name="pltuapln4" localSheetId="23">#REF!</definedName>
    <definedName name="pltuapln4" localSheetId="20">#REF!</definedName>
    <definedName name="pltuapln4" localSheetId="22">#REF!</definedName>
    <definedName name="pltuapln4" localSheetId="19">#REF!</definedName>
    <definedName name="pltuapln4" localSheetId="18">#REF!</definedName>
    <definedName name="pltuapln4">#REF!</definedName>
    <definedName name="pltuapln5" localSheetId="8">#REF!</definedName>
    <definedName name="pltuapln5" localSheetId="12">#REF!</definedName>
    <definedName name="pltuapln5" localSheetId="21">#REF!</definedName>
    <definedName name="pltuapln5" localSheetId="23">#REF!</definedName>
    <definedName name="pltuapln5" localSheetId="20">#REF!</definedName>
    <definedName name="pltuapln5" localSheetId="22">#REF!</definedName>
    <definedName name="pltuapln5" localSheetId="19">#REF!</definedName>
    <definedName name="pltuapln5" localSheetId="18">#REF!</definedName>
    <definedName name="pltuapln5">#REF!</definedName>
    <definedName name="pltusla5" localSheetId="8">#REF!</definedName>
    <definedName name="pltusla5" localSheetId="12">#REF!</definedName>
    <definedName name="pltusla5" localSheetId="21">#REF!</definedName>
    <definedName name="pltusla5" localSheetId="23">#REF!</definedName>
    <definedName name="pltusla5" localSheetId="20">#REF!</definedName>
    <definedName name="pltusla5" localSheetId="22">#REF!</definedName>
    <definedName name="pltusla5" localSheetId="19">#REF!</definedName>
    <definedName name="pltusla5" localSheetId="18">#REF!</definedName>
    <definedName name="pltusla5">#REF!</definedName>
    <definedName name="pmt_150kV_1_p__40_Ka" localSheetId="8">#REF!</definedName>
    <definedName name="pmt_150kV_1_p__40_Ka" localSheetId="12">#REF!</definedName>
    <definedName name="pmt_150kV_1_p__40_Ka" localSheetId="21">#REF!</definedName>
    <definedName name="pmt_150kV_1_p__40_Ka" localSheetId="23">#REF!</definedName>
    <definedName name="pmt_150kV_1_p__40_Ka" localSheetId="20">#REF!</definedName>
    <definedName name="pmt_150kV_1_p__40_Ka" localSheetId="22">#REF!</definedName>
    <definedName name="pmt_150kV_1_p__40_Ka" localSheetId="19">#REF!</definedName>
    <definedName name="pmt_150kV_1_p__40_Ka" localSheetId="18">#REF!</definedName>
    <definedName name="pmt_150kV_1_p__40_Ka" localSheetId="5">#REF!</definedName>
    <definedName name="pmt_150kV_1_p__40_Ka">#REF!</definedName>
    <definedName name="pmt1p">#REF!</definedName>
    <definedName name="pmt30kv" localSheetId="12">#REF!</definedName>
    <definedName name="pmt30kv" localSheetId="21">#REF!</definedName>
    <definedName name="pmt30kv" localSheetId="23">#REF!</definedName>
    <definedName name="pmt30kv" localSheetId="20">#REF!</definedName>
    <definedName name="pmt30kv" localSheetId="22">#REF!</definedName>
    <definedName name="pmt30kv" localSheetId="19">#REF!</definedName>
    <definedName name="pmt30kv" localSheetId="18">#REF!</definedName>
    <definedName name="pmt500dgcr">#REF!</definedName>
    <definedName name="pmt500kv1">#REF!</definedName>
    <definedName name="pokok_bunga" localSheetId="8">#REF!</definedName>
    <definedName name="pokok_bunga" localSheetId="12">#REF!</definedName>
    <definedName name="pokok_bunga" localSheetId="21">#REF!</definedName>
    <definedName name="pokok_bunga" localSheetId="23">#REF!</definedName>
    <definedName name="pokok_bunga" localSheetId="20">#REF!</definedName>
    <definedName name="pokok_bunga" localSheetId="22">#REF!</definedName>
    <definedName name="pokok_bunga" localSheetId="19">#REF!</definedName>
    <definedName name="pokok_bunga" localSheetId="18">#REF!</definedName>
    <definedName name="pokok_bunga" localSheetId="5">#REF!</definedName>
    <definedName name="pokok_bunga">#REF!</definedName>
    <definedName name="Potensi215" localSheetId="8">#REF!</definedName>
    <definedName name="Potensi215" localSheetId="12">#REF!</definedName>
    <definedName name="Potensi215" localSheetId="21">#REF!</definedName>
    <definedName name="Potensi215" localSheetId="23">#REF!</definedName>
    <definedName name="Potensi215" localSheetId="20">#REF!</definedName>
    <definedName name="Potensi215" localSheetId="22">#REF!</definedName>
    <definedName name="Potensi215" localSheetId="19">#REF!</definedName>
    <definedName name="Potensi215" localSheetId="18">#REF!</definedName>
    <definedName name="Potensi215" localSheetId="5">#REF!</definedName>
    <definedName name="Potensi215">#REF!</definedName>
    <definedName name="PR" localSheetId="8">#REF!</definedName>
    <definedName name="PR" localSheetId="12">#REF!</definedName>
    <definedName name="PR" localSheetId="21">#REF!</definedName>
    <definedName name="PR" localSheetId="23">#REF!</definedName>
    <definedName name="PR" localSheetId="20">#REF!</definedName>
    <definedName name="PR" localSheetId="22">#REF!</definedName>
    <definedName name="PR" localSheetId="19">#REF!</definedName>
    <definedName name="PR" localSheetId="18">#REF!</definedName>
    <definedName name="PR" localSheetId="5">#REF!</definedName>
    <definedName name="PR">#REF!</definedName>
    <definedName name="_xlnm.Print_Area" localSheetId="4">DETAIL!$A$1:$J$57</definedName>
    <definedName name="_xlnm.Print_Area" localSheetId="8">#REF!</definedName>
    <definedName name="_xlnm.Print_Area" localSheetId="10">'PROG. JUNI'!$A$1:$J$65</definedName>
    <definedName name="_xlnm.Print_Area" localSheetId="14">'R.BANGKIR'!$A$1:$T$62</definedName>
    <definedName name="_xlnm.Print_Area" localSheetId="17">'R.KOTARAYA'!$A$1:$T$62</definedName>
    <definedName name="_xlnm.Print_Area" localSheetId="15">'R.LEOK'!$A$1:$T$62</definedName>
    <definedName name="_xlnm.Print_Area" localSheetId="16">'R.MOUTONG'!$A$1:$T$62</definedName>
    <definedName name="_xlnm.Print_Area" localSheetId="13">'R.TOLIS'!$A$1:$U$63</definedName>
    <definedName name="_xlnm.Print_Area" localSheetId="2">#REF!</definedName>
    <definedName name="_xlnm.Print_Area" localSheetId="7">SIMULASI!$A$1:$J$58</definedName>
    <definedName name="_xlnm.Print_Area" localSheetId="21">#REF!</definedName>
    <definedName name="_xlnm.Print_Area" localSheetId="23">#REF!</definedName>
    <definedName name="_xlnm.Print_Area" localSheetId="20">#REF!</definedName>
    <definedName name="_xlnm.Print_Area" localSheetId="22">#REF!</definedName>
    <definedName name="_xlnm.Print_Area" localSheetId="19">#REF!</definedName>
    <definedName name="_xlnm.Print_Area" localSheetId="5">#REF!</definedName>
    <definedName name="_xlnm.Print_Area" localSheetId="11">ULP!$C$3:$L$71,ULP!$N$3:$W$70,ULP!$Y$3:$AH$70,ULP!$AJ$3:$AS$70,ULP!$AU$3:$BD$70</definedName>
    <definedName name="_xlnm.Print_Area" localSheetId="9">'UP3'!$B$4:$C$9</definedName>
    <definedName name="_xlnm.Print_Area">#REF!</definedName>
    <definedName name="Print_Area_MI" localSheetId="8">#REF!</definedName>
    <definedName name="Print_Area_MI" localSheetId="12">#REF!</definedName>
    <definedName name="Print_Area_MI" localSheetId="21">#REF!</definedName>
    <definedName name="Print_Area_MI" localSheetId="23">#REF!</definedName>
    <definedName name="Print_Area_MI" localSheetId="20">#REF!</definedName>
    <definedName name="Print_Area_MI" localSheetId="22">#REF!</definedName>
    <definedName name="Print_Area_MI" localSheetId="19">#REF!</definedName>
    <definedName name="Print_Area_MI" localSheetId="18">#REF!</definedName>
    <definedName name="Print_Area_MI">#REF!</definedName>
    <definedName name="_xlnm.Print_Titles" localSheetId="8">#REF!</definedName>
    <definedName name="_xlnm.Print_Titles" localSheetId="14">'R.BANGKIR'!$4:$6</definedName>
    <definedName name="_xlnm.Print_Titles" localSheetId="17">'R.KOTARAYA'!$4:$6</definedName>
    <definedName name="_xlnm.Print_Titles" localSheetId="15">'R.LEOK'!$4:$6</definedName>
    <definedName name="_xlnm.Print_Titles" localSheetId="16">'R.MOUTONG'!$4:$6</definedName>
    <definedName name="_xlnm.Print_Titles" localSheetId="13">'R.TOLIS'!$4:$6</definedName>
    <definedName name="_xlnm.Print_Titles" localSheetId="12">'R.UP3'!$1:$6</definedName>
    <definedName name="_xlnm.Print_Titles" localSheetId="2">#REF!</definedName>
    <definedName name="_xlnm.Print_Titles" localSheetId="21">T.BANGKIR!$1:$6</definedName>
    <definedName name="_xlnm.Print_Titles" localSheetId="23">T.KOTARAYA!$1:$6</definedName>
    <definedName name="_xlnm.Print_Titles" localSheetId="20">T.LEOK!$1:$6</definedName>
    <definedName name="_xlnm.Print_Titles" localSheetId="22">T.MOUTONG!$1:$6</definedName>
    <definedName name="_xlnm.Print_Titles" localSheetId="19">T.TOLIS!$1:$6</definedName>
    <definedName name="_xlnm.Print_Titles" localSheetId="18">T.UP3!$1:$6</definedName>
    <definedName name="_xlnm.Print_Titles" localSheetId="5">#REF!</definedName>
    <definedName name="_xlnm.Print_Titles" localSheetId="11">ULP!$3:$8</definedName>
    <definedName name="_xlnm.Print_Titles">#REF!</definedName>
    <definedName name="Print_Titles_MI" localSheetId="8">#REF!</definedName>
    <definedName name="Print_Titles_MI" localSheetId="12">#REF!</definedName>
    <definedName name="Print_Titles_MI" localSheetId="21">#REF!</definedName>
    <definedName name="Print_Titles_MI" localSheetId="23">#REF!</definedName>
    <definedName name="Print_Titles_MI" localSheetId="20">#REF!</definedName>
    <definedName name="Print_Titles_MI" localSheetId="22">#REF!</definedName>
    <definedName name="Print_Titles_MI" localSheetId="19">#REF!</definedName>
    <definedName name="Print_Titles_MI" localSheetId="18">#REF!</definedName>
    <definedName name="Print_Titles_MI">#REF!</definedName>
    <definedName name="PRINT1" localSheetId="8">#REF!</definedName>
    <definedName name="PRINT1" localSheetId="12">#REF!</definedName>
    <definedName name="PRINT1" localSheetId="21">#REF!</definedName>
    <definedName name="PRINT1" localSheetId="23">#REF!</definedName>
    <definedName name="PRINT1" localSheetId="20">#REF!</definedName>
    <definedName name="PRINT1" localSheetId="22">#REF!</definedName>
    <definedName name="PRINT1" localSheetId="19">#REF!</definedName>
    <definedName name="PRINT1" localSheetId="18">#REF!</definedName>
    <definedName name="PRINT1">#REF!</definedName>
    <definedName name="prk" localSheetId="8">#REF!</definedName>
    <definedName name="prk" localSheetId="21">#REF!</definedName>
    <definedName name="prk" localSheetId="23">#REF!</definedName>
    <definedName name="prk" localSheetId="20">#REF!</definedName>
    <definedName name="prk" localSheetId="22">#REF!</definedName>
    <definedName name="prk" localSheetId="19">#REF!</definedName>
    <definedName name="prk" localSheetId="5">#REF!</definedName>
    <definedName name="prk">#REF!</definedName>
    <definedName name="PROSES">#REF!</definedName>
    <definedName name="PT._PLN__PERSERO" localSheetId="8">#REF!</definedName>
    <definedName name="PT._PLN__PERSERO" localSheetId="21">#REF!</definedName>
    <definedName name="PT._PLN__PERSERO" localSheetId="23">#REF!</definedName>
    <definedName name="PT._PLN__PERSERO" localSheetId="20">#REF!</definedName>
    <definedName name="PT._PLN__PERSERO" localSheetId="22">#REF!</definedName>
    <definedName name="PT._PLN__PERSERO" localSheetId="19">#REF!</definedName>
    <definedName name="PT._PLN__PERSERO" localSheetId="5">#REF!</definedName>
    <definedName name="PT._PLN__PERSERO">#REF!</definedName>
    <definedName name="pt150kv">#REF!</definedName>
    <definedName name="Q" localSheetId="12">#REF!</definedName>
    <definedName name="Q" localSheetId="21">#REF!</definedName>
    <definedName name="Q" localSheetId="23">#REF!</definedName>
    <definedName name="Q" localSheetId="20">#REF!</definedName>
    <definedName name="Q" localSheetId="22">#REF!</definedName>
    <definedName name="Q" localSheetId="19">#REF!</definedName>
    <definedName name="Q" localSheetId="18">#REF!</definedName>
    <definedName name="Q">#REF!</definedName>
    <definedName name="QRYTRY" localSheetId="8">#REF!</definedName>
    <definedName name="QRYTRY" localSheetId="12">#REF!</definedName>
    <definedName name="QRYTRY" localSheetId="21">#REF!</definedName>
    <definedName name="QRYTRY" localSheetId="23">#REF!</definedName>
    <definedName name="QRYTRY" localSheetId="20">#REF!</definedName>
    <definedName name="QRYTRY" localSheetId="22">#REF!</definedName>
    <definedName name="QRYTRY" localSheetId="19">#REF!</definedName>
    <definedName name="QRYTRY" localSheetId="18">#REF!</definedName>
    <definedName name="QRYTRY" localSheetId="5">#REF!</definedName>
    <definedName name="QRYTRY">#REF!</definedName>
    <definedName name="Raker" localSheetId="8">#REF!</definedName>
    <definedName name="Raker" localSheetId="12">#REF!</definedName>
    <definedName name="Raker" localSheetId="21">#REF!</definedName>
    <definedName name="Raker" localSheetId="23">#REF!</definedName>
    <definedName name="Raker" localSheetId="20">#REF!</definedName>
    <definedName name="Raker" localSheetId="22">#REF!</definedName>
    <definedName name="Raker" localSheetId="19">#REF!</definedName>
    <definedName name="Raker" localSheetId="18">#REF!</definedName>
    <definedName name="Raker">#REF!</definedName>
    <definedName name="Ranting" localSheetId="8">#REF!</definedName>
    <definedName name="Ranting" localSheetId="21">#REF!</definedName>
    <definedName name="Ranting" localSheetId="23">#REF!</definedName>
    <definedName name="Ranting" localSheetId="20">#REF!</definedName>
    <definedName name="Ranting" localSheetId="22">#REF!</definedName>
    <definedName name="Ranting" localSheetId="19">#REF!</definedName>
    <definedName name="Ranting">#REF!</definedName>
    <definedName name="RAO" localSheetId="8">#REF!</definedName>
    <definedName name="RAO" localSheetId="12">#REF!</definedName>
    <definedName name="RAO" localSheetId="21">#REF!</definedName>
    <definedName name="RAO" localSheetId="23">#REF!</definedName>
    <definedName name="RAO" localSheetId="20">#REF!</definedName>
    <definedName name="RAO" localSheetId="22">#REF!</definedName>
    <definedName name="RAO" localSheetId="19">#REF!</definedName>
    <definedName name="RAO" localSheetId="18">#REF!</definedName>
    <definedName name="RAO" localSheetId="5">#REF!</definedName>
    <definedName name="RAO">#REF!</definedName>
    <definedName name="realisasi_table" localSheetId="8">#REF!</definedName>
    <definedName name="realisasi_table" localSheetId="12">#REF!</definedName>
    <definedName name="realisasi_table" localSheetId="21">#REF!</definedName>
    <definedName name="realisasi_table" localSheetId="23">#REF!</definedName>
    <definedName name="realisasi_table" localSheetId="20">#REF!</definedName>
    <definedName name="realisasi_table" localSheetId="22">#REF!</definedName>
    <definedName name="realisasi_table" localSheetId="19">#REF!</definedName>
    <definedName name="realisasi_table" localSheetId="18">#REF!</definedName>
    <definedName name="realisasi_table" localSheetId="5">#REF!</definedName>
    <definedName name="realisasi_table">#REF!</definedName>
    <definedName name="Rectifier80">#REF!</definedName>
    <definedName name="REK" localSheetId="8">#REF!</definedName>
    <definedName name="REK" localSheetId="12">#REF!</definedName>
    <definedName name="REK" localSheetId="21">#REF!</definedName>
    <definedName name="REK" localSheetId="23">#REF!</definedName>
    <definedName name="REK" localSheetId="20">#REF!</definedName>
    <definedName name="REK" localSheetId="22">#REF!</definedName>
    <definedName name="REK" localSheetId="19">#REF!</definedName>
    <definedName name="REK" localSheetId="18">#REF!</definedName>
    <definedName name="REK" localSheetId="5">#REF!</definedName>
    <definedName name="REK">#REF!</definedName>
    <definedName name="REKAP" localSheetId="8">#REF!</definedName>
    <definedName name="REKAP" localSheetId="12">#REF!</definedName>
    <definedName name="REKAP" localSheetId="21">#REF!</definedName>
    <definedName name="REKAP" localSheetId="23">#REF!</definedName>
    <definedName name="REKAP" localSheetId="20">#REF!</definedName>
    <definedName name="REKAP" localSheetId="22">#REF!</definedName>
    <definedName name="REKAP" localSheetId="19">#REF!</definedName>
    <definedName name="REKAP" localSheetId="18">#REF!</definedName>
    <definedName name="REKAP" localSheetId="5">#REF!</definedName>
    <definedName name="REKAP">#REF!</definedName>
    <definedName name="Rekapitulasi_Kirim">#REF!</definedName>
    <definedName name="Rekapitulasi_Penjualan">#REF!</definedName>
    <definedName name="Rekapitulasi_Produksi_Sendiri">#REF!</definedName>
    <definedName name="Rekapitulasi_PS_GD">#REF!</definedName>
    <definedName name="Rekapitulasi_PS_GI">#REF!</definedName>
    <definedName name="Rekapitulasi_PS_Sentral">#REF!</definedName>
    <definedName name="Rekapitulasi_Susut_Transmisi">#REF!</definedName>
    <definedName name="Rekapitulasi_Terima">#REF!</definedName>
    <definedName name="RekapitulasiSewa">#REF!</definedName>
    <definedName name="REKTRWS3" localSheetId="8">#REF!</definedName>
    <definedName name="REKTRWS3" localSheetId="12">#REF!</definedName>
    <definedName name="REKTRWS3" localSheetId="21">#REF!</definedName>
    <definedName name="REKTRWS3" localSheetId="23">#REF!</definedName>
    <definedName name="REKTRWS3" localSheetId="20">#REF!</definedName>
    <definedName name="REKTRWS3" localSheetId="22">#REF!</definedName>
    <definedName name="REKTRWS3" localSheetId="19">#REF!</definedName>
    <definedName name="REKTRWS3" localSheetId="18">#REF!</definedName>
    <definedName name="REKTRWS3" localSheetId="5">#REF!</definedName>
    <definedName name="REKTRWS3">#REF!</definedName>
    <definedName name="REKTRWS4" localSheetId="8">#REF!</definedName>
    <definedName name="REKTRWS4" localSheetId="12">#REF!</definedName>
    <definedName name="REKTRWS4" localSheetId="21">#REF!</definedName>
    <definedName name="REKTRWS4" localSheetId="23">#REF!</definedName>
    <definedName name="REKTRWS4" localSheetId="20">#REF!</definedName>
    <definedName name="REKTRWS4" localSheetId="22">#REF!</definedName>
    <definedName name="REKTRWS4" localSheetId="19">#REF!</definedName>
    <definedName name="REKTRWS4" localSheetId="18">#REF!</definedName>
    <definedName name="REKTRWS4" localSheetId="5">#REF!</definedName>
    <definedName name="REKTRWS4">#REF!</definedName>
    <definedName name="resume" localSheetId="8">#REF!</definedName>
    <definedName name="resume" localSheetId="12">#REF!</definedName>
    <definedName name="resume" localSheetId="21">#REF!</definedName>
    <definedName name="resume" localSheetId="23">#REF!</definedName>
    <definedName name="resume" localSheetId="20">#REF!</definedName>
    <definedName name="resume" localSheetId="22">#REF!</definedName>
    <definedName name="resume" localSheetId="19">#REF!</definedName>
    <definedName name="resume" localSheetId="18">#REF!</definedName>
    <definedName name="resume" localSheetId="5">#REF!</definedName>
    <definedName name="resume">#REF!</definedName>
    <definedName name="revenues" localSheetId="8">#REF!</definedName>
    <definedName name="revenues" localSheetId="12">#REF!</definedName>
    <definedName name="revenues" localSheetId="21">#REF!</definedName>
    <definedName name="revenues" localSheetId="23">#REF!</definedName>
    <definedName name="revenues" localSheetId="20">#REF!</definedName>
    <definedName name="revenues" localSheetId="22">#REF!</definedName>
    <definedName name="revenues" localSheetId="19">#REF!</definedName>
    <definedName name="revenues" localSheetId="18">#REF!</definedName>
    <definedName name="revenues">#REF!</definedName>
    <definedName name="revenues_nontax" localSheetId="8">#REF!</definedName>
    <definedName name="revenues_nontax" localSheetId="12">#REF!</definedName>
    <definedName name="revenues_nontax" localSheetId="21">#REF!</definedName>
    <definedName name="revenues_nontax" localSheetId="23">#REF!</definedName>
    <definedName name="revenues_nontax" localSheetId="20">#REF!</definedName>
    <definedName name="revenues_nontax" localSheetId="22">#REF!</definedName>
    <definedName name="revenues_nontax" localSheetId="19">#REF!</definedName>
    <definedName name="revenues_nontax" localSheetId="18">#REF!</definedName>
    <definedName name="revenues_nontax">#REF!</definedName>
    <definedName name="revenues_tax" localSheetId="8">#REF!</definedName>
    <definedName name="revenues_tax" localSheetId="12">#REF!</definedName>
    <definedName name="revenues_tax" localSheetId="21">#REF!</definedName>
    <definedName name="revenues_tax" localSheetId="23">#REF!</definedName>
    <definedName name="revenues_tax" localSheetId="20">#REF!</definedName>
    <definedName name="revenues_tax" localSheetId="22">#REF!</definedName>
    <definedName name="revenues_tax" localSheetId="19">#REF!</definedName>
    <definedName name="revenues_tax" localSheetId="18">#REF!</definedName>
    <definedName name="revenues_tax">#REF!</definedName>
    <definedName name="RIAU" localSheetId="8">#REF!</definedName>
    <definedName name="RIAU" localSheetId="12">#REF!</definedName>
    <definedName name="RIAU" localSheetId="21">#REF!</definedName>
    <definedName name="RIAU" localSheetId="23">#REF!</definedName>
    <definedName name="RIAU" localSheetId="20">#REF!</definedName>
    <definedName name="RIAU" localSheetId="22">#REF!</definedName>
    <definedName name="RIAU" localSheetId="19">#REF!</definedName>
    <definedName name="RIAU" localSheetId="18">#REF!</definedName>
    <definedName name="RIAU" localSheetId="5">#REF!</definedName>
    <definedName name="RIAU">#REF!</definedName>
    <definedName name="RingkasanPokok" localSheetId="8">#REF!</definedName>
    <definedName name="RingkasanPokok" localSheetId="12">#REF!</definedName>
    <definedName name="RingkasanPokok" localSheetId="21">#REF!</definedName>
    <definedName name="RingkasanPokok" localSheetId="23">#REF!</definedName>
    <definedName name="RingkasanPokok" localSheetId="20">#REF!</definedName>
    <definedName name="RingkasanPokok" localSheetId="22">#REF!</definedName>
    <definedName name="RingkasanPokok" localSheetId="19">#REF!</definedName>
    <definedName name="RingkasanPokok" localSheetId="18">#REF!</definedName>
    <definedName name="RingkasanPokok" localSheetId="5">#REF!</definedName>
    <definedName name="RingkasanPokok">#REF!</definedName>
    <definedName name="ripel">#REF!</definedName>
    <definedName name="RKUP" localSheetId="8">#REF!</definedName>
    <definedName name="RKUP" localSheetId="21">#REF!</definedName>
    <definedName name="RKUP" localSheetId="23">#REF!</definedName>
    <definedName name="RKUP" localSheetId="20">#REF!</definedName>
    <definedName name="RKUP" localSheetId="22">#REF!</definedName>
    <definedName name="RKUP" localSheetId="19">#REF!</definedName>
    <definedName name="RKUP" localSheetId="5">#REF!</definedName>
    <definedName name="RKUP">#REF!</definedName>
    <definedName name="RKWP" localSheetId="8">#REF!</definedName>
    <definedName name="RKWP" localSheetId="21">#REF!</definedName>
    <definedName name="RKWP" localSheetId="23">#REF!</definedName>
    <definedName name="RKWP" localSheetId="20">#REF!</definedName>
    <definedName name="RKWP" localSheetId="22">#REF!</definedName>
    <definedName name="RKWP" localSheetId="19">#REF!</definedName>
    <definedName name="RKWP" localSheetId="5">#REF!</definedName>
    <definedName name="RKWP">#REF!</definedName>
    <definedName name="RPD" localSheetId="8">#REF!</definedName>
    <definedName name="RPD" localSheetId="21">#REF!</definedName>
    <definedName name="RPD" localSheetId="23">#REF!</definedName>
    <definedName name="RPD" localSheetId="20">#REF!</definedName>
    <definedName name="RPD" localSheetId="22">#REF!</definedName>
    <definedName name="RPD" localSheetId="19">#REF!</definedName>
    <definedName name="RPD" localSheetId="5">#REF!</definedName>
    <definedName name="RPD">#REF!</definedName>
    <definedName name="RPRP" localSheetId="8">#REF!</definedName>
    <definedName name="RPRP" localSheetId="21">#REF!</definedName>
    <definedName name="RPRP" localSheetId="23">#REF!</definedName>
    <definedName name="RPRP" localSheetId="20">#REF!</definedName>
    <definedName name="RPRP" localSheetId="22">#REF!</definedName>
    <definedName name="RPRP" localSheetId="19">#REF!</definedName>
    <definedName name="RPRP" localSheetId="5">#REF!</definedName>
    <definedName name="RPRP">#REF!</definedName>
    <definedName name="rrr" localSheetId="12" hidden="1">#REF!</definedName>
    <definedName name="rrr" localSheetId="21" hidden="1">#REF!</definedName>
    <definedName name="rrr" localSheetId="23" hidden="1">#REF!</definedName>
    <definedName name="rrr" localSheetId="20" hidden="1">#REF!</definedName>
    <definedName name="rrr" localSheetId="22" hidden="1">#REF!</definedName>
    <definedName name="rrr" localSheetId="19" hidden="1">#REF!</definedName>
    <definedName name="rrr" localSheetId="18" hidden="1">#REF!</definedName>
    <definedName name="rtn">#REF!</definedName>
    <definedName name="RTYHRTY" localSheetId="8">#REF!</definedName>
    <definedName name="RTYHRTY" localSheetId="12">#REF!</definedName>
    <definedName name="RTYHRTY" localSheetId="21">#REF!</definedName>
    <definedName name="RTYHRTY" localSheetId="23">#REF!</definedName>
    <definedName name="RTYHRTY" localSheetId="20">#REF!</definedName>
    <definedName name="RTYHRTY" localSheetId="22">#REF!</definedName>
    <definedName name="RTYHRTY" localSheetId="19">#REF!</definedName>
    <definedName name="RTYHRTY" localSheetId="18">#REF!</definedName>
    <definedName name="RTYHRTY" localSheetId="5">#REF!</definedName>
    <definedName name="RTYHRTY">#REF!</definedName>
    <definedName name="RUP">#REF!</definedName>
    <definedName name="RWP">#REF!</definedName>
    <definedName name="S_1___220_VA">#REF!</definedName>
    <definedName name="S_1_220_VA">#REF!</definedName>
    <definedName name="SaldoAwal" localSheetId="8">#REF!</definedName>
    <definedName name="SaldoAwal" localSheetId="12">#REF!</definedName>
    <definedName name="SaldoAwal" localSheetId="21">#REF!</definedName>
    <definedName name="SaldoAwal" localSheetId="23">#REF!</definedName>
    <definedName name="SaldoAwal" localSheetId="20">#REF!</definedName>
    <definedName name="SaldoAwal" localSheetId="22">#REF!</definedName>
    <definedName name="SaldoAwal" localSheetId="19">#REF!</definedName>
    <definedName name="SaldoAwal" localSheetId="18">#REF!</definedName>
    <definedName name="SaldoAwal" localSheetId="5">#REF!</definedName>
    <definedName name="SaldoAwal">#REF!</definedName>
    <definedName name="SAMPUL1" localSheetId="8">#REF!</definedName>
    <definedName name="SAMPUL1" localSheetId="21">#REF!</definedName>
    <definedName name="SAMPUL1" localSheetId="23">#REF!</definedName>
    <definedName name="SAMPUL1" localSheetId="20">#REF!</definedName>
    <definedName name="SAMPUL1" localSheetId="22">#REF!</definedName>
    <definedName name="SAMPUL1" localSheetId="19">#REF!</definedName>
    <definedName name="SAMPUL1" localSheetId="5">#REF!</definedName>
    <definedName name="SAMPUL1">#REF!</definedName>
    <definedName name="SATUAN">#REF!</definedName>
    <definedName name="sbak1a" localSheetId="8">#REF!</definedName>
    <definedName name="sbak1a" localSheetId="21">#REF!</definedName>
    <definedName name="sbak1a" localSheetId="23">#REF!</definedName>
    <definedName name="sbak1a" localSheetId="20">#REF!</definedName>
    <definedName name="sbak1a" localSheetId="22">#REF!</definedName>
    <definedName name="sbak1a" localSheetId="19">#REF!</definedName>
    <definedName name="sbak1a" localSheetId="5">#REF!</definedName>
    <definedName name="sbak1a">#REF!</definedName>
    <definedName name="sbak1b" localSheetId="8">#REF!</definedName>
    <definedName name="sbak1b" localSheetId="21">#REF!</definedName>
    <definedName name="sbak1b" localSheetId="23">#REF!</definedName>
    <definedName name="sbak1b" localSheetId="20">#REF!</definedName>
    <definedName name="sbak1b" localSheetId="22">#REF!</definedName>
    <definedName name="sbak1b" localSheetId="19">#REF!</definedName>
    <definedName name="sbak1b" localSheetId="5">#REF!</definedName>
    <definedName name="sbak1b">#REF!</definedName>
    <definedName name="sbr_gan1">#REF!</definedName>
    <definedName name="sbr_gan2">#REF!</definedName>
    <definedName name="sbr_gan3">#REF!</definedName>
    <definedName name="sbr_gan4">#REF!</definedName>
    <definedName name="sbr_gan5">#REF!</definedName>
    <definedName name="sbr_gan6">#REF!</definedName>
    <definedName name="sbr_gan7" localSheetId="2">#REF!</definedName>
    <definedName name="sbr_gan7">#REF!</definedName>
    <definedName name="sbr_gan8" localSheetId="2">#REF!</definedName>
    <definedName name="sbr_gan8">#REF!</definedName>
    <definedName name="sbr_gan9" localSheetId="2">#REF!</definedName>
    <definedName name="sbr_gan9">#REF!</definedName>
    <definedName name="SDBULAN" localSheetId="8">#REF!</definedName>
    <definedName name="SDBULAN" localSheetId="21">#REF!</definedName>
    <definedName name="SDBULAN" localSheetId="23">#REF!</definedName>
    <definedName name="SDBULAN" localSheetId="20">#REF!</definedName>
    <definedName name="SDBULAN" localSheetId="22">#REF!</definedName>
    <definedName name="SDBULAN" localSheetId="19">#REF!</definedName>
    <definedName name="SDBULAN" localSheetId="5">#REF!</definedName>
    <definedName name="SDBULAN">#REF!</definedName>
    <definedName name="sdini" localSheetId="8">#REF!</definedName>
    <definedName name="sdini" localSheetId="21">#REF!</definedName>
    <definedName name="sdini" localSheetId="23">#REF!</definedName>
    <definedName name="sdini" localSheetId="20">#REF!</definedName>
    <definedName name="sdini" localSheetId="22">#REF!</definedName>
    <definedName name="sdini" localSheetId="19">#REF!</definedName>
    <definedName name="sdini" localSheetId="5">#REF!</definedName>
    <definedName name="sdini">#REF!</definedName>
    <definedName name="sdlalu" localSheetId="8">#REF!</definedName>
    <definedName name="sdlalu" localSheetId="21">#REF!</definedName>
    <definedName name="sdlalu" localSheetId="23">#REF!</definedName>
    <definedName name="sdlalu" localSheetId="20">#REF!</definedName>
    <definedName name="sdlalu" localSheetId="22">#REF!</definedName>
    <definedName name="sdlalu" localSheetId="19">#REF!</definedName>
    <definedName name="sdlalu" localSheetId="5">#REF!</definedName>
    <definedName name="sdlalu">#REF!</definedName>
    <definedName name="SEKAT" localSheetId="8">#REF!</definedName>
    <definedName name="SEKAT" localSheetId="12">#REF!</definedName>
    <definedName name="SEKAT" localSheetId="21">#REF!</definedName>
    <definedName name="SEKAT" localSheetId="23">#REF!</definedName>
    <definedName name="SEKAT" localSheetId="20">#REF!</definedName>
    <definedName name="SEKAT" localSheetId="22">#REF!</definedName>
    <definedName name="SEKAT" localSheetId="19">#REF!</definedName>
    <definedName name="SEKAT" localSheetId="18">#REF!</definedName>
    <definedName name="SEKAT" localSheetId="5">#REF!</definedName>
    <definedName name="SEKAT">#REF!</definedName>
    <definedName name="selisih" localSheetId="8">#REF!</definedName>
    <definedName name="selisih" localSheetId="12">#REF!</definedName>
    <definedName name="selisih" localSheetId="21">#REF!</definedName>
    <definedName name="selisih" localSheetId="23">#REF!</definedName>
    <definedName name="selisih" localSheetId="20">#REF!</definedName>
    <definedName name="selisih" localSheetId="22">#REF!</definedName>
    <definedName name="selisih" localSheetId="19">#REF!</definedName>
    <definedName name="selisih" localSheetId="18">#REF!</definedName>
    <definedName name="selisih">#REF!</definedName>
    <definedName name="sep" localSheetId="8">#REF!</definedName>
    <definedName name="sep" localSheetId="12">#REF!</definedName>
    <definedName name="sep" localSheetId="21">#REF!</definedName>
    <definedName name="sep" localSheetId="23">#REF!</definedName>
    <definedName name="sep" localSheetId="20">#REF!</definedName>
    <definedName name="sep" localSheetId="22">#REF!</definedName>
    <definedName name="sep" localSheetId="19">#REF!</definedName>
    <definedName name="sep" localSheetId="18">#REF!</definedName>
    <definedName name="sep">#REF!</definedName>
    <definedName name="Set_Bulan">#REF!</definedName>
    <definedName name="SFC" localSheetId="8">#REF!</definedName>
    <definedName name="SFC" localSheetId="21">#REF!</definedName>
    <definedName name="SFC" localSheetId="23">#REF!</definedName>
    <definedName name="SFC" localSheetId="20">#REF!</definedName>
    <definedName name="SFC" localSheetId="22">#REF!</definedName>
    <definedName name="SFC" localSheetId="19">#REF!</definedName>
    <definedName name="SFC" localSheetId="5">#REF!</definedName>
    <definedName name="SFC">#REF!</definedName>
    <definedName name="sgff" localSheetId="8">#REF!</definedName>
    <definedName name="sgff" localSheetId="21">#REF!</definedName>
    <definedName name="sgff" localSheetId="23">#REF!</definedName>
    <definedName name="sgff" localSheetId="20">#REF!</definedName>
    <definedName name="sgff" localSheetId="22">#REF!</definedName>
    <definedName name="sgff" localSheetId="19">#REF!</definedName>
    <definedName name="sgff" localSheetId="5">#REF!</definedName>
    <definedName name="sgff">#REF!</definedName>
    <definedName name="Sheet2" localSheetId="8">#REF!</definedName>
    <definedName name="Sheet2" localSheetId="12">#REF!</definedName>
    <definedName name="Sheet2" localSheetId="21">#REF!</definedName>
    <definedName name="Sheet2" localSheetId="23">#REF!</definedName>
    <definedName name="Sheet2" localSheetId="20">#REF!</definedName>
    <definedName name="Sheet2" localSheetId="22">#REF!</definedName>
    <definedName name="Sheet2" localSheetId="19">#REF!</definedName>
    <definedName name="Sheet2" localSheetId="18">#REF!</definedName>
    <definedName name="Sheet2" localSheetId="5">#REF!</definedName>
    <definedName name="Sheet2">#REF!</definedName>
    <definedName name="Sheet3" localSheetId="8">#REF!</definedName>
    <definedName name="Sheet3" localSheetId="12">#REF!</definedName>
    <definedName name="Sheet3" localSheetId="21">#REF!</definedName>
    <definedName name="Sheet3" localSheetId="23">#REF!</definedName>
    <definedName name="Sheet3" localSheetId="20">#REF!</definedName>
    <definedName name="Sheet3" localSheetId="22">#REF!</definedName>
    <definedName name="Sheet3" localSheetId="19">#REF!</definedName>
    <definedName name="Sheet3" localSheetId="18">#REF!</definedName>
    <definedName name="Sheet3">#REF!</definedName>
    <definedName name="SINCHRON">#REF!</definedName>
    <definedName name="sisa" localSheetId="8">#REF!</definedName>
    <definedName name="sisa" localSheetId="12">#REF!</definedName>
    <definedName name="sisa" localSheetId="21">#REF!</definedName>
    <definedName name="sisa" localSheetId="23">#REF!</definedName>
    <definedName name="sisa" localSheetId="20">#REF!</definedName>
    <definedName name="sisa" localSheetId="22">#REF!</definedName>
    <definedName name="sisa" localSheetId="19">#REF!</definedName>
    <definedName name="sisa" localSheetId="18">#REF!</definedName>
    <definedName name="sisa" localSheetId="5">#REF!</definedName>
    <definedName name="sisa">#REF!</definedName>
    <definedName name="sisa1" localSheetId="8">#REF!</definedName>
    <definedName name="sisa1" localSheetId="12">#REF!</definedName>
    <definedName name="sisa1" localSheetId="21">#REF!</definedName>
    <definedName name="sisa1" localSheetId="23">#REF!</definedName>
    <definedName name="sisa1" localSheetId="20">#REF!</definedName>
    <definedName name="sisa1" localSheetId="22">#REF!</definedName>
    <definedName name="sisa1" localSheetId="19">#REF!</definedName>
    <definedName name="sisa1" localSheetId="18">#REF!</definedName>
    <definedName name="sisa1" localSheetId="5">#REF!</definedName>
    <definedName name="sisa1">#REF!</definedName>
    <definedName name="sisa2" localSheetId="8">#REF!</definedName>
    <definedName name="sisa2" localSheetId="12">#REF!</definedName>
    <definedName name="sisa2" localSheetId="21">#REF!</definedName>
    <definedName name="sisa2" localSheetId="23">#REF!</definedName>
    <definedName name="sisa2" localSheetId="20">#REF!</definedName>
    <definedName name="sisa2" localSheetId="22">#REF!</definedName>
    <definedName name="sisa2" localSheetId="19">#REF!</definedName>
    <definedName name="sisa2" localSheetId="18">#REF!</definedName>
    <definedName name="sisa2" localSheetId="5">#REF!</definedName>
    <definedName name="sisa2">#REF!</definedName>
    <definedName name="SPD" localSheetId="8">#REF!</definedName>
    <definedName name="SPD" localSheetId="12">#REF!</definedName>
    <definedName name="SPD" localSheetId="21">#REF!</definedName>
    <definedName name="SPD" localSheetId="23">#REF!</definedName>
    <definedName name="SPD" localSheetId="20">#REF!</definedName>
    <definedName name="SPD" localSheetId="22">#REF!</definedName>
    <definedName name="SPD" localSheetId="19">#REF!</definedName>
    <definedName name="SPD" localSheetId="18">#REF!</definedName>
    <definedName name="SPD">#REF!</definedName>
    <definedName name="SPRP">#REF!</definedName>
    <definedName name="ssdffg" localSheetId="8">#REF!</definedName>
    <definedName name="ssdffg" localSheetId="21">#REF!</definedName>
    <definedName name="ssdffg" localSheetId="23">#REF!</definedName>
    <definedName name="ssdffg" localSheetId="20">#REF!</definedName>
    <definedName name="ssdffg" localSheetId="22">#REF!</definedName>
    <definedName name="ssdffg" localSheetId="19">#REF!</definedName>
    <definedName name="ssdffg" localSheetId="5">#REF!</definedName>
    <definedName name="ssdffg">#REF!</definedName>
    <definedName name="StartDate" localSheetId="12">#REF!</definedName>
    <definedName name="StartDate" localSheetId="21">#REF!</definedName>
    <definedName name="StartDate" localSheetId="23">#REF!</definedName>
    <definedName name="StartDate" localSheetId="20">#REF!</definedName>
    <definedName name="StartDate" localSheetId="22">#REF!</definedName>
    <definedName name="StartDate" localSheetId="19">#REF!</definedName>
    <definedName name="StartDate" localSheetId="18">#REF!</definedName>
    <definedName name="STPDari" localSheetId="8">#REF!</definedName>
    <definedName name="STPDari" localSheetId="12">#REF!</definedName>
    <definedName name="STPDari" localSheetId="21">#REF!</definedName>
    <definedName name="STPDari" localSheetId="23">#REF!</definedName>
    <definedName name="STPDari" localSheetId="20">#REF!</definedName>
    <definedName name="STPDari" localSheetId="22">#REF!</definedName>
    <definedName name="STPDari" localSheetId="19">#REF!</definedName>
    <definedName name="STPDari" localSheetId="18">#REF!</definedName>
    <definedName name="STPDari" localSheetId="5">#REF!</definedName>
    <definedName name="STPDari">#REF!</definedName>
    <definedName name="suttapbn1" localSheetId="8">#REF!</definedName>
    <definedName name="suttapbn1" localSheetId="12">#REF!</definedName>
    <definedName name="suttapbn1" localSheetId="21">#REF!</definedName>
    <definedName name="suttapbn1" localSheetId="23">#REF!</definedName>
    <definedName name="suttapbn1" localSheetId="20">#REF!</definedName>
    <definedName name="suttapbn1" localSheetId="22">#REF!</definedName>
    <definedName name="suttapbn1" localSheetId="19">#REF!</definedName>
    <definedName name="suttapbn1" localSheetId="18">#REF!</definedName>
    <definedName name="suttapbn1" localSheetId="5">#REF!</definedName>
    <definedName name="suttapbn1">#REF!</definedName>
    <definedName name="suttapbn2" localSheetId="8">#REF!</definedName>
    <definedName name="suttapbn2" localSheetId="12">#REF!</definedName>
    <definedName name="suttapbn2" localSheetId="21">#REF!</definedName>
    <definedName name="suttapbn2" localSheetId="23">#REF!</definedName>
    <definedName name="suttapbn2" localSheetId="20">#REF!</definedName>
    <definedName name="suttapbn2" localSheetId="22">#REF!</definedName>
    <definedName name="suttapbn2" localSheetId="19">#REF!</definedName>
    <definedName name="suttapbn2" localSheetId="18">#REF!</definedName>
    <definedName name="suttapbn2">#REF!</definedName>
    <definedName name="suttapbn4" localSheetId="8">#REF!</definedName>
    <definedName name="suttapbn4" localSheetId="12">#REF!</definedName>
    <definedName name="suttapbn4" localSheetId="21">#REF!</definedName>
    <definedName name="suttapbn4" localSheetId="23">#REF!</definedName>
    <definedName name="suttapbn4" localSheetId="20">#REF!</definedName>
    <definedName name="suttapbn4" localSheetId="22">#REF!</definedName>
    <definedName name="suttapbn4" localSheetId="19">#REF!</definedName>
    <definedName name="suttapbn4" localSheetId="18">#REF!</definedName>
    <definedName name="suttapbn4">#REF!</definedName>
    <definedName name="suttapln1" localSheetId="8">#REF!</definedName>
    <definedName name="suttapln1" localSheetId="12">#REF!</definedName>
    <definedName name="suttapln1" localSheetId="21">#REF!</definedName>
    <definedName name="suttapln1" localSheetId="23">#REF!</definedName>
    <definedName name="suttapln1" localSheetId="20">#REF!</definedName>
    <definedName name="suttapln1" localSheetId="22">#REF!</definedName>
    <definedName name="suttapln1" localSheetId="19">#REF!</definedName>
    <definedName name="suttapln1" localSheetId="18">#REF!</definedName>
    <definedName name="suttapln1">#REF!</definedName>
    <definedName name="suttapln2" localSheetId="8">#REF!</definedName>
    <definedName name="suttapln2" localSheetId="12">#REF!</definedName>
    <definedName name="suttapln2" localSheetId="21">#REF!</definedName>
    <definedName name="suttapln2" localSheetId="23">#REF!</definedName>
    <definedName name="suttapln2" localSheetId="20">#REF!</definedName>
    <definedName name="suttapln2" localSheetId="22">#REF!</definedName>
    <definedName name="suttapln2" localSheetId="19">#REF!</definedName>
    <definedName name="suttapln2" localSheetId="18">#REF!</definedName>
    <definedName name="suttapln2">#REF!</definedName>
    <definedName name="suttapln3" localSheetId="8">#REF!</definedName>
    <definedName name="suttapln3" localSheetId="12">#REF!</definedName>
    <definedName name="suttapln3" localSheetId="21">#REF!</definedName>
    <definedName name="suttapln3" localSheetId="23">#REF!</definedName>
    <definedName name="suttapln3" localSheetId="20">#REF!</definedName>
    <definedName name="suttapln3" localSheetId="22">#REF!</definedName>
    <definedName name="suttapln3" localSheetId="19">#REF!</definedName>
    <definedName name="suttapln3" localSheetId="18">#REF!</definedName>
    <definedName name="suttapln3">#REF!</definedName>
    <definedName name="suttapln4" localSheetId="8">#REF!</definedName>
    <definedName name="suttapln4" localSheetId="12">#REF!</definedName>
    <definedName name="suttapln4" localSheetId="21">#REF!</definedName>
    <definedName name="suttapln4" localSheetId="23">#REF!</definedName>
    <definedName name="suttapln4" localSheetId="20">#REF!</definedName>
    <definedName name="suttapln4" localSheetId="22">#REF!</definedName>
    <definedName name="suttapln4" localSheetId="19">#REF!</definedName>
    <definedName name="suttapln4" localSheetId="18">#REF!</definedName>
    <definedName name="suttapln4">#REF!</definedName>
    <definedName name="suttsla2" localSheetId="8">#REF!</definedName>
    <definedName name="suttsla2" localSheetId="12">#REF!</definedName>
    <definedName name="suttsla2" localSheetId="21">#REF!</definedName>
    <definedName name="suttsla2" localSheetId="23">#REF!</definedName>
    <definedName name="suttsla2" localSheetId="20">#REF!</definedName>
    <definedName name="suttsla2" localSheetId="22">#REF!</definedName>
    <definedName name="suttsla2" localSheetId="19">#REF!</definedName>
    <definedName name="suttsla2" localSheetId="18">#REF!</definedName>
    <definedName name="suttsla2">#REF!</definedName>
    <definedName name="suttsla4" localSheetId="8">#REF!</definedName>
    <definedName name="suttsla4" localSheetId="12">#REF!</definedName>
    <definedName name="suttsla4" localSheetId="21">#REF!</definedName>
    <definedName name="suttsla4" localSheetId="23">#REF!</definedName>
    <definedName name="suttsla4" localSheetId="20">#REF!</definedName>
    <definedName name="suttsla4" localSheetId="22">#REF!</definedName>
    <definedName name="suttsla4" localSheetId="19">#REF!</definedName>
    <definedName name="suttsla4" localSheetId="18">#REF!</definedName>
    <definedName name="suttsla4">#REF!</definedName>
    <definedName name="T" localSheetId="8">#REF!</definedName>
    <definedName name="T" localSheetId="12">#REF!</definedName>
    <definedName name="T" localSheetId="21">#REF!</definedName>
    <definedName name="T" localSheetId="23">#REF!</definedName>
    <definedName name="T" localSheetId="20">#REF!</definedName>
    <definedName name="T" localSheetId="22">#REF!</definedName>
    <definedName name="T" localSheetId="19">#REF!</definedName>
    <definedName name="T" localSheetId="18">#REF!</definedName>
    <definedName name="T">#REF!</definedName>
    <definedName name="TA">#REF!</definedName>
    <definedName name="tabel1" localSheetId="8">#REF!</definedName>
    <definedName name="tabel1" localSheetId="12">#REF!</definedName>
    <definedName name="tabel1" localSheetId="21">#REF!</definedName>
    <definedName name="tabel1" localSheetId="23">#REF!</definedName>
    <definedName name="tabel1" localSheetId="20">#REF!</definedName>
    <definedName name="tabel1" localSheetId="22">#REF!</definedName>
    <definedName name="tabel1" localSheetId="19">#REF!</definedName>
    <definedName name="tabel1" localSheetId="18">#REF!</definedName>
    <definedName name="tabel1" localSheetId="5">#REF!</definedName>
    <definedName name="tabel1">#REF!</definedName>
    <definedName name="tabel2" localSheetId="8">#REF!</definedName>
    <definedName name="tabel2" localSheetId="12">#REF!</definedName>
    <definedName name="tabel2" localSheetId="21">#REF!</definedName>
    <definedName name="tabel2" localSheetId="23">#REF!</definedName>
    <definedName name="tabel2" localSheetId="20">#REF!</definedName>
    <definedName name="tabel2" localSheetId="22">#REF!</definedName>
    <definedName name="tabel2" localSheetId="19">#REF!</definedName>
    <definedName name="tabel2" localSheetId="18">#REF!</definedName>
    <definedName name="tabel2" localSheetId="5">#REF!</definedName>
    <definedName name="tabel2">#REF!</definedName>
    <definedName name="tabel3" localSheetId="8">#REF!</definedName>
    <definedName name="tabel3" localSheetId="12">#REF!</definedName>
    <definedName name="tabel3" localSheetId="21">#REF!</definedName>
    <definedName name="tabel3" localSheetId="23">#REF!</definedName>
    <definedName name="tabel3" localSheetId="20">#REF!</definedName>
    <definedName name="tabel3" localSheetId="22">#REF!</definedName>
    <definedName name="tabel3" localSheetId="19">#REF!</definedName>
    <definedName name="tabel3" localSheetId="18">#REF!</definedName>
    <definedName name="tabel3" localSheetId="5">#REF!</definedName>
    <definedName name="tabel3">#REF!</definedName>
    <definedName name="Tabel4" localSheetId="8">#REF!</definedName>
    <definedName name="Tabel4" localSheetId="12">#REF!</definedName>
    <definedName name="Tabel4" localSheetId="21">#REF!</definedName>
    <definedName name="Tabel4" localSheetId="23">#REF!</definedName>
    <definedName name="Tabel4" localSheetId="20">#REF!</definedName>
    <definedName name="Tabel4" localSheetId="22">#REF!</definedName>
    <definedName name="Tabel4" localSheetId="19">#REF!</definedName>
    <definedName name="Tabel4" localSheetId="18">#REF!</definedName>
    <definedName name="Tabel4">#REF!</definedName>
    <definedName name="tah">#REF!</definedName>
    <definedName name="Tahun">#REF!</definedName>
    <definedName name="TahunR" localSheetId="8">#REF!</definedName>
    <definedName name="TahunR" localSheetId="12">#REF!</definedName>
    <definedName name="TahunR" localSheetId="21">#REF!</definedName>
    <definedName name="TahunR" localSheetId="23">#REF!</definedName>
    <definedName name="TahunR" localSheetId="20">#REF!</definedName>
    <definedName name="TahunR" localSheetId="22">#REF!</definedName>
    <definedName name="TahunR" localSheetId="19">#REF!</definedName>
    <definedName name="TahunR" localSheetId="18">#REF!</definedName>
    <definedName name="TahunR" localSheetId="5">#REF!</definedName>
    <definedName name="TahunR">#REF!</definedName>
    <definedName name="TambahAT" localSheetId="8">#REF!</definedName>
    <definedName name="TambahAT" localSheetId="12">#REF!</definedName>
    <definedName name="TambahAT" localSheetId="21">#REF!</definedName>
    <definedName name="TambahAT" localSheetId="23">#REF!</definedName>
    <definedName name="TambahAT" localSheetId="20">#REF!</definedName>
    <definedName name="TambahAT" localSheetId="22">#REF!</definedName>
    <definedName name="TambahAT" localSheetId="19">#REF!</definedName>
    <definedName name="TambahAT" localSheetId="18">#REF!</definedName>
    <definedName name="TambahAT" localSheetId="5">#REF!</definedName>
    <definedName name="TambahAT">#REF!</definedName>
    <definedName name="TARGET_USAHA" localSheetId="8">#REF!</definedName>
    <definedName name="TARGET_USAHA" localSheetId="12">#REF!</definedName>
    <definedName name="TARGET_USAHA" localSheetId="21">#REF!</definedName>
    <definedName name="TARGET_USAHA" localSheetId="23">#REF!</definedName>
    <definedName name="TARGET_USAHA" localSheetId="20">#REF!</definedName>
    <definedName name="TARGET_USAHA" localSheetId="22">#REF!</definedName>
    <definedName name="TARGET_USAHA" localSheetId="19">#REF!</definedName>
    <definedName name="TARGET_USAHA" localSheetId="18">#REF!</definedName>
    <definedName name="TARGET_USAHA" localSheetId="5">#REF!</definedName>
    <definedName name="TARGET_USAHA">#REF!</definedName>
    <definedName name="tarif" localSheetId="8">#REF!</definedName>
    <definedName name="tarif" localSheetId="12">#REF!</definedName>
    <definedName name="tarif" localSheetId="21">#REF!</definedName>
    <definedName name="tarif" localSheetId="23">#REF!</definedName>
    <definedName name="tarif" localSheetId="20">#REF!</definedName>
    <definedName name="tarif" localSheetId="22">#REF!</definedName>
    <definedName name="tarif" localSheetId="19">#REF!</definedName>
    <definedName name="tarif" localSheetId="18">#REF!</definedName>
    <definedName name="tarif">#REF!</definedName>
    <definedName name="TaxTV">10%</definedName>
    <definedName name="TaxXL">5%</definedName>
    <definedName name="tay" localSheetId="8">#REF!</definedName>
    <definedName name="tay" localSheetId="12">#REF!</definedName>
    <definedName name="tay" localSheetId="21">#REF!</definedName>
    <definedName name="tay" localSheetId="23">#REF!</definedName>
    <definedName name="tay" localSheetId="20">#REF!</definedName>
    <definedName name="tay" localSheetId="22">#REF!</definedName>
    <definedName name="tay" localSheetId="19">#REF!</definedName>
    <definedName name="tay" localSheetId="18">#REF!</definedName>
    <definedName name="tay" localSheetId="5">#REF!</definedName>
    <definedName name="tay">#REF!</definedName>
    <definedName name="TESTBAT">#REF!</definedName>
    <definedName name="testrelay">#REF!</definedName>
    <definedName name="TextRefCopy1">#REF!</definedName>
    <definedName name="TextRefCopyRangeCount" hidden="1">1</definedName>
    <definedName name="TGLLAP" localSheetId="8">#REF!</definedName>
    <definedName name="TGLLAP" localSheetId="21">#REF!</definedName>
    <definedName name="TGLLAP" localSheetId="23">#REF!</definedName>
    <definedName name="TGLLAP" localSheetId="20">#REF!</definedName>
    <definedName name="TGLLAP" localSheetId="22">#REF!</definedName>
    <definedName name="TGLLAP" localSheetId="19">#REF!</definedName>
    <definedName name="TGLLAP" localSheetId="5">#REF!</definedName>
    <definedName name="TGLLAP">#REF!</definedName>
    <definedName name="TGLLAP2" localSheetId="8">#REF!</definedName>
    <definedName name="TGLLAP2" localSheetId="21">#REF!</definedName>
    <definedName name="TGLLAP2" localSheetId="23">#REF!</definedName>
    <definedName name="TGLLAP2" localSheetId="20">#REF!</definedName>
    <definedName name="TGLLAP2" localSheetId="22">#REF!</definedName>
    <definedName name="TGLLAP2" localSheetId="19">#REF!</definedName>
    <definedName name="TGLLAP2" localSheetId="5">#REF!</definedName>
    <definedName name="TGLLAP2">#REF!</definedName>
    <definedName name="TGLREKAP" localSheetId="8">#REF!</definedName>
    <definedName name="TGLREKAP" localSheetId="21">#REF!</definedName>
    <definedName name="TGLREKAP" localSheetId="23">#REF!</definedName>
    <definedName name="TGLREKAP" localSheetId="20">#REF!</definedName>
    <definedName name="TGLREKAP" localSheetId="22">#REF!</definedName>
    <definedName name="TGLREKAP" localSheetId="19">#REF!</definedName>
    <definedName name="TGLREKAP" localSheetId="5">#REF!</definedName>
    <definedName name="TGLREKAP">#REF!</definedName>
    <definedName name="TH" localSheetId="8">#REF!</definedName>
    <definedName name="TH" localSheetId="12">#REF!</definedName>
    <definedName name="TH" localSheetId="21">#REF!</definedName>
    <definedName name="TH" localSheetId="23">#REF!</definedName>
    <definedName name="TH" localSheetId="20">#REF!</definedName>
    <definedName name="TH" localSheetId="22">#REF!</definedName>
    <definedName name="TH" localSheetId="19">#REF!</definedName>
    <definedName name="TH" localSheetId="18">#REF!</definedName>
    <definedName name="TH" localSheetId="5">#REF!</definedName>
    <definedName name="TH">#REF!</definedName>
    <definedName name="TKWH" localSheetId="8">#REF!</definedName>
    <definedName name="TKWH" localSheetId="21">#REF!</definedName>
    <definedName name="TKWH" localSheetId="23">#REF!</definedName>
    <definedName name="TKWH" localSheetId="20">#REF!</definedName>
    <definedName name="TKWH" localSheetId="22">#REF!</definedName>
    <definedName name="TKWH" localSheetId="19">#REF!</definedName>
    <definedName name="TKWH" localSheetId="5">#REF!</definedName>
    <definedName name="TKWH">#REF!</definedName>
    <definedName name="TKWH1" localSheetId="8">#REF!</definedName>
    <definedName name="TKWH1" localSheetId="21">#REF!</definedName>
    <definedName name="TKWH1" localSheetId="23">#REF!</definedName>
    <definedName name="TKWH1" localSheetId="20">#REF!</definedName>
    <definedName name="TKWH1" localSheetId="22">#REF!</definedName>
    <definedName name="TKWH1" localSheetId="19">#REF!</definedName>
    <definedName name="TKWH1" localSheetId="5">#REF!</definedName>
    <definedName name="TKWH1">#REF!</definedName>
    <definedName name="TOOLS" localSheetId="8">#REF!</definedName>
    <definedName name="TOOLS" localSheetId="12">#REF!</definedName>
    <definedName name="TOOLS" localSheetId="21">#REF!</definedName>
    <definedName name="TOOLS" localSheetId="23">#REF!</definedName>
    <definedName name="TOOLS" localSheetId="20">#REF!</definedName>
    <definedName name="TOOLS" localSheetId="22">#REF!</definedName>
    <definedName name="TOOLS" localSheetId="19">#REF!</definedName>
    <definedName name="TOOLS" localSheetId="18">#REF!</definedName>
    <definedName name="TOOLS" localSheetId="5">#REF!</definedName>
    <definedName name="TOOLS">#REF!</definedName>
    <definedName name="TOT" localSheetId="8">#REF!</definedName>
    <definedName name="TOT" localSheetId="12">#REF!</definedName>
    <definedName name="TOT" localSheetId="21">#REF!</definedName>
    <definedName name="TOT" localSheetId="23">#REF!</definedName>
    <definedName name="TOT" localSheetId="20">#REF!</definedName>
    <definedName name="TOT" localSheetId="22">#REF!</definedName>
    <definedName name="TOT" localSheetId="19">#REF!</definedName>
    <definedName name="TOT" localSheetId="18">#REF!</definedName>
    <definedName name="TOT" localSheetId="5">#REF!</definedName>
    <definedName name="TOT">#REF!</definedName>
    <definedName name="Total" localSheetId="12">#REF!</definedName>
    <definedName name="Total" localSheetId="21">#REF!</definedName>
    <definedName name="Total" localSheetId="23">#REF!</definedName>
    <definedName name="Total" localSheetId="20">#REF!</definedName>
    <definedName name="Total" localSheetId="22">#REF!</definedName>
    <definedName name="Total" localSheetId="19">#REF!</definedName>
    <definedName name="Total" localSheetId="18">#REF!</definedName>
    <definedName name="TotalkVarhEx" localSheetId="12">#REF!</definedName>
    <definedName name="TotalkVarhEx" localSheetId="21">#REF!</definedName>
    <definedName name="TotalkVarhEx" localSheetId="23">#REF!</definedName>
    <definedName name="TotalkVarhEx" localSheetId="20">#REF!</definedName>
    <definedName name="TotalkVarhEx" localSheetId="22">#REF!</definedName>
    <definedName name="TotalkVarhEx" localSheetId="19">#REF!</definedName>
    <definedName name="TotalkVarhEx" localSheetId="18">#REF!</definedName>
    <definedName name="TotalkVarhIm" localSheetId="12">#REF!</definedName>
    <definedName name="TotalkVarhIm" localSheetId="21">#REF!</definedName>
    <definedName name="TotalkVarhIm" localSheetId="23">#REF!</definedName>
    <definedName name="TotalkVarhIm" localSheetId="20">#REF!</definedName>
    <definedName name="TotalkVarhIm" localSheetId="22">#REF!</definedName>
    <definedName name="TotalkVarhIm" localSheetId="19">#REF!</definedName>
    <definedName name="TotalkVarhIm" localSheetId="18">#REF!</definedName>
    <definedName name="TotalkWhEx">#REF!</definedName>
    <definedName name="TotalkWhIm">#REF!</definedName>
    <definedName name="TPLG" localSheetId="8">#REF!</definedName>
    <definedName name="TPLG" localSheetId="21">#REF!</definedName>
    <definedName name="TPLG" localSheetId="23">#REF!</definedName>
    <definedName name="TPLG" localSheetId="20">#REF!</definedName>
    <definedName name="TPLG" localSheetId="22">#REF!</definedName>
    <definedName name="TPLG" localSheetId="19">#REF!</definedName>
    <definedName name="TPLG" localSheetId="5">#REF!</definedName>
    <definedName name="TPLG">#REF!</definedName>
    <definedName name="TPLG1" localSheetId="8">#REF!</definedName>
    <definedName name="TPLG1" localSheetId="21">#REF!</definedName>
    <definedName name="TPLG1" localSheetId="23">#REF!</definedName>
    <definedName name="TPLG1" localSheetId="20">#REF!</definedName>
    <definedName name="TPLG1" localSheetId="22">#REF!</definedName>
    <definedName name="TPLG1" localSheetId="19">#REF!</definedName>
    <definedName name="TPLG1" localSheetId="5">#REF!</definedName>
    <definedName name="TPLG1">#REF!</definedName>
    <definedName name="translate" localSheetId="8">#REF!</definedName>
    <definedName name="translate" localSheetId="12">#REF!</definedName>
    <definedName name="translate" localSheetId="21">#REF!</definedName>
    <definedName name="translate" localSheetId="23">#REF!</definedName>
    <definedName name="translate" localSheetId="20">#REF!</definedName>
    <definedName name="translate" localSheetId="22">#REF!</definedName>
    <definedName name="translate" localSheetId="19">#REF!</definedName>
    <definedName name="translate" localSheetId="18">#REF!</definedName>
    <definedName name="translate" localSheetId="5">#REF!</definedName>
    <definedName name="translate">#REF!</definedName>
    <definedName name="TRGT" localSheetId="8">#REF!</definedName>
    <definedName name="TRGT" localSheetId="21">#REF!</definedName>
    <definedName name="TRGT" localSheetId="23">#REF!</definedName>
    <definedName name="TRGT" localSheetId="20">#REF!</definedName>
    <definedName name="TRGT" localSheetId="22">#REF!</definedName>
    <definedName name="TRGT" localSheetId="19">#REF!</definedName>
    <definedName name="TRGT" localSheetId="5">#REF!</definedName>
    <definedName name="TRGT">#REF!</definedName>
    <definedName name="trip">#REF!</definedName>
    <definedName name="TRP" localSheetId="8">#REF!</definedName>
    <definedName name="TRP" localSheetId="21">#REF!</definedName>
    <definedName name="TRP" localSheetId="23">#REF!</definedName>
    <definedName name="TRP" localSheetId="20">#REF!</definedName>
    <definedName name="TRP" localSheetId="22">#REF!</definedName>
    <definedName name="TRP" localSheetId="19">#REF!</definedName>
    <definedName name="TRP" localSheetId="5">#REF!</definedName>
    <definedName name="TRP">#REF!</definedName>
    <definedName name="TRWE" localSheetId="8">#REF!</definedName>
    <definedName name="TRWE" localSheetId="12">#REF!</definedName>
    <definedName name="TRWE" localSheetId="21">#REF!</definedName>
    <definedName name="TRWE" localSheetId="23">#REF!</definedName>
    <definedName name="TRWE" localSheetId="20">#REF!</definedName>
    <definedName name="TRWE" localSheetId="22">#REF!</definedName>
    <definedName name="TRWE" localSheetId="19">#REF!</definedName>
    <definedName name="TRWE" localSheetId="18">#REF!</definedName>
    <definedName name="TRWE" localSheetId="5">#REF!</definedName>
    <definedName name="TRWE">#REF!</definedName>
    <definedName name="tsa" localSheetId="8">#REF!</definedName>
    <definedName name="tsa" localSheetId="12">#REF!</definedName>
    <definedName name="tsa" localSheetId="21">#REF!</definedName>
    <definedName name="tsa" localSheetId="23">#REF!</definedName>
    <definedName name="tsa" localSheetId="20">#REF!</definedName>
    <definedName name="tsa" localSheetId="22">#REF!</definedName>
    <definedName name="tsa" localSheetId="19">#REF!</definedName>
    <definedName name="tsa" localSheetId="18">#REF!</definedName>
    <definedName name="tsa" localSheetId="5">#REF!</definedName>
    <definedName name="tsa">#REF!</definedName>
    <definedName name="tu" localSheetId="8">#REF!</definedName>
    <definedName name="tu" localSheetId="12">#REF!</definedName>
    <definedName name="tu" localSheetId="21">#REF!</definedName>
    <definedName name="tu" localSheetId="23">#REF!</definedName>
    <definedName name="tu" localSheetId="20">#REF!</definedName>
    <definedName name="tu" localSheetId="22">#REF!</definedName>
    <definedName name="tu" localSheetId="19">#REF!</definedName>
    <definedName name="tu" localSheetId="18">#REF!</definedName>
    <definedName name="tu" localSheetId="5">#REF!</definedName>
    <definedName name="tu">#REF!</definedName>
    <definedName name="tumbuh" localSheetId="8">#REF!</definedName>
    <definedName name="tumbuh" localSheetId="12">#REF!</definedName>
    <definedName name="tumbuh" localSheetId="21">#REF!</definedName>
    <definedName name="tumbuh" localSheetId="23">#REF!</definedName>
    <definedName name="tumbuh" localSheetId="20">#REF!</definedName>
    <definedName name="tumbuh" localSheetId="22">#REF!</definedName>
    <definedName name="tumbuh" localSheetId="19">#REF!</definedName>
    <definedName name="tumbuh" localSheetId="18">#REF!</definedName>
    <definedName name="tumbuh">#REF!</definedName>
    <definedName name="TVA" localSheetId="8">#REF!</definedName>
    <definedName name="TVA" localSheetId="21">#REF!</definedName>
    <definedName name="TVA" localSheetId="23">#REF!</definedName>
    <definedName name="TVA" localSheetId="20">#REF!</definedName>
    <definedName name="TVA" localSheetId="22">#REF!</definedName>
    <definedName name="TVA" localSheetId="19">#REF!</definedName>
    <definedName name="TVA" localSheetId="5">#REF!</definedName>
    <definedName name="TVA">#REF!</definedName>
    <definedName name="tws">#REF!</definedName>
    <definedName name="ujl" localSheetId="8">#REF!</definedName>
    <definedName name="ujl" localSheetId="12">#REF!</definedName>
    <definedName name="ujl" localSheetId="21">#REF!</definedName>
    <definedName name="ujl" localSheetId="23">#REF!</definedName>
    <definedName name="ujl" localSheetId="20">#REF!</definedName>
    <definedName name="ujl" localSheetId="22">#REF!</definedName>
    <definedName name="ujl" localSheetId="19">#REF!</definedName>
    <definedName name="ujl" localSheetId="18">#REF!</definedName>
    <definedName name="ujl" localSheetId="5">#REF!</definedName>
    <definedName name="ujl">#REF!</definedName>
    <definedName name="ULANG" localSheetId="8">#REF!</definedName>
    <definedName name="ULANG" localSheetId="12">#REF!</definedName>
    <definedName name="ULANG" localSheetId="21">#REF!</definedName>
    <definedName name="ULANG" localSheetId="23">#REF!</definedName>
    <definedName name="ULANG" localSheetId="20">#REF!</definedName>
    <definedName name="ULANG" localSheetId="22">#REF!</definedName>
    <definedName name="ULANG" localSheetId="19">#REF!</definedName>
    <definedName name="ULANG" localSheetId="18">#REF!</definedName>
    <definedName name="ULANG" localSheetId="5">#REF!</definedName>
    <definedName name="ULANG">#REF!</definedName>
    <definedName name="UNITBB" localSheetId="8">#REF!</definedName>
    <definedName name="UNITBB" localSheetId="21">#REF!</definedName>
    <definedName name="UNITBB" localSheetId="23">#REF!</definedName>
    <definedName name="UNITBB" localSheetId="20">#REF!</definedName>
    <definedName name="UNITBB" localSheetId="22">#REF!</definedName>
    <definedName name="UNITBB" localSheetId="19">#REF!</definedName>
    <definedName name="UNITBB" localSheetId="5">#REF!</definedName>
    <definedName name="UNITBB">#REF!</definedName>
    <definedName name="UnitBina">#REF!</definedName>
    <definedName name="UNITRH" localSheetId="8">#REF!</definedName>
    <definedName name="UNITRH" localSheetId="21">#REF!</definedName>
    <definedName name="UNITRH" localSheetId="23">#REF!</definedName>
    <definedName name="UNITRH" localSheetId="20">#REF!</definedName>
    <definedName name="UNITRH" localSheetId="22">#REF!</definedName>
    <definedName name="UNITRH" localSheetId="19">#REF!</definedName>
    <definedName name="UNITRH" localSheetId="5">#REF!</definedName>
    <definedName name="UNITRH">#REF!</definedName>
    <definedName name="UNITS">#REF!</definedName>
    <definedName name="UNITWW" localSheetId="8">#REF!</definedName>
    <definedName name="UNITWW" localSheetId="21">#REF!</definedName>
    <definedName name="UNITWW" localSheetId="23">#REF!</definedName>
    <definedName name="UNITWW" localSheetId="20">#REF!</definedName>
    <definedName name="UNITWW" localSheetId="22">#REF!</definedName>
    <definedName name="UNITWW" localSheetId="19">#REF!</definedName>
    <definedName name="UNITWW" localSheetId="5">#REF!</definedName>
    <definedName name="UNITWW">#REF!</definedName>
    <definedName name="UPC">#REF!</definedName>
    <definedName name="UPD">#REF!</definedName>
    <definedName name="UPI">#REF!</definedName>
    <definedName name="UPRP">#REF!</definedName>
    <definedName name="USD" localSheetId="12">#REF!</definedName>
    <definedName name="USD" localSheetId="21">#REF!</definedName>
    <definedName name="USD" localSheetId="23">#REF!</definedName>
    <definedName name="USD" localSheetId="20">#REF!</definedName>
    <definedName name="USD" localSheetId="22">#REF!</definedName>
    <definedName name="USD" localSheetId="19">#REF!</definedName>
    <definedName name="USD" localSheetId="18">#REF!</definedName>
    <definedName name="USD">#REF!</definedName>
    <definedName name="UTYUE" localSheetId="8">#REF!</definedName>
    <definedName name="UTYUE" localSheetId="12">#REF!</definedName>
    <definedName name="UTYUE" localSheetId="21">#REF!</definedName>
    <definedName name="UTYUE" localSheetId="23">#REF!</definedName>
    <definedName name="UTYUE" localSheetId="20">#REF!</definedName>
    <definedName name="UTYUE" localSheetId="22">#REF!</definedName>
    <definedName name="UTYUE" localSheetId="19">#REF!</definedName>
    <definedName name="UTYUE" localSheetId="18">#REF!</definedName>
    <definedName name="UTYUE" localSheetId="5">#REF!</definedName>
    <definedName name="UTYUE">#REF!</definedName>
    <definedName name="w" localSheetId="8">#REF!</definedName>
    <definedName name="w" localSheetId="12">#REF!</definedName>
    <definedName name="w" localSheetId="21">#REF!</definedName>
    <definedName name="w" localSheetId="23">#REF!</definedName>
    <definedName name="w" localSheetId="20">#REF!</definedName>
    <definedName name="w" localSheetId="22">#REF!</definedName>
    <definedName name="w" localSheetId="19">#REF!</definedName>
    <definedName name="w" localSheetId="18">#REF!</definedName>
    <definedName name="w" localSheetId="5">#REF!</definedName>
    <definedName name="w">#REF!</definedName>
    <definedName name="Wilayah">#REF!</definedName>
    <definedName name="WINDUAN_KE">#REF!</definedName>
    <definedName name="XXX" localSheetId="8">#REF!</definedName>
    <definedName name="XXX" localSheetId="21">#REF!</definedName>
    <definedName name="XXX" localSheetId="23">#REF!</definedName>
    <definedName name="XXX" localSheetId="20">#REF!</definedName>
    <definedName name="XXX" localSheetId="22">#REF!</definedName>
    <definedName name="XXX" localSheetId="19">#REF!</definedName>
    <definedName name="XXX" localSheetId="5">#REF!</definedName>
    <definedName name="XXX">#REF!</definedName>
    <definedName name="Y" localSheetId="8">#REF!</definedName>
    <definedName name="Y" localSheetId="12">#REF!</definedName>
    <definedName name="Y" localSheetId="21">#REF!</definedName>
    <definedName name="Y" localSheetId="23">#REF!</definedName>
    <definedName name="Y" localSheetId="20">#REF!</definedName>
    <definedName name="Y" localSheetId="22">#REF!</definedName>
    <definedName name="Y" localSheetId="19">#REF!</definedName>
    <definedName name="Y" localSheetId="18">#REF!</definedName>
    <definedName name="Y" localSheetId="5">#REF!</definedName>
    <definedName name="Y">#REF!</definedName>
    <definedName name="YERYY" localSheetId="8">#REF!</definedName>
    <definedName name="YERYY" localSheetId="12">#REF!</definedName>
    <definedName name="YERYY" localSheetId="21">#REF!</definedName>
    <definedName name="YERYY" localSheetId="23">#REF!</definedName>
    <definedName name="YERYY" localSheetId="20">#REF!</definedName>
    <definedName name="YERYY" localSheetId="22">#REF!</definedName>
    <definedName name="YERYY" localSheetId="19">#REF!</definedName>
    <definedName name="YERYY" localSheetId="18">#REF!</definedName>
    <definedName name="YERYY" localSheetId="5">#REF!</definedName>
    <definedName name="YERYY">#REF!</definedName>
    <definedName name="YYY" localSheetId="8">#REF!</definedName>
    <definedName name="YYY" localSheetId="21">#REF!</definedName>
    <definedName name="YYY" localSheetId="23">#REF!</definedName>
    <definedName name="YYY" localSheetId="20">#REF!</definedName>
    <definedName name="YYY" localSheetId="22">#REF!</definedName>
    <definedName name="YYY" localSheetId="19">#REF!</definedName>
    <definedName name="YYY" localSheetId="5">#REF!</definedName>
    <definedName name="YYY">#REF!</definedName>
    <definedName name="Z" localSheetId="8">#REF!</definedName>
    <definedName name="Z" localSheetId="12">#REF!</definedName>
    <definedName name="Z" localSheetId="21">#REF!</definedName>
    <definedName name="Z" localSheetId="23">#REF!</definedName>
    <definedName name="Z" localSheetId="20">#REF!</definedName>
    <definedName name="Z" localSheetId="22">#REF!</definedName>
    <definedName name="Z" localSheetId="19">#REF!</definedName>
    <definedName name="Z" localSheetId="18">#REF!</definedName>
    <definedName name="Z" localSheetId="5">#REF!</definedName>
    <definedName name="Z">#REF!</definedName>
    <definedName name="zone_saisie">#REF!,#REF!,#REF!,#REF!,#REF!</definedName>
    <definedName name="zz" localSheetId="8">#REF!</definedName>
    <definedName name="zz" localSheetId="12">#REF!</definedName>
    <definedName name="zz" localSheetId="21">#REF!</definedName>
    <definedName name="zz" localSheetId="23">#REF!</definedName>
    <definedName name="zz" localSheetId="20">#REF!</definedName>
    <definedName name="zz" localSheetId="22">#REF!</definedName>
    <definedName name="zz" localSheetId="19">#REF!</definedName>
    <definedName name="zz" localSheetId="18">#REF!</definedName>
    <definedName name="zz" localSheetId="5">#REF!</definedName>
    <definedName name="zz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7" i="58" l="1" a="1"/>
  <c r="BP7" i="58" s="1"/>
  <c r="AT7" i="58" a="1"/>
  <c r="AT7" i="58" s="1"/>
  <c r="AR7" i="58" a="1"/>
  <c r="AR7" i="58" s="1"/>
  <c r="AS120" i="140" a="1"/>
  <c r="AS120" i="140" s="1"/>
  <c r="BI149" i="140"/>
  <c r="BI148" i="140"/>
  <c r="BI147" i="140"/>
  <c r="BI146" i="140"/>
  <c r="BI145" i="140"/>
  <c r="BI144" i="140"/>
  <c r="BI143" i="140"/>
  <c r="BI142" i="140"/>
  <c r="BI141" i="140"/>
  <c r="BI140" i="140"/>
  <c r="BI139" i="140"/>
  <c r="BI138" i="140"/>
  <c r="BI137" i="140"/>
  <c r="BI136" i="140"/>
  <c r="BI135" i="140"/>
  <c r="BI134" i="140"/>
  <c r="BI133" i="140"/>
  <c r="BI132" i="140"/>
  <c r="BI131" i="140"/>
  <c r="BI130" i="140"/>
  <c r="BI129" i="140"/>
  <c r="BI128" i="140"/>
  <c r="BI127" i="140"/>
  <c r="BI126" i="140"/>
  <c r="BI125" i="140"/>
  <c r="BI124" i="140"/>
  <c r="BI123" i="140"/>
  <c r="BI122" i="140"/>
  <c r="BI121" i="140"/>
  <c r="BI120" i="140"/>
  <c r="BD119" i="140"/>
  <c r="BC119" i="140"/>
  <c r="BB119" i="140"/>
  <c r="BA119" i="140"/>
  <c r="AZ119" i="140"/>
  <c r="AY119" i="140"/>
  <c r="AX119" i="140"/>
  <c r="AW119" i="140"/>
  <c r="AV119" i="140"/>
  <c r="AU119" i="140"/>
  <c r="AT119" i="140"/>
  <c r="AS119" i="140"/>
  <c r="AR120" i="140" a="1"/>
  <c r="AR120" i="140" s="1"/>
  <c r="AQ120" i="140" a="1"/>
  <c r="AQ120" i="140" s="1"/>
  <c r="BF120" i="140" l="1" a="1"/>
  <c r="BT53" i="58"/>
  <c r="BL52" i="58"/>
  <c r="BK52" i="58"/>
  <c r="BJ52" i="58"/>
  <c r="BI52" i="58"/>
  <c r="BH52" i="58"/>
  <c r="BG52" i="58"/>
  <c r="BF52" i="58"/>
  <c r="BE52" i="58"/>
  <c r="BD52" i="58"/>
  <c r="BC52" i="58"/>
  <c r="BB52" i="58"/>
  <c r="BA52" i="58"/>
  <c r="AL20" i="140"/>
  <c r="AV36" i="138"/>
  <c r="AU36" i="138"/>
  <c r="AT36" i="138"/>
  <c r="AS36" i="138"/>
  <c r="AR36" i="138"/>
  <c r="AQ36" i="138"/>
  <c r="AP36" i="138"/>
  <c r="AO36" i="138"/>
  <c r="AN36" i="138"/>
  <c r="AM36" i="138"/>
  <c r="AL36" i="138"/>
  <c r="AK36" i="138"/>
  <c r="BF120" i="140" l="1"/>
  <c r="BK120" i="140" s="1" a="1"/>
  <c r="BG120" i="140" a="1"/>
  <c r="BT55" i="137"/>
  <c r="BT48" i="137"/>
  <c r="BT47" i="137"/>
  <c r="BT46" i="137"/>
  <c r="BW43" i="137" a="1"/>
  <c r="BU43" i="137" s="1"/>
  <c r="BT43" i="137"/>
  <c r="BT42" i="137"/>
  <c r="BT40" i="137"/>
  <c r="BT39" i="137"/>
  <c r="BT37" i="137"/>
  <c r="BT36" i="137"/>
  <c r="BT35" i="137"/>
  <c r="BT34" i="137"/>
  <c r="BT32" i="137"/>
  <c r="BT31" i="137"/>
  <c r="BT29" i="137"/>
  <c r="BT28" i="137"/>
  <c r="BT26" i="137"/>
  <c r="BT25" i="137"/>
  <c r="BT24" i="137"/>
  <c r="BT23" i="137"/>
  <c r="BT21" i="137"/>
  <c r="BT20" i="137"/>
  <c r="BT19" i="137"/>
  <c r="BT16" i="137"/>
  <c r="BT15" i="137"/>
  <c r="BT14" i="137"/>
  <c r="BT12" i="137"/>
  <c r="BT11" i="137"/>
  <c r="BT10" i="137"/>
  <c r="AX55" i="137"/>
  <c r="BL43" i="137"/>
  <c r="AZ43" i="137" s="1"/>
  <c r="BK43" i="137"/>
  <c r="BJ43" i="137"/>
  <c r="BI43" i="137"/>
  <c r="BH43" i="137"/>
  <c r="BG43" i="137"/>
  <c r="BF43" i="137"/>
  <c r="BE43" i="137"/>
  <c r="BD43" i="137"/>
  <c r="BC43" i="137"/>
  <c r="BB43" i="137"/>
  <c r="BA43" i="137"/>
  <c r="AY43" i="137"/>
  <c r="BK10" i="137"/>
  <c r="BF10" i="137"/>
  <c r="AY10" i="137" s="1"/>
  <c r="BE10" i="137"/>
  <c r="BD10" i="137"/>
  <c r="BC10" i="137"/>
  <c r="AD48" i="137"/>
  <c r="AD44" i="137"/>
  <c r="AD43" i="137"/>
  <c r="AD42" i="137"/>
  <c r="AD34" i="137"/>
  <c r="AD32" i="137"/>
  <c r="AD28" i="137"/>
  <c r="AD26" i="137"/>
  <c r="AD25" i="137"/>
  <c r="AD14" i="137"/>
  <c r="AD12" i="137"/>
  <c r="AD11" i="137"/>
  <c r="AD10" i="137"/>
  <c r="AD8" i="137"/>
  <c r="AB17" i="137"/>
  <c r="AB7" i="137"/>
  <c r="AB55" i="137" s="1"/>
  <c r="AC43" i="137"/>
  <c r="AE8" i="137"/>
  <c r="AF8" i="137"/>
  <c r="AG8" i="137"/>
  <c r="AH8" i="137"/>
  <c r="AI8" i="137"/>
  <c r="AJ8" i="137"/>
  <c r="AC8" i="137" s="1"/>
  <c r="AK8" i="137"/>
  <c r="AL8" i="137"/>
  <c r="AM8" i="137"/>
  <c r="AN8" i="137"/>
  <c r="AO8" i="137"/>
  <c r="AP8" i="137"/>
  <c r="AE10" i="137"/>
  <c r="BA10" i="137" s="1"/>
  <c r="AF10" i="137"/>
  <c r="BB10" i="137" s="1"/>
  <c r="AG10" i="137"/>
  <c r="AH10" i="137"/>
  <c r="AI10" i="137"/>
  <c r="AJ10" i="137"/>
  <c r="AC10" i="137" s="1"/>
  <c r="AK10" i="137"/>
  <c r="BG10" i="137" s="1"/>
  <c r="AL10" i="137"/>
  <c r="BH10" i="137" s="1"/>
  <c r="AM10" i="137"/>
  <c r="BI10" i="137" s="1"/>
  <c r="AN10" i="137"/>
  <c r="BJ10" i="137" s="1"/>
  <c r="AO10" i="137"/>
  <c r="AP10" i="137"/>
  <c r="BL10" i="137" s="1"/>
  <c r="AZ10" i="137" s="1"/>
  <c r="AE11" i="137"/>
  <c r="AF11" i="137"/>
  <c r="AG11" i="137"/>
  <c r="AH11" i="137"/>
  <c r="AI11" i="137"/>
  <c r="AJ11" i="137"/>
  <c r="AC11" i="137" s="1"/>
  <c r="AK11" i="137"/>
  <c r="AL11" i="137"/>
  <c r="AM11" i="137"/>
  <c r="AN11" i="137"/>
  <c r="AO11" i="137"/>
  <c r="AP11" i="137"/>
  <c r="AE12" i="137"/>
  <c r="AF12" i="137"/>
  <c r="AG12" i="137"/>
  <c r="AH12" i="137"/>
  <c r="AI12" i="137"/>
  <c r="AJ12" i="137"/>
  <c r="AC12" i="137" s="1"/>
  <c r="AK12" i="137"/>
  <c r="AL12" i="137"/>
  <c r="AM12" i="137"/>
  <c r="AN12" i="137"/>
  <c r="AO12" i="137"/>
  <c r="AP12" i="137"/>
  <c r="AE14" i="137"/>
  <c r="AF14" i="137"/>
  <c r="AG14" i="137"/>
  <c r="AH14" i="137"/>
  <c r="AI14" i="137"/>
  <c r="AJ14" i="137"/>
  <c r="AC14" i="137" s="1"/>
  <c r="AK14" i="137"/>
  <c r="AL14" i="137"/>
  <c r="AM14" i="137"/>
  <c r="AN14" i="137"/>
  <c r="AO14" i="137"/>
  <c r="AP14" i="137"/>
  <c r="AE15" i="137"/>
  <c r="AF15" i="137"/>
  <c r="AG15" i="137"/>
  <c r="AH15" i="137"/>
  <c r="AI15" i="137"/>
  <c r="AJ15" i="137"/>
  <c r="AC15" i="137" s="1"/>
  <c r="AK15" i="137"/>
  <c r="AL15" i="137"/>
  <c r="AM15" i="137"/>
  <c r="AN15" i="137"/>
  <c r="AO15" i="137"/>
  <c r="AP15" i="137"/>
  <c r="AD15" i="137" s="1"/>
  <c r="AE16" i="137"/>
  <c r="AF16" i="137"/>
  <c r="AG16" i="137"/>
  <c r="AH16" i="137"/>
  <c r="AI16" i="137"/>
  <c r="AJ16" i="137"/>
  <c r="AC16" i="137" s="1"/>
  <c r="AK16" i="137"/>
  <c r="AL16" i="137"/>
  <c r="AM16" i="137"/>
  <c r="AN16" i="137"/>
  <c r="AO16" i="137"/>
  <c r="AP16" i="137"/>
  <c r="AD16" i="137" s="1"/>
  <c r="AE19" i="137"/>
  <c r="AF19" i="137"/>
  <c r="AG19" i="137"/>
  <c r="AH19" i="137"/>
  <c r="AI19" i="137"/>
  <c r="AJ19" i="137"/>
  <c r="AC19" i="137" s="1"/>
  <c r="AK19" i="137"/>
  <c r="AL19" i="137"/>
  <c r="AM19" i="137"/>
  <c r="AN19" i="137"/>
  <c r="AO19" i="137"/>
  <c r="AP19" i="137"/>
  <c r="AD19" i="137" s="1"/>
  <c r="AE20" i="137"/>
  <c r="AF20" i="137"/>
  <c r="AG20" i="137"/>
  <c r="AH20" i="137"/>
  <c r="AI20" i="137"/>
  <c r="AJ20" i="137"/>
  <c r="AC20" i="137" s="1"/>
  <c r="AK20" i="137"/>
  <c r="AL20" i="137"/>
  <c r="AM20" i="137"/>
  <c r="AN20" i="137"/>
  <c r="AO20" i="137"/>
  <c r="AP20" i="137"/>
  <c r="AD20" i="137" s="1"/>
  <c r="AE21" i="137"/>
  <c r="AF21" i="137"/>
  <c r="AG21" i="137"/>
  <c r="AH21" i="137"/>
  <c r="AI21" i="137"/>
  <c r="AJ21" i="137"/>
  <c r="AC21" i="137" s="1"/>
  <c r="AK21" i="137"/>
  <c r="AL21" i="137"/>
  <c r="AM21" i="137"/>
  <c r="AN21" i="137"/>
  <c r="AO21" i="137"/>
  <c r="AP21" i="137"/>
  <c r="AD21" i="137" s="1"/>
  <c r="AE23" i="137"/>
  <c r="AF23" i="137"/>
  <c r="AG23" i="137"/>
  <c r="AH23" i="137"/>
  <c r="AI23" i="137"/>
  <c r="AJ23" i="137"/>
  <c r="AC23" i="137" s="1"/>
  <c r="AK23" i="137"/>
  <c r="AL23" i="137"/>
  <c r="AM23" i="137"/>
  <c r="AN23" i="137"/>
  <c r="AO23" i="137"/>
  <c r="AP23" i="137"/>
  <c r="AD23" i="137" s="1"/>
  <c r="AE24" i="137"/>
  <c r="AF24" i="137"/>
  <c r="AG24" i="137"/>
  <c r="AH24" i="137"/>
  <c r="AI24" i="137"/>
  <c r="AJ24" i="137"/>
  <c r="AC24" i="137" s="1"/>
  <c r="AK24" i="137"/>
  <c r="AL24" i="137"/>
  <c r="AM24" i="137"/>
  <c r="AN24" i="137"/>
  <c r="AO24" i="137"/>
  <c r="AP24" i="137"/>
  <c r="AD24" i="137" s="1"/>
  <c r="AE25" i="137"/>
  <c r="AF25" i="137"/>
  <c r="AG25" i="137"/>
  <c r="AH25" i="137"/>
  <c r="AI25" i="137"/>
  <c r="AJ25" i="137"/>
  <c r="AC25" i="137" s="1"/>
  <c r="AK25" i="137"/>
  <c r="AL25" i="137"/>
  <c r="AM25" i="137"/>
  <c r="AN25" i="137"/>
  <c r="AO25" i="137"/>
  <c r="AP25" i="137"/>
  <c r="AE26" i="137"/>
  <c r="AF26" i="137"/>
  <c r="AG26" i="137"/>
  <c r="AH26" i="137"/>
  <c r="AI26" i="137"/>
  <c r="AJ26" i="137"/>
  <c r="AC26" i="137" s="1"/>
  <c r="AK26" i="137"/>
  <c r="AL26" i="137"/>
  <c r="AM26" i="137"/>
  <c r="AN26" i="137"/>
  <c r="AO26" i="137"/>
  <c r="AP26" i="137"/>
  <c r="AE28" i="137"/>
  <c r="AF28" i="137"/>
  <c r="AG28" i="137"/>
  <c r="AH28" i="137"/>
  <c r="AI28" i="137"/>
  <c r="AJ28" i="137"/>
  <c r="AC28" i="137" s="1"/>
  <c r="AK28" i="137"/>
  <c r="AL28" i="137"/>
  <c r="AM28" i="137"/>
  <c r="AN28" i="137"/>
  <c r="AO28" i="137"/>
  <c r="AP28" i="137"/>
  <c r="AE29" i="137"/>
  <c r="AF29" i="137"/>
  <c r="AG29" i="137"/>
  <c r="AH29" i="137"/>
  <c r="AI29" i="137"/>
  <c r="AJ29" i="137"/>
  <c r="AC29" i="137" s="1"/>
  <c r="AK29" i="137"/>
  <c r="AL29" i="137"/>
  <c r="AM29" i="137"/>
  <c r="AN29" i="137"/>
  <c r="AO29" i="137"/>
  <c r="AP29" i="137"/>
  <c r="AE31" i="137"/>
  <c r="AF31" i="137"/>
  <c r="AG31" i="137"/>
  <c r="AH31" i="137"/>
  <c r="AI31" i="137"/>
  <c r="AJ31" i="137"/>
  <c r="AC31" i="137" s="1"/>
  <c r="AK31" i="137"/>
  <c r="AL31" i="137"/>
  <c r="AM31" i="137"/>
  <c r="AN31" i="137"/>
  <c r="AO31" i="137"/>
  <c r="AP31" i="137"/>
  <c r="AE32" i="137"/>
  <c r="AF32" i="137"/>
  <c r="AG32" i="137"/>
  <c r="AH32" i="137"/>
  <c r="AI32" i="137"/>
  <c r="AJ32" i="137"/>
  <c r="AC32" i="137" s="1"/>
  <c r="AK32" i="137"/>
  <c r="AL32" i="137"/>
  <c r="AM32" i="137"/>
  <c r="AN32" i="137"/>
  <c r="AO32" i="137"/>
  <c r="AP32" i="137"/>
  <c r="AE34" i="137"/>
  <c r="AF34" i="137"/>
  <c r="AG34" i="137"/>
  <c r="AH34" i="137"/>
  <c r="AI34" i="137"/>
  <c r="AJ34" i="137"/>
  <c r="AC34" i="137" s="1"/>
  <c r="AK34" i="137"/>
  <c r="AL34" i="137"/>
  <c r="AM34" i="137"/>
  <c r="AN34" i="137"/>
  <c r="AO34" i="137"/>
  <c r="AP34" i="137"/>
  <c r="AE35" i="137"/>
  <c r="AF35" i="137"/>
  <c r="AG35" i="137"/>
  <c r="AH35" i="137"/>
  <c r="AI35" i="137"/>
  <c r="AJ35" i="137"/>
  <c r="AC35" i="137" s="1"/>
  <c r="AK35" i="137"/>
  <c r="AL35" i="137"/>
  <c r="AM35" i="137"/>
  <c r="AN35" i="137"/>
  <c r="AO35" i="137"/>
  <c r="AP35" i="137"/>
  <c r="AD35" i="137" s="1"/>
  <c r="AE36" i="137"/>
  <c r="AF36" i="137"/>
  <c r="AG36" i="137"/>
  <c r="AH36" i="137"/>
  <c r="AI36" i="137"/>
  <c r="AJ36" i="137"/>
  <c r="AC36" i="137" s="1"/>
  <c r="AK36" i="137"/>
  <c r="AL36" i="137"/>
  <c r="AM36" i="137"/>
  <c r="AN36" i="137"/>
  <c r="AO36" i="137"/>
  <c r="AP36" i="137"/>
  <c r="AD36" i="137" s="1"/>
  <c r="AE37" i="137"/>
  <c r="AF37" i="137"/>
  <c r="AG37" i="137"/>
  <c r="AH37" i="137"/>
  <c r="AI37" i="137"/>
  <c r="AJ37" i="137"/>
  <c r="AC37" i="137" s="1"/>
  <c r="AK37" i="137"/>
  <c r="AL37" i="137"/>
  <c r="AM37" i="137"/>
  <c r="AN37" i="137"/>
  <c r="AO37" i="137"/>
  <c r="AP37" i="137"/>
  <c r="AD37" i="137" s="1"/>
  <c r="AE39" i="137"/>
  <c r="AF39" i="137"/>
  <c r="AG39" i="137"/>
  <c r="AH39" i="137"/>
  <c r="AI39" i="137"/>
  <c r="AJ39" i="137"/>
  <c r="AC39" i="137" s="1"/>
  <c r="AK39" i="137"/>
  <c r="AL39" i="137"/>
  <c r="AM39" i="137"/>
  <c r="AN39" i="137"/>
  <c r="AO39" i="137"/>
  <c r="AP39" i="137"/>
  <c r="AD39" i="137" s="1"/>
  <c r="AE40" i="137"/>
  <c r="AF40" i="137"/>
  <c r="AG40" i="137"/>
  <c r="AH40" i="137"/>
  <c r="AI40" i="137"/>
  <c r="AJ40" i="137"/>
  <c r="AC40" i="137" s="1"/>
  <c r="AK40" i="137"/>
  <c r="AL40" i="137"/>
  <c r="AM40" i="137"/>
  <c r="AN40" i="137"/>
  <c r="AO40" i="137"/>
  <c r="AP40" i="137"/>
  <c r="AD40" i="137" s="1"/>
  <c r="AE42" i="137"/>
  <c r="AF42" i="137"/>
  <c r="AG42" i="137"/>
  <c r="AH42" i="137"/>
  <c r="AI42" i="137"/>
  <c r="AJ42" i="137"/>
  <c r="AC42" i="137" s="1"/>
  <c r="AK42" i="137"/>
  <c r="AL42" i="137"/>
  <c r="AM42" i="137"/>
  <c r="AN42" i="137"/>
  <c r="AO42" i="137"/>
  <c r="AP42" i="137"/>
  <c r="AE44" i="137"/>
  <c r="AF44" i="137"/>
  <c r="AG44" i="137"/>
  <c r="AH44" i="137"/>
  <c r="AI44" i="137"/>
  <c r="AJ44" i="137"/>
  <c r="AK44" i="137"/>
  <c r="AL44" i="137"/>
  <c r="AM44" i="137"/>
  <c r="AN44" i="137"/>
  <c r="AO44" i="137"/>
  <c r="AP44" i="137"/>
  <c r="AE46" i="137"/>
  <c r="AF46" i="137"/>
  <c r="AG46" i="137"/>
  <c r="AH46" i="137"/>
  <c r="AI46" i="137"/>
  <c r="AJ46" i="137"/>
  <c r="AK46" i="137"/>
  <c r="AL46" i="137"/>
  <c r="AM46" i="137"/>
  <c r="AN46" i="137"/>
  <c r="AO46" i="137"/>
  <c r="AP46" i="137"/>
  <c r="AD46" i="137" s="1"/>
  <c r="AE47" i="137"/>
  <c r="AF47" i="137"/>
  <c r="AG47" i="137"/>
  <c r="AH47" i="137"/>
  <c r="AI47" i="137"/>
  <c r="AJ47" i="137"/>
  <c r="AK47" i="137"/>
  <c r="AL47" i="137"/>
  <c r="AM47" i="137"/>
  <c r="AN47" i="137"/>
  <c r="AO47" i="137"/>
  <c r="AP47" i="137"/>
  <c r="AD47" i="137" s="1"/>
  <c r="AE48" i="137"/>
  <c r="AF48" i="137"/>
  <c r="AG48" i="137"/>
  <c r="AH48" i="137"/>
  <c r="AI48" i="137"/>
  <c r="AJ48" i="137"/>
  <c r="AK48" i="137"/>
  <c r="AL48" i="137"/>
  <c r="AM48" i="137"/>
  <c r="AN48" i="137"/>
  <c r="AO48" i="137"/>
  <c r="AP48" i="137"/>
  <c r="BT55" i="136"/>
  <c r="BW43" i="136" a="1"/>
  <c r="BU43" i="136" s="1"/>
  <c r="AX55" i="136"/>
  <c r="BL43" i="136"/>
  <c r="AZ43" i="136" s="1"/>
  <c r="BK43" i="136"/>
  <c r="BJ43" i="136"/>
  <c r="BI43" i="136"/>
  <c r="BH43" i="136"/>
  <c r="BG43" i="136"/>
  <c r="BF43" i="136"/>
  <c r="BE43" i="136"/>
  <c r="BD43" i="136"/>
  <c r="BC43" i="136"/>
  <c r="BB43" i="136"/>
  <c r="BA43" i="136"/>
  <c r="AY43" i="136"/>
  <c r="BJ23" i="136"/>
  <c r="BI23" i="136"/>
  <c r="BH23" i="136"/>
  <c r="BJ11" i="136"/>
  <c r="BI11" i="136"/>
  <c r="BH11" i="136"/>
  <c r="BG11" i="136"/>
  <c r="BE11" i="136"/>
  <c r="BK10" i="136"/>
  <c r="BJ10" i="136"/>
  <c r="BI10" i="136"/>
  <c r="BH10" i="136"/>
  <c r="BG10" i="136"/>
  <c r="AD48" i="136"/>
  <c r="AD47" i="136"/>
  <c r="AD43" i="136"/>
  <c r="AD39" i="136"/>
  <c r="AD34" i="136"/>
  <c r="AD23" i="136"/>
  <c r="AD16" i="136"/>
  <c r="AD15" i="136"/>
  <c r="AD14" i="136"/>
  <c r="AD12" i="136"/>
  <c r="AD10" i="136"/>
  <c r="AC43" i="136"/>
  <c r="AC34" i="136"/>
  <c r="AC16" i="136"/>
  <c r="AE8" i="136"/>
  <c r="AE10" i="136"/>
  <c r="BA10" i="136" s="1"/>
  <c r="AE11" i="136"/>
  <c r="BA11" i="136" s="1"/>
  <c r="AE12" i="136"/>
  <c r="AE14" i="136"/>
  <c r="AE15" i="136"/>
  <c r="AE16" i="136"/>
  <c r="AE19" i="136"/>
  <c r="AE20" i="136"/>
  <c r="AE21" i="136"/>
  <c r="AE23" i="136"/>
  <c r="BA23" i="136" s="1"/>
  <c r="AE24" i="136"/>
  <c r="AE25" i="136"/>
  <c r="AE26" i="136"/>
  <c r="AE28" i="136"/>
  <c r="AE29" i="136"/>
  <c r="AE31" i="136"/>
  <c r="AE32" i="136"/>
  <c r="AE34" i="136"/>
  <c r="AE35" i="136"/>
  <c r="AE36" i="136"/>
  <c r="AE37" i="136"/>
  <c r="AE39" i="136"/>
  <c r="AE40" i="136"/>
  <c r="AE42" i="136"/>
  <c r="AE44" i="136"/>
  <c r="AE46" i="136"/>
  <c r="AE47" i="136"/>
  <c r="AE48" i="136"/>
  <c r="AF8" i="136"/>
  <c r="AG8" i="136"/>
  <c r="AH8" i="136"/>
  <c r="AI8" i="136"/>
  <c r="AJ8" i="136"/>
  <c r="AK8" i="136"/>
  <c r="AL8" i="136"/>
  <c r="AM8" i="136"/>
  <c r="AN8" i="136"/>
  <c r="AO8" i="136"/>
  <c r="AP8" i="136"/>
  <c r="AD8" i="136" s="1"/>
  <c r="AF10" i="136"/>
  <c r="BB10" i="136" s="1"/>
  <c r="AG10" i="136"/>
  <c r="BC10" i="136" s="1"/>
  <c r="AH10" i="136"/>
  <c r="BD10" i="136" s="1"/>
  <c r="AI10" i="136"/>
  <c r="BE10" i="136" s="1"/>
  <c r="AJ10" i="136"/>
  <c r="AC10" i="136" s="1"/>
  <c r="AK10" i="136"/>
  <c r="AL10" i="136"/>
  <c r="AM10" i="136"/>
  <c r="AN10" i="136"/>
  <c r="AO10" i="136"/>
  <c r="AP10" i="136"/>
  <c r="BL10" i="136" s="1"/>
  <c r="AZ10" i="136" s="1"/>
  <c r="AF11" i="136"/>
  <c r="BB11" i="136" s="1"/>
  <c r="AG11" i="136"/>
  <c r="BC11" i="136" s="1"/>
  <c r="AH11" i="136"/>
  <c r="BD11" i="136" s="1"/>
  <c r="AI11" i="136"/>
  <c r="AJ11" i="136"/>
  <c r="AC11" i="136" s="1"/>
  <c r="AK11" i="136"/>
  <c r="AL11" i="136"/>
  <c r="AM11" i="136"/>
  <c r="AN11" i="136"/>
  <c r="AO11" i="136"/>
  <c r="BK11" i="136" s="1"/>
  <c r="AP11" i="136"/>
  <c r="AD11" i="136" s="1"/>
  <c r="AF12" i="136"/>
  <c r="AG12" i="136"/>
  <c r="AH12" i="136"/>
  <c r="AI12" i="136"/>
  <c r="AJ12" i="136"/>
  <c r="AC12" i="136" s="1"/>
  <c r="AK12" i="136"/>
  <c r="AL12" i="136"/>
  <c r="AM12" i="136"/>
  <c r="AN12" i="136"/>
  <c r="AO12" i="136"/>
  <c r="AP12" i="136"/>
  <c r="AF14" i="136"/>
  <c r="AG14" i="136"/>
  <c r="AH14" i="136"/>
  <c r="AI14" i="136"/>
  <c r="AJ14" i="136"/>
  <c r="AC14" i="136" s="1"/>
  <c r="AK14" i="136"/>
  <c r="AL14" i="136"/>
  <c r="AM14" i="136"/>
  <c r="AN14" i="136"/>
  <c r="AO14" i="136"/>
  <c r="AP14" i="136"/>
  <c r="AF15" i="136"/>
  <c r="AG15" i="136"/>
  <c r="AH15" i="136"/>
  <c r="AI15" i="136"/>
  <c r="AJ15" i="136"/>
  <c r="AC15" i="136" s="1"/>
  <c r="AK15" i="136"/>
  <c r="AL15" i="136"/>
  <c r="AM15" i="136"/>
  <c r="AN15" i="136"/>
  <c r="AO15" i="136"/>
  <c r="AP15" i="136"/>
  <c r="AF16" i="136"/>
  <c r="AG16" i="136"/>
  <c r="AH16" i="136"/>
  <c r="AI16" i="136"/>
  <c r="AJ16" i="136"/>
  <c r="AK16" i="136"/>
  <c r="AL16" i="136"/>
  <c r="AM16" i="136"/>
  <c r="AN16" i="136"/>
  <c r="AO16" i="136"/>
  <c r="AP16" i="136"/>
  <c r="AF19" i="136"/>
  <c r="AG19" i="136"/>
  <c r="AH19" i="136"/>
  <c r="AI19" i="136"/>
  <c r="AJ19" i="136"/>
  <c r="AC19" i="136" s="1"/>
  <c r="AK19" i="136"/>
  <c r="AL19" i="136"/>
  <c r="AM19" i="136"/>
  <c r="AN19" i="136"/>
  <c r="AO19" i="136"/>
  <c r="AP19" i="136"/>
  <c r="AD19" i="136" s="1"/>
  <c r="AF20" i="136"/>
  <c r="AG20" i="136"/>
  <c r="AH20" i="136"/>
  <c r="AI20" i="136"/>
  <c r="AJ20" i="136"/>
  <c r="AC20" i="136" s="1"/>
  <c r="AK20" i="136"/>
  <c r="AL20" i="136"/>
  <c r="AM20" i="136"/>
  <c r="AN20" i="136"/>
  <c r="AO20" i="136"/>
  <c r="AP20" i="136"/>
  <c r="AD20" i="136" s="1"/>
  <c r="AF21" i="136"/>
  <c r="AG21" i="136"/>
  <c r="AH21" i="136"/>
  <c r="AI21" i="136"/>
  <c r="AJ21" i="136"/>
  <c r="AK21" i="136"/>
  <c r="AL21" i="136"/>
  <c r="AM21" i="136"/>
  <c r="AN21" i="136"/>
  <c r="AO21" i="136"/>
  <c r="AP21" i="136"/>
  <c r="AF23" i="136"/>
  <c r="BB23" i="136" s="1"/>
  <c r="AG23" i="136"/>
  <c r="BC23" i="136" s="1"/>
  <c r="AH23" i="136"/>
  <c r="BD23" i="136" s="1"/>
  <c r="AI23" i="136"/>
  <c r="BE23" i="136" s="1"/>
  <c r="AJ23" i="136"/>
  <c r="AK23" i="136"/>
  <c r="BG23" i="136" s="1"/>
  <c r="AL23" i="136"/>
  <c r="AM23" i="136"/>
  <c r="AN23" i="136"/>
  <c r="AO23" i="136"/>
  <c r="AP23" i="136"/>
  <c r="AF24" i="136"/>
  <c r="AG24" i="136"/>
  <c r="AH24" i="136"/>
  <c r="AI24" i="136"/>
  <c r="AJ24" i="136"/>
  <c r="AK24" i="136"/>
  <c r="AL24" i="136"/>
  <c r="AM24" i="136"/>
  <c r="AN24" i="136"/>
  <c r="AO24" i="136"/>
  <c r="AP24" i="136"/>
  <c r="AD24" i="136" s="1"/>
  <c r="AF25" i="136"/>
  <c r="AG25" i="136"/>
  <c r="AH25" i="136"/>
  <c r="AI25" i="136"/>
  <c r="AJ25" i="136"/>
  <c r="AC25" i="136" s="1"/>
  <c r="AK25" i="136"/>
  <c r="AL25" i="136"/>
  <c r="AM25" i="136"/>
  <c r="AN25" i="136"/>
  <c r="AO25" i="136"/>
  <c r="AP25" i="136"/>
  <c r="AD25" i="136" s="1"/>
  <c r="AF26" i="136"/>
  <c r="AG26" i="136"/>
  <c r="AH26" i="136"/>
  <c r="AI26" i="136"/>
  <c r="AJ26" i="136"/>
  <c r="AC26" i="136" s="1"/>
  <c r="AK26" i="136"/>
  <c r="AL26" i="136"/>
  <c r="AM26" i="136"/>
  <c r="AN26" i="136"/>
  <c r="AO26" i="136"/>
  <c r="AP26" i="136"/>
  <c r="AD26" i="136" s="1"/>
  <c r="AF28" i="136"/>
  <c r="AG28" i="136"/>
  <c r="AH28" i="136"/>
  <c r="AI28" i="136"/>
  <c r="AJ28" i="136"/>
  <c r="AK28" i="136"/>
  <c r="AL28" i="136"/>
  <c r="AM28" i="136"/>
  <c r="AN28" i="136"/>
  <c r="AO28" i="136"/>
  <c r="AP28" i="136"/>
  <c r="AD28" i="136" s="1"/>
  <c r="AF29" i="136"/>
  <c r="AG29" i="136"/>
  <c r="AH29" i="136"/>
  <c r="AI29" i="136"/>
  <c r="AJ29" i="136"/>
  <c r="AK29" i="136"/>
  <c r="AL29" i="136"/>
  <c r="AM29" i="136"/>
  <c r="AN29" i="136"/>
  <c r="AO29" i="136"/>
  <c r="AP29" i="136"/>
  <c r="AF31" i="136"/>
  <c r="AG31" i="136"/>
  <c r="AH31" i="136"/>
  <c r="AI31" i="136"/>
  <c r="AJ31" i="136"/>
  <c r="AC31" i="136" s="1"/>
  <c r="AK31" i="136"/>
  <c r="AL31" i="136"/>
  <c r="AM31" i="136"/>
  <c r="AN31" i="136"/>
  <c r="AO31" i="136"/>
  <c r="AP31" i="136"/>
  <c r="AF32" i="136"/>
  <c r="AG32" i="136"/>
  <c r="AH32" i="136"/>
  <c r="AI32" i="136"/>
  <c r="AJ32" i="136"/>
  <c r="AK32" i="136"/>
  <c r="AL32" i="136"/>
  <c r="AM32" i="136"/>
  <c r="AN32" i="136"/>
  <c r="AO32" i="136"/>
  <c r="AP32" i="136"/>
  <c r="AD32" i="136" s="1"/>
  <c r="AF34" i="136"/>
  <c r="AG34" i="136"/>
  <c r="AH34" i="136"/>
  <c r="AI34" i="136"/>
  <c r="AJ34" i="136"/>
  <c r="AK34" i="136"/>
  <c r="AL34" i="136"/>
  <c r="AM34" i="136"/>
  <c r="AN34" i="136"/>
  <c r="AO34" i="136"/>
  <c r="AP34" i="136"/>
  <c r="AF35" i="136"/>
  <c r="AG35" i="136"/>
  <c r="AH35" i="136"/>
  <c r="AI35" i="136"/>
  <c r="AJ35" i="136"/>
  <c r="AC35" i="136" s="1"/>
  <c r="AK35" i="136"/>
  <c r="AL35" i="136"/>
  <c r="AM35" i="136"/>
  <c r="AN35" i="136"/>
  <c r="AO35" i="136"/>
  <c r="AP35" i="136"/>
  <c r="AF36" i="136"/>
  <c r="AG36" i="136"/>
  <c r="AH36" i="136"/>
  <c r="AI36" i="136"/>
  <c r="AJ36" i="136"/>
  <c r="AC36" i="136" s="1"/>
  <c r="AK36" i="136"/>
  <c r="AL36" i="136"/>
  <c r="AM36" i="136"/>
  <c r="AN36" i="136"/>
  <c r="AO36" i="136"/>
  <c r="AP36" i="136"/>
  <c r="AD36" i="136" s="1"/>
  <c r="AF37" i="136"/>
  <c r="AG37" i="136"/>
  <c r="AH37" i="136"/>
  <c r="AI37" i="136"/>
  <c r="AJ37" i="136"/>
  <c r="AK37" i="136"/>
  <c r="AL37" i="136"/>
  <c r="AM37" i="136"/>
  <c r="AN37" i="136"/>
  <c r="AO37" i="136"/>
  <c r="AP37" i="136"/>
  <c r="AF39" i="136"/>
  <c r="AG39" i="136"/>
  <c r="AH39" i="136"/>
  <c r="AI39" i="136"/>
  <c r="AJ39" i="136"/>
  <c r="AK39" i="136"/>
  <c r="AL39" i="136"/>
  <c r="AM39" i="136"/>
  <c r="AN39" i="136"/>
  <c r="AO39" i="136"/>
  <c r="AP39" i="136"/>
  <c r="AF40" i="136"/>
  <c r="AG40" i="136"/>
  <c r="AH40" i="136"/>
  <c r="AI40" i="136"/>
  <c r="AJ40" i="136"/>
  <c r="AK40" i="136"/>
  <c r="AL40" i="136"/>
  <c r="AM40" i="136"/>
  <c r="AN40" i="136"/>
  <c r="AO40" i="136"/>
  <c r="AP40" i="136"/>
  <c r="AF42" i="136"/>
  <c r="AG42" i="136"/>
  <c r="AH42" i="136"/>
  <c r="AI42" i="136"/>
  <c r="AJ42" i="136"/>
  <c r="AC42" i="136" s="1"/>
  <c r="AK42" i="136"/>
  <c r="AL42" i="136"/>
  <c r="AM42" i="136"/>
  <c r="AN42" i="136"/>
  <c r="AO42" i="136"/>
  <c r="AP42" i="136"/>
  <c r="AF44" i="136"/>
  <c r="AG44" i="136"/>
  <c r="AH44" i="136"/>
  <c r="AI44" i="136"/>
  <c r="AJ44" i="136"/>
  <c r="AC44" i="136" s="1"/>
  <c r="AK44" i="136"/>
  <c r="AL44" i="136"/>
  <c r="AM44" i="136"/>
  <c r="AN44" i="136"/>
  <c r="AO44" i="136"/>
  <c r="AP44" i="136"/>
  <c r="AD44" i="136" s="1"/>
  <c r="AF46" i="136"/>
  <c r="AG46" i="136"/>
  <c r="AH46" i="136"/>
  <c r="AI46" i="136"/>
  <c r="AJ46" i="136"/>
  <c r="AK46" i="136"/>
  <c r="AL46" i="136"/>
  <c r="AM46" i="136"/>
  <c r="AN46" i="136"/>
  <c r="AO46" i="136"/>
  <c r="AP46" i="136"/>
  <c r="AD46" i="136" s="1"/>
  <c r="AF47" i="136"/>
  <c r="AG47" i="136"/>
  <c r="AH47" i="136"/>
  <c r="AI47" i="136"/>
  <c r="AJ47" i="136"/>
  <c r="AK47" i="136"/>
  <c r="AL47" i="136"/>
  <c r="AM47" i="136"/>
  <c r="AN47" i="136"/>
  <c r="AO47" i="136"/>
  <c r="AP47" i="136"/>
  <c r="AF48" i="136"/>
  <c r="AG48" i="136"/>
  <c r="AH48" i="136"/>
  <c r="AI48" i="136"/>
  <c r="AJ48" i="136"/>
  <c r="AC48" i="136" s="1"/>
  <c r="AK48" i="136"/>
  <c r="AL48" i="136"/>
  <c r="AM48" i="136"/>
  <c r="AN48" i="136"/>
  <c r="AO48" i="136"/>
  <c r="AP48" i="136"/>
  <c r="E8" i="35"/>
  <c r="BT55" i="135"/>
  <c r="BW43" i="135" a="1"/>
  <c r="BW43" i="135" s="1"/>
  <c r="AX55" i="135"/>
  <c r="BL43" i="135"/>
  <c r="AZ43" i="135" s="1"/>
  <c r="BK43" i="135"/>
  <c r="BJ43" i="135"/>
  <c r="BI43" i="135"/>
  <c r="BH43" i="135"/>
  <c r="BG43" i="135"/>
  <c r="BF43" i="135"/>
  <c r="BE43" i="135"/>
  <c r="BD43" i="135"/>
  <c r="BC43" i="135"/>
  <c r="BB43" i="135"/>
  <c r="BA43" i="135"/>
  <c r="AY43" i="135"/>
  <c r="BL37" i="135"/>
  <c r="AZ37" i="135" s="1"/>
  <c r="BF37" i="135"/>
  <c r="AY37" i="135" s="1"/>
  <c r="AD47" i="135"/>
  <c r="AD44" i="135"/>
  <c r="AD43" i="135"/>
  <c r="AD34" i="135"/>
  <c r="AD32" i="135"/>
  <c r="AD31" i="135"/>
  <c r="AD29" i="135"/>
  <c r="AD28" i="135"/>
  <c r="AD15" i="135"/>
  <c r="AD14" i="135"/>
  <c r="AD12" i="135"/>
  <c r="AC48" i="135"/>
  <c r="AC43" i="135"/>
  <c r="AC37" i="135"/>
  <c r="AC36" i="135"/>
  <c r="AC35" i="135"/>
  <c r="AC34" i="135"/>
  <c r="AC31" i="135"/>
  <c r="AC21" i="135"/>
  <c r="AC19" i="135"/>
  <c r="AC14" i="135"/>
  <c r="AE8" i="135"/>
  <c r="AF8" i="135"/>
  <c r="AG8" i="135"/>
  <c r="AH8" i="135"/>
  <c r="AI8" i="135"/>
  <c r="AE10" i="135"/>
  <c r="AF10" i="135"/>
  <c r="AG10" i="135"/>
  <c r="AH10" i="135"/>
  <c r="AI10" i="135"/>
  <c r="AE11" i="135"/>
  <c r="AF11" i="135"/>
  <c r="AG11" i="135"/>
  <c r="AH11" i="135"/>
  <c r="AI11" i="135"/>
  <c r="AE12" i="135"/>
  <c r="AF12" i="135"/>
  <c r="AG12" i="135"/>
  <c r="AH12" i="135"/>
  <c r="AI12" i="135"/>
  <c r="AE14" i="135"/>
  <c r="AF14" i="135"/>
  <c r="AG14" i="135"/>
  <c r="AH14" i="135"/>
  <c r="AI14" i="135"/>
  <c r="AE15" i="135"/>
  <c r="AF15" i="135"/>
  <c r="AG15" i="135"/>
  <c r="AH15" i="135"/>
  <c r="AI15" i="135"/>
  <c r="AE16" i="135"/>
  <c r="AF16" i="135"/>
  <c r="AG16" i="135"/>
  <c r="AH16" i="135"/>
  <c r="AI16" i="135"/>
  <c r="AE19" i="135"/>
  <c r="AF19" i="135"/>
  <c r="AG19" i="135"/>
  <c r="AH19" i="135"/>
  <c r="AI19" i="135"/>
  <c r="AE20" i="135"/>
  <c r="AF20" i="135"/>
  <c r="AG20" i="135"/>
  <c r="AH20" i="135"/>
  <c r="AI20" i="135"/>
  <c r="AE21" i="135"/>
  <c r="AF21" i="135"/>
  <c r="AG21" i="135"/>
  <c r="AH21" i="135"/>
  <c r="AI21" i="135"/>
  <c r="AE23" i="135"/>
  <c r="AF23" i="135"/>
  <c r="AG23" i="135"/>
  <c r="AH23" i="135"/>
  <c r="AI23" i="135"/>
  <c r="AE24" i="135"/>
  <c r="AF24" i="135"/>
  <c r="AG24" i="135"/>
  <c r="AH24" i="135"/>
  <c r="AI24" i="135"/>
  <c r="AE25" i="135"/>
  <c r="AF25" i="135"/>
  <c r="AG25" i="135"/>
  <c r="AH25" i="135"/>
  <c r="AI25" i="135"/>
  <c r="AE26" i="135"/>
  <c r="AF26" i="135"/>
  <c r="AG26" i="135"/>
  <c r="AH26" i="135"/>
  <c r="AI26" i="135"/>
  <c r="AE28" i="135"/>
  <c r="AF28" i="135"/>
  <c r="AG28" i="135"/>
  <c r="AH28" i="135"/>
  <c r="AI28" i="135"/>
  <c r="AE29" i="135"/>
  <c r="AF29" i="135"/>
  <c r="AG29" i="135"/>
  <c r="AH29" i="135"/>
  <c r="AI29" i="135"/>
  <c r="AE31" i="135"/>
  <c r="AF31" i="135"/>
  <c r="AG31" i="135"/>
  <c r="AH31" i="135"/>
  <c r="AI31" i="135"/>
  <c r="AE32" i="135"/>
  <c r="AF32" i="135"/>
  <c r="AG32" i="135"/>
  <c r="AH32" i="135"/>
  <c r="AI32" i="135"/>
  <c r="AE34" i="135"/>
  <c r="AF34" i="135"/>
  <c r="AG34" i="135"/>
  <c r="AH34" i="135"/>
  <c r="AI34" i="135"/>
  <c r="AE35" i="135"/>
  <c r="AF35" i="135"/>
  <c r="AG35" i="135"/>
  <c r="AH35" i="135"/>
  <c r="AI35" i="135"/>
  <c r="AE36" i="135"/>
  <c r="AF36" i="135"/>
  <c r="AG36" i="135"/>
  <c r="AH36" i="135"/>
  <c r="AI36" i="135"/>
  <c r="AE37" i="135"/>
  <c r="BA37" i="135" s="1"/>
  <c r="AF37" i="135"/>
  <c r="BB37" i="135" s="1"/>
  <c r="AG37" i="135"/>
  <c r="BC37" i="135" s="1"/>
  <c r="AH37" i="135"/>
  <c r="BD37" i="135" s="1"/>
  <c r="AI37" i="135"/>
  <c r="BE37" i="135" s="1"/>
  <c r="AE39" i="135"/>
  <c r="AF39" i="135"/>
  <c r="AG39" i="135"/>
  <c r="AH39" i="135"/>
  <c r="AI39" i="135"/>
  <c r="AE40" i="135"/>
  <c r="AF40" i="135"/>
  <c r="AG40" i="135"/>
  <c r="AH40" i="135"/>
  <c r="AI40" i="135"/>
  <c r="AE42" i="135"/>
  <c r="AF42" i="135"/>
  <c r="AG42" i="135"/>
  <c r="AH42" i="135"/>
  <c r="AI42" i="135"/>
  <c r="AE44" i="135"/>
  <c r="AF44" i="135"/>
  <c r="AG44" i="135"/>
  <c r="AH44" i="135"/>
  <c r="AI44" i="135"/>
  <c r="AE46" i="135"/>
  <c r="AF46" i="135"/>
  <c r="AG46" i="135"/>
  <c r="AH46" i="135"/>
  <c r="AI46" i="135"/>
  <c r="AE47" i="135"/>
  <c r="AF47" i="135"/>
  <c r="AG47" i="135"/>
  <c r="AH47" i="135"/>
  <c r="AI47" i="135"/>
  <c r="AE48" i="135"/>
  <c r="AF48" i="135"/>
  <c r="AG48" i="135"/>
  <c r="AH48" i="135"/>
  <c r="AI48" i="135"/>
  <c r="AJ8" i="135"/>
  <c r="AK8" i="135"/>
  <c r="AL8" i="135"/>
  <c r="AM8" i="135"/>
  <c r="AN8" i="135"/>
  <c r="AO8" i="135"/>
  <c r="AP8" i="135"/>
  <c r="AD8" i="135" s="1"/>
  <c r="AJ10" i="135"/>
  <c r="AK10" i="135"/>
  <c r="AL10" i="135"/>
  <c r="AM10" i="135"/>
  <c r="AN10" i="135"/>
  <c r="AO10" i="135"/>
  <c r="AP10" i="135"/>
  <c r="AD10" i="135" s="1"/>
  <c r="AJ11" i="135"/>
  <c r="AK11" i="135"/>
  <c r="AL11" i="135"/>
  <c r="AM11" i="135"/>
  <c r="AN11" i="135"/>
  <c r="AO11" i="135"/>
  <c r="AP11" i="135"/>
  <c r="AD11" i="135" s="1"/>
  <c r="AJ12" i="135"/>
  <c r="AC12" i="135" s="1"/>
  <c r="AK12" i="135"/>
  <c r="AL12" i="135"/>
  <c r="AM12" i="135"/>
  <c r="AN12" i="135"/>
  <c r="AO12" i="135"/>
  <c r="AP12" i="135"/>
  <c r="AJ14" i="135"/>
  <c r="AK14" i="135"/>
  <c r="AL14" i="135"/>
  <c r="AM14" i="135"/>
  <c r="AN14" i="135"/>
  <c r="AO14" i="135"/>
  <c r="AP14" i="135"/>
  <c r="AJ15" i="135"/>
  <c r="AC15" i="135" s="1"/>
  <c r="AK15" i="135"/>
  <c r="AL15" i="135"/>
  <c r="AM15" i="135"/>
  <c r="AN15" i="135"/>
  <c r="AO15" i="135"/>
  <c r="AP15" i="135"/>
  <c r="AJ16" i="135"/>
  <c r="AC16" i="135" s="1"/>
  <c r="AK16" i="135"/>
  <c r="AL16" i="135"/>
  <c r="AM16" i="135"/>
  <c r="AN16" i="135"/>
  <c r="AO16" i="135"/>
  <c r="AP16" i="135"/>
  <c r="AJ19" i="135"/>
  <c r="AK19" i="135"/>
  <c r="AL19" i="135"/>
  <c r="AM19" i="135"/>
  <c r="AN19" i="135"/>
  <c r="AO19" i="135"/>
  <c r="AP19" i="135"/>
  <c r="AD19" i="135" s="1"/>
  <c r="AJ20" i="135"/>
  <c r="AK20" i="135"/>
  <c r="AL20" i="135"/>
  <c r="AM20" i="135"/>
  <c r="AN20" i="135"/>
  <c r="AO20" i="135"/>
  <c r="AP20" i="135"/>
  <c r="AD20" i="135" s="1"/>
  <c r="AJ21" i="135"/>
  <c r="AK21" i="135"/>
  <c r="AL21" i="135"/>
  <c r="AM21" i="135"/>
  <c r="AN21" i="135"/>
  <c r="AO21" i="135"/>
  <c r="AP21" i="135"/>
  <c r="AJ23" i="135"/>
  <c r="AC23" i="135" s="1"/>
  <c r="AK23" i="135"/>
  <c r="AL23" i="135"/>
  <c r="AM23" i="135"/>
  <c r="AN23" i="135"/>
  <c r="AO23" i="135"/>
  <c r="AP23" i="135"/>
  <c r="AJ24" i="135"/>
  <c r="AC24" i="135" s="1"/>
  <c r="AK24" i="135"/>
  <c r="AL24" i="135"/>
  <c r="AM24" i="135"/>
  <c r="AN24" i="135"/>
  <c r="AO24" i="135"/>
  <c r="AP24" i="135"/>
  <c r="AJ25" i="135"/>
  <c r="AK25" i="135"/>
  <c r="AL25" i="135"/>
  <c r="AM25" i="135"/>
  <c r="AN25" i="135"/>
  <c r="AO25" i="135"/>
  <c r="AP25" i="135"/>
  <c r="AD25" i="135" s="1"/>
  <c r="AJ26" i="135"/>
  <c r="AK26" i="135"/>
  <c r="AL26" i="135"/>
  <c r="AM26" i="135"/>
  <c r="AN26" i="135"/>
  <c r="AO26" i="135"/>
  <c r="AP26" i="135"/>
  <c r="AJ28" i="135"/>
  <c r="AK28" i="135"/>
  <c r="AL28" i="135"/>
  <c r="AM28" i="135"/>
  <c r="AN28" i="135"/>
  <c r="AO28" i="135"/>
  <c r="AP28" i="135"/>
  <c r="AJ29" i="135"/>
  <c r="AK29" i="135"/>
  <c r="AL29" i="135"/>
  <c r="AM29" i="135"/>
  <c r="AN29" i="135"/>
  <c r="AO29" i="135"/>
  <c r="AP29" i="135"/>
  <c r="AJ31" i="135"/>
  <c r="AK31" i="135"/>
  <c r="AL31" i="135"/>
  <c r="AM31" i="135"/>
  <c r="AN31" i="135"/>
  <c r="AO31" i="135"/>
  <c r="AP31" i="135"/>
  <c r="AJ32" i="135"/>
  <c r="AK32" i="135"/>
  <c r="AL32" i="135"/>
  <c r="AM32" i="135"/>
  <c r="AN32" i="135"/>
  <c r="AO32" i="135"/>
  <c r="AP32" i="135"/>
  <c r="AJ34" i="135"/>
  <c r="AK34" i="135"/>
  <c r="AL34" i="135"/>
  <c r="AM34" i="135"/>
  <c r="AN34" i="135"/>
  <c r="AO34" i="135"/>
  <c r="AP34" i="135"/>
  <c r="AJ35" i="135"/>
  <c r="AK35" i="135"/>
  <c r="AL35" i="135"/>
  <c r="AM35" i="135"/>
  <c r="AN35" i="135"/>
  <c r="AO35" i="135"/>
  <c r="AP35" i="135"/>
  <c r="AJ36" i="135"/>
  <c r="AK36" i="135"/>
  <c r="AL36" i="135"/>
  <c r="AM36" i="135"/>
  <c r="AN36" i="135"/>
  <c r="AO36" i="135"/>
  <c r="AP36" i="135"/>
  <c r="AD36" i="135" s="1"/>
  <c r="AJ37" i="135"/>
  <c r="AK37" i="135"/>
  <c r="BG37" i="135" s="1"/>
  <c r="AL37" i="135"/>
  <c r="BH37" i="135" s="1"/>
  <c r="AM37" i="135"/>
  <c r="BI37" i="135" s="1"/>
  <c r="AN37" i="135"/>
  <c r="BJ37" i="135" s="1"/>
  <c r="AO37" i="135"/>
  <c r="BK37" i="135" s="1"/>
  <c r="AP37" i="135"/>
  <c r="AD37" i="135" s="1"/>
  <c r="AJ39" i="135"/>
  <c r="AK39" i="135"/>
  <c r="AL39" i="135"/>
  <c r="AM39" i="135"/>
  <c r="AN39" i="135"/>
  <c r="AO39" i="135"/>
  <c r="AP39" i="135"/>
  <c r="AD39" i="135" s="1"/>
  <c r="AJ40" i="135"/>
  <c r="AK40" i="135"/>
  <c r="AL40" i="135"/>
  <c r="AM40" i="135"/>
  <c r="AN40" i="135"/>
  <c r="AO40" i="135"/>
  <c r="AP40" i="135"/>
  <c r="AD40" i="135" s="1"/>
  <c r="AJ42" i="135"/>
  <c r="AC42" i="135" s="1"/>
  <c r="AK42" i="135"/>
  <c r="AL42" i="135"/>
  <c r="AM42" i="135"/>
  <c r="AN42" i="135"/>
  <c r="AO42" i="135"/>
  <c r="AP42" i="135"/>
  <c r="AD42" i="135" s="1"/>
  <c r="AJ44" i="135"/>
  <c r="AK44" i="135"/>
  <c r="AL44" i="135"/>
  <c r="AM44" i="135"/>
  <c r="AN44" i="135"/>
  <c r="AO44" i="135"/>
  <c r="AP44" i="135"/>
  <c r="AJ46" i="135"/>
  <c r="AK46" i="135"/>
  <c r="AL46" i="135"/>
  <c r="AM46" i="135"/>
  <c r="AN46" i="135"/>
  <c r="AO46" i="135"/>
  <c r="AP46" i="135"/>
  <c r="AJ47" i="135"/>
  <c r="AC47" i="135" s="1"/>
  <c r="AK47" i="135"/>
  <c r="AL47" i="135"/>
  <c r="AM47" i="135"/>
  <c r="AN47" i="135"/>
  <c r="AO47" i="135"/>
  <c r="AP47" i="135"/>
  <c r="AJ48" i="135"/>
  <c r="AK48" i="135"/>
  <c r="AL48" i="135"/>
  <c r="AM48" i="135"/>
  <c r="AN48" i="135"/>
  <c r="AO48" i="135"/>
  <c r="AP48" i="135"/>
  <c r="AD48" i="135" s="1"/>
  <c r="AA54" i="135"/>
  <c r="AA52" i="135"/>
  <c r="AA51" i="135"/>
  <c r="AA50" i="135"/>
  <c r="AA49" i="135"/>
  <c r="AA43" i="135"/>
  <c r="AA42" i="135"/>
  <c r="AA41" i="135"/>
  <c r="AA40" i="135"/>
  <c r="AA38" i="135"/>
  <c r="AA21" i="135"/>
  <c r="AA20" i="135"/>
  <c r="AA19" i="135"/>
  <c r="AA16" i="135"/>
  <c r="AA15" i="135"/>
  <c r="AA10" i="135"/>
  <c r="AA8" i="135"/>
  <c r="X7" i="135"/>
  <c r="B14" i="128"/>
  <c r="B15" i="128"/>
  <c r="BT55" i="134"/>
  <c r="BW43" i="134" a="1"/>
  <c r="AX55" i="134"/>
  <c r="BL43" i="134"/>
  <c r="AZ43" i="134" s="1"/>
  <c r="BK43" i="134"/>
  <c r="BJ43" i="134"/>
  <c r="BI43" i="134"/>
  <c r="BH43" i="134"/>
  <c r="BG43" i="134"/>
  <c r="BF43" i="134"/>
  <c r="BE43" i="134"/>
  <c r="BD43" i="134"/>
  <c r="BC43" i="134"/>
  <c r="BB43" i="134"/>
  <c r="BA43" i="134"/>
  <c r="AY43" i="134"/>
  <c r="BI39" i="134"/>
  <c r="BG39" i="134"/>
  <c r="BF39" i="134"/>
  <c r="AY39" i="134" s="1"/>
  <c r="BE39" i="134"/>
  <c r="AD48" i="134"/>
  <c r="AD46" i="134"/>
  <c r="AD44" i="134"/>
  <c r="AD43" i="134"/>
  <c r="AD41" i="134"/>
  <c r="AD34" i="134"/>
  <c r="AD29" i="134"/>
  <c r="AD28" i="134"/>
  <c r="AD11" i="134"/>
  <c r="AC47" i="134"/>
  <c r="AC44" i="134"/>
  <c r="AC43" i="134"/>
  <c r="AC35" i="134"/>
  <c r="AC34" i="134"/>
  <c r="AC31" i="134"/>
  <c r="AC19" i="134"/>
  <c r="AC14" i="134"/>
  <c r="AC11" i="134"/>
  <c r="AC10" i="134"/>
  <c r="AE8" i="134"/>
  <c r="AF8" i="134"/>
  <c r="AG8" i="134"/>
  <c r="AH8" i="134"/>
  <c r="AE10" i="134"/>
  <c r="AF10" i="134"/>
  <c r="AG10" i="134"/>
  <c r="AH10" i="134"/>
  <c r="AE11" i="134"/>
  <c r="AF11" i="134"/>
  <c r="AG11" i="134"/>
  <c r="AH11" i="134"/>
  <c r="AE12" i="134"/>
  <c r="AF12" i="134"/>
  <c r="AG12" i="134"/>
  <c r="AH12" i="134"/>
  <c r="AE14" i="134"/>
  <c r="AF14" i="134"/>
  <c r="AG14" i="134"/>
  <c r="AH14" i="134"/>
  <c r="AE15" i="134"/>
  <c r="AF15" i="134"/>
  <c r="AG15" i="134"/>
  <c r="AH15" i="134"/>
  <c r="AE16" i="134"/>
  <c r="AF16" i="134"/>
  <c r="AG16" i="134"/>
  <c r="AH16" i="134"/>
  <c r="AE19" i="134"/>
  <c r="AF19" i="134"/>
  <c r="AG19" i="134"/>
  <c r="AH19" i="134"/>
  <c r="AE20" i="134"/>
  <c r="AF20" i="134"/>
  <c r="AG20" i="134"/>
  <c r="AH20" i="134"/>
  <c r="AE21" i="134"/>
  <c r="AF21" i="134"/>
  <c r="AG21" i="134"/>
  <c r="AH21" i="134"/>
  <c r="AE23" i="134"/>
  <c r="AF23" i="134"/>
  <c r="AG23" i="134"/>
  <c r="AH23" i="134"/>
  <c r="AE24" i="134"/>
  <c r="AF24" i="134"/>
  <c r="AG24" i="134"/>
  <c r="AH24" i="134"/>
  <c r="AE25" i="134"/>
  <c r="AF25" i="134"/>
  <c r="AG25" i="134"/>
  <c r="AH25" i="134"/>
  <c r="AE26" i="134"/>
  <c r="AF26" i="134"/>
  <c r="AG26" i="134"/>
  <c r="AH26" i="134"/>
  <c r="AE28" i="134"/>
  <c r="AF28" i="134"/>
  <c r="AG28" i="134"/>
  <c r="AH28" i="134"/>
  <c r="AE29" i="134"/>
  <c r="AF29" i="134"/>
  <c r="AG29" i="134"/>
  <c r="AH29" i="134"/>
  <c r="AE31" i="134"/>
  <c r="AF31" i="134"/>
  <c r="AG31" i="134"/>
  <c r="AH31" i="134"/>
  <c r="AE32" i="134"/>
  <c r="AF32" i="134"/>
  <c r="AG32" i="134"/>
  <c r="AH32" i="134"/>
  <c r="AE34" i="134"/>
  <c r="AF34" i="134"/>
  <c r="AG34" i="134"/>
  <c r="AH34" i="134"/>
  <c r="AE35" i="134"/>
  <c r="AF35" i="134"/>
  <c r="AG35" i="134"/>
  <c r="AH35" i="134"/>
  <c r="AE36" i="134"/>
  <c r="AF36" i="134"/>
  <c r="AG36" i="134"/>
  <c r="AH36" i="134"/>
  <c r="AE37" i="134"/>
  <c r="AF37" i="134"/>
  <c r="AG37" i="134"/>
  <c r="AH37" i="134"/>
  <c r="AE39" i="134"/>
  <c r="BA39" i="134" s="1"/>
  <c r="AF39" i="134"/>
  <c r="BB39" i="134" s="1"/>
  <c r="AG39" i="134"/>
  <c r="BC39" i="134" s="1"/>
  <c r="AH39" i="134"/>
  <c r="BD39" i="134" s="1"/>
  <c r="AE40" i="134"/>
  <c r="BA40" i="134" s="1"/>
  <c r="AF40" i="134"/>
  <c r="BB40" i="134" s="1"/>
  <c r="AG40" i="134"/>
  <c r="BC40" i="134" s="1"/>
  <c r="AH40" i="134"/>
  <c r="BD40" i="134" s="1"/>
  <c r="AE42" i="134"/>
  <c r="AF42" i="134"/>
  <c r="AG42" i="134"/>
  <c r="AH42" i="134"/>
  <c r="AE44" i="134"/>
  <c r="AF44" i="134"/>
  <c r="AG44" i="134"/>
  <c r="AH44" i="134"/>
  <c r="AE46" i="134"/>
  <c r="AF46" i="134"/>
  <c r="AG46" i="134"/>
  <c r="AH46" i="134"/>
  <c r="AE47" i="134"/>
  <c r="AF47" i="134"/>
  <c r="AG47" i="134"/>
  <c r="AH47" i="134"/>
  <c r="AE48" i="134"/>
  <c r="AF48" i="134"/>
  <c r="AG48" i="134"/>
  <c r="AH48" i="134"/>
  <c r="AI8" i="134"/>
  <c r="AJ8" i="134"/>
  <c r="AC8" i="134" s="1"/>
  <c r="AK8" i="134"/>
  <c r="AL8" i="134"/>
  <c r="AM8" i="134"/>
  <c r="AN8" i="134"/>
  <c r="AO8" i="134"/>
  <c r="AP8" i="134"/>
  <c r="AD8" i="134" s="1"/>
  <c r="AI10" i="134"/>
  <c r="AJ10" i="134"/>
  <c r="AK10" i="134"/>
  <c r="AL10" i="134"/>
  <c r="AM10" i="134"/>
  <c r="AN10" i="134"/>
  <c r="AO10" i="134"/>
  <c r="AP10" i="134"/>
  <c r="AD10" i="134" s="1"/>
  <c r="AI11" i="134"/>
  <c r="AJ11" i="134"/>
  <c r="AK11" i="134"/>
  <c r="AL11" i="134"/>
  <c r="AM11" i="134"/>
  <c r="AN11" i="134"/>
  <c r="AO11" i="134"/>
  <c r="AP11" i="134"/>
  <c r="AI12" i="134"/>
  <c r="AJ12" i="134"/>
  <c r="AC12" i="134" s="1"/>
  <c r="AK12" i="134"/>
  <c r="AL12" i="134"/>
  <c r="AM12" i="134"/>
  <c r="AN12" i="134"/>
  <c r="AO12" i="134"/>
  <c r="AP12" i="134"/>
  <c r="AD12" i="134" s="1"/>
  <c r="AI14" i="134"/>
  <c r="AJ14" i="134"/>
  <c r="AK14" i="134"/>
  <c r="AL14" i="134"/>
  <c r="AM14" i="134"/>
  <c r="AN14" i="134"/>
  <c r="AO14" i="134"/>
  <c r="AP14" i="134"/>
  <c r="AD14" i="134" s="1"/>
  <c r="AI15" i="134"/>
  <c r="AJ15" i="134"/>
  <c r="AC15" i="134" s="1"/>
  <c r="AK15" i="134"/>
  <c r="AL15" i="134"/>
  <c r="AM15" i="134"/>
  <c r="AN15" i="134"/>
  <c r="AO15" i="134"/>
  <c r="AP15" i="134"/>
  <c r="AD15" i="134" s="1"/>
  <c r="AI16" i="134"/>
  <c r="AJ16" i="134"/>
  <c r="AC16" i="134" s="1"/>
  <c r="AK16" i="134"/>
  <c r="AL16" i="134"/>
  <c r="AM16" i="134"/>
  <c r="AN16" i="134"/>
  <c r="AO16" i="134"/>
  <c r="AP16" i="134"/>
  <c r="AD16" i="134" s="1"/>
  <c r="AI19" i="134"/>
  <c r="AJ19" i="134"/>
  <c r="AK19" i="134"/>
  <c r="AL19" i="134"/>
  <c r="AM19" i="134"/>
  <c r="AN19" i="134"/>
  <c r="AO19" i="134"/>
  <c r="AP19" i="134"/>
  <c r="AD19" i="134" s="1"/>
  <c r="AI20" i="134"/>
  <c r="AJ20" i="134"/>
  <c r="AK20" i="134"/>
  <c r="AL20" i="134"/>
  <c r="AM20" i="134"/>
  <c r="AN20" i="134"/>
  <c r="AO20" i="134"/>
  <c r="AP20" i="134"/>
  <c r="AD20" i="134" s="1"/>
  <c r="AI21" i="134"/>
  <c r="AJ21" i="134"/>
  <c r="AK21" i="134"/>
  <c r="AL21" i="134"/>
  <c r="AM21" i="134"/>
  <c r="AN21" i="134"/>
  <c r="AO21" i="134"/>
  <c r="AP21" i="134"/>
  <c r="AD21" i="134" s="1"/>
  <c r="AI23" i="134"/>
  <c r="AJ23" i="134"/>
  <c r="AK23" i="134"/>
  <c r="AL23" i="134"/>
  <c r="AM23" i="134"/>
  <c r="AN23" i="134"/>
  <c r="AO23" i="134"/>
  <c r="AP23" i="134"/>
  <c r="AD23" i="134" s="1"/>
  <c r="AI24" i="134"/>
  <c r="AJ24" i="134"/>
  <c r="AK24" i="134"/>
  <c r="AL24" i="134"/>
  <c r="AM24" i="134"/>
  <c r="AN24" i="134"/>
  <c r="AO24" i="134"/>
  <c r="AP24" i="134"/>
  <c r="AD24" i="134" s="1"/>
  <c r="AI25" i="134"/>
  <c r="AJ25" i="134"/>
  <c r="AK25" i="134"/>
  <c r="AL25" i="134"/>
  <c r="AM25" i="134"/>
  <c r="AN25" i="134"/>
  <c r="AO25" i="134"/>
  <c r="AP25" i="134"/>
  <c r="AD25" i="134" s="1"/>
  <c r="AI26" i="134"/>
  <c r="AJ26" i="134"/>
  <c r="AC26" i="134" s="1"/>
  <c r="AK26" i="134"/>
  <c r="AL26" i="134"/>
  <c r="AM26" i="134"/>
  <c r="AN26" i="134"/>
  <c r="AO26" i="134"/>
  <c r="AP26" i="134"/>
  <c r="AI28" i="134"/>
  <c r="AJ28" i="134"/>
  <c r="AC28" i="134" s="1"/>
  <c r="AK28" i="134"/>
  <c r="AL28" i="134"/>
  <c r="AM28" i="134"/>
  <c r="AN28" i="134"/>
  <c r="AO28" i="134"/>
  <c r="AP28" i="134"/>
  <c r="AI29" i="134"/>
  <c r="AJ29" i="134"/>
  <c r="AK29" i="134"/>
  <c r="AL29" i="134"/>
  <c r="AM29" i="134"/>
  <c r="AN29" i="134"/>
  <c r="AO29" i="134"/>
  <c r="AP29" i="134"/>
  <c r="AI31" i="134"/>
  <c r="AJ31" i="134"/>
  <c r="AK31" i="134"/>
  <c r="AL31" i="134"/>
  <c r="AM31" i="134"/>
  <c r="AN31" i="134"/>
  <c r="AO31" i="134"/>
  <c r="AP31" i="134"/>
  <c r="AI32" i="134"/>
  <c r="AJ32" i="134"/>
  <c r="AK32" i="134"/>
  <c r="AL32" i="134"/>
  <c r="AM32" i="134"/>
  <c r="AN32" i="134"/>
  <c r="AO32" i="134"/>
  <c r="AP32" i="134"/>
  <c r="AI34" i="134"/>
  <c r="AJ34" i="134"/>
  <c r="AK34" i="134"/>
  <c r="AL34" i="134"/>
  <c r="AM34" i="134"/>
  <c r="AN34" i="134"/>
  <c r="AO34" i="134"/>
  <c r="AP34" i="134"/>
  <c r="AI35" i="134"/>
  <c r="AJ35" i="134"/>
  <c r="AK35" i="134"/>
  <c r="AL35" i="134"/>
  <c r="AM35" i="134"/>
  <c r="AN35" i="134"/>
  <c r="AO35" i="134"/>
  <c r="AP35" i="134"/>
  <c r="AI36" i="134"/>
  <c r="AJ36" i="134"/>
  <c r="AK36" i="134"/>
  <c r="AL36" i="134"/>
  <c r="AM36" i="134"/>
  <c r="AN36" i="134"/>
  <c r="AO36" i="134"/>
  <c r="AP36" i="134"/>
  <c r="AD36" i="134" s="1"/>
  <c r="AI37" i="134"/>
  <c r="AJ37" i="134"/>
  <c r="AK37" i="134"/>
  <c r="AL37" i="134"/>
  <c r="AM37" i="134"/>
  <c r="AN37" i="134"/>
  <c r="AO37" i="134"/>
  <c r="AP37" i="134"/>
  <c r="AD37" i="134" s="1"/>
  <c r="AI39" i="134"/>
  <c r="AJ39" i="134"/>
  <c r="AC39" i="134" s="1"/>
  <c r="AK39" i="134"/>
  <c r="AL39" i="134"/>
  <c r="BH39" i="134" s="1"/>
  <c r="AM39" i="134"/>
  <c r="AN39" i="134"/>
  <c r="BJ39" i="134" s="1"/>
  <c r="AO39" i="134"/>
  <c r="BK39" i="134" s="1"/>
  <c r="AP39" i="134"/>
  <c r="AI40" i="134"/>
  <c r="BE40" i="134" s="1"/>
  <c r="AJ40" i="134"/>
  <c r="AK40" i="134"/>
  <c r="BG40" i="134" s="1"/>
  <c r="AL40" i="134"/>
  <c r="BH40" i="134" s="1"/>
  <c r="AM40" i="134"/>
  <c r="BI40" i="134" s="1"/>
  <c r="AN40" i="134"/>
  <c r="BJ40" i="134" s="1"/>
  <c r="AO40" i="134"/>
  <c r="BK40" i="134" s="1"/>
  <c r="AP40" i="134"/>
  <c r="BL40" i="134" s="1"/>
  <c r="AZ40" i="134" s="1"/>
  <c r="AI42" i="134"/>
  <c r="AJ42" i="134"/>
  <c r="AC42" i="134" s="1"/>
  <c r="AK42" i="134"/>
  <c r="AL42" i="134"/>
  <c r="AM42" i="134"/>
  <c r="AN42" i="134"/>
  <c r="AO42" i="134"/>
  <c r="AP42" i="134"/>
  <c r="AI44" i="134"/>
  <c r="AJ44" i="134"/>
  <c r="AK44" i="134"/>
  <c r="AL44" i="134"/>
  <c r="AM44" i="134"/>
  <c r="AN44" i="134"/>
  <c r="AO44" i="134"/>
  <c r="AP44" i="134"/>
  <c r="AI46" i="134"/>
  <c r="AJ46" i="134"/>
  <c r="AC46" i="134" s="1"/>
  <c r="AK46" i="134"/>
  <c r="AL46" i="134"/>
  <c r="AM46" i="134"/>
  <c r="AN46" i="134"/>
  <c r="AO46" i="134"/>
  <c r="AP46" i="134"/>
  <c r="AI47" i="134"/>
  <c r="AJ47" i="134"/>
  <c r="AK47" i="134"/>
  <c r="AL47" i="134"/>
  <c r="AM47" i="134"/>
  <c r="AN47" i="134"/>
  <c r="AO47" i="134"/>
  <c r="AP47" i="134"/>
  <c r="AD47" i="134" s="1"/>
  <c r="AI48" i="134"/>
  <c r="AJ48" i="134"/>
  <c r="AC48" i="134" s="1"/>
  <c r="AK48" i="134"/>
  <c r="AL48" i="134"/>
  <c r="AM48" i="134"/>
  <c r="AN48" i="134"/>
  <c r="AO48" i="134"/>
  <c r="AP48" i="134"/>
  <c r="BW43" i="73" a="1"/>
  <c r="BW43" i="73" s="1"/>
  <c r="AZ43" i="73"/>
  <c r="AY43" i="73"/>
  <c r="BT55" i="73"/>
  <c r="BL43" i="73"/>
  <c r="BK43" i="73"/>
  <c r="BJ43" i="73"/>
  <c r="BI43" i="73"/>
  <c r="BH43" i="73"/>
  <c r="BG43" i="73"/>
  <c r="BF43" i="73"/>
  <c r="BE43" i="73"/>
  <c r="BD43" i="73"/>
  <c r="BC43" i="73"/>
  <c r="BB43" i="73"/>
  <c r="BA43" i="73"/>
  <c r="AE23" i="73"/>
  <c r="AP23" i="58"/>
  <c r="AP23" i="73"/>
  <c r="AD23" i="73" s="1"/>
  <c r="I8" i="69"/>
  <c r="AD43" i="73"/>
  <c r="AD17" i="73"/>
  <c r="AC43" i="73"/>
  <c r="AX55" i="73"/>
  <c r="AE10" i="73"/>
  <c r="AF10" i="73"/>
  <c r="AG10" i="73"/>
  <c r="AH10" i="73"/>
  <c r="AI10" i="73"/>
  <c r="AJ10" i="73"/>
  <c r="AC10" i="73" s="1"/>
  <c r="AK10" i="73"/>
  <c r="AL10" i="73"/>
  <c r="AM10" i="73"/>
  <c r="AN10" i="73"/>
  <c r="AO10" i="73"/>
  <c r="AP10" i="73"/>
  <c r="AD10" i="73" s="1"/>
  <c r="AE11" i="73"/>
  <c r="AF11" i="73"/>
  <c r="AG11" i="73"/>
  <c r="AH11" i="73"/>
  <c r="AI11" i="73"/>
  <c r="AJ11" i="73"/>
  <c r="AC11" i="73" s="1"/>
  <c r="AK11" i="73"/>
  <c r="AL11" i="73"/>
  <c r="AM11" i="73"/>
  <c r="AN11" i="73"/>
  <c r="AO11" i="73"/>
  <c r="AP11" i="73"/>
  <c r="AD11" i="73" s="1"/>
  <c r="AE12" i="73"/>
  <c r="AF12" i="73"/>
  <c r="AG12" i="73"/>
  <c r="AH12" i="73"/>
  <c r="AI12" i="73"/>
  <c r="AJ12" i="73"/>
  <c r="AC12" i="73" s="1"/>
  <c r="AK12" i="73"/>
  <c r="AL12" i="73"/>
  <c r="AM12" i="73"/>
  <c r="AN12" i="73"/>
  <c r="AO12" i="73"/>
  <c r="AP12" i="73"/>
  <c r="AD12" i="73" s="1"/>
  <c r="AE14" i="73"/>
  <c r="AF14" i="73"/>
  <c r="AG14" i="73"/>
  <c r="AH14" i="73"/>
  <c r="AI14" i="73"/>
  <c r="AJ14" i="73"/>
  <c r="AC14" i="73" s="1"/>
  <c r="AK14" i="73"/>
  <c r="AL14" i="73"/>
  <c r="AM14" i="73"/>
  <c r="AN14" i="73"/>
  <c r="AO14" i="73"/>
  <c r="AP14" i="73"/>
  <c r="AD14" i="73" s="1"/>
  <c r="AE15" i="73"/>
  <c r="AF15" i="73"/>
  <c r="AG15" i="73"/>
  <c r="AH15" i="73"/>
  <c r="AI15" i="73"/>
  <c r="AJ15" i="73"/>
  <c r="AC15" i="73" s="1"/>
  <c r="AK15" i="73"/>
  <c r="AL15" i="73"/>
  <c r="AM15" i="73"/>
  <c r="AN15" i="73"/>
  <c r="AO15" i="73"/>
  <c r="AP15" i="73"/>
  <c r="AD15" i="73" s="1"/>
  <c r="AE16" i="73"/>
  <c r="AF16" i="73"/>
  <c r="AG16" i="73"/>
  <c r="AH16" i="73"/>
  <c r="AI16" i="73"/>
  <c r="AJ16" i="73"/>
  <c r="AC16" i="73" s="1"/>
  <c r="AK16" i="73"/>
  <c r="AL16" i="73"/>
  <c r="AM16" i="73"/>
  <c r="AN16" i="73"/>
  <c r="AO16" i="73"/>
  <c r="AP16" i="73"/>
  <c r="AE19" i="73"/>
  <c r="AF19" i="73"/>
  <c r="AG19" i="73"/>
  <c r="AH19" i="73"/>
  <c r="AI19" i="73"/>
  <c r="AJ19" i="73"/>
  <c r="AC19" i="73" s="1"/>
  <c r="AK19" i="73"/>
  <c r="AL19" i="73"/>
  <c r="AM19" i="73"/>
  <c r="AN19" i="73"/>
  <c r="AO19" i="73"/>
  <c r="AP19" i="73"/>
  <c r="AD19" i="73" s="1"/>
  <c r="AE20" i="73"/>
  <c r="AF20" i="73"/>
  <c r="AG20" i="73"/>
  <c r="AH20" i="73"/>
  <c r="AI20" i="73"/>
  <c r="AJ20" i="73"/>
  <c r="AC20" i="73" s="1"/>
  <c r="AK20" i="73"/>
  <c r="AL20" i="73"/>
  <c r="AM20" i="73"/>
  <c r="AN20" i="73"/>
  <c r="AO20" i="73"/>
  <c r="AP20" i="73"/>
  <c r="AD20" i="73" s="1"/>
  <c r="AE21" i="73"/>
  <c r="AF21" i="73"/>
  <c r="AG21" i="73"/>
  <c r="AH21" i="73"/>
  <c r="AI21" i="73"/>
  <c r="AJ21" i="73"/>
  <c r="AC21" i="73" s="1"/>
  <c r="AK21" i="73"/>
  <c r="BG21" i="73" s="1"/>
  <c r="AL21" i="73"/>
  <c r="BH21" i="73" s="1"/>
  <c r="AM21" i="73"/>
  <c r="BI21" i="73" s="1"/>
  <c r="AN21" i="73"/>
  <c r="BJ21" i="73" s="1"/>
  <c r="AO21" i="73"/>
  <c r="BK21" i="73" s="1"/>
  <c r="AP21" i="73"/>
  <c r="AF23" i="73"/>
  <c r="AG23" i="73"/>
  <c r="AH23" i="73"/>
  <c r="AI23" i="73"/>
  <c r="AJ23" i="73"/>
  <c r="AC23" i="73" s="1"/>
  <c r="AK23" i="73"/>
  <c r="AL23" i="73"/>
  <c r="AM23" i="73"/>
  <c r="AN23" i="73"/>
  <c r="AO23" i="73"/>
  <c r="AE24" i="73"/>
  <c r="AF24" i="73"/>
  <c r="AG24" i="73"/>
  <c r="AH24" i="73"/>
  <c r="AI24" i="73"/>
  <c r="AJ24" i="73"/>
  <c r="AC24" i="73" s="1"/>
  <c r="AK24" i="73"/>
  <c r="AL24" i="73"/>
  <c r="AM24" i="73"/>
  <c r="AN24" i="73"/>
  <c r="AO24" i="73"/>
  <c r="AP24" i="73"/>
  <c r="AE25" i="73"/>
  <c r="AF25" i="73"/>
  <c r="AG25" i="73"/>
  <c r="AH25" i="73"/>
  <c r="AI25" i="73"/>
  <c r="AJ25" i="73"/>
  <c r="AC25" i="73" s="1"/>
  <c r="AK25" i="73"/>
  <c r="AL25" i="73"/>
  <c r="AM25" i="73"/>
  <c r="AN25" i="73"/>
  <c r="AO25" i="73"/>
  <c r="AP25" i="73"/>
  <c r="AD25" i="73" s="1"/>
  <c r="AE26" i="73"/>
  <c r="AF26" i="73"/>
  <c r="AG26" i="73"/>
  <c r="AH26" i="73"/>
  <c r="AI26" i="73"/>
  <c r="AJ26" i="73"/>
  <c r="AC26" i="73" s="1"/>
  <c r="AK26" i="73"/>
  <c r="AL26" i="73"/>
  <c r="AM26" i="73"/>
  <c r="AN26" i="73"/>
  <c r="AO26" i="73"/>
  <c r="AP26" i="73"/>
  <c r="AD26" i="73" s="1"/>
  <c r="AE28" i="73"/>
  <c r="AF28" i="73"/>
  <c r="AG28" i="73"/>
  <c r="AH28" i="73"/>
  <c r="AI28" i="73"/>
  <c r="AJ28" i="73"/>
  <c r="AC28" i="73" s="1"/>
  <c r="AK28" i="73"/>
  <c r="AL28" i="73"/>
  <c r="AM28" i="73"/>
  <c r="AN28" i="73"/>
  <c r="AO28" i="73"/>
  <c r="AP28" i="73"/>
  <c r="AD28" i="73" s="1"/>
  <c r="AE29" i="73"/>
  <c r="AF29" i="73"/>
  <c r="AG29" i="73"/>
  <c r="AH29" i="73"/>
  <c r="AI29" i="73"/>
  <c r="AJ29" i="73"/>
  <c r="AC29" i="73" s="1"/>
  <c r="AK29" i="73"/>
  <c r="AL29" i="73"/>
  <c r="AM29" i="73"/>
  <c r="AN29" i="73"/>
  <c r="AO29" i="73"/>
  <c r="AP29" i="73"/>
  <c r="AD29" i="73" s="1"/>
  <c r="AE31" i="73"/>
  <c r="AF31" i="73"/>
  <c r="AG31" i="73"/>
  <c r="AH31" i="73"/>
  <c r="AI31" i="73"/>
  <c r="AJ31" i="73"/>
  <c r="AC31" i="73" s="1"/>
  <c r="AK31" i="73"/>
  <c r="AL31" i="73"/>
  <c r="AM31" i="73"/>
  <c r="AN31" i="73"/>
  <c r="AO31" i="73"/>
  <c r="AP31" i="73"/>
  <c r="AD31" i="73" s="1"/>
  <c r="AE32" i="73"/>
  <c r="AF32" i="73"/>
  <c r="AG32" i="73"/>
  <c r="AH32" i="73"/>
  <c r="AI32" i="73"/>
  <c r="AJ32" i="73"/>
  <c r="AC32" i="73" s="1"/>
  <c r="AK32" i="73"/>
  <c r="AL32" i="73"/>
  <c r="AM32" i="73"/>
  <c r="AN32" i="73"/>
  <c r="AO32" i="73"/>
  <c r="AP32" i="73"/>
  <c r="AE34" i="73"/>
  <c r="AF34" i="73"/>
  <c r="AG34" i="73"/>
  <c r="AH34" i="73"/>
  <c r="AI34" i="73"/>
  <c r="AJ34" i="73"/>
  <c r="AC34" i="73" s="1"/>
  <c r="AK34" i="73"/>
  <c r="AL34" i="73"/>
  <c r="AM34" i="73"/>
  <c r="AN34" i="73"/>
  <c r="AO34" i="73"/>
  <c r="AP34" i="73"/>
  <c r="AD34" i="73" s="1"/>
  <c r="AE35" i="73"/>
  <c r="AF35" i="73"/>
  <c r="AG35" i="73"/>
  <c r="AH35" i="73"/>
  <c r="AI35" i="73"/>
  <c r="AJ35" i="73"/>
  <c r="AC35" i="73" s="1"/>
  <c r="AK35" i="73"/>
  <c r="AL35" i="73"/>
  <c r="AM35" i="73"/>
  <c r="AN35" i="73"/>
  <c r="AO35" i="73"/>
  <c r="AP35" i="73"/>
  <c r="AE36" i="73"/>
  <c r="AF36" i="73"/>
  <c r="AG36" i="73"/>
  <c r="AH36" i="73"/>
  <c r="AI36" i="73"/>
  <c r="AJ36" i="73"/>
  <c r="AC36" i="73" s="1"/>
  <c r="AK36" i="73"/>
  <c r="AL36" i="73"/>
  <c r="AM36" i="73"/>
  <c r="AN36" i="73"/>
  <c r="AO36" i="73"/>
  <c r="AP36" i="73"/>
  <c r="AD36" i="73" s="1"/>
  <c r="AE37" i="73"/>
  <c r="AF37" i="73"/>
  <c r="AG37" i="73"/>
  <c r="AH37" i="73"/>
  <c r="AI37" i="73"/>
  <c r="AJ37" i="73"/>
  <c r="AC37" i="73" s="1"/>
  <c r="AK37" i="73"/>
  <c r="AL37" i="73"/>
  <c r="AM37" i="73"/>
  <c r="AN37" i="73"/>
  <c r="AO37" i="73"/>
  <c r="AP37" i="73"/>
  <c r="AD37" i="73" s="1"/>
  <c r="AE39" i="73"/>
  <c r="AF39" i="73"/>
  <c r="AG39" i="73"/>
  <c r="AH39" i="73"/>
  <c r="AI39" i="73"/>
  <c r="AJ39" i="73"/>
  <c r="AC39" i="73" s="1"/>
  <c r="AK39" i="73"/>
  <c r="AL39" i="73"/>
  <c r="AM39" i="73"/>
  <c r="AN39" i="73"/>
  <c r="AO39" i="73"/>
  <c r="AP39" i="73"/>
  <c r="AD39" i="73" s="1"/>
  <c r="AE40" i="73"/>
  <c r="AF40" i="73"/>
  <c r="AG40" i="73"/>
  <c r="AH40" i="73"/>
  <c r="AI40" i="73"/>
  <c r="AJ40" i="73"/>
  <c r="AC40" i="73" s="1"/>
  <c r="AK40" i="73"/>
  <c r="AL40" i="73"/>
  <c r="AM40" i="73"/>
  <c r="AN40" i="73"/>
  <c r="AO40" i="73"/>
  <c r="AP40" i="73"/>
  <c r="AD40" i="73" s="1"/>
  <c r="AE42" i="73"/>
  <c r="AF42" i="73"/>
  <c r="AG42" i="73"/>
  <c r="AH42" i="73"/>
  <c r="AI42" i="73"/>
  <c r="AJ42" i="73"/>
  <c r="AC42" i="73" s="1"/>
  <c r="AK42" i="73"/>
  <c r="AL42" i="73"/>
  <c r="AM42" i="73"/>
  <c r="AN42" i="73"/>
  <c r="AO42" i="73"/>
  <c r="AP42" i="73"/>
  <c r="AD42" i="73" s="1"/>
  <c r="AE44" i="73"/>
  <c r="AF44" i="73"/>
  <c r="AG44" i="73"/>
  <c r="AH44" i="73"/>
  <c r="AI44" i="73"/>
  <c r="AJ44" i="73"/>
  <c r="AC44" i="73" s="1"/>
  <c r="AK44" i="73"/>
  <c r="AL44" i="73"/>
  <c r="AM44" i="73"/>
  <c r="AN44" i="73"/>
  <c r="AO44" i="73"/>
  <c r="AP44" i="73"/>
  <c r="AD44" i="73" s="1"/>
  <c r="AE46" i="73"/>
  <c r="AF46" i="73"/>
  <c r="AG46" i="73"/>
  <c r="AH46" i="73"/>
  <c r="AI46" i="73"/>
  <c r="AJ46" i="73"/>
  <c r="AC46" i="73" s="1"/>
  <c r="AK46" i="73"/>
  <c r="AL46" i="73"/>
  <c r="AM46" i="73"/>
  <c r="AN46" i="73"/>
  <c r="AO46" i="73"/>
  <c r="AP46" i="73"/>
  <c r="AD46" i="73" s="1"/>
  <c r="AE47" i="73"/>
  <c r="AF47" i="73"/>
  <c r="AG47" i="73"/>
  <c r="AH47" i="73"/>
  <c r="AI47" i="73"/>
  <c r="AJ47" i="73"/>
  <c r="AC47" i="73" s="1"/>
  <c r="AK47" i="73"/>
  <c r="AL47" i="73"/>
  <c r="AM47" i="73"/>
  <c r="AN47" i="73"/>
  <c r="AO47" i="73"/>
  <c r="AP47" i="73"/>
  <c r="AD47" i="73" s="1"/>
  <c r="AE48" i="73"/>
  <c r="AF48" i="73"/>
  <c r="AG48" i="73"/>
  <c r="AH48" i="73"/>
  <c r="AI48" i="73"/>
  <c r="AJ48" i="73"/>
  <c r="AC48" i="73" s="1"/>
  <c r="AK48" i="73"/>
  <c r="AL48" i="73"/>
  <c r="AM48" i="73"/>
  <c r="AN48" i="73"/>
  <c r="AO48" i="73"/>
  <c r="AP48" i="73"/>
  <c r="AD48" i="73" s="1"/>
  <c r="AE8" i="73"/>
  <c r="AF8" i="73"/>
  <c r="AG8" i="73"/>
  <c r="AH8" i="73"/>
  <c r="AI8" i="73"/>
  <c r="AJ8" i="73"/>
  <c r="AK8" i="73"/>
  <c r="AL8" i="73"/>
  <c r="AM8" i="73"/>
  <c r="AN8" i="73"/>
  <c r="AO8" i="73"/>
  <c r="AP8" i="73"/>
  <c r="AD8" i="73" s="1"/>
  <c r="BW44" i="58" a="1"/>
  <c r="BW44" i="58" s="1"/>
  <c r="BU44" i="58"/>
  <c r="BV44" i="58"/>
  <c r="BL50" i="58"/>
  <c r="AZ50" i="58" s="1"/>
  <c r="BK50" i="58"/>
  <c r="BH50" i="58"/>
  <c r="BC50" i="58"/>
  <c r="BA50" i="58"/>
  <c r="AD44" i="58"/>
  <c r="AC44" i="58"/>
  <c r="BL44" i="58"/>
  <c r="BK44" i="58"/>
  <c r="BJ44" i="58"/>
  <c r="BI44" i="58"/>
  <c r="BH44" i="58"/>
  <c r="BG44" i="58"/>
  <c r="BF44" i="58"/>
  <c r="BE44" i="58"/>
  <c r="BD44" i="58"/>
  <c r="BC44" i="58"/>
  <c r="BB44" i="58"/>
  <c r="BA44" i="58"/>
  <c r="AZ44" i="58"/>
  <c r="AY44" i="58"/>
  <c r="BK21" i="58"/>
  <c r="AX17" i="58"/>
  <c r="AX7" i="58"/>
  <c r="AX69" i="58" s="1"/>
  <c r="AB17" i="58"/>
  <c r="AB7" i="58"/>
  <c r="AB69" i="58" s="1"/>
  <c r="AE8" i="58"/>
  <c r="AE10" i="58"/>
  <c r="AE11" i="58"/>
  <c r="AE12" i="58"/>
  <c r="AE14" i="58"/>
  <c r="AE15" i="58"/>
  <c r="AE16" i="58"/>
  <c r="AE19" i="58"/>
  <c r="AE20" i="58"/>
  <c r="AE21" i="58"/>
  <c r="BA21" i="58" s="1"/>
  <c r="AE23" i="58"/>
  <c r="AE24" i="58"/>
  <c r="AE25" i="58"/>
  <c r="AE26" i="58"/>
  <c r="AE28" i="58"/>
  <c r="AE29" i="58"/>
  <c r="AE31" i="58"/>
  <c r="AE32" i="58"/>
  <c r="AE34" i="58"/>
  <c r="AE36" i="58"/>
  <c r="AE37" i="58"/>
  <c r="AE38" i="58"/>
  <c r="AE39" i="58"/>
  <c r="AE40" i="58"/>
  <c r="AE41" i="58"/>
  <c r="AE43" i="58"/>
  <c r="AE46" i="58"/>
  <c r="AE47" i="58"/>
  <c r="AE48" i="58"/>
  <c r="AE50" i="58"/>
  <c r="AE51" i="58"/>
  <c r="AE52" i="58"/>
  <c r="AE54" i="58"/>
  <c r="AE55" i="58"/>
  <c r="AE56" i="58"/>
  <c r="AE57" i="58"/>
  <c r="AE59" i="58"/>
  <c r="AE60" i="58"/>
  <c r="AE61" i="58"/>
  <c r="AE62" i="58"/>
  <c r="AF8" i="58"/>
  <c r="AG8" i="58"/>
  <c r="AH8" i="58"/>
  <c r="AI8" i="58"/>
  <c r="AJ8" i="58"/>
  <c r="AC8" i="58" s="1"/>
  <c r="AK8" i="58"/>
  <c r="AL8" i="58"/>
  <c r="AM8" i="58"/>
  <c r="AN8" i="58"/>
  <c r="AO8" i="58"/>
  <c r="AP8" i="58"/>
  <c r="AD8" i="58" s="1"/>
  <c r="AF10" i="58"/>
  <c r="AG10" i="58"/>
  <c r="AH10" i="58"/>
  <c r="AI10" i="58"/>
  <c r="AJ10" i="58"/>
  <c r="AC10" i="58" s="1"/>
  <c r="AK10" i="58"/>
  <c r="AL10" i="58"/>
  <c r="AM10" i="58"/>
  <c r="AN10" i="58"/>
  <c r="AO10" i="58"/>
  <c r="AP10" i="58"/>
  <c r="AD10" i="58" s="1"/>
  <c r="AF11" i="58"/>
  <c r="AG11" i="58"/>
  <c r="AH11" i="58"/>
  <c r="AI11" i="58"/>
  <c r="AJ11" i="58"/>
  <c r="AC11" i="58" s="1"/>
  <c r="AK11" i="58"/>
  <c r="AL11" i="58"/>
  <c r="AM11" i="58"/>
  <c r="AN11" i="58"/>
  <c r="AO11" i="58"/>
  <c r="AP11" i="58"/>
  <c r="AD11" i="58" s="1"/>
  <c r="AF12" i="58"/>
  <c r="AG12" i="58"/>
  <c r="AH12" i="58"/>
  <c r="AI12" i="58"/>
  <c r="AJ12" i="58"/>
  <c r="AC12" i="58" s="1"/>
  <c r="AK12" i="58"/>
  <c r="AL12" i="58"/>
  <c r="AM12" i="58"/>
  <c r="AN12" i="58"/>
  <c r="AO12" i="58"/>
  <c r="AP12" i="58"/>
  <c r="AD12" i="58" s="1"/>
  <c r="AF14" i="58"/>
  <c r="AG14" i="58"/>
  <c r="AH14" i="58"/>
  <c r="AI14" i="58"/>
  <c r="AJ14" i="58"/>
  <c r="AC14" i="58" s="1"/>
  <c r="AK14" i="58"/>
  <c r="AL14" i="58"/>
  <c r="AM14" i="58"/>
  <c r="AN14" i="58"/>
  <c r="AO14" i="58"/>
  <c r="AP14" i="58"/>
  <c r="AD14" i="58" s="1"/>
  <c r="AF15" i="58"/>
  <c r="AG15" i="58"/>
  <c r="AH15" i="58"/>
  <c r="AI15" i="58"/>
  <c r="AJ15" i="58"/>
  <c r="AC15" i="58" s="1"/>
  <c r="AK15" i="58"/>
  <c r="AL15" i="58"/>
  <c r="AM15" i="58"/>
  <c r="AN15" i="58"/>
  <c r="AO15" i="58"/>
  <c r="AP15" i="58"/>
  <c r="AD15" i="58" s="1"/>
  <c r="AF16" i="58"/>
  <c r="AG16" i="58"/>
  <c r="AH16" i="58"/>
  <c r="AI16" i="58"/>
  <c r="AJ16" i="58"/>
  <c r="AC16" i="58" s="1"/>
  <c r="AK16" i="58"/>
  <c r="AL16" i="58"/>
  <c r="AM16" i="58"/>
  <c r="AN16" i="58"/>
  <c r="AO16" i="58"/>
  <c r="AP16" i="58"/>
  <c r="AD16" i="58" s="1"/>
  <c r="AF19" i="58"/>
  <c r="AG19" i="58"/>
  <c r="AH19" i="58"/>
  <c r="AI19" i="58"/>
  <c r="AJ19" i="58"/>
  <c r="AC19" i="58" s="1"/>
  <c r="AK19" i="58"/>
  <c r="AL19" i="58"/>
  <c r="AM19" i="58"/>
  <c r="AN19" i="58"/>
  <c r="AO19" i="58"/>
  <c r="AP19" i="58"/>
  <c r="AD19" i="58" s="1"/>
  <c r="AF20" i="58"/>
  <c r="AG20" i="58"/>
  <c r="AH20" i="58"/>
  <c r="AI20" i="58"/>
  <c r="AJ20" i="58"/>
  <c r="AC20" i="58" s="1"/>
  <c r="AK20" i="58"/>
  <c r="AL20" i="58"/>
  <c r="AM20" i="58"/>
  <c r="AN20" i="58"/>
  <c r="AO20" i="58"/>
  <c r="AP20" i="58"/>
  <c r="AD20" i="58" s="1"/>
  <c r="AF21" i="58"/>
  <c r="BB21" i="58" s="1"/>
  <c r="AG21" i="58"/>
  <c r="BC21" i="58" s="1"/>
  <c r="AH21" i="58"/>
  <c r="BD21" i="58" s="1"/>
  <c r="AI21" i="58"/>
  <c r="BE21" i="58" s="1"/>
  <c r="AJ21" i="58"/>
  <c r="AC21" i="58" s="1"/>
  <c r="AK21" i="58"/>
  <c r="BG21" i="58" s="1"/>
  <c r="AL21" i="58"/>
  <c r="BH21" i="58" s="1"/>
  <c r="AM21" i="58"/>
  <c r="BI21" i="58" s="1"/>
  <c r="AN21" i="58"/>
  <c r="BJ21" i="58" s="1"/>
  <c r="AO21" i="58"/>
  <c r="AP21" i="58"/>
  <c r="AD21" i="58" s="1"/>
  <c r="AF23" i="58"/>
  <c r="AG23" i="58"/>
  <c r="AH23" i="58"/>
  <c r="AI23" i="58"/>
  <c r="AJ23" i="58"/>
  <c r="AC23" i="58" s="1"/>
  <c r="AK23" i="58"/>
  <c r="AL23" i="58"/>
  <c r="AM23" i="58"/>
  <c r="AN23" i="58"/>
  <c r="AO23" i="58"/>
  <c r="AF24" i="58"/>
  <c r="AG24" i="58"/>
  <c r="AH24" i="58"/>
  <c r="AI24" i="58"/>
  <c r="AJ24" i="58"/>
  <c r="AC24" i="58" s="1"/>
  <c r="AK24" i="58"/>
  <c r="AL24" i="58"/>
  <c r="AM24" i="58"/>
  <c r="AN24" i="58"/>
  <c r="AO24" i="58"/>
  <c r="AP24" i="58"/>
  <c r="AF25" i="58"/>
  <c r="AG25" i="58"/>
  <c r="AH25" i="58"/>
  <c r="AI25" i="58"/>
  <c r="AJ25" i="58"/>
  <c r="AC25" i="58" s="1"/>
  <c r="AK25" i="58"/>
  <c r="AL25" i="58"/>
  <c r="AM25" i="58"/>
  <c r="AN25" i="58"/>
  <c r="AO25" i="58"/>
  <c r="AP25" i="58"/>
  <c r="AD25" i="58" s="1"/>
  <c r="AF26" i="58"/>
  <c r="AG26" i="58"/>
  <c r="AH26" i="58"/>
  <c r="AI26" i="58"/>
  <c r="AJ26" i="58"/>
  <c r="AC26" i="58" s="1"/>
  <c r="AK26" i="58"/>
  <c r="AL26" i="58"/>
  <c r="AM26" i="58"/>
  <c r="AN26" i="58"/>
  <c r="AO26" i="58"/>
  <c r="AP26" i="58"/>
  <c r="AD26" i="58" s="1"/>
  <c r="AF28" i="58"/>
  <c r="AG28" i="58"/>
  <c r="AH28" i="58"/>
  <c r="AI28" i="58"/>
  <c r="AJ28" i="58"/>
  <c r="AC28" i="58" s="1"/>
  <c r="AK28" i="58"/>
  <c r="AL28" i="58"/>
  <c r="AM28" i="58"/>
  <c r="AN28" i="58"/>
  <c r="AO28" i="58"/>
  <c r="AP28" i="58"/>
  <c r="AD28" i="58" s="1"/>
  <c r="AF29" i="58"/>
  <c r="AG29" i="58"/>
  <c r="AH29" i="58"/>
  <c r="AI29" i="58"/>
  <c r="AJ29" i="58"/>
  <c r="AC29" i="58" s="1"/>
  <c r="AK29" i="58"/>
  <c r="AL29" i="58"/>
  <c r="AM29" i="58"/>
  <c r="AN29" i="58"/>
  <c r="AO29" i="58"/>
  <c r="AP29" i="58"/>
  <c r="AF31" i="58"/>
  <c r="AG31" i="58"/>
  <c r="AH31" i="58"/>
  <c r="AI31" i="58"/>
  <c r="AJ31" i="58"/>
  <c r="AC31" i="58" s="1"/>
  <c r="AK31" i="58"/>
  <c r="AL31" i="58"/>
  <c r="AM31" i="58"/>
  <c r="AN31" i="58"/>
  <c r="AO31" i="58"/>
  <c r="AP31" i="58"/>
  <c r="AF32" i="58"/>
  <c r="AG32" i="58"/>
  <c r="AH32" i="58"/>
  <c r="AI32" i="58"/>
  <c r="AJ32" i="58"/>
  <c r="AC32" i="58" s="1"/>
  <c r="AK32" i="58"/>
  <c r="AL32" i="58"/>
  <c r="AM32" i="58"/>
  <c r="AN32" i="58"/>
  <c r="AO32" i="58"/>
  <c r="AP32" i="58"/>
  <c r="AD32" i="58" s="1"/>
  <c r="AF34" i="58"/>
  <c r="AG34" i="58"/>
  <c r="AH34" i="58"/>
  <c r="AI34" i="58"/>
  <c r="AJ34" i="58"/>
  <c r="AC34" i="58" s="1"/>
  <c r="AK34" i="58"/>
  <c r="AL34" i="58"/>
  <c r="AM34" i="58"/>
  <c r="AN34" i="58"/>
  <c r="AO34" i="58"/>
  <c r="AP34" i="58"/>
  <c r="AD34" i="58" s="1"/>
  <c r="AF36" i="58"/>
  <c r="AG36" i="58"/>
  <c r="AH36" i="58"/>
  <c r="AI36" i="58"/>
  <c r="AJ36" i="58"/>
  <c r="AC36" i="58" s="1"/>
  <c r="AK36" i="58"/>
  <c r="AL36" i="58"/>
  <c r="AM36" i="58"/>
  <c r="AN36" i="58"/>
  <c r="AO36" i="58"/>
  <c r="AP36" i="58"/>
  <c r="AD36" i="58" s="1"/>
  <c r="AF37" i="58"/>
  <c r="AG37" i="58"/>
  <c r="AH37" i="58"/>
  <c r="AI37" i="58"/>
  <c r="AJ37" i="58"/>
  <c r="AC37" i="58" s="1"/>
  <c r="AK37" i="58"/>
  <c r="AL37" i="58"/>
  <c r="AM37" i="58"/>
  <c r="AN37" i="58"/>
  <c r="AO37" i="58"/>
  <c r="AP37" i="58"/>
  <c r="AD37" i="58" s="1"/>
  <c r="AF38" i="58"/>
  <c r="AG38" i="58"/>
  <c r="AH38" i="58"/>
  <c r="AI38" i="58"/>
  <c r="AJ38" i="58"/>
  <c r="AK38" i="58"/>
  <c r="AL38" i="58"/>
  <c r="AM38" i="58"/>
  <c r="AN38" i="58"/>
  <c r="AO38" i="58"/>
  <c r="AP38" i="58"/>
  <c r="AD38" i="58" s="1"/>
  <c r="AF39" i="58"/>
  <c r="AG39" i="58"/>
  <c r="AH39" i="58"/>
  <c r="AI39" i="58"/>
  <c r="AJ39" i="58"/>
  <c r="AK39" i="58"/>
  <c r="AL39" i="58"/>
  <c r="AM39" i="58"/>
  <c r="AN39" i="58"/>
  <c r="AO39" i="58"/>
  <c r="AP39" i="58"/>
  <c r="AD39" i="58" s="1"/>
  <c r="AF40" i="58"/>
  <c r="AG40" i="58"/>
  <c r="AH40" i="58"/>
  <c r="AI40" i="58"/>
  <c r="AJ40" i="58"/>
  <c r="AC40" i="58" s="1"/>
  <c r="AK40" i="58"/>
  <c r="AL40" i="58"/>
  <c r="AM40" i="58"/>
  <c r="AN40" i="58"/>
  <c r="AO40" i="58"/>
  <c r="AP40" i="58"/>
  <c r="AD40" i="58" s="1"/>
  <c r="AF41" i="58"/>
  <c r="AG41" i="58"/>
  <c r="AH41" i="58"/>
  <c r="AI41" i="58"/>
  <c r="AJ41" i="58"/>
  <c r="AC41" i="58" s="1"/>
  <c r="AK41" i="58"/>
  <c r="AL41" i="58"/>
  <c r="AM41" i="58"/>
  <c r="AN41" i="58"/>
  <c r="AO41" i="58"/>
  <c r="AP41" i="58"/>
  <c r="AD41" i="58" s="1"/>
  <c r="AF43" i="58"/>
  <c r="AG43" i="58"/>
  <c r="AH43" i="58"/>
  <c r="AI43" i="58"/>
  <c r="AJ43" i="58"/>
  <c r="AC43" i="58" s="1"/>
  <c r="AK43" i="58"/>
  <c r="AL43" i="58"/>
  <c r="AM43" i="58"/>
  <c r="AN43" i="58"/>
  <c r="AO43" i="58"/>
  <c r="AP43" i="58"/>
  <c r="AD43" i="58" s="1"/>
  <c r="AF46" i="58"/>
  <c r="AG46" i="58"/>
  <c r="AH46" i="58"/>
  <c r="AI46" i="58"/>
  <c r="AJ46" i="58"/>
  <c r="AC46" i="58" s="1"/>
  <c r="AK46" i="58"/>
  <c r="AL46" i="58"/>
  <c r="AM46" i="58"/>
  <c r="AN46" i="58"/>
  <c r="AO46" i="58"/>
  <c r="AP46" i="58"/>
  <c r="AD46" i="58" s="1"/>
  <c r="AF47" i="58"/>
  <c r="AG47" i="58"/>
  <c r="AH47" i="58"/>
  <c r="AI47" i="58"/>
  <c r="AJ47" i="58"/>
  <c r="AC47" i="58" s="1"/>
  <c r="AK47" i="58"/>
  <c r="AL47" i="58"/>
  <c r="AM47" i="58"/>
  <c r="AN47" i="58"/>
  <c r="AO47" i="58"/>
  <c r="AP47" i="58"/>
  <c r="AD47" i="58" s="1"/>
  <c r="AF48" i="58"/>
  <c r="AG48" i="58"/>
  <c r="AH48" i="58"/>
  <c r="AI48" i="58"/>
  <c r="AJ48" i="58"/>
  <c r="AC48" i="58" s="1"/>
  <c r="AK48" i="58"/>
  <c r="AL48" i="58"/>
  <c r="AM48" i="58"/>
  <c r="AN48" i="58"/>
  <c r="AO48" i="58"/>
  <c r="AP48" i="58"/>
  <c r="AD48" i="58" s="1"/>
  <c r="AF50" i="58"/>
  <c r="BB50" i="58" s="1"/>
  <c r="AG50" i="58"/>
  <c r="AH50" i="58"/>
  <c r="BD50" i="58" s="1"/>
  <c r="AI50" i="58"/>
  <c r="BE50" i="58" s="1"/>
  <c r="AJ50" i="58"/>
  <c r="AC50" i="58" s="1"/>
  <c r="AK50" i="58"/>
  <c r="BG50" i="58" s="1"/>
  <c r="AL50" i="58"/>
  <c r="AM50" i="58"/>
  <c r="BI50" i="58" s="1"/>
  <c r="AN50" i="58"/>
  <c r="BJ50" i="58" s="1"/>
  <c r="AO50" i="58"/>
  <c r="AP50" i="58"/>
  <c r="AD50" i="58" s="1"/>
  <c r="AF51" i="58"/>
  <c r="AG51" i="58"/>
  <c r="AH51" i="58"/>
  <c r="AI51" i="58"/>
  <c r="AJ51" i="58"/>
  <c r="AC51" i="58" s="1"/>
  <c r="AK51" i="58"/>
  <c r="AL51" i="58"/>
  <c r="AM51" i="58"/>
  <c r="AN51" i="58"/>
  <c r="AO51" i="58"/>
  <c r="AP51" i="58"/>
  <c r="AD51" i="58" s="1"/>
  <c r="AF52" i="58"/>
  <c r="AG52" i="58"/>
  <c r="AH52" i="58"/>
  <c r="AI52" i="58"/>
  <c r="AJ52" i="58"/>
  <c r="AC52" i="58" s="1"/>
  <c r="AK52" i="58"/>
  <c r="AL52" i="58"/>
  <c r="AM52" i="58"/>
  <c r="AN52" i="58"/>
  <c r="AO52" i="58"/>
  <c r="AP52" i="58"/>
  <c r="AD52" i="58" s="1"/>
  <c r="AF54" i="58"/>
  <c r="AG54" i="58"/>
  <c r="AH54" i="58"/>
  <c r="AI54" i="58"/>
  <c r="AJ54" i="58"/>
  <c r="AC54" i="58" s="1"/>
  <c r="AK54" i="58"/>
  <c r="AL54" i="58"/>
  <c r="AM54" i="58"/>
  <c r="AN54" i="58"/>
  <c r="AO54" i="58"/>
  <c r="AP54" i="58"/>
  <c r="AD54" i="58" s="1"/>
  <c r="AF55" i="58"/>
  <c r="AG55" i="58"/>
  <c r="AH55" i="58"/>
  <c r="AI55" i="58"/>
  <c r="AJ55" i="58"/>
  <c r="AK55" i="58"/>
  <c r="AL55" i="58"/>
  <c r="AM55" i="58"/>
  <c r="AN55" i="58"/>
  <c r="AO55" i="58"/>
  <c r="AP55" i="58"/>
  <c r="AD55" i="58" s="1"/>
  <c r="AF56" i="58"/>
  <c r="AG56" i="58"/>
  <c r="AH56" i="58"/>
  <c r="AI56" i="58"/>
  <c r="AJ56" i="58"/>
  <c r="AK56" i="58"/>
  <c r="AL56" i="58"/>
  <c r="AM56" i="58"/>
  <c r="AN56" i="58"/>
  <c r="AO56" i="58"/>
  <c r="AP56" i="58"/>
  <c r="AD56" i="58" s="1"/>
  <c r="AF57" i="58"/>
  <c r="AG57" i="58"/>
  <c r="AH57" i="58"/>
  <c r="AI57" i="58"/>
  <c r="AJ57" i="58"/>
  <c r="AC57" i="58" s="1"/>
  <c r="AK57" i="58"/>
  <c r="AL57" i="58"/>
  <c r="AM57" i="58"/>
  <c r="AN57" i="58"/>
  <c r="AO57" i="58"/>
  <c r="AP57" i="58"/>
  <c r="AD57" i="58" s="1"/>
  <c r="AF59" i="58"/>
  <c r="AG59" i="58"/>
  <c r="AH59" i="58"/>
  <c r="AI59" i="58"/>
  <c r="AJ59" i="58"/>
  <c r="AC59" i="58" s="1"/>
  <c r="AK59" i="58"/>
  <c r="AL59" i="58"/>
  <c r="AM59" i="58"/>
  <c r="AN59" i="58"/>
  <c r="AO59" i="58"/>
  <c r="AP59" i="58"/>
  <c r="AD59" i="58" s="1"/>
  <c r="AF60" i="58"/>
  <c r="AG60" i="58"/>
  <c r="AH60" i="58"/>
  <c r="AI60" i="58"/>
  <c r="AJ60" i="58"/>
  <c r="AC60" i="58" s="1"/>
  <c r="AK60" i="58"/>
  <c r="AL60" i="58"/>
  <c r="AM60" i="58"/>
  <c r="AN60" i="58"/>
  <c r="AO60" i="58"/>
  <c r="AP60" i="58"/>
  <c r="AD60" i="58" s="1"/>
  <c r="AF61" i="58"/>
  <c r="AG61" i="58"/>
  <c r="AH61" i="58"/>
  <c r="AI61" i="58"/>
  <c r="AJ61" i="58"/>
  <c r="AC61" i="58" s="1"/>
  <c r="AK61" i="58"/>
  <c r="AL61" i="58"/>
  <c r="AM61" i="58"/>
  <c r="AN61" i="58"/>
  <c r="AO61" i="58"/>
  <c r="AP61" i="58"/>
  <c r="AD61" i="58" s="1"/>
  <c r="AF62" i="58"/>
  <c r="AG62" i="58"/>
  <c r="AH62" i="58"/>
  <c r="AI62" i="58"/>
  <c r="AJ62" i="58"/>
  <c r="AC62" i="58" s="1"/>
  <c r="AK62" i="58"/>
  <c r="AL62" i="58"/>
  <c r="AM62" i="58"/>
  <c r="AN62" i="58"/>
  <c r="AO62" i="58"/>
  <c r="AP62" i="58"/>
  <c r="AD62" i="58" s="1"/>
  <c r="I8" i="36"/>
  <c r="J8" i="36"/>
  <c r="K8" i="36"/>
  <c r="L8" i="36"/>
  <c r="M8" i="36"/>
  <c r="N8" i="36"/>
  <c r="O8" i="36"/>
  <c r="P8" i="36"/>
  <c r="Q8" i="36"/>
  <c r="R8" i="36"/>
  <c r="H8" i="35" s="1"/>
  <c r="S8" i="36"/>
  <c r="T8" i="36"/>
  <c r="I10" i="36"/>
  <c r="J10" i="36"/>
  <c r="K10" i="36"/>
  <c r="L10" i="36"/>
  <c r="M10" i="36"/>
  <c r="N10" i="36"/>
  <c r="O10" i="36"/>
  <c r="P10" i="36"/>
  <c r="Q10" i="36"/>
  <c r="R10" i="36"/>
  <c r="S10" i="36"/>
  <c r="T10" i="36"/>
  <c r="I11" i="36"/>
  <c r="J11" i="36"/>
  <c r="K11" i="36"/>
  <c r="L11" i="36"/>
  <c r="M11" i="36"/>
  <c r="N11" i="36"/>
  <c r="O11" i="36"/>
  <c r="P11" i="36"/>
  <c r="Q11" i="36"/>
  <c r="R11" i="36"/>
  <c r="S11" i="36"/>
  <c r="T11" i="36"/>
  <c r="I12" i="36"/>
  <c r="J12" i="36"/>
  <c r="K12" i="36"/>
  <c r="L12" i="36"/>
  <c r="M12" i="36"/>
  <c r="N12" i="36"/>
  <c r="O12" i="36"/>
  <c r="P12" i="36"/>
  <c r="Q12" i="36"/>
  <c r="R12" i="36"/>
  <c r="S12" i="36"/>
  <c r="T12" i="36"/>
  <c r="I14" i="36"/>
  <c r="J14" i="36"/>
  <c r="K14" i="36"/>
  <c r="L14" i="36"/>
  <c r="M14" i="36"/>
  <c r="N14" i="36"/>
  <c r="O14" i="36"/>
  <c r="P14" i="36"/>
  <c r="Q14" i="36"/>
  <c r="R14" i="36"/>
  <c r="S14" i="36"/>
  <c r="T14" i="36"/>
  <c r="I15" i="36"/>
  <c r="J15" i="36"/>
  <c r="K15" i="36"/>
  <c r="L15" i="36"/>
  <c r="M15" i="36"/>
  <c r="N15" i="36"/>
  <c r="O15" i="36"/>
  <c r="P15" i="36"/>
  <c r="Q15" i="36"/>
  <c r="R15" i="36"/>
  <c r="S15" i="36"/>
  <c r="T15" i="36"/>
  <c r="I16" i="36"/>
  <c r="J16" i="36"/>
  <c r="K16" i="36"/>
  <c r="L16" i="36"/>
  <c r="M16" i="36"/>
  <c r="N16" i="36"/>
  <c r="O16" i="36"/>
  <c r="P16" i="36"/>
  <c r="Q16" i="36"/>
  <c r="R16" i="36"/>
  <c r="S16" i="36"/>
  <c r="T16" i="36"/>
  <c r="I19" i="36"/>
  <c r="J19" i="36"/>
  <c r="K19" i="36"/>
  <c r="L19" i="36"/>
  <c r="M19" i="36"/>
  <c r="N19" i="36"/>
  <c r="O19" i="36"/>
  <c r="P19" i="36"/>
  <c r="Q19" i="36"/>
  <c r="R19" i="36"/>
  <c r="S19" i="36"/>
  <c r="T19" i="36"/>
  <c r="I20" i="36"/>
  <c r="J20" i="36"/>
  <c r="K20" i="36"/>
  <c r="L20" i="36"/>
  <c r="M20" i="36"/>
  <c r="N20" i="36"/>
  <c r="O20" i="36"/>
  <c r="P20" i="36"/>
  <c r="Q20" i="36"/>
  <c r="R20" i="36"/>
  <c r="S20" i="36"/>
  <c r="T20" i="36"/>
  <c r="I21" i="36"/>
  <c r="J21" i="36"/>
  <c r="K21" i="36"/>
  <c r="L21" i="36"/>
  <c r="M21" i="36"/>
  <c r="N21" i="36"/>
  <c r="O21" i="36"/>
  <c r="P21" i="36"/>
  <c r="Q21" i="36"/>
  <c r="R21" i="36"/>
  <c r="S21" i="36"/>
  <c r="T21" i="36"/>
  <c r="I23" i="36"/>
  <c r="J23" i="36"/>
  <c r="K23" i="36"/>
  <c r="L23" i="36"/>
  <c r="M23" i="36"/>
  <c r="N23" i="36"/>
  <c r="O23" i="36"/>
  <c r="P23" i="36"/>
  <c r="Q23" i="36"/>
  <c r="R23" i="36"/>
  <c r="H23" i="35" s="1"/>
  <c r="S23" i="36"/>
  <c r="T23" i="36"/>
  <c r="I24" i="36"/>
  <c r="J24" i="36"/>
  <c r="K24" i="36"/>
  <c r="L24" i="36"/>
  <c r="M24" i="36"/>
  <c r="N24" i="36"/>
  <c r="O24" i="36"/>
  <c r="P24" i="36"/>
  <c r="Q24" i="36"/>
  <c r="R24" i="36"/>
  <c r="S24" i="36"/>
  <c r="T24" i="36"/>
  <c r="I25" i="36"/>
  <c r="J25" i="36"/>
  <c r="K25" i="36"/>
  <c r="L25" i="36"/>
  <c r="M25" i="36"/>
  <c r="N25" i="36"/>
  <c r="O25" i="36"/>
  <c r="P25" i="36"/>
  <c r="Q25" i="36"/>
  <c r="R25" i="36"/>
  <c r="S25" i="36"/>
  <c r="T25" i="36"/>
  <c r="I26" i="36"/>
  <c r="J26" i="36"/>
  <c r="K26" i="36"/>
  <c r="L26" i="36"/>
  <c r="M26" i="36"/>
  <c r="N26" i="36"/>
  <c r="O26" i="36"/>
  <c r="P26" i="36"/>
  <c r="Q26" i="36"/>
  <c r="R26" i="36"/>
  <c r="S26" i="36"/>
  <c r="T26" i="36"/>
  <c r="I28" i="36"/>
  <c r="J28" i="36"/>
  <c r="K28" i="36"/>
  <c r="L28" i="36"/>
  <c r="M28" i="36"/>
  <c r="N28" i="36"/>
  <c r="O28" i="36"/>
  <c r="P28" i="36"/>
  <c r="Q28" i="36"/>
  <c r="R28" i="36"/>
  <c r="S28" i="36"/>
  <c r="T28" i="36"/>
  <c r="I29" i="36"/>
  <c r="J29" i="36"/>
  <c r="K29" i="36"/>
  <c r="L29" i="36"/>
  <c r="M29" i="36"/>
  <c r="N29" i="36"/>
  <c r="O29" i="36"/>
  <c r="P29" i="36"/>
  <c r="Q29" i="36"/>
  <c r="R29" i="36"/>
  <c r="S29" i="36"/>
  <c r="T29" i="36"/>
  <c r="I31" i="36"/>
  <c r="J31" i="36"/>
  <c r="K31" i="36"/>
  <c r="L31" i="36"/>
  <c r="M31" i="36"/>
  <c r="N31" i="36"/>
  <c r="O31" i="36"/>
  <c r="P31" i="36"/>
  <c r="Q31" i="36"/>
  <c r="R31" i="36"/>
  <c r="S31" i="36"/>
  <c r="T31" i="36"/>
  <c r="I32" i="36"/>
  <c r="J32" i="36"/>
  <c r="K32" i="36"/>
  <c r="L32" i="36"/>
  <c r="M32" i="36"/>
  <c r="N32" i="36"/>
  <c r="O32" i="36"/>
  <c r="P32" i="36"/>
  <c r="Q32" i="36"/>
  <c r="R32" i="36"/>
  <c r="S32" i="36"/>
  <c r="T32" i="36"/>
  <c r="I34" i="36"/>
  <c r="J34" i="36"/>
  <c r="K34" i="36"/>
  <c r="L34" i="36"/>
  <c r="M34" i="36"/>
  <c r="N34" i="36"/>
  <c r="O34" i="36"/>
  <c r="P34" i="36"/>
  <c r="Q34" i="36"/>
  <c r="R34" i="36"/>
  <c r="S34" i="36"/>
  <c r="T34" i="36"/>
  <c r="I36" i="36"/>
  <c r="J36" i="36"/>
  <c r="K36" i="36"/>
  <c r="L36" i="36"/>
  <c r="M36" i="36"/>
  <c r="N36" i="36"/>
  <c r="O36" i="36"/>
  <c r="P36" i="36"/>
  <c r="Q36" i="36"/>
  <c r="R36" i="36"/>
  <c r="S36" i="36"/>
  <c r="T36" i="36"/>
  <c r="I37" i="36"/>
  <c r="J37" i="36"/>
  <c r="K37" i="36"/>
  <c r="L37" i="36"/>
  <c r="M37" i="36"/>
  <c r="N37" i="36"/>
  <c r="O37" i="36"/>
  <c r="P37" i="36"/>
  <c r="Q37" i="36"/>
  <c r="R37" i="36"/>
  <c r="S37" i="36"/>
  <c r="T37" i="36"/>
  <c r="I38" i="36"/>
  <c r="J38" i="36"/>
  <c r="K38" i="36"/>
  <c r="L38" i="36"/>
  <c r="M38" i="36"/>
  <c r="N38" i="36"/>
  <c r="O38" i="36"/>
  <c r="P38" i="36"/>
  <c r="Q38" i="36"/>
  <c r="R38" i="36"/>
  <c r="S38" i="36"/>
  <c r="T38" i="36"/>
  <c r="I39" i="36"/>
  <c r="J39" i="36"/>
  <c r="K39" i="36"/>
  <c r="L39" i="36"/>
  <c r="M39" i="36"/>
  <c r="N39" i="36"/>
  <c r="O39" i="36"/>
  <c r="P39" i="36"/>
  <c r="Q39" i="36"/>
  <c r="R39" i="36"/>
  <c r="S39" i="36"/>
  <c r="T39" i="36"/>
  <c r="I40" i="36"/>
  <c r="J40" i="36"/>
  <c r="K40" i="36"/>
  <c r="L40" i="36"/>
  <c r="M40" i="36"/>
  <c r="N40" i="36"/>
  <c r="O40" i="36"/>
  <c r="P40" i="36"/>
  <c r="Q40" i="36"/>
  <c r="R40" i="36"/>
  <c r="S40" i="36"/>
  <c r="T40" i="36"/>
  <c r="I41" i="36"/>
  <c r="J41" i="36"/>
  <c r="K41" i="36"/>
  <c r="L41" i="36"/>
  <c r="M41" i="36"/>
  <c r="N41" i="36"/>
  <c r="O41" i="36"/>
  <c r="P41" i="36"/>
  <c r="Q41" i="36"/>
  <c r="R41" i="36"/>
  <c r="S41" i="36"/>
  <c r="T41" i="36"/>
  <c r="I43" i="36"/>
  <c r="J43" i="36"/>
  <c r="K43" i="36"/>
  <c r="L43" i="36"/>
  <c r="M43" i="36"/>
  <c r="N43" i="36"/>
  <c r="O43" i="36"/>
  <c r="P43" i="36"/>
  <c r="Q43" i="36"/>
  <c r="R43" i="36"/>
  <c r="S43" i="36"/>
  <c r="T43" i="36"/>
  <c r="I46" i="36"/>
  <c r="J46" i="36"/>
  <c r="K46" i="36"/>
  <c r="L46" i="36"/>
  <c r="M46" i="36"/>
  <c r="N46" i="36"/>
  <c r="O46" i="36"/>
  <c r="P46" i="36"/>
  <c r="Q46" i="36"/>
  <c r="R46" i="36"/>
  <c r="S46" i="36"/>
  <c r="T46" i="36"/>
  <c r="I47" i="36"/>
  <c r="J47" i="36"/>
  <c r="K47" i="36"/>
  <c r="L47" i="36"/>
  <c r="M47" i="36"/>
  <c r="N47" i="36"/>
  <c r="O47" i="36"/>
  <c r="P47" i="36"/>
  <c r="Q47" i="36"/>
  <c r="R47" i="36"/>
  <c r="S47" i="36"/>
  <c r="T47" i="36"/>
  <c r="I48" i="36"/>
  <c r="J48" i="36"/>
  <c r="K48" i="36"/>
  <c r="L48" i="36"/>
  <c r="M48" i="36"/>
  <c r="N48" i="36"/>
  <c r="O48" i="36"/>
  <c r="P48" i="36"/>
  <c r="Q48" i="36"/>
  <c r="R48" i="36"/>
  <c r="S48" i="36"/>
  <c r="T48" i="36"/>
  <c r="I50" i="36"/>
  <c r="J50" i="36"/>
  <c r="K50" i="36"/>
  <c r="L50" i="36"/>
  <c r="M50" i="36"/>
  <c r="N50" i="36"/>
  <c r="O50" i="36"/>
  <c r="P50" i="36"/>
  <c r="Q50" i="36"/>
  <c r="R50" i="36"/>
  <c r="S50" i="36"/>
  <c r="T50" i="36"/>
  <c r="I51" i="36"/>
  <c r="J51" i="36"/>
  <c r="K51" i="36"/>
  <c r="L51" i="36"/>
  <c r="M51" i="36"/>
  <c r="N51" i="36"/>
  <c r="O51" i="36"/>
  <c r="P51" i="36"/>
  <c r="Q51" i="36"/>
  <c r="R51" i="36"/>
  <c r="S51" i="36"/>
  <c r="T51" i="36"/>
  <c r="I52" i="36"/>
  <c r="J52" i="36"/>
  <c r="K52" i="36"/>
  <c r="L52" i="36"/>
  <c r="M52" i="36"/>
  <c r="N52" i="36"/>
  <c r="O52" i="36"/>
  <c r="P52" i="36"/>
  <c r="Q52" i="36"/>
  <c r="R52" i="36"/>
  <c r="S52" i="36"/>
  <c r="T52" i="36"/>
  <c r="I54" i="36"/>
  <c r="J54" i="36"/>
  <c r="K54" i="36"/>
  <c r="L54" i="36"/>
  <c r="M54" i="36"/>
  <c r="N54" i="36"/>
  <c r="O54" i="36"/>
  <c r="P54" i="36"/>
  <c r="Q54" i="36"/>
  <c r="R54" i="36"/>
  <c r="S54" i="36"/>
  <c r="T54" i="36"/>
  <c r="I55" i="36"/>
  <c r="J55" i="36"/>
  <c r="K55" i="36"/>
  <c r="L55" i="36"/>
  <c r="M55" i="36"/>
  <c r="N55" i="36"/>
  <c r="O55" i="36"/>
  <c r="P55" i="36"/>
  <c r="Q55" i="36"/>
  <c r="R55" i="36"/>
  <c r="S55" i="36"/>
  <c r="T55" i="36"/>
  <c r="I56" i="36"/>
  <c r="J56" i="36"/>
  <c r="K56" i="36"/>
  <c r="L56" i="36"/>
  <c r="M56" i="36"/>
  <c r="N56" i="36"/>
  <c r="O56" i="36"/>
  <c r="P56" i="36"/>
  <c r="Q56" i="36"/>
  <c r="R56" i="36"/>
  <c r="S56" i="36"/>
  <c r="T56" i="36"/>
  <c r="I57" i="36"/>
  <c r="J57" i="36"/>
  <c r="K57" i="36"/>
  <c r="L57" i="36"/>
  <c r="M57" i="36"/>
  <c r="N57" i="36"/>
  <c r="O57" i="36"/>
  <c r="P57" i="36"/>
  <c r="Q57" i="36"/>
  <c r="R57" i="36"/>
  <c r="S57" i="36"/>
  <c r="T57" i="36"/>
  <c r="I59" i="36"/>
  <c r="J59" i="36"/>
  <c r="K59" i="36"/>
  <c r="L59" i="36"/>
  <c r="M59" i="36"/>
  <c r="N59" i="36"/>
  <c r="O59" i="36"/>
  <c r="P59" i="36"/>
  <c r="Q59" i="36"/>
  <c r="R59" i="36"/>
  <c r="S59" i="36"/>
  <c r="T59" i="36"/>
  <c r="I60" i="36"/>
  <c r="J60" i="36"/>
  <c r="K60" i="36"/>
  <c r="L60" i="36"/>
  <c r="M60" i="36"/>
  <c r="N60" i="36"/>
  <c r="O60" i="36"/>
  <c r="P60" i="36"/>
  <c r="Q60" i="36"/>
  <c r="R60" i="36"/>
  <c r="S60" i="36"/>
  <c r="T60" i="36"/>
  <c r="I61" i="36"/>
  <c r="J61" i="36"/>
  <c r="K61" i="36"/>
  <c r="L61" i="36"/>
  <c r="M61" i="36"/>
  <c r="N61" i="36"/>
  <c r="O61" i="36"/>
  <c r="P61" i="36"/>
  <c r="Q61" i="36"/>
  <c r="R61" i="36"/>
  <c r="S61" i="36"/>
  <c r="T61" i="36"/>
  <c r="I62" i="36"/>
  <c r="J62" i="36"/>
  <c r="K62" i="36"/>
  <c r="L62" i="36"/>
  <c r="M62" i="36"/>
  <c r="N62" i="36"/>
  <c r="O62" i="36"/>
  <c r="P62" i="36"/>
  <c r="Q62" i="36"/>
  <c r="R62" i="36"/>
  <c r="S62" i="36"/>
  <c r="T62" i="36"/>
  <c r="F7" i="36"/>
  <c r="D8" i="36"/>
  <c r="D71" i="36" s="1"/>
  <c r="D10" i="36"/>
  <c r="D11" i="36"/>
  <c r="D12" i="36"/>
  <c r="D14" i="36"/>
  <c r="D15" i="36"/>
  <c r="D16" i="36"/>
  <c r="F17" i="36"/>
  <c r="F69" i="36" s="1"/>
  <c r="CT18" i="138"/>
  <c r="CT17" i="138"/>
  <c r="CT16" i="138"/>
  <c r="CT15" i="138"/>
  <c r="CT14" i="138"/>
  <c r="CT7" i="138"/>
  <c r="CT13" i="138"/>
  <c r="CT12" i="138"/>
  <c r="CT11" i="138"/>
  <c r="CT10" i="138"/>
  <c r="CT9" i="138"/>
  <c r="CT8" i="138"/>
  <c r="CH4" i="138"/>
  <c r="CS5" i="138"/>
  <c r="CR5" i="138"/>
  <c r="CQ5" i="138"/>
  <c r="CP5" i="138"/>
  <c r="CO5" i="138"/>
  <c r="CN5" i="138"/>
  <c r="CM5" i="138"/>
  <c r="CL5" i="138"/>
  <c r="CK5" i="138"/>
  <c r="CJ5" i="138"/>
  <c r="CI5" i="138"/>
  <c r="CH5" i="138"/>
  <c r="BL249" i="138"/>
  <c r="BK249" i="138"/>
  <c r="BJ249" i="138"/>
  <c r="BI249" i="138"/>
  <c r="BH249" i="138"/>
  <c r="BG249" i="138"/>
  <c r="BF249" i="138"/>
  <c r="BE249" i="138"/>
  <c r="BD249" i="138"/>
  <c r="BC249" i="138"/>
  <c r="BB249" i="138"/>
  <c r="BA249" i="138"/>
  <c r="AV249" i="138"/>
  <c r="AU249" i="138"/>
  <c r="AT249" i="138"/>
  <c r="AS249" i="138"/>
  <c r="AR249" i="138"/>
  <c r="AQ249" i="138"/>
  <c r="AP249" i="138"/>
  <c r="AO249" i="138"/>
  <c r="AN249" i="138"/>
  <c r="AM249" i="138"/>
  <c r="AL249" i="138"/>
  <c r="AK249" i="138"/>
  <c r="AG249" i="138"/>
  <c r="AF249" i="138"/>
  <c r="AE249" i="138"/>
  <c r="AD249" i="138"/>
  <c r="AC249" i="138"/>
  <c r="AB249" i="138"/>
  <c r="AA249" i="138"/>
  <c r="Z249" i="138"/>
  <c r="Y249" i="138"/>
  <c r="X249" i="138"/>
  <c r="W249" i="138"/>
  <c r="V249" i="138"/>
  <c r="R249" i="138"/>
  <c r="Q249" i="138"/>
  <c r="P249" i="138"/>
  <c r="O249" i="138"/>
  <c r="N249" i="138"/>
  <c r="M249" i="138"/>
  <c r="L249" i="138"/>
  <c r="K249" i="138"/>
  <c r="J249" i="138"/>
  <c r="I249" i="138"/>
  <c r="H249" i="138"/>
  <c r="G249" i="138"/>
  <c r="BL204" i="138"/>
  <c r="BK204" i="138"/>
  <c r="BJ204" i="138"/>
  <c r="BI204" i="138"/>
  <c r="BH204" i="138"/>
  <c r="BG204" i="138"/>
  <c r="BF204" i="138"/>
  <c r="BE204" i="138"/>
  <c r="BD204" i="138"/>
  <c r="BC204" i="138"/>
  <c r="BB204" i="138"/>
  <c r="BA204" i="138"/>
  <c r="AV204" i="138"/>
  <c r="AU204" i="138"/>
  <c r="AT204" i="138"/>
  <c r="AS204" i="138"/>
  <c r="AR204" i="138"/>
  <c r="AQ204" i="138"/>
  <c r="AP204" i="138"/>
  <c r="AO204" i="138"/>
  <c r="AN204" i="138"/>
  <c r="AM204" i="138"/>
  <c r="AL204" i="138"/>
  <c r="AK204" i="138"/>
  <c r="AG204" i="138"/>
  <c r="AF204" i="138"/>
  <c r="AE204" i="138"/>
  <c r="AD204" i="138"/>
  <c r="AC204" i="138"/>
  <c r="AB204" i="138"/>
  <c r="AA204" i="138"/>
  <c r="Z204" i="138"/>
  <c r="Y204" i="138"/>
  <c r="X204" i="138"/>
  <c r="W204" i="138"/>
  <c r="V204" i="138"/>
  <c r="R204" i="138"/>
  <c r="Q204" i="138"/>
  <c r="P204" i="138"/>
  <c r="O204" i="138"/>
  <c r="N204" i="138"/>
  <c r="M204" i="138"/>
  <c r="L204" i="138"/>
  <c r="K204" i="138"/>
  <c r="J204" i="138"/>
  <c r="I204" i="138"/>
  <c r="H204" i="138"/>
  <c r="G204" i="138"/>
  <c r="AW12" i="21"/>
  <c r="AW13" i="21"/>
  <c r="AW14" i="21"/>
  <c r="AW16" i="21"/>
  <c r="AW17" i="21"/>
  <c r="AW18" i="21"/>
  <c r="AW21" i="21"/>
  <c r="AW22" i="21"/>
  <c r="AW23" i="21"/>
  <c r="AW25" i="21"/>
  <c r="AW26" i="21"/>
  <c r="AW27" i="21"/>
  <c r="AW28" i="21"/>
  <c r="AW30" i="21"/>
  <c r="AW31" i="21"/>
  <c r="AW33" i="21"/>
  <c r="AW34" i="21"/>
  <c r="AW36" i="21"/>
  <c r="AW37" i="21"/>
  <c r="AW38" i="21"/>
  <c r="AW39" i="21"/>
  <c r="AW41" i="21"/>
  <c r="AW42" i="21"/>
  <c r="AW44" i="21"/>
  <c r="AW45" i="21"/>
  <c r="AW46" i="21"/>
  <c r="AW48" i="21"/>
  <c r="AW49" i="21"/>
  <c r="AW50" i="21"/>
  <c r="P26" i="21"/>
  <c r="P39" i="21"/>
  <c r="P50" i="21"/>
  <c r="P49" i="21"/>
  <c r="P10" i="21"/>
  <c r="P12" i="21"/>
  <c r="P13" i="21"/>
  <c r="P14" i="21"/>
  <c r="P16" i="21"/>
  <c r="P17" i="21"/>
  <c r="P18" i="21"/>
  <c r="P21" i="21"/>
  <c r="P22" i="21"/>
  <c r="P23" i="21"/>
  <c r="P25" i="21"/>
  <c r="P27" i="21"/>
  <c r="P28" i="21"/>
  <c r="P30" i="21"/>
  <c r="P31" i="21"/>
  <c r="P33" i="21"/>
  <c r="P34" i="21"/>
  <c r="P36" i="21"/>
  <c r="P37" i="21"/>
  <c r="P38" i="21"/>
  <c r="P41" i="21"/>
  <c r="P42" i="21"/>
  <c r="P44" i="21"/>
  <c r="P45" i="21"/>
  <c r="P46" i="21"/>
  <c r="P48" i="21"/>
  <c r="BL159" i="138"/>
  <c r="BK159" i="138"/>
  <c r="BJ159" i="138"/>
  <c r="BI159" i="138"/>
  <c r="BH159" i="138"/>
  <c r="BG159" i="138"/>
  <c r="BF159" i="138"/>
  <c r="BE159" i="138"/>
  <c r="BD159" i="138"/>
  <c r="BC159" i="138"/>
  <c r="BB159" i="138"/>
  <c r="BA159" i="138"/>
  <c r="AV159" i="138"/>
  <c r="AU159" i="138"/>
  <c r="AT159" i="138"/>
  <c r="AS159" i="138"/>
  <c r="AR159" i="138"/>
  <c r="AQ159" i="138"/>
  <c r="AP159" i="138"/>
  <c r="AO159" i="138"/>
  <c r="AN159" i="138"/>
  <c r="AM159" i="138"/>
  <c r="AL159" i="138"/>
  <c r="AK159" i="138"/>
  <c r="AG159" i="138"/>
  <c r="AF159" i="138"/>
  <c r="AE159" i="138"/>
  <c r="AD159" i="138"/>
  <c r="AC159" i="138"/>
  <c r="AB159" i="138"/>
  <c r="AA159" i="138"/>
  <c r="Z159" i="138"/>
  <c r="Y159" i="138"/>
  <c r="X159" i="138"/>
  <c r="W159" i="138"/>
  <c r="V159" i="138"/>
  <c r="R159" i="138"/>
  <c r="Q159" i="138"/>
  <c r="P159" i="138"/>
  <c r="O159" i="138"/>
  <c r="N159" i="138"/>
  <c r="M159" i="138"/>
  <c r="L159" i="138"/>
  <c r="K159" i="138"/>
  <c r="J159" i="138"/>
  <c r="I159" i="138"/>
  <c r="H159" i="138"/>
  <c r="G159" i="138"/>
  <c r="BL114" i="138"/>
  <c r="BK114" i="138"/>
  <c r="BJ114" i="138"/>
  <c r="BI114" i="138"/>
  <c r="BH114" i="138"/>
  <c r="BG114" i="138"/>
  <c r="BF114" i="138"/>
  <c r="BE114" i="138"/>
  <c r="BD114" i="138"/>
  <c r="BC114" i="138"/>
  <c r="BB114" i="138"/>
  <c r="BA114" i="138"/>
  <c r="AV114" i="138"/>
  <c r="AU114" i="138"/>
  <c r="AT114" i="138"/>
  <c r="AS114" i="138"/>
  <c r="AR114" i="138"/>
  <c r="AQ114" i="138"/>
  <c r="AP114" i="138"/>
  <c r="AO114" i="138"/>
  <c r="AN114" i="138"/>
  <c r="AM114" i="138"/>
  <c r="AL114" i="138"/>
  <c r="AK114" i="138"/>
  <c r="AG114" i="138"/>
  <c r="AF114" i="138"/>
  <c r="AE114" i="138"/>
  <c r="AD114" i="138"/>
  <c r="AC114" i="138"/>
  <c r="AB114" i="138"/>
  <c r="AA114" i="138"/>
  <c r="Z114" i="138"/>
  <c r="Y114" i="138"/>
  <c r="X114" i="138"/>
  <c r="W114" i="138"/>
  <c r="V114" i="138"/>
  <c r="R114" i="138"/>
  <c r="Q114" i="138"/>
  <c r="P114" i="138"/>
  <c r="O114" i="138"/>
  <c r="N114" i="138"/>
  <c r="M114" i="138"/>
  <c r="L114" i="138"/>
  <c r="K114" i="138"/>
  <c r="J114" i="138"/>
  <c r="I114" i="138"/>
  <c r="H114" i="138"/>
  <c r="G114" i="138"/>
  <c r="D100" i="138" a="1"/>
  <c r="D100" i="138" s="1"/>
  <c r="BL66" i="138"/>
  <c r="BK66" i="138"/>
  <c r="BJ66" i="138"/>
  <c r="BI66" i="138"/>
  <c r="BH66" i="138"/>
  <c r="BG66" i="138"/>
  <c r="BF66" i="138"/>
  <c r="BE66" i="138"/>
  <c r="BD66" i="138"/>
  <c r="BC66" i="138"/>
  <c r="BB66" i="138"/>
  <c r="BA66" i="138"/>
  <c r="AV66" i="138"/>
  <c r="AU66" i="138"/>
  <c r="AT66" i="138"/>
  <c r="AS66" i="138"/>
  <c r="AR66" i="138"/>
  <c r="AQ66" i="138"/>
  <c r="AP66" i="138"/>
  <c r="AO66" i="138"/>
  <c r="AN66" i="138"/>
  <c r="AM66" i="138"/>
  <c r="AL66" i="138"/>
  <c r="AK66" i="138"/>
  <c r="AG66" i="138"/>
  <c r="AF66" i="138"/>
  <c r="AE66" i="138"/>
  <c r="AD66" i="138"/>
  <c r="AC66" i="138"/>
  <c r="AB66" i="138"/>
  <c r="AA66" i="138"/>
  <c r="Z66" i="138"/>
  <c r="Y66" i="138"/>
  <c r="X66" i="138"/>
  <c r="W66" i="138"/>
  <c r="V66" i="138"/>
  <c r="R66" i="138"/>
  <c r="Q66" i="138"/>
  <c r="P66" i="138"/>
  <c r="O66" i="138"/>
  <c r="N66" i="138"/>
  <c r="M66" i="138"/>
  <c r="L66" i="138"/>
  <c r="K66" i="138"/>
  <c r="J66" i="138"/>
  <c r="I66" i="138"/>
  <c r="H66" i="138"/>
  <c r="G66" i="138"/>
  <c r="C34" i="35"/>
  <c r="E16" i="21"/>
  <c r="E17" i="21"/>
  <c r="AZ44" i="138"/>
  <c r="AZ43" i="138"/>
  <c r="AZ42" i="138"/>
  <c r="AZ41" i="138"/>
  <c r="AZ36" i="138"/>
  <c r="AZ35" i="138"/>
  <c r="AZ34" i="138"/>
  <c r="AZ33" i="138"/>
  <c r="AZ32" i="138"/>
  <c r="AZ31" i="138"/>
  <c r="AZ30" i="138"/>
  <c r="AZ29" i="138"/>
  <c r="AZ22" i="138"/>
  <c r="AZ21" i="138"/>
  <c r="AZ20" i="138"/>
  <c r="AZ19" i="138"/>
  <c r="AZ18" i="138"/>
  <c r="AZ17" i="138"/>
  <c r="AZ16" i="138"/>
  <c r="AZ15" i="138"/>
  <c r="AZ14" i="138"/>
  <c r="AZ13" i="138"/>
  <c r="AZ12" i="138"/>
  <c r="AZ11" i="138"/>
  <c r="AZ10" i="138"/>
  <c r="AZ9" i="138"/>
  <c r="AZ8" i="138"/>
  <c r="AZ7" i="138"/>
  <c r="AZ6" i="138"/>
  <c r="AZ5" i="138"/>
  <c r="BL3" i="138"/>
  <c r="BK3" i="138"/>
  <c r="BJ3" i="138"/>
  <c r="BI3" i="138"/>
  <c r="BH3" i="138"/>
  <c r="BG3" i="138"/>
  <c r="BF3" i="138"/>
  <c r="BE3" i="138"/>
  <c r="BD3" i="138"/>
  <c r="BC3" i="138"/>
  <c r="BB3" i="138"/>
  <c r="BA3" i="138"/>
  <c r="AV3" i="138"/>
  <c r="AU3" i="138"/>
  <c r="AT3" i="138"/>
  <c r="AS3" i="138"/>
  <c r="AR3" i="138"/>
  <c r="AQ3" i="138"/>
  <c r="AP3" i="138"/>
  <c r="AO3" i="138"/>
  <c r="AN3" i="138"/>
  <c r="AM3" i="138"/>
  <c r="AL3" i="138"/>
  <c r="AK3" i="138"/>
  <c r="AG3" i="138"/>
  <c r="AF3" i="138"/>
  <c r="AE3" i="138"/>
  <c r="AD3" i="138"/>
  <c r="AC3" i="138"/>
  <c r="AB3" i="138"/>
  <c r="AA3" i="138"/>
  <c r="Z3" i="138"/>
  <c r="Y3" i="138"/>
  <c r="X3" i="138"/>
  <c r="W3" i="138"/>
  <c r="V3" i="138"/>
  <c r="AN14" i="140"/>
  <c r="AN13" i="140"/>
  <c r="AN12" i="140"/>
  <c r="AN11" i="140"/>
  <c r="AN10" i="140"/>
  <c r="AN9" i="140"/>
  <c r="AN8" i="140"/>
  <c r="AN7" i="140"/>
  <c r="AN6" i="140"/>
  <c r="AN5" i="140"/>
  <c r="AN4" i="140"/>
  <c r="AN3" i="140"/>
  <c r="BP3" i="138"/>
  <c r="R3" i="138"/>
  <c r="Q3" i="138"/>
  <c r="P3" i="138"/>
  <c r="O3" i="138"/>
  <c r="N3" i="138"/>
  <c r="M3" i="138"/>
  <c r="L3" i="138"/>
  <c r="K3" i="138"/>
  <c r="J3" i="138"/>
  <c r="I3" i="138"/>
  <c r="H3" i="138"/>
  <c r="G3" i="138"/>
  <c r="BW137" i="140" l="1"/>
  <c r="BQ144" i="140"/>
  <c r="BQ132" i="140"/>
  <c r="BQ142" i="140"/>
  <c r="BQ130" i="140"/>
  <c r="BQ127" i="140"/>
  <c r="BQ138" i="140"/>
  <c r="BQ135" i="140"/>
  <c r="BW135" i="140"/>
  <c r="BQ134" i="140"/>
  <c r="BQ145" i="140"/>
  <c r="BQ143" i="140"/>
  <c r="BQ131" i="140"/>
  <c r="BQ139" i="140"/>
  <c r="BQ146" i="140"/>
  <c r="BQ133" i="140"/>
  <c r="BQ141" i="140"/>
  <c r="BQ129" i="140"/>
  <c r="BQ140" i="140"/>
  <c r="BQ128" i="140"/>
  <c r="BQ126" i="140"/>
  <c r="BQ123" i="140"/>
  <c r="BQ149" i="140"/>
  <c r="BQ137" i="140"/>
  <c r="BQ125" i="140"/>
  <c r="BQ148" i="140"/>
  <c r="BQ136" i="140"/>
  <c r="BQ124" i="140"/>
  <c r="BW134" i="140"/>
  <c r="BQ147" i="140"/>
  <c r="BQ122" i="140"/>
  <c r="BW136" i="140"/>
  <c r="BQ121" i="140"/>
  <c r="BG120" i="140"/>
  <c r="BH120" i="140" a="1"/>
  <c r="BK120" i="140"/>
  <c r="BM120" i="140" s="1" a="1"/>
  <c r="BT120" i="140" s="1" a="1"/>
  <c r="BT120" i="140" s="1"/>
  <c r="S130" i="140" s="1"/>
  <c r="AC56" i="58"/>
  <c r="AC39" i="58"/>
  <c r="AD31" i="58"/>
  <c r="AC44" i="135"/>
  <c r="AD35" i="135"/>
  <c r="AC26" i="135"/>
  <c r="AC38" i="58"/>
  <c r="AD21" i="73"/>
  <c r="BL21" i="73"/>
  <c r="AZ21" i="73" s="1"/>
  <c r="AD29" i="58"/>
  <c r="AC55" i="58"/>
  <c r="BW50" i="58" a="1"/>
  <c r="AC40" i="134"/>
  <c r="BF40" i="134"/>
  <c r="AY40" i="134" s="1"/>
  <c r="BL39" i="134"/>
  <c r="AZ39" i="134" s="1"/>
  <c r="AD39" i="134"/>
  <c r="AD35" i="134"/>
  <c r="AD26" i="134"/>
  <c r="AC36" i="134"/>
  <c r="BF50" i="58"/>
  <c r="AY50" i="58" s="1"/>
  <c r="AC47" i="136"/>
  <c r="AD37" i="136"/>
  <c r="AC29" i="136"/>
  <c r="AC20" i="134"/>
  <c r="AC37" i="134"/>
  <c r="AC25" i="134"/>
  <c r="AC21" i="134"/>
  <c r="AC32" i="134"/>
  <c r="BL21" i="58"/>
  <c r="AZ21" i="58" s="1"/>
  <c r="AD31" i="134"/>
  <c r="AC24" i="134"/>
  <c r="AC29" i="134"/>
  <c r="AD32" i="134"/>
  <c r="AD21" i="136"/>
  <c r="BW40" i="134" a="1"/>
  <c r="AC25" i="135"/>
  <c r="AC23" i="134"/>
  <c r="AC32" i="135"/>
  <c r="AD24" i="135"/>
  <c r="BW39" i="134" a="1"/>
  <c r="AD40" i="134"/>
  <c r="AC39" i="135"/>
  <c r="AC29" i="135"/>
  <c r="AD21" i="135"/>
  <c r="AD42" i="134"/>
  <c r="AD46" i="135"/>
  <c r="BW37" i="135" a="1"/>
  <c r="AC20" i="135"/>
  <c r="AD29" i="136"/>
  <c r="AC21" i="136"/>
  <c r="AC40" i="135"/>
  <c r="AC39" i="136"/>
  <c r="AC23" i="136"/>
  <c r="BF23" i="136"/>
  <c r="AD31" i="136"/>
  <c r="AD23" i="135"/>
  <c r="AC40" i="136"/>
  <c r="AC24" i="136"/>
  <c r="AC28" i="135"/>
  <c r="AC37" i="136"/>
  <c r="AC48" i="137"/>
  <c r="AC47" i="137"/>
  <c r="AC46" i="137"/>
  <c r="AC44" i="137"/>
  <c r="AC46" i="135"/>
  <c r="AD26" i="135"/>
  <c r="AC46" i="136"/>
  <c r="AC28" i="136"/>
  <c r="AD35" i="136"/>
  <c r="AD29" i="137"/>
  <c r="AC32" i="136"/>
  <c r="AD31" i="137"/>
  <c r="AD40" i="136"/>
  <c r="AD42" i="136"/>
  <c r="BW10" i="137" a="1"/>
  <c r="BU10" i="137" s="1"/>
  <c r="AC8" i="135"/>
  <c r="AD16" i="135"/>
  <c r="AC10" i="135"/>
  <c r="AC11" i="135"/>
  <c r="BL11" i="136"/>
  <c r="AZ11" i="136" s="1"/>
  <c r="AC8" i="136"/>
  <c r="BF11" i="136"/>
  <c r="AY11" i="136" s="1"/>
  <c r="BF10" i="136"/>
  <c r="AY10" i="136" s="1"/>
  <c r="BU43" i="73"/>
  <c r="BV43" i="73"/>
  <c r="BV43" i="136"/>
  <c r="BW43" i="137"/>
  <c r="BV43" i="137"/>
  <c r="BW10" i="137"/>
  <c r="BW43" i="136"/>
  <c r="BW37" i="135"/>
  <c r="BV37" i="135"/>
  <c r="BU37" i="135"/>
  <c r="BU43" i="135"/>
  <c r="BV43" i="135"/>
  <c r="BW39" i="134"/>
  <c r="BV39" i="134"/>
  <c r="BU39" i="134"/>
  <c r="BW40" i="134"/>
  <c r="BU40" i="134"/>
  <c r="BV40" i="134"/>
  <c r="BW43" i="134"/>
  <c r="BV43" i="134"/>
  <c r="BU43" i="134"/>
  <c r="AD16" i="73"/>
  <c r="AD24" i="73"/>
  <c r="AD32" i="73"/>
  <c r="AD35" i="73"/>
  <c r="AC8" i="73"/>
  <c r="AD23" i="58"/>
  <c r="AD24" i="58"/>
  <c r="BF21" i="58"/>
  <c r="BX120" i="140" l="1" a="1"/>
  <c r="BW123" i="140" s="1"/>
  <c r="BW132" i="140"/>
  <c r="BW133" i="140"/>
  <c r="BW130" i="140"/>
  <c r="BW129" i="140"/>
  <c r="BW131" i="140"/>
  <c r="BO120" i="140" a="1"/>
  <c r="BO120" i="140" s="1"/>
  <c r="BQ120" i="140"/>
  <c r="BQ150" i="140" s="1"/>
  <c r="X131" i="140" s="1"/>
  <c r="BN120" i="140" a="1"/>
  <c r="BT122" i="140" s="1" a="1"/>
  <c r="BT122" i="140" s="1"/>
  <c r="BH120" i="140"/>
  <c r="BL120" i="140" a="1"/>
  <c r="BL120" i="140" s="1"/>
  <c r="BM120" i="140"/>
  <c r="AY21" i="58"/>
  <c r="BW21" i="58" a="1"/>
  <c r="AY23" i="136"/>
  <c r="BW50" i="58"/>
  <c r="BV50" i="58"/>
  <c r="BU50" i="58"/>
  <c r="BW11" i="136" a="1"/>
  <c r="BW10" i="136" a="1"/>
  <c r="BV10" i="137"/>
  <c r="BT69" i="58"/>
  <c r="BW128" i="140" l="1"/>
  <c r="BW127" i="140"/>
  <c r="BT123" i="140" a="1"/>
  <c r="BT123" i="140" s="1"/>
  <c r="S136" i="140" s="1"/>
  <c r="BW121" i="140"/>
  <c r="BW124" i="140"/>
  <c r="BW126" i="140"/>
  <c r="BW125" i="140"/>
  <c r="BX120" i="140"/>
  <c r="BW120" i="140" s="1"/>
  <c r="BW122" i="140"/>
  <c r="BP147" i="140"/>
  <c r="BP142" i="140"/>
  <c r="BP130" i="140"/>
  <c r="BP141" i="140"/>
  <c r="BP122" i="140"/>
  <c r="BP131" i="140"/>
  <c r="BP146" i="140"/>
  <c r="BP121" i="140"/>
  <c r="BP135" i="140"/>
  <c r="BP139" i="140"/>
  <c r="BP123" i="140"/>
  <c r="BP149" i="140"/>
  <c r="BP145" i="140"/>
  <c r="BP125" i="140"/>
  <c r="BP134" i="140"/>
  <c r="BP137" i="140"/>
  <c r="BP126" i="140"/>
  <c r="BY133" i="140"/>
  <c r="CA133" i="140" s="1"/>
  <c r="BY121" i="140"/>
  <c r="BY131" i="140"/>
  <c r="CA131" i="140" s="1"/>
  <c r="BY127" i="140"/>
  <c r="BY124" i="140"/>
  <c r="BY135" i="140"/>
  <c r="CA135" i="140" s="1"/>
  <c r="BY134" i="140"/>
  <c r="CA134" i="140" s="1"/>
  <c r="BY132" i="140"/>
  <c r="CA132" i="140" s="1"/>
  <c r="BY128" i="140"/>
  <c r="BY130" i="140"/>
  <c r="BY129" i="140"/>
  <c r="BY136" i="140"/>
  <c r="CA136" i="140" s="1"/>
  <c r="BY126" i="140"/>
  <c r="BY137" i="140"/>
  <c r="CA137" i="140" s="1"/>
  <c r="BY125" i="140"/>
  <c r="BY123" i="140"/>
  <c r="BY122" i="140"/>
  <c r="BZ127" i="140"/>
  <c r="BZ137" i="140"/>
  <c r="BZ125" i="140"/>
  <c r="BZ134" i="140"/>
  <c r="BZ121" i="140"/>
  <c r="BZ126" i="140"/>
  <c r="BZ133" i="140"/>
  <c r="BZ128" i="140"/>
  <c r="BZ136" i="140"/>
  <c r="BZ124" i="140"/>
  <c r="BZ135" i="140"/>
  <c r="BZ123" i="140"/>
  <c r="BZ122" i="140"/>
  <c r="BZ132" i="140"/>
  <c r="BZ120" i="140"/>
  <c r="BZ131" i="140"/>
  <c r="BZ130" i="140"/>
  <c r="BZ129" i="140"/>
  <c r="BP138" i="140"/>
  <c r="BP124" i="140"/>
  <c r="BP127" i="140"/>
  <c r="BP136" i="140"/>
  <c r="BP128" i="140"/>
  <c r="BP148" i="140"/>
  <c r="BP129" i="140"/>
  <c r="BP140" i="140"/>
  <c r="BT124" i="140" a="1"/>
  <c r="BT124" i="140" s="1"/>
  <c r="S138" i="140" s="1"/>
  <c r="BT119" i="140" a="1"/>
  <c r="BT119" i="140" s="1"/>
  <c r="BN120" i="140"/>
  <c r="BT121" i="140" s="1" a="1"/>
  <c r="BT121" i="140" s="1"/>
  <c r="BV120" i="140" s="1"/>
  <c r="S134" i="140"/>
  <c r="BP143" i="140"/>
  <c r="BP144" i="140"/>
  <c r="BP132" i="140"/>
  <c r="BP133" i="140"/>
  <c r="BW21" i="58"/>
  <c r="BU21" i="58"/>
  <c r="BV21" i="58"/>
  <c r="BU10" i="136"/>
  <c r="BV10" i="136"/>
  <c r="BW10" i="136"/>
  <c r="BW11" i="136"/>
  <c r="BU11" i="136"/>
  <c r="BV11" i="136"/>
  <c r="CA126" i="140" l="1"/>
  <c r="CA124" i="140"/>
  <c r="CA125" i="140"/>
  <c r="CA129" i="140"/>
  <c r="CA130" i="140"/>
  <c r="BV121" i="140"/>
  <c r="CA127" i="140"/>
  <c r="CA123" i="140"/>
  <c r="CA128" i="140"/>
  <c r="BP120" i="140"/>
  <c r="BY120" i="140"/>
  <c r="CA120" i="140" s="1"/>
  <c r="CA121" i="140"/>
  <c r="CA122" i="140"/>
  <c r="S132" i="140"/>
  <c r="BV119" i="140"/>
  <c r="S128" i="140"/>
  <c r="J57" i="58"/>
  <c r="BB57" i="58" s="1"/>
  <c r="K57" i="58"/>
  <c r="BC57" i="58" s="1"/>
  <c r="L57" i="58"/>
  <c r="BD57" i="58" s="1"/>
  <c r="M57" i="58"/>
  <c r="BE57" i="58" s="1"/>
  <c r="N57" i="58"/>
  <c r="BF57" i="58" s="1"/>
  <c r="AY57" i="58" s="1"/>
  <c r="O57" i="58"/>
  <c r="BG57" i="58" s="1"/>
  <c r="P57" i="58"/>
  <c r="BH57" i="58" s="1"/>
  <c r="Q57" i="58"/>
  <c r="BI57" i="58" s="1"/>
  <c r="R57" i="58"/>
  <c r="BJ57" i="58" s="1"/>
  <c r="S57" i="58"/>
  <c r="BK57" i="58" s="1"/>
  <c r="T57" i="58"/>
  <c r="BL57" i="58" s="1"/>
  <c r="AZ57" i="58" s="1"/>
  <c r="I57" i="58"/>
  <c r="BA57" i="58" s="1"/>
  <c r="BV122" i="140" l="1"/>
  <c r="BW57" i="58" a="1"/>
  <c r="J35" i="135"/>
  <c r="BB35" i="135" s="1"/>
  <c r="K35" i="135"/>
  <c r="BC35" i="135" s="1"/>
  <c r="L35" i="135"/>
  <c r="BD35" i="135" s="1"/>
  <c r="M35" i="135"/>
  <c r="BE35" i="135" s="1"/>
  <c r="N35" i="135"/>
  <c r="BF35" i="135" s="1"/>
  <c r="AY35" i="135" s="1"/>
  <c r="O35" i="135"/>
  <c r="BG35" i="135" s="1"/>
  <c r="P35" i="135"/>
  <c r="BH35" i="135" s="1"/>
  <c r="Q35" i="135"/>
  <c r="BI35" i="135" s="1"/>
  <c r="R35" i="135"/>
  <c r="BJ35" i="135" s="1"/>
  <c r="S35" i="135"/>
  <c r="BK35" i="135" s="1"/>
  <c r="T35" i="135"/>
  <c r="BL35" i="135" s="1"/>
  <c r="AZ35" i="135" s="1"/>
  <c r="I35" i="135"/>
  <c r="BA35" i="135" s="1"/>
  <c r="BW35" i="135" l="1" a="1"/>
  <c r="BW57" i="58"/>
  <c r="BU57" i="58"/>
  <c r="BV57" i="58"/>
  <c r="D56" i="35"/>
  <c r="D57" i="35"/>
  <c r="D59" i="35"/>
  <c r="D60" i="35"/>
  <c r="D61" i="35"/>
  <c r="D62" i="35"/>
  <c r="BV35" i="135" l="1"/>
  <c r="BU35" i="135"/>
  <c r="BW35" i="135"/>
  <c r="J48" i="137"/>
  <c r="BB48" i="137" s="1"/>
  <c r="K48" i="137"/>
  <c r="BC48" i="137" s="1"/>
  <c r="L48" i="137"/>
  <c r="BD48" i="137" s="1"/>
  <c r="M48" i="137"/>
  <c r="BE48" i="137" s="1"/>
  <c r="N48" i="137"/>
  <c r="BF48" i="137" s="1"/>
  <c r="AY48" i="137" s="1"/>
  <c r="O48" i="137"/>
  <c r="BG48" i="137" s="1"/>
  <c r="P48" i="137"/>
  <c r="BH48" i="137" s="1"/>
  <c r="Q48" i="137"/>
  <c r="BI48" i="137" s="1"/>
  <c r="R48" i="137"/>
  <c r="BJ48" i="137" s="1"/>
  <c r="S48" i="137"/>
  <c r="BK48" i="137" s="1"/>
  <c r="T48" i="137"/>
  <c r="BL48" i="137" s="1"/>
  <c r="AZ48" i="137" s="1"/>
  <c r="I48" i="137"/>
  <c r="BA48" i="137" s="1"/>
  <c r="BW48" i="137" l="1" a="1"/>
  <c r="AZ50" i="21"/>
  <c r="AZ49" i="21"/>
  <c r="AV26" i="21"/>
  <c r="G48" i="131"/>
  <c r="H48" i="131"/>
  <c r="J44" i="131"/>
  <c r="K44" i="131"/>
  <c r="L44" i="131"/>
  <c r="M44" i="131"/>
  <c r="N44" i="131"/>
  <c r="O44" i="131"/>
  <c r="P44" i="131"/>
  <c r="Q44" i="131"/>
  <c r="R44" i="131"/>
  <c r="S44" i="131"/>
  <c r="T44" i="131"/>
  <c r="I44" i="131"/>
  <c r="J34" i="137"/>
  <c r="BB34" i="137" s="1"/>
  <c r="K34" i="137"/>
  <c r="BC34" i="137" s="1"/>
  <c r="L34" i="137"/>
  <c r="BD34" i="137" s="1"/>
  <c r="M34" i="137"/>
  <c r="BE34" i="137" s="1"/>
  <c r="N34" i="137"/>
  <c r="BF34" i="137" s="1"/>
  <c r="AY34" i="137" s="1"/>
  <c r="O34" i="137"/>
  <c r="BG34" i="137" s="1"/>
  <c r="P34" i="137"/>
  <c r="BH34" i="137" s="1"/>
  <c r="Q34" i="137"/>
  <c r="BI34" i="137" s="1"/>
  <c r="R34" i="137"/>
  <c r="BJ34" i="137" s="1"/>
  <c r="S34" i="137"/>
  <c r="BK34" i="137" s="1"/>
  <c r="T34" i="137"/>
  <c r="I34" i="137"/>
  <c r="BA34" i="137" s="1"/>
  <c r="AZ36" i="21" l="1"/>
  <c r="BL34" i="137"/>
  <c r="AZ34" i="137" s="1"/>
  <c r="BU48" i="137"/>
  <c r="BW48" i="137"/>
  <c r="BV48" i="137"/>
  <c r="M15" i="131"/>
  <c r="AO50" i="21"/>
  <c r="AO49" i="21"/>
  <c r="AM50" i="21"/>
  <c r="AM49" i="21"/>
  <c r="AM48" i="21"/>
  <c r="AM26" i="21"/>
  <c r="AM36" i="21"/>
  <c r="AM39" i="21"/>
  <c r="I48" i="136"/>
  <c r="BA48" i="136" s="1"/>
  <c r="J48" i="136"/>
  <c r="BB48" i="136" s="1"/>
  <c r="K48" i="136"/>
  <c r="BC48" i="136" s="1"/>
  <c r="L48" i="136"/>
  <c r="BD48" i="136" s="1"/>
  <c r="M48" i="136"/>
  <c r="BE48" i="136" s="1"/>
  <c r="N48" i="136"/>
  <c r="BF48" i="136" s="1"/>
  <c r="AY48" i="136" s="1"/>
  <c r="O48" i="136"/>
  <c r="BG48" i="136" s="1"/>
  <c r="P48" i="136"/>
  <c r="BH48" i="136" s="1"/>
  <c r="Q48" i="136"/>
  <c r="BI48" i="136" s="1"/>
  <c r="R48" i="136"/>
  <c r="BJ48" i="136" s="1"/>
  <c r="S48" i="136"/>
  <c r="BK48" i="136" s="1"/>
  <c r="T48" i="136"/>
  <c r="BL48" i="136" s="1"/>
  <c r="AZ48" i="136" s="1"/>
  <c r="J44" i="129"/>
  <c r="K44" i="129"/>
  <c r="L44" i="129"/>
  <c r="M44" i="129"/>
  <c r="N44" i="129"/>
  <c r="O44" i="129"/>
  <c r="P44" i="129"/>
  <c r="Q44" i="129"/>
  <c r="R44" i="129"/>
  <c r="S44" i="129"/>
  <c r="T44" i="129"/>
  <c r="I44" i="129"/>
  <c r="AM46" i="21"/>
  <c r="AD50" i="21"/>
  <c r="AD49" i="21"/>
  <c r="AD39" i="21"/>
  <c r="J44" i="128"/>
  <c r="K44" i="128"/>
  <c r="L44" i="128"/>
  <c r="M44" i="128"/>
  <c r="N44" i="128"/>
  <c r="O44" i="128"/>
  <c r="P44" i="128"/>
  <c r="Q44" i="128"/>
  <c r="R44" i="128"/>
  <c r="S44" i="128"/>
  <c r="T44" i="128"/>
  <c r="I44" i="128"/>
  <c r="G37" i="128"/>
  <c r="H37" i="128"/>
  <c r="J44" i="127"/>
  <c r="K44" i="127"/>
  <c r="L44" i="127"/>
  <c r="M44" i="127"/>
  <c r="N44" i="127"/>
  <c r="O44" i="127"/>
  <c r="P44" i="127"/>
  <c r="Q44" i="127"/>
  <c r="R44" i="127"/>
  <c r="S44" i="127"/>
  <c r="T44" i="127"/>
  <c r="I44" i="127"/>
  <c r="B37" i="127"/>
  <c r="I19" i="127"/>
  <c r="Q10" i="21"/>
  <c r="Q12" i="21"/>
  <c r="Q13" i="21"/>
  <c r="Q14" i="21"/>
  <c r="Q16" i="21"/>
  <c r="Q17" i="21"/>
  <c r="Q18" i="21"/>
  <c r="F12" i="21"/>
  <c r="F13" i="21"/>
  <c r="F14" i="21"/>
  <c r="F16" i="21"/>
  <c r="F17" i="21"/>
  <c r="F18" i="21"/>
  <c r="J44" i="73"/>
  <c r="BB44" i="73" s="1"/>
  <c r="K44" i="73"/>
  <c r="BC44" i="73" s="1"/>
  <c r="L44" i="73"/>
  <c r="BD44" i="73" s="1"/>
  <c r="M44" i="73"/>
  <c r="BE44" i="73" s="1"/>
  <c r="N44" i="73"/>
  <c r="BF44" i="73" s="1"/>
  <c r="AY44" i="73" s="1"/>
  <c r="O44" i="73"/>
  <c r="BG44" i="73" s="1"/>
  <c r="P44" i="73"/>
  <c r="BH44" i="73" s="1"/>
  <c r="Q44" i="73"/>
  <c r="BI44" i="73" s="1"/>
  <c r="R44" i="73"/>
  <c r="BJ44" i="73" s="1"/>
  <c r="S44" i="73"/>
  <c r="BK44" i="73" s="1"/>
  <c r="T44" i="73"/>
  <c r="BL44" i="73" s="1"/>
  <c r="AZ44" i="73" s="1"/>
  <c r="I44" i="73"/>
  <c r="BA44" i="73" s="1"/>
  <c r="BW44" i="73" s="1" a="1"/>
  <c r="J45" i="69"/>
  <c r="K45" i="69"/>
  <c r="L45" i="69"/>
  <c r="M45" i="69"/>
  <c r="N45" i="69"/>
  <c r="O45" i="69"/>
  <c r="P45" i="69"/>
  <c r="Q45" i="69"/>
  <c r="R45" i="69"/>
  <c r="S45" i="69"/>
  <c r="T45" i="69"/>
  <c r="I45" i="69"/>
  <c r="BW44" i="73" l="1"/>
  <c r="BV44" i="73"/>
  <c r="BU44" i="73"/>
  <c r="BW48" i="136" a="1"/>
  <c r="BW34" i="137" a="1"/>
  <c r="K26" i="69"/>
  <c r="S26" i="69"/>
  <c r="T26" i="69"/>
  <c r="J22" i="69"/>
  <c r="T20" i="131"/>
  <c r="S20" i="131"/>
  <c r="R20" i="131"/>
  <c r="Q20" i="131"/>
  <c r="P20" i="131"/>
  <c r="O20" i="131"/>
  <c r="N20" i="131"/>
  <c r="M20" i="131"/>
  <c r="L20" i="131"/>
  <c r="K20" i="131"/>
  <c r="J20" i="131"/>
  <c r="T19" i="131"/>
  <c r="S19" i="131"/>
  <c r="R19" i="131"/>
  <c r="Q19" i="131"/>
  <c r="P19" i="131"/>
  <c r="O19" i="131"/>
  <c r="N19" i="131"/>
  <c r="M19" i="131"/>
  <c r="L19" i="131"/>
  <c r="K19" i="131"/>
  <c r="J19" i="131"/>
  <c r="T19" i="129"/>
  <c r="S19" i="129"/>
  <c r="R19" i="129"/>
  <c r="Q19" i="129"/>
  <c r="P19" i="129"/>
  <c r="O19" i="129"/>
  <c r="N19" i="129"/>
  <c r="M19" i="129"/>
  <c r="L19" i="129"/>
  <c r="K19" i="129"/>
  <c r="J19" i="129"/>
  <c r="T20" i="128"/>
  <c r="S20" i="128"/>
  <c r="R20" i="128"/>
  <c r="Q20" i="128"/>
  <c r="P20" i="128"/>
  <c r="O20" i="128"/>
  <c r="N20" i="128"/>
  <c r="M20" i="128"/>
  <c r="L20" i="128"/>
  <c r="K20" i="128"/>
  <c r="J20" i="128"/>
  <c r="T19" i="128"/>
  <c r="S19" i="128"/>
  <c r="R19" i="128"/>
  <c r="Q19" i="128"/>
  <c r="P19" i="128"/>
  <c r="O19" i="128"/>
  <c r="N19" i="128"/>
  <c r="M19" i="128"/>
  <c r="L19" i="128"/>
  <c r="K19" i="128"/>
  <c r="J19" i="128"/>
  <c r="T20" i="127"/>
  <c r="S20" i="127"/>
  <c r="R20" i="127"/>
  <c r="Q20" i="127"/>
  <c r="P20" i="127"/>
  <c r="O20" i="127"/>
  <c r="N20" i="127"/>
  <c r="M20" i="127"/>
  <c r="L20" i="127"/>
  <c r="K20" i="127"/>
  <c r="J20" i="127"/>
  <c r="T19" i="127"/>
  <c r="S19" i="127"/>
  <c r="R19" i="127"/>
  <c r="Q19" i="127"/>
  <c r="P19" i="127"/>
  <c r="O19" i="127"/>
  <c r="N19" i="127"/>
  <c r="M19" i="127"/>
  <c r="L19" i="127"/>
  <c r="K19" i="127"/>
  <c r="J19" i="127"/>
  <c r="L21" i="69"/>
  <c r="K21" i="69"/>
  <c r="BW34" i="137" l="1"/>
  <c r="BV34" i="137"/>
  <c r="BU34" i="137"/>
  <c r="BV48" i="136"/>
  <c r="BW48" i="136"/>
  <c r="BU48" i="136"/>
  <c r="T20" i="69"/>
  <c r="J20" i="69"/>
  <c r="S20" i="69"/>
  <c r="M21" i="69"/>
  <c r="R20" i="69"/>
  <c r="N21" i="69"/>
  <c r="J21" i="69"/>
  <c r="K20" i="69"/>
  <c r="O21" i="69"/>
  <c r="P20" i="69"/>
  <c r="P21" i="69"/>
  <c r="Q20" i="69"/>
  <c r="O20" i="69"/>
  <c r="Q21" i="69"/>
  <c r="R21" i="69"/>
  <c r="M20" i="69"/>
  <c r="S21" i="69"/>
  <c r="L20" i="69"/>
  <c r="T21" i="69"/>
  <c r="O25" i="128"/>
  <c r="O25" i="127"/>
  <c r="O25" i="131"/>
  <c r="O25" i="129"/>
  <c r="N25" i="128"/>
  <c r="N25" i="127"/>
  <c r="N25" i="131"/>
  <c r="N25" i="129"/>
  <c r="K25" i="128"/>
  <c r="K25" i="127"/>
  <c r="K25" i="131"/>
  <c r="K25" i="129"/>
  <c r="O26" i="69"/>
  <c r="Q25" i="129"/>
  <c r="Q25" i="128"/>
  <c r="Q25" i="131"/>
  <c r="Q25" i="127"/>
  <c r="P25" i="129"/>
  <c r="P25" i="131"/>
  <c r="P25" i="128"/>
  <c r="P25" i="127"/>
  <c r="M25" i="128"/>
  <c r="M25" i="127"/>
  <c r="M25" i="131"/>
  <c r="M25" i="129"/>
  <c r="J26" i="69"/>
  <c r="J25" i="131"/>
  <c r="J25" i="129"/>
  <c r="J25" i="128"/>
  <c r="J25" i="127"/>
  <c r="N26" i="69"/>
  <c r="S25" i="129"/>
  <c r="S25" i="127"/>
  <c r="S25" i="131"/>
  <c r="S25" i="128"/>
  <c r="R25" i="129"/>
  <c r="R25" i="127"/>
  <c r="R25" i="128"/>
  <c r="R25" i="131"/>
  <c r="P26" i="69"/>
  <c r="I26" i="69"/>
  <c r="I25" i="131"/>
  <c r="I25" i="127"/>
  <c r="I25" i="129"/>
  <c r="I25" i="128"/>
  <c r="M26" i="69"/>
  <c r="R26" i="69"/>
  <c r="Q26" i="69"/>
  <c r="L25" i="128"/>
  <c r="L25" i="127"/>
  <c r="L25" i="131"/>
  <c r="L25" i="129"/>
  <c r="T25" i="129"/>
  <c r="T25" i="127"/>
  <c r="T25" i="131"/>
  <c r="T25" i="128"/>
  <c r="L26" i="69"/>
  <c r="N20" i="69"/>
  <c r="G29" i="21" l="1"/>
  <c r="G32" i="21"/>
  <c r="G40" i="21"/>
  <c r="G43" i="21"/>
  <c r="G52" i="21"/>
  <c r="G53" i="21"/>
  <c r="G54" i="21"/>
  <c r="G55" i="21"/>
  <c r="G56" i="21"/>
  <c r="G20" i="21"/>
  <c r="G15" i="21"/>
  <c r="T16" i="131"/>
  <c r="S16" i="131"/>
  <c r="R16" i="131"/>
  <c r="Q16" i="131"/>
  <c r="P16" i="131"/>
  <c r="O16" i="131"/>
  <c r="N16" i="131"/>
  <c r="M16" i="131"/>
  <c r="L16" i="131"/>
  <c r="K16" i="131"/>
  <c r="J16" i="131"/>
  <c r="I16" i="131"/>
  <c r="T16" i="129"/>
  <c r="S16" i="129"/>
  <c r="R16" i="129"/>
  <c r="Q16" i="129"/>
  <c r="P16" i="129"/>
  <c r="O16" i="129"/>
  <c r="N16" i="129"/>
  <c r="M16" i="129"/>
  <c r="L16" i="129"/>
  <c r="K16" i="129"/>
  <c r="J16" i="129"/>
  <c r="I16" i="129"/>
  <c r="T16" i="128"/>
  <c r="S16" i="128"/>
  <c r="R16" i="128"/>
  <c r="Q16" i="128"/>
  <c r="P16" i="128"/>
  <c r="O16" i="128"/>
  <c r="N16" i="128"/>
  <c r="M16" i="128"/>
  <c r="L16" i="128"/>
  <c r="K16" i="128"/>
  <c r="J16" i="128"/>
  <c r="I16" i="128"/>
  <c r="T16" i="127"/>
  <c r="S16" i="127"/>
  <c r="R16" i="127"/>
  <c r="Q16" i="127"/>
  <c r="P16" i="127"/>
  <c r="O16" i="127"/>
  <c r="N16" i="127"/>
  <c r="M16" i="127"/>
  <c r="L16" i="127"/>
  <c r="K16" i="127"/>
  <c r="J16" i="127"/>
  <c r="I16" i="127"/>
  <c r="K17" i="69"/>
  <c r="L17" i="69"/>
  <c r="N17" i="69"/>
  <c r="P17" i="69"/>
  <c r="Q17" i="69"/>
  <c r="R17" i="69"/>
  <c r="S17" i="69"/>
  <c r="T17" i="69"/>
  <c r="D46" i="35"/>
  <c r="E46" i="35"/>
  <c r="E36" i="35"/>
  <c r="E37" i="35"/>
  <c r="E38" i="35"/>
  <c r="E39" i="35"/>
  <c r="E40" i="35"/>
  <c r="E41" i="35"/>
  <c r="T37" i="131"/>
  <c r="S37" i="131"/>
  <c r="R37" i="131"/>
  <c r="Q37" i="131"/>
  <c r="P37" i="131"/>
  <c r="O37" i="131"/>
  <c r="L37" i="131"/>
  <c r="K37" i="131"/>
  <c r="J37" i="131"/>
  <c r="I37" i="131"/>
  <c r="T37" i="129"/>
  <c r="S37" i="129"/>
  <c r="R37" i="129"/>
  <c r="Q37" i="129"/>
  <c r="J37" i="129"/>
  <c r="I37" i="129"/>
  <c r="T37" i="128"/>
  <c r="S37" i="128"/>
  <c r="R37" i="128"/>
  <c r="Q37" i="128"/>
  <c r="P37" i="128"/>
  <c r="O37" i="128"/>
  <c r="L37" i="128"/>
  <c r="K37" i="128"/>
  <c r="J37" i="128"/>
  <c r="I37" i="128"/>
  <c r="T38" i="69"/>
  <c r="S38" i="69"/>
  <c r="R38" i="69"/>
  <c r="Q38" i="69"/>
  <c r="J38" i="69"/>
  <c r="I38" i="69"/>
  <c r="T36" i="131"/>
  <c r="S36" i="131"/>
  <c r="R36" i="131"/>
  <c r="Q36" i="131"/>
  <c r="T36" i="129"/>
  <c r="S36" i="129"/>
  <c r="R36" i="129"/>
  <c r="Q36" i="129"/>
  <c r="T36" i="127"/>
  <c r="S36" i="127"/>
  <c r="R36" i="127"/>
  <c r="Q36" i="127"/>
  <c r="T37" i="69"/>
  <c r="S37" i="69"/>
  <c r="R37" i="69"/>
  <c r="Q37" i="69"/>
  <c r="T35" i="131"/>
  <c r="S35" i="131"/>
  <c r="R35" i="131"/>
  <c r="Q35" i="131"/>
  <c r="T35" i="129"/>
  <c r="S35" i="129"/>
  <c r="R35" i="129"/>
  <c r="Q35" i="129"/>
  <c r="T35" i="128"/>
  <c r="S35" i="128"/>
  <c r="R35" i="128"/>
  <c r="Q35" i="128"/>
  <c r="T35" i="127"/>
  <c r="S35" i="127"/>
  <c r="R35" i="127"/>
  <c r="Q35" i="127"/>
  <c r="T36" i="69"/>
  <c r="S36" i="69"/>
  <c r="R36" i="69"/>
  <c r="Q36" i="69"/>
  <c r="J17" i="69" l="1"/>
  <c r="O38" i="69"/>
  <c r="P38" i="69"/>
  <c r="O37" i="129"/>
  <c r="P37" i="129"/>
  <c r="M37" i="128"/>
  <c r="N37" i="128"/>
  <c r="M37" i="131"/>
  <c r="N37" i="131"/>
  <c r="T37" i="127"/>
  <c r="T36" i="128"/>
  <c r="I35" i="128"/>
  <c r="I37" i="69"/>
  <c r="I36" i="129"/>
  <c r="I35" i="127"/>
  <c r="K38" i="69"/>
  <c r="S36" i="128"/>
  <c r="S37" i="127"/>
  <c r="I35" i="131"/>
  <c r="K37" i="129"/>
  <c r="I36" i="128"/>
  <c r="I37" i="127"/>
  <c r="I36" i="69"/>
  <c r="I35" i="129"/>
  <c r="I36" i="127"/>
  <c r="Q36" i="128"/>
  <c r="Q37" i="127"/>
  <c r="I36" i="131"/>
  <c r="R36" i="128"/>
  <c r="R37" i="127"/>
  <c r="O17" i="69"/>
  <c r="M17" i="69"/>
  <c r="L37" i="129" l="1"/>
  <c r="J35" i="129"/>
  <c r="J36" i="69"/>
  <c r="J36" i="131"/>
  <c r="J36" i="129"/>
  <c r="J37" i="69"/>
  <c r="J35" i="127"/>
  <c r="J36" i="127"/>
  <c r="J35" i="131"/>
  <c r="J35" i="128"/>
  <c r="J36" i="128"/>
  <c r="J37" i="127"/>
  <c r="L38" i="69"/>
  <c r="T32" i="131"/>
  <c r="S32" i="131"/>
  <c r="R32" i="131"/>
  <c r="Q32" i="131"/>
  <c r="P32" i="131"/>
  <c r="O32" i="131"/>
  <c r="N32" i="131"/>
  <c r="M32" i="131"/>
  <c r="L32" i="131"/>
  <c r="K32" i="131"/>
  <c r="T32" i="129"/>
  <c r="S32" i="129"/>
  <c r="R32" i="129"/>
  <c r="Q32" i="129"/>
  <c r="P32" i="129"/>
  <c r="O32" i="129"/>
  <c r="N32" i="129"/>
  <c r="M32" i="129"/>
  <c r="L32" i="129"/>
  <c r="K32" i="129"/>
  <c r="J32" i="129"/>
  <c r="I32" i="129"/>
  <c r="T32" i="128"/>
  <c r="S32" i="128"/>
  <c r="R32" i="128"/>
  <c r="Q32" i="128"/>
  <c r="P32" i="128"/>
  <c r="O32" i="128"/>
  <c r="N32" i="128"/>
  <c r="M32" i="128"/>
  <c r="L32" i="128"/>
  <c r="K32" i="128"/>
  <c r="J32" i="128"/>
  <c r="I32" i="128"/>
  <c r="T32" i="127"/>
  <c r="S32" i="127"/>
  <c r="R32" i="127"/>
  <c r="Q32" i="127"/>
  <c r="P32" i="127"/>
  <c r="O32" i="127"/>
  <c r="N32" i="127"/>
  <c r="M32" i="127"/>
  <c r="L32" i="127"/>
  <c r="K32" i="127"/>
  <c r="J32" i="127"/>
  <c r="I32" i="127"/>
  <c r="T33" i="69"/>
  <c r="S33" i="69"/>
  <c r="R33" i="69"/>
  <c r="Q33" i="69"/>
  <c r="P33" i="69"/>
  <c r="O33" i="69"/>
  <c r="N33" i="69"/>
  <c r="M33" i="69"/>
  <c r="L33" i="69"/>
  <c r="K33" i="69"/>
  <c r="J33" i="69"/>
  <c r="I33" i="69"/>
  <c r="D40" i="35"/>
  <c r="D36" i="35"/>
  <c r="M29" i="129"/>
  <c r="L29" i="128"/>
  <c r="T29" i="131"/>
  <c r="S29" i="131"/>
  <c r="R29" i="131"/>
  <c r="Q29" i="131"/>
  <c r="P29" i="131"/>
  <c r="O29" i="131"/>
  <c r="N29" i="131"/>
  <c r="M29" i="131"/>
  <c r="L29" i="131"/>
  <c r="K29" i="131"/>
  <c r="J29" i="131"/>
  <c r="I29" i="131"/>
  <c r="T29" i="129"/>
  <c r="S29" i="129"/>
  <c r="R29" i="129"/>
  <c r="Q29" i="129"/>
  <c r="P29" i="129"/>
  <c r="O29" i="129"/>
  <c r="N29" i="129"/>
  <c r="R29" i="128"/>
  <c r="Q29" i="128"/>
  <c r="P29" i="128"/>
  <c r="O29" i="128"/>
  <c r="N29" i="128"/>
  <c r="M29" i="128"/>
  <c r="T29" i="127"/>
  <c r="S29" i="127"/>
  <c r="R29" i="127"/>
  <c r="Q29" i="127"/>
  <c r="P29" i="127"/>
  <c r="O29" i="127"/>
  <c r="N29" i="127"/>
  <c r="M29" i="127"/>
  <c r="L29" i="127"/>
  <c r="K29" i="127"/>
  <c r="J29" i="127"/>
  <c r="I29" i="127"/>
  <c r="K30" i="69"/>
  <c r="L30" i="69"/>
  <c r="M30" i="69"/>
  <c r="N30" i="69"/>
  <c r="O30" i="69"/>
  <c r="P30" i="69"/>
  <c r="Q30" i="69"/>
  <c r="R30" i="69"/>
  <c r="S30" i="69"/>
  <c r="T30" i="69"/>
  <c r="J30" i="69"/>
  <c r="I30" i="69"/>
  <c r="D24" i="35"/>
  <c r="I21" i="131"/>
  <c r="J21" i="129"/>
  <c r="I21" i="129"/>
  <c r="J21" i="128"/>
  <c r="J21" i="127"/>
  <c r="I21" i="127"/>
  <c r="K22" i="69"/>
  <c r="M38" i="69" l="1"/>
  <c r="N38" i="69"/>
  <c r="M37" i="129"/>
  <c r="N37" i="129"/>
  <c r="K36" i="129"/>
  <c r="K35" i="128"/>
  <c r="K35" i="131"/>
  <c r="K36" i="127"/>
  <c r="K35" i="129"/>
  <c r="K37" i="69"/>
  <c r="K36" i="128"/>
  <c r="K37" i="127"/>
  <c r="K36" i="131"/>
  <c r="J32" i="131"/>
  <c r="I32" i="131"/>
  <c r="K36" i="69"/>
  <c r="K35" i="127"/>
  <c r="I21" i="128"/>
  <c r="I29" i="129"/>
  <c r="K29" i="129"/>
  <c r="J29" i="129"/>
  <c r="L29" i="129"/>
  <c r="S29" i="128"/>
  <c r="I29" i="128"/>
  <c r="J29" i="128"/>
  <c r="T29" i="128"/>
  <c r="K29" i="128"/>
  <c r="I22" i="69"/>
  <c r="J21" i="131"/>
  <c r="M22" i="69"/>
  <c r="L22" i="69"/>
  <c r="T21" i="131"/>
  <c r="O21" i="127"/>
  <c r="M21" i="128"/>
  <c r="L21" i="129"/>
  <c r="Q21" i="131"/>
  <c r="L21" i="128"/>
  <c r="N21" i="128"/>
  <c r="P21" i="128"/>
  <c r="S21" i="128"/>
  <c r="R21" i="129"/>
  <c r="P21" i="131"/>
  <c r="N22" i="69"/>
  <c r="O21" i="128"/>
  <c r="O21" i="129"/>
  <c r="T21" i="127"/>
  <c r="T21" i="128"/>
  <c r="S21" i="129"/>
  <c r="K21" i="129"/>
  <c r="R21" i="131"/>
  <c r="Q21" i="127"/>
  <c r="S21" i="131"/>
  <c r="Q21" i="128"/>
  <c r="K21" i="127"/>
  <c r="T21" i="129"/>
  <c r="P21" i="127"/>
  <c r="M21" i="129"/>
  <c r="N21" i="129"/>
  <c r="P21" i="129"/>
  <c r="R21" i="128"/>
  <c r="Q21" i="129"/>
  <c r="R22" i="69"/>
  <c r="L21" i="127"/>
  <c r="N21" i="127"/>
  <c r="R21" i="127"/>
  <c r="S21" i="127"/>
  <c r="M21" i="127"/>
  <c r="K21" i="128"/>
  <c r="M21" i="131"/>
  <c r="N21" i="131"/>
  <c r="K21" i="131"/>
  <c r="L21" i="131"/>
  <c r="O21" i="131"/>
  <c r="Q22" i="69"/>
  <c r="P22" i="69"/>
  <c r="T22" i="69"/>
  <c r="S22" i="69"/>
  <c r="O22" i="69"/>
  <c r="L35" i="127" l="1"/>
  <c r="L37" i="69"/>
  <c r="L35" i="129"/>
  <c r="L35" i="131"/>
  <c r="L35" i="128"/>
  <c r="L36" i="69"/>
  <c r="L36" i="127"/>
  <c r="L36" i="128"/>
  <c r="L37" i="127"/>
  <c r="L36" i="131"/>
  <c r="L36" i="129"/>
  <c r="P37" i="127" l="1"/>
  <c r="P36" i="128"/>
  <c r="P37" i="69"/>
  <c r="O37" i="127"/>
  <c r="O36" i="128"/>
  <c r="O37" i="69"/>
  <c r="M36" i="129"/>
  <c r="M35" i="128"/>
  <c r="M36" i="131"/>
  <c r="M35" i="129"/>
  <c r="M35" i="131"/>
  <c r="N36" i="128"/>
  <c r="N37" i="127"/>
  <c r="N37" i="69"/>
  <c r="M36" i="127"/>
  <c r="M36" i="69"/>
  <c r="M35" i="127"/>
  <c r="M36" i="128"/>
  <c r="M37" i="127"/>
  <c r="M37" i="69"/>
  <c r="K15" i="129"/>
  <c r="L15" i="129"/>
  <c r="M15" i="129"/>
  <c r="N15" i="129"/>
  <c r="O15" i="129"/>
  <c r="P15" i="129"/>
  <c r="Q15" i="129"/>
  <c r="R15" i="129"/>
  <c r="S15" i="129"/>
  <c r="T15" i="129"/>
  <c r="K15" i="128"/>
  <c r="L15" i="128"/>
  <c r="M15" i="128"/>
  <c r="N15" i="128"/>
  <c r="O15" i="128"/>
  <c r="P15" i="128"/>
  <c r="Q15" i="128"/>
  <c r="R15" i="128"/>
  <c r="S15" i="128"/>
  <c r="T15" i="128"/>
  <c r="J15" i="128"/>
  <c r="K15" i="127"/>
  <c r="L15" i="127"/>
  <c r="M15" i="127"/>
  <c r="N15" i="127"/>
  <c r="O15" i="127"/>
  <c r="P15" i="127"/>
  <c r="Q15" i="127"/>
  <c r="R15" i="127"/>
  <c r="S15" i="127"/>
  <c r="T15" i="127"/>
  <c r="J15" i="127"/>
  <c r="K16" i="69"/>
  <c r="L16" i="69"/>
  <c r="M16" i="69"/>
  <c r="N16" i="69"/>
  <c r="O16" i="69"/>
  <c r="P16" i="69"/>
  <c r="Q16" i="69"/>
  <c r="R16" i="69"/>
  <c r="S16" i="69"/>
  <c r="T16" i="69"/>
  <c r="J16" i="69"/>
  <c r="I16" i="69"/>
  <c r="I15" i="127"/>
  <c r="I15" i="128"/>
  <c r="I15" i="129"/>
  <c r="J15" i="129"/>
  <c r="K15" i="131"/>
  <c r="L15" i="131"/>
  <c r="N15" i="131"/>
  <c r="O15" i="131"/>
  <c r="P15" i="131"/>
  <c r="Q15" i="131"/>
  <c r="R15" i="131"/>
  <c r="S15" i="131"/>
  <c r="T15" i="131"/>
  <c r="J15" i="131"/>
  <c r="I15" i="131"/>
  <c r="J15" i="137"/>
  <c r="BB15" i="137" s="1"/>
  <c r="K15" i="137"/>
  <c r="BC15" i="137" s="1"/>
  <c r="L15" i="137"/>
  <c r="BD15" i="137" s="1"/>
  <c r="M15" i="137"/>
  <c r="BE15" i="137" s="1"/>
  <c r="N15" i="137"/>
  <c r="BF15" i="137" s="1"/>
  <c r="AY15" i="137" s="1"/>
  <c r="O15" i="137"/>
  <c r="BG15" i="137" s="1"/>
  <c r="P15" i="137"/>
  <c r="BH15" i="137" s="1"/>
  <c r="Q15" i="137"/>
  <c r="BI15" i="137" s="1"/>
  <c r="R15" i="137"/>
  <c r="BJ15" i="137" s="1"/>
  <c r="S15" i="137"/>
  <c r="BK15" i="137" s="1"/>
  <c r="T15" i="137"/>
  <c r="BL15" i="137" s="1"/>
  <c r="AZ15" i="137" s="1"/>
  <c r="I15" i="137"/>
  <c r="BA15" i="137" s="1"/>
  <c r="J15" i="136"/>
  <c r="BB15" i="136" s="1"/>
  <c r="K15" i="136"/>
  <c r="BC15" i="136" s="1"/>
  <c r="L15" i="136"/>
  <c r="BD15" i="136" s="1"/>
  <c r="M15" i="136"/>
  <c r="BE15" i="136" s="1"/>
  <c r="N15" i="136"/>
  <c r="BF15" i="136" s="1"/>
  <c r="AY15" i="136" s="1"/>
  <c r="O15" i="136"/>
  <c r="BG15" i="136" s="1"/>
  <c r="P15" i="136"/>
  <c r="BH15" i="136" s="1"/>
  <c r="Q15" i="136"/>
  <c r="BI15" i="136" s="1"/>
  <c r="R15" i="136"/>
  <c r="BJ15" i="136" s="1"/>
  <c r="S15" i="136"/>
  <c r="BK15" i="136" s="1"/>
  <c r="T15" i="136"/>
  <c r="BL15" i="136" s="1"/>
  <c r="AZ15" i="136" s="1"/>
  <c r="I15" i="136"/>
  <c r="BA15" i="136" s="1"/>
  <c r="J15" i="135"/>
  <c r="BB15" i="135" s="1"/>
  <c r="K15" i="135"/>
  <c r="BC15" i="135" s="1"/>
  <c r="L15" i="135"/>
  <c r="BD15" i="135" s="1"/>
  <c r="M15" i="135"/>
  <c r="BE15" i="135" s="1"/>
  <c r="N15" i="135"/>
  <c r="BF15" i="135" s="1"/>
  <c r="AY15" i="135" s="1"/>
  <c r="O15" i="135"/>
  <c r="BG15" i="135" s="1"/>
  <c r="P15" i="135"/>
  <c r="BH15" i="135" s="1"/>
  <c r="Q15" i="135"/>
  <c r="BI15" i="135" s="1"/>
  <c r="R15" i="135"/>
  <c r="BJ15" i="135" s="1"/>
  <c r="S15" i="135"/>
  <c r="BK15" i="135" s="1"/>
  <c r="T15" i="135"/>
  <c r="BL15" i="135" s="1"/>
  <c r="AZ15" i="135" s="1"/>
  <c r="I15" i="135"/>
  <c r="BA15" i="135" s="1"/>
  <c r="J15" i="134"/>
  <c r="BB15" i="134" s="1"/>
  <c r="K15" i="134"/>
  <c r="BC15" i="134" s="1"/>
  <c r="L15" i="134"/>
  <c r="BD15" i="134" s="1"/>
  <c r="M15" i="134"/>
  <c r="BE15" i="134" s="1"/>
  <c r="N15" i="134"/>
  <c r="BF15" i="134" s="1"/>
  <c r="AY15" i="134" s="1"/>
  <c r="O15" i="134"/>
  <c r="BG15" i="134" s="1"/>
  <c r="P15" i="134"/>
  <c r="BH15" i="134" s="1"/>
  <c r="Q15" i="134"/>
  <c r="BI15" i="134" s="1"/>
  <c r="R15" i="134"/>
  <c r="BJ15" i="134" s="1"/>
  <c r="S15" i="134"/>
  <c r="BK15" i="134" s="1"/>
  <c r="T15" i="134"/>
  <c r="BL15" i="134" s="1"/>
  <c r="AZ15" i="134" s="1"/>
  <c r="I15" i="134"/>
  <c r="BA15" i="134" s="1"/>
  <c r="J15" i="73"/>
  <c r="BB15" i="73" s="1"/>
  <c r="K15" i="73"/>
  <c r="BC15" i="73" s="1"/>
  <c r="L15" i="73"/>
  <c r="BD15" i="73" s="1"/>
  <c r="M15" i="73"/>
  <c r="BE15" i="73" s="1"/>
  <c r="N15" i="73"/>
  <c r="BF15" i="73" s="1"/>
  <c r="AY15" i="73" s="1"/>
  <c r="O15" i="73"/>
  <c r="BG15" i="73" s="1"/>
  <c r="P15" i="73"/>
  <c r="BH15" i="73" s="1"/>
  <c r="Q15" i="73"/>
  <c r="BI15" i="73" s="1"/>
  <c r="R15" i="73"/>
  <c r="BJ15" i="73" s="1"/>
  <c r="S15" i="73"/>
  <c r="BK15" i="73" s="1"/>
  <c r="T15" i="73"/>
  <c r="BL15" i="73" s="1"/>
  <c r="AZ15" i="73" s="1"/>
  <c r="I15" i="73"/>
  <c r="BA15" i="73" s="1"/>
  <c r="J15" i="58"/>
  <c r="BB15" i="58" s="1"/>
  <c r="K15" i="58"/>
  <c r="BC15" i="58" s="1"/>
  <c r="L15" i="58"/>
  <c r="BD15" i="58" s="1"/>
  <c r="M15" i="58"/>
  <c r="BE15" i="58" s="1"/>
  <c r="N15" i="58"/>
  <c r="BF15" i="58" s="1"/>
  <c r="AY15" i="58" s="1"/>
  <c r="O15" i="58"/>
  <c r="BG15" i="58" s="1"/>
  <c r="P15" i="58"/>
  <c r="BH15" i="58" s="1"/>
  <c r="Q15" i="58"/>
  <c r="BI15" i="58" s="1"/>
  <c r="R15" i="58"/>
  <c r="BJ15" i="58" s="1"/>
  <c r="S15" i="58"/>
  <c r="BK15" i="58" s="1"/>
  <c r="T15" i="58"/>
  <c r="BL15" i="58" s="1"/>
  <c r="AZ15" i="58" s="1"/>
  <c r="I15" i="58"/>
  <c r="BA15" i="58" s="1"/>
  <c r="BW15" i="58" l="1" a="1"/>
  <c r="BW15" i="73" a="1"/>
  <c r="BW15" i="136" a="1"/>
  <c r="BW15" i="137" a="1"/>
  <c r="BW15" i="135" a="1"/>
  <c r="BW15" i="134" a="1"/>
  <c r="N35" i="129"/>
  <c r="N36" i="69"/>
  <c r="N36" i="131"/>
  <c r="N36" i="127"/>
  <c r="N35" i="128"/>
  <c r="N36" i="129"/>
  <c r="N35" i="127"/>
  <c r="N35" i="131"/>
  <c r="H44" i="36"/>
  <c r="G44" i="36"/>
  <c r="J47" i="137"/>
  <c r="BB47" i="137" s="1"/>
  <c r="K47" i="137"/>
  <c r="BC47" i="137" s="1"/>
  <c r="L47" i="137"/>
  <c r="BD47" i="137" s="1"/>
  <c r="M47" i="137"/>
  <c r="BE47" i="137" s="1"/>
  <c r="N47" i="137"/>
  <c r="O47" i="137"/>
  <c r="BG47" i="137" s="1"/>
  <c r="P47" i="137"/>
  <c r="BH47" i="137" s="1"/>
  <c r="Q47" i="137"/>
  <c r="BI47" i="137" s="1"/>
  <c r="R47" i="137"/>
  <c r="BJ47" i="137" s="1"/>
  <c r="S47" i="137"/>
  <c r="BK47" i="137" s="1"/>
  <c r="T47" i="137"/>
  <c r="I47" i="137"/>
  <c r="BA47" i="137" s="1"/>
  <c r="J46" i="137"/>
  <c r="BB46" i="137" s="1"/>
  <c r="K46" i="137"/>
  <c r="BC46" i="137" s="1"/>
  <c r="L46" i="137"/>
  <c r="BD46" i="137" s="1"/>
  <c r="M46" i="137"/>
  <c r="BE46" i="137" s="1"/>
  <c r="N46" i="137"/>
  <c r="O46" i="137"/>
  <c r="BG46" i="137" s="1"/>
  <c r="P46" i="137"/>
  <c r="BH46" i="137" s="1"/>
  <c r="Q46" i="137"/>
  <c r="BI46" i="137" s="1"/>
  <c r="R46" i="137"/>
  <c r="BJ46" i="137" s="1"/>
  <c r="S46" i="137"/>
  <c r="BK46" i="137" s="1"/>
  <c r="T46" i="137"/>
  <c r="I46" i="137"/>
  <c r="BA46" i="137" s="1"/>
  <c r="J44" i="137"/>
  <c r="BB44" i="137" s="1"/>
  <c r="K44" i="137"/>
  <c r="BC44" i="137" s="1"/>
  <c r="L44" i="137"/>
  <c r="BD44" i="137" s="1"/>
  <c r="M44" i="137"/>
  <c r="BE44" i="137" s="1"/>
  <c r="N44" i="137"/>
  <c r="BF44" i="137" s="1"/>
  <c r="AY44" i="137" s="1"/>
  <c r="O44" i="137"/>
  <c r="BG44" i="137" s="1"/>
  <c r="P44" i="137"/>
  <c r="BH44" i="137" s="1"/>
  <c r="Q44" i="137"/>
  <c r="BI44" i="137" s="1"/>
  <c r="R44" i="137"/>
  <c r="BJ44" i="137" s="1"/>
  <c r="S44" i="137"/>
  <c r="BK44" i="137" s="1"/>
  <c r="T44" i="137"/>
  <c r="BL44" i="137" s="1"/>
  <c r="AZ44" i="137" s="1"/>
  <c r="I44" i="137"/>
  <c r="BA44" i="137" s="1"/>
  <c r="J42" i="137"/>
  <c r="BB42" i="137" s="1"/>
  <c r="K42" i="137"/>
  <c r="BC42" i="137" s="1"/>
  <c r="L42" i="137"/>
  <c r="BD42" i="137" s="1"/>
  <c r="M42" i="137"/>
  <c r="BE42" i="137" s="1"/>
  <c r="N42" i="137"/>
  <c r="BF42" i="137" s="1"/>
  <c r="AY42" i="137" s="1"/>
  <c r="O42" i="137"/>
  <c r="BG42" i="137" s="1"/>
  <c r="P42" i="137"/>
  <c r="BH42" i="137" s="1"/>
  <c r="Q42" i="137"/>
  <c r="BI42" i="137" s="1"/>
  <c r="R42" i="137"/>
  <c r="BJ42" i="137" s="1"/>
  <c r="S42" i="137"/>
  <c r="BK42" i="137" s="1"/>
  <c r="T42" i="137"/>
  <c r="BL42" i="137" s="1"/>
  <c r="AZ42" i="137" s="1"/>
  <c r="I42" i="137"/>
  <c r="BA42" i="137" s="1"/>
  <c r="J40" i="137"/>
  <c r="BB40" i="137" s="1"/>
  <c r="K40" i="137"/>
  <c r="BC40" i="137" s="1"/>
  <c r="L40" i="137"/>
  <c r="BD40" i="137" s="1"/>
  <c r="M40" i="137"/>
  <c r="BE40" i="137" s="1"/>
  <c r="N40" i="137"/>
  <c r="BF40" i="137" s="1"/>
  <c r="AY40" i="137" s="1"/>
  <c r="O40" i="137"/>
  <c r="BG40" i="137" s="1"/>
  <c r="P40" i="137"/>
  <c r="BH40" i="137" s="1"/>
  <c r="Q40" i="137"/>
  <c r="BI40" i="137" s="1"/>
  <c r="R40" i="137"/>
  <c r="BJ40" i="137" s="1"/>
  <c r="S40" i="137"/>
  <c r="BK40" i="137" s="1"/>
  <c r="T40" i="137"/>
  <c r="BL40" i="137" s="1"/>
  <c r="AZ40" i="137" s="1"/>
  <c r="I40" i="137"/>
  <c r="BA40" i="137" s="1"/>
  <c r="J39" i="137"/>
  <c r="BB39" i="137" s="1"/>
  <c r="K39" i="137"/>
  <c r="BC39" i="137" s="1"/>
  <c r="L39" i="137"/>
  <c r="BD39" i="137" s="1"/>
  <c r="M39" i="137"/>
  <c r="BE39" i="137" s="1"/>
  <c r="N39" i="137"/>
  <c r="BF39" i="137" s="1"/>
  <c r="AY39" i="137" s="1"/>
  <c r="O39" i="137"/>
  <c r="BG39" i="137" s="1"/>
  <c r="P39" i="137"/>
  <c r="BH39" i="137" s="1"/>
  <c r="Q39" i="137"/>
  <c r="BI39" i="137" s="1"/>
  <c r="R39" i="137"/>
  <c r="BJ39" i="137" s="1"/>
  <c r="S39" i="137"/>
  <c r="BK39" i="137" s="1"/>
  <c r="T39" i="137"/>
  <c r="BL39" i="137" s="1"/>
  <c r="AZ39" i="137" s="1"/>
  <c r="I39" i="137"/>
  <c r="BA39" i="137" s="1"/>
  <c r="J37" i="137"/>
  <c r="BB37" i="137" s="1"/>
  <c r="K37" i="137"/>
  <c r="BC37" i="137" s="1"/>
  <c r="L37" i="137"/>
  <c r="BD37" i="137" s="1"/>
  <c r="M37" i="137"/>
  <c r="BE37" i="137" s="1"/>
  <c r="N37" i="137"/>
  <c r="O37" i="137"/>
  <c r="BG37" i="137" s="1"/>
  <c r="P37" i="137"/>
  <c r="BH37" i="137" s="1"/>
  <c r="Q37" i="137"/>
  <c r="BI37" i="137" s="1"/>
  <c r="R37" i="137"/>
  <c r="BJ37" i="137" s="1"/>
  <c r="S37" i="137"/>
  <c r="BK37" i="137" s="1"/>
  <c r="T37" i="137"/>
  <c r="BL37" i="137" s="1"/>
  <c r="AZ37" i="137" s="1"/>
  <c r="I37" i="137"/>
  <c r="BA37" i="137" s="1"/>
  <c r="J36" i="137"/>
  <c r="BB36" i="137" s="1"/>
  <c r="K36" i="137"/>
  <c r="BC36" i="137" s="1"/>
  <c r="L36" i="137"/>
  <c r="BD36" i="137" s="1"/>
  <c r="M36" i="137"/>
  <c r="BE36" i="137" s="1"/>
  <c r="N36" i="137"/>
  <c r="BF36" i="137" s="1"/>
  <c r="AY36" i="137" s="1"/>
  <c r="O36" i="137"/>
  <c r="BG36" i="137" s="1"/>
  <c r="P36" i="137"/>
  <c r="BH36" i="137" s="1"/>
  <c r="Q36" i="137"/>
  <c r="BI36" i="137" s="1"/>
  <c r="R36" i="137"/>
  <c r="BJ36" i="137" s="1"/>
  <c r="S36" i="137"/>
  <c r="BK36" i="137" s="1"/>
  <c r="T36" i="137"/>
  <c r="BL36" i="137" s="1"/>
  <c r="AZ36" i="137" s="1"/>
  <c r="I36" i="137"/>
  <c r="BA36" i="137" s="1"/>
  <c r="J35" i="137"/>
  <c r="BB35" i="137" s="1"/>
  <c r="K35" i="137"/>
  <c r="BC35" i="137" s="1"/>
  <c r="L35" i="137"/>
  <c r="BD35" i="137" s="1"/>
  <c r="M35" i="137"/>
  <c r="BE35" i="137" s="1"/>
  <c r="N35" i="137"/>
  <c r="BF35" i="137" s="1"/>
  <c r="AY35" i="137" s="1"/>
  <c r="O35" i="137"/>
  <c r="BG35" i="137" s="1"/>
  <c r="P35" i="137"/>
  <c r="BH35" i="137" s="1"/>
  <c r="Q35" i="137"/>
  <c r="BI35" i="137" s="1"/>
  <c r="R35" i="137"/>
  <c r="BJ35" i="137" s="1"/>
  <c r="S35" i="137"/>
  <c r="BK35" i="137" s="1"/>
  <c r="T35" i="137"/>
  <c r="BL35" i="137" s="1"/>
  <c r="AZ35" i="137" s="1"/>
  <c r="I35" i="137"/>
  <c r="BA35" i="137" s="1"/>
  <c r="G34" i="137"/>
  <c r="G34" i="131" s="1"/>
  <c r="H34" i="137"/>
  <c r="H34" i="131" s="1"/>
  <c r="J32" i="137"/>
  <c r="BB32" i="137" s="1"/>
  <c r="K32" i="137"/>
  <c r="BC32" i="137" s="1"/>
  <c r="L32" i="137"/>
  <c r="BD32" i="137" s="1"/>
  <c r="M32" i="137"/>
  <c r="BE32" i="137" s="1"/>
  <c r="N32" i="137"/>
  <c r="BF32" i="137" s="1"/>
  <c r="AY32" i="137" s="1"/>
  <c r="O32" i="137"/>
  <c r="BG32" i="137" s="1"/>
  <c r="P32" i="137"/>
  <c r="BH32" i="137" s="1"/>
  <c r="Q32" i="137"/>
  <c r="BI32" i="137" s="1"/>
  <c r="R32" i="137"/>
  <c r="BJ32" i="137" s="1"/>
  <c r="S32" i="137"/>
  <c r="BK32" i="137" s="1"/>
  <c r="T32" i="137"/>
  <c r="BL32" i="137" s="1"/>
  <c r="AZ32" i="137" s="1"/>
  <c r="I32" i="137"/>
  <c r="BA32" i="137" s="1"/>
  <c r="J31" i="137"/>
  <c r="BB31" i="137" s="1"/>
  <c r="K31" i="137"/>
  <c r="BC31" i="137" s="1"/>
  <c r="L31" i="137"/>
  <c r="BD31" i="137" s="1"/>
  <c r="M31" i="137"/>
  <c r="BE31" i="137" s="1"/>
  <c r="N31" i="137"/>
  <c r="BF31" i="137" s="1"/>
  <c r="AY31" i="137" s="1"/>
  <c r="O31" i="137"/>
  <c r="BG31" i="137" s="1"/>
  <c r="P31" i="137"/>
  <c r="BH31" i="137" s="1"/>
  <c r="Q31" i="137"/>
  <c r="BI31" i="137" s="1"/>
  <c r="R31" i="137"/>
  <c r="BJ31" i="137" s="1"/>
  <c r="S31" i="137"/>
  <c r="BK31" i="137" s="1"/>
  <c r="T31" i="137"/>
  <c r="BL31" i="137" s="1"/>
  <c r="AZ31" i="137" s="1"/>
  <c r="I31" i="137"/>
  <c r="BA31" i="137" s="1"/>
  <c r="J29" i="137"/>
  <c r="BB29" i="137" s="1"/>
  <c r="K29" i="137"/>
  <c r="BC29" i="137" s="1"/>
  <c r="L29" i="137"/>
  <c r="BD29" i="137" s="1"/>
  <c r="M29" i="137"/>
  <c r="BE29" i="137" s="1"/>
  <c r="N29" i="137"/>
  <c r="BF29" i="137" s="1"/>
  <c r="AY29" i="137" s="1"/>
  <c r="O29" i="137"/>
  <c r="BG29" i="137" s="1"/>
  <c r="P29" i="137"/>
  <c r="BH29" i="137" s="1"/>
  <c r="Q29" i="137"/>
  <c r="BI29" i="137" s="1"/>
  <c r="R29" i="137"/>
  <c r="BJ29" i="137" s="1"/>
  <c r="S29" i="137"/>
  <c r="BK29" i="137" s="1"/>
  <c r="T29" i="137"/>
  <c r="BL29" i="137" s="1"/>
  <c r="AZ29" i="137" s="1"/>
  <c r="I29" i="137"/>
  <c r="BA29" i="137" s="1"/>
  <c r="J28" i="137"/>
  <c r="BB28" i="137" s="1"/>
  <c r="K28" i="137"/>
  <c r="BC28" i="137" s="1"/>
  <c r="L28" i="137"/>
  <c r="BD28" i="137" s="1"/>
  <c r="M28" i="137"/>
  <c r="BE28" i="137" s="1"/>
  <c r="N28" i="137"/>
  <c r="BF28" i="137" s="1"/>
  <c r="AY28" i="137" s="1"/>
  <c r="O28" i="137"/>
  <c r="BG28" i="137" s="1"/>
  <c r="P28" i="137"/>
  <c r="BH28" i="137" s="1"/>
  <c r="Q28" i="137"/>
  <c r="BI28" i="137" s="1"/>
  <c r="R28" i="137"/>
  <c r="BJ28" i="137" s="1"/>
  <c r="S28" i="137"/>
  <c r="BK28" i="137" s="1"/>
  <c r="T28" i="137"/>
  <c r="BL28" i="137" s="1"/>
  <c r="AZ28" i="137" s="1"/>
  <c r="I28" i="137"/>
  <c r="BA28" i="137" s="1"/>
  <c r="J26" i="137"/>
  <c r="BB26" i="137" s="1"/>
  <c r="K26" i="137"/>
  <c r="BC26" i="137" s="1"/>
  <c r="L26" i="137"/>
  <c r="BD26" i="137" s="1"/>
  <c r="M26" i="137"/>
  <c r="BE26" i="137" s="1"/>
  <c r="N26" i="137"/>
  <c r="BF26" i="137" s="1"/>
  <c r="AY26" i="137" s="1"/>
  <c r="O26" i="137"/>
  <c r="BG26" i="137" s="1"/>
  <c r="P26" i="137"/>
  <c r="BH26" i="137" s="1"/>
  <c r="Q26" i="137"/>
  <c r="BI26" i="137" s="1"/>
  <c r="R26" i="137"/>
  <c r="BJ26" i="137" s="1"/>
  <c r="S26" i="137"/>
  <c r="BK26" i="137" s="1"/>
  <c r="T26" i="137"/>
  <c r="BL26" i="137" s="1"/>
  <c r="AZ26" i="137" s="1"/>
  <c r="I26" i="137"/>
  <c r="BA26" i="137" s="1"/>
  <c r="J25" i="137"/>
  <c r="BB25" i="137" s="1"/>
  <c r="K25" i="137"/>
  <c r="BC25" i="137" s="1"/>
  <c r="L25" i="137"/>
  <c r="BD25" i="137" s="1"/>
  <c r="M25" i="137"/>
  <c r="BE25" i="137" s="1"/>
  <c r="N25" i="137"/>
  <c r="BF25" i="137" s="1"/>
  <c r="AY25" i="137" s="1"/>
  <c r="O25" i="137"/>
  <c r="BG25" i="137" s="1"/>
  <c r="P25" i="137"/>
  <c r="BH25" i="137" s="1"/>
  <c r="Q25" i="137"/>
  <c r="BI25" i="137" s="1"/>
  <c r="R25" i="137"/>
  <c r="BJ25" i="137" s="1"/>
  <c r="S25" i="137"/>
  <c r="BK25" i="137" s="1"/>
  <c r="T25" i="137"/>
  <c r="BL25" i="137" s="1"/>
  <c r="AZ25" i="137" s="1"/>
  <c r="I25" i="137"/>
  <c r="BA25" i="137" s="1"/>
  <c r="J24" i="137"/>
  <c r="BB24" i="137" s="1"/>
  <c r="K24" i="137"/>
  <c r="BC24" i="137" s="1"/>
  <c r="L24" i="137"/>
  <c r="BD24" i="137" s="1"/>
  <c r="M24" i="137"/>
  <c r="BE24" i="137" s="1"/>
  <c r="N24" i="137"/>
  <c r="O24" i="137"/>
  <c r="BG24" i="137" s="1"/>
  <c r="P24" i="137"/>
  <c r="BH24" i="137" s="1"/>
  <c r="Q24" i="137"/>
  <c r="BI24" i="137" s="1"/>
  <c r="R24" i="137"/>
  <c r="BJ24" i="137" s="1"/>
  <c r="S24" i="137"/>
  <c r="BK24" i="137" s="1"/>
  <c r="T24" i="137"/>
  <c r="BL24" i="137" s="1"/>
  <c r="AZ24" i="137" s="1"/>
  <c r="I24" i="137"/>
  <c r="BA24" i="137" s="1"/>
  <c r="J23" i="137"/>
  <c r="BB23" i="137" s="1"/>
  <c r="K23" i="137"/>
  <c r="BC23" i="137" s="1"/>
  <c r="L23" i="137"/>
  <c r="BD23" i="137" s="1"/>
  <c r="M23" i="137"/>
  <c r="BE23" i="137" s="1"/>
  <c r="N23" i="137"/>
  <c r="BF23" i="137" s="1"/>
  <c r="AY23" i="137" s="1"/>
  <c r="O23" i="137"/>
  <c r="BG23" i="137" s="1"/>
  <c r="P23" i="137"/>
  <c r="BH23" i="137" s="1"/>
  <c r="Q23" i="137"/>
  <c r="BI23" i="137" s="1"/>
  <c r="R23" i="137"/>
  <c r="BJ23" i="137" s="1"/>
  <c r="S23" i="137"/>
  <c r="BK23" i="137" s="1"/>
  <c r="T23" i="137"/>
  <c r="BL23" i="137" s="1"/>
  <c r="AZ23" i="137" s="1"/>
  <c r="I23" i="137"/>
  <c r="BA23" i="137" s="1"/>
  <c r="J21" i="137"/>
  <c r="BB21" i="137" s="1"/>
  <c r="K21" i="137"/>
  <c r="BC21" i="137" s="1"/>
  <c r="L21" i="137"/>
  <c r="BD21" i="137" s="1"/>
  <c r="M21" i="137"/>
  <c r="BE21" i="137" s="1"/>
  <c r="N21" i="137"/>
  <c r="BF21" i="137" s="1"/>
  <c r="AY21" i="137" s="1"/>
  <c r="O21" i="137"/>
  <c r="BG21" i="137" s="1"/>
  <c r="P21" i="137"/>
  <c r="BH21" i="137" s="1"/>
  <c r="Q21" i="137"/>
  <c r="BI21" i="137" s="1"/>
  <c r="R21" i="137"/>
  <c r="BJ21" i="137" s="1"/>
  <c r="S21" i="137"/>
  <c r="BK21" i="137" s="1"/>
  <c r="T21" i="137"/>
  <c r="BL21" i="137" s="1"/>
  <c r="AZ21" i="137" s="1"/>
  <c r="I21" i="137"/>
  <c r="BA21" i="137" s="1"/>
  <c r="J20" i="137"/>
  <c r="BB20" i="137" s="1"/>
  <c r="K20" i="137"/>
  <c r="BC20" i="137" s="1"/>
  <c r="L20" i="137"/>
  <c r="BD20" i="137" s="1"/>
  <c r="M20" i="137"/>
  <c r="BE20" i="137" s="1"/>
  <c r="N20" i="137"/>
  <c r="BF20" i="137" s="1"/>
  <c r="AY20" i="137" s="1"/>
  <c r="O20" i="137"/>
  <c r="BG20" i="137" s="1"/>
  <c r="P20" i="137"/>
  <c r="BH20" i="137" s="1"/>
  <c r="Q20" i="137"/>
  <c r="BI20" i="137" s="1"/>
  <c r="R20" i="137"/>
  <c r="BJ20" i="137" s="1"/>
  <c r="S20" i="137"/>
  <c r="BK20" i="137" s="1"/>
  <c r="T20" i="137"/>
  <c r="BL20" i="137" s="1"/>
  <c r="AZ20" i="137" s="1"/>
  <c r="I20" i="137"/>
  <c r="BA20" i="137" s="1"/>
  <c r="J19" i="137"/>
  <c r="BB19" i="137" s="1"/>
  <c r="K19" i="137"/>
  <c r="BC19" i="137" s="1"/>
  <c r="L19" i="137"/>
  <c r="BD19" i="137" s="1"/>
  <c r="M19" i="137"/>
  <c r="BE19" i="137" s="1"/>
  <c r="N19" i="137"/>
  <c r="BF19" i="137" s="1"/>
  <c r="AY19" i="137" s="1"/>
  <c r="O19" i="137"/>
  <c r="BG19" i="137" s="1"/>
  <c r="P19" i="137"/>
  <c r="BH19" i="137" s="1"/>
  <c r="Q19" i="137"/>
  <c r="BI19" i="137" s="1"/>
  <c r="R19" i="137"/>
  <c r="BJ19" i="137" s="1"/>
  <c r="S19" i="137"/>
  <c r="BK19" i="137" s="1"/>
  <c r="T19" i="137"/>
  <c r="BL19" i="137" s="1"/>
  <c r="AZ19" i="137" s="1"/>
  <c r="I19" i="137"/>
  <c r="BA19" i="137" s="1"/>
  <c r="J16" i="137"/>
  <c r="BB16" i="137" s="1"/>
  <c r="K16" i="137"/>
  <c r="BC16" i="137" s="1"/>
  <c r="L16" i="137"/>
  <c r="BD16" i="137" s="1"/>
  <c r="M16" i="137"/>
  <c r="BE16" i="137" s="1"/>
  <c r="N16" i="137"/>
  <c r="BF16" i="137" s="1"/>
  <c r="AY16" i="137" s="1"/>
  <c r="O16" i="137"/>
  <c r="BG16" i="137" s="1"/>
  <c r="P16" i="137"/>
  <c r="BH16" i="137" s="1"/>
  <c r="Q16" i="137"/>
  <c r="BI16" i="137" s="1"/>
  <c r="R16" i="137"/>
  <c r="BJ16" i="137" s="1"/>
  <c r="S16" i="137"/>
  <c r="BK16" i="137" s="1"/>
  <c r="T16" i="137"/>
  <c r="BL16" i="137" s="1"/>
  <c r="AZ16" i="137" s="1"/>
  <c r="I16" i="137"/>
  <c r="BA16" i="137" s="1"/>
  <c r="J14" i="137"/>
  <c r="BB14" i="137" s="1"/>
  <c r="K14" i="137"/>
  <c r="BC14" i="137" s="1"/>
  <c r="L14" i="137"/>
  <c r="BD14" i="137" s="1"/>
  <c r="M14" i="137"/>
  <c r="BE14" i="137" s="1"/>
  <c r="N14" i="137"/>
  <c r="BF14" i="137" s="1"/>
  <c r="AY14" i="137" s="1"/>
  <c r="O14" i="137"/>
  <c r="BG14" i="137" s="1"/>
  <c r="P14" i="137"/>
  <c r="BH14" i="137" s="1"/>
  <c r="Q14" i="137"/>
  <c r="BI14" i="137" s="1"/>
  <c r="R14" i="137"/>
  <c r="BJ14" i="137" s="1"/>
  <c r="S14" i="137"/>
  <c r="BK14" i="137" s="1"/>
  <c r="T14" i="137"/>
  <c r="BL14" i="137" s="1"/>
  <c r="AZ14" i="137" s="1"/>
  <c r="I14" i="137"/>
  <c r="BA14" i="137" s="1"/>
  <c r="G48" i="136"/>
  <c r="G48" i="129" s="1"/>
  <c r="H48" i="136"/>
  <c r="H48" i="129" s="1"/>
  <c r="J47" i="136"/>
  <c r="BB47" i="136" s="1"/>
  <c r="K47" i="136"/>
  <c r="BC47" i="136" s="1"/>
  <c r="L47" i="136"/>
  <c r="BD47" i="136" s="1"/>
  <c r="M47" i="136"/>
  <c r="BE47" i="136" s="1"/>
  <c r="N47" i="136"/>
  <c r="O47" i="136"/>
  <c r="BG47" i="136" s="1"/>
  <c r="P47" i="136"/>
  <c r="BH47" i="136" s="1"/>
  <c r="Q47" i="136"/>
  <c r="BI47" i="136" s="1"/>
  <c r="R47" i="136"/>
  <c r="BJ47" i="136" s="1"/>
  <c r="S47" i="136"/>
  <c r="BK47" i="136" s="1"/>
  <c r="T47" i="136"/>
  <c r="I47" i="136"/>
  <c r="BA47" i="136" s="1"/>
  <c r="J46" i="136"/>
  <c r="BB46" i="136" s="1"/>
  <c r="K46" i="136"/>
  <c r="BC46" i="136" s="1"/>
  <c r="L46" i="136"/>
  <c r="BD46" i="136" s="1"/>
  <c r="M46" i="136"/>
  <c r="BE46" i="136" s="1"/>
  <c r="N46" i="136"/>
  <c r="O46" i="136"/>
  <c r="BG46" i="136" s="1"/>
  <c r="P46" i="136"/>
  <c r="BH46" i="136" s="1"/>
  <c r="Q46" i="136"/>
  <c r="BI46" i="136" s="1"/>
  <c r="R46" i="136"/>
  <c r="BJ46" i="136" s="1"/>
  <c r="S46" i="136"/>
  <c r="BK46" i="136" s="1"/>
  <c r="T46" i="136"/>
  <c r="I46" i="136"/>
  <c r="BA46" i="136" s="1"/>
  <c r="J44" i="136"/>
  <c r="BB44" i="136" s="1"/>
  <c r="K44" i="136"/>
  <c r="BC44" i="136" s="1"/>
  <c r="L44" i="136"/>
  <c r="BD44" i="136" s="1"/>
  <c r="M44" i="136"/>
  <c r="BE44" i="136" s="1"/>
  <c r="N44" i="136"/>
  <c r="BF44" i="136" s="1"/>
  <c r="AY44" i="136" s="1"/>
  <c r="O44" i="136"/>
  <c r="BG44" i="136" s="1"/>
  <c r="P44" i="136"/>
  <c r="BH44" i="136" s="1"/>
  <c r="Q44" i="136"/>
  <c r="BI44" i="136" s="1"/>
  <c r="R44" i="136"/>
  <c r="BJ44" i="136" s="1"/>
  <c r="S44" i="136"/>
  <c r="BK44" i="136" s="1"/>
  <c r="T44" i="136"/>
  <c r="BL44" i="136" s="1"/>
  <c r="AZ44" i="136" s="1"/>
  <c r="I44" i="136"/>
  <c r="BA44" i="136" s="1"/>
  <c r="J42" i="136"/>
  <c r="BB42" i="136" s="1"/>
  <c r="K42" i="136"/>
  <c r="BC42" i="136" s="1"/>
  <c r="L42" i="136"/>
  <c r="BD42" i="136" s="1"/>
  <c r="M42" i="136"/>
  <c r="BE42" i="136" s="1"/>
  <c r="N42" i="136"/>
  <c r="BF42" i="136" s="1"/>
  <c r="AY42" i="136" s="1"/>
  <c r="O42" i="136"/>
  <c r="BG42" i="136" s="1"/>
  <c r="P42" i="136"/>
  <c r="BH42" i="136" s="1"/>
  <c r="Q42" i="136"/>
  <c r="BI42" i="136" s="1"/>
  <c r="R42" i="136"/>
  <c r="BJ42" i="136" s="1"/>
  <c r="S42" i="136"/>
  <c r="BK42" i="136" s="1"/>
  <c r="T42" i="136"/>
  <c r="BL42" i="136" s="1"/>
  <c r="AZ42" i="136" s="1"/>
  <c r="I42" i="136"/>
  <c r="BA42" i="136" s="1"/>
  <c r="J40" i="136"/>
  <c r="BB40" i="136" s="1"/>
  <c r="K40" i="136"/>
  <c r="BC40" i="136" s="1"/>
  <c r="L40" i="136"/>
  <c r="BD40" i="136" s="1"/>
  <c r="M40" i="136"/>
  <c r="BE40" i="136" s="1"/>
  <c r="N40" i="136"/>
  <c r="BF40" i="136" s="1"/>
  <c r="AY40" i="136" s="1"/>
  <c r="O40" i="136"/>
  <c r="BG40" i="136" s="1"/>
  <c r="P40" i="136"/>
  <c r="BH40" i="136" s="1"/>
  <c r="Q40" i="136"/>
  <c r="BI40" i="136" s="1"/>
  <c r="R40" i="136"/>
  <c r="BJ40" i="136" s="1"/>
  <c r="S40" i="136"/>
  <c r="BK40" i="136" s="1"/>
  <c r="T40" i="136"/>
  <c r="BL40" i="136" s="1"/>
  <c r="AZ40" i="136" s="1"/>
  <c r="I40" i="136"/>
  <c r="BA40" i="136" s="1"/>
  <c r="J39" i="136"/>
  <c r="BB39" i="136" s="1"/>
  <c r="K39" i="136"/>
  <c r="BC39" i="136" s="1"/>
  <c r="L39" i="136"/>
  <c r="BD39" i="136" s="1"/>
  <c r="M39" i="136"/>
  <c r="BE39" i="136" s="1"/>
  <c r="N39" i="136"/>
  <c r="BF39" i="136" s="1"/>
  <c r="AY39" i="136" s="1"/>
  <c r="O39" i="136"/>
  <c r="BG39" i="136" s="1"/>
  <c r="P39" i="136"/>
  <c r="BH39" i="136" s="1"/>
  <c r="Q39" i="136"/>
  <c r="BI39" i="136" s="1"/>
  <c r="R39" i="136"/>
  <c r="BJ39" i="136" s="1"/>
  <c r="S39" i="136"/>
  <c r="BK39" i="136" s="1"/>
  <c r="T39" i="136"/>
  <c r="BL39" i="136" s="1"/>
  <c r="AZ39" i="136" s="1"/>
  <c r="I39" i="136"/>
  <c r="BA39" i="136" s="1"/>
  <c r="J37" i="136"/>
  <c r="BB37" i="136" s="1"/>
  <c r="K37" i="136"/>
  <c r="BC37" i="136" s="1"/>
  <c r="L37" i="136"/>
  <c r="BD37" i="136" s="1"/>
  <c r="M37" i="136"/>
  <c r="BE37" i="136" s="1"/>
  <c r="N37" i="136"/>
  <c r="O37" i="136"/>
  <c r="BG37" i="136" s="1"/>
  <c r="P37" i="136"/>
  <c r="BH37" i="136" s="1"/>
  <c r="Q37" i="136"/>
  <c r="BI37" i="136" s="1"/>
  <c r="R37" i="136"/>
  <c r="BJ37" i="136" s="1"/>
  <c r="S37" i="136"/>
  <c r="BK37" i="136" s="1"/>
  <c r="T37" i="136"/>
  <c r="BL37" i="136" s="1"/>
  <c r="AZ37" i="136" s="1"/>
  <c r="I37" i="136"/>
  <c r="BA37" i="136" s="1"/>
  <c r="J36" i="136"/>
  <c r="BB36" i="136" s="1"/>
  <c r="K36" i="136"/>
  <c r="BC36" i="136" s="1"/>
  <c r="L36" i="136"/>
  <c r="BD36" i="136" s="1"/>
  <c r="M36" i="136"/>
  <c r="BE36" i="136" s="1"/>
  <c r="N36" i="136"/>
  <c r="BF36" i="136" s="1"/>
  <c r="AY36" i="136" s="1"/>
  <c r="O36" i="136"/>
  <c r="BG36" i="136" s="1"/>
  <c r="P36" i="136"/>
  <c r="BH36" i="136" s="1"/>
  <c r="Q36" i="136"/>
  <c r="BI36" i="136" s="1"/>
  <c r="R36" i="136"/>
  <c r="BJ36" i="136" s="1"/>
  <c r="S36" i="136"/>
  <c r="BK36" i="136" s="1"/>
  <c r="T36" i="136"/>
  <c r="BL36" i="136" s="1"/>
  <c r="AZ36" i="136" s="1"/>
  <c r="I36" i="136"/>
  <c r="BA36" i="136" s="1"/>
  <c r="J35" i="136"/>
  <c r="BB35" i="136" s="1"/>
  <c r="K35" i="136"/>
  <c r="BC35" i="136" s="1"/>
  <c r="L35" i="136"/>
  <c r="BD35" i="136" s="1"/>
  <c r="M35" i="136"/>
  <c r="BE35" i="136" s="1"/>
  <c r="N35" i="136"/>
  <c r="BF35" i="136" s="1"/>
  <c r="AY35" i="136" s="1"/>
  <c r="O35" i="136"/>
  <c r="BG35" i="136" s="1"/>
  <c r="P35" i="136"/>
  <c r="BH35" i="136" s="1"/>
  <c r="Q35" i="136"/>
  <c r="BI35" i="136" s="1"/>
  <c r="R35" i="136"/>
  <c r="BJ35" i="136" s="1"/>
  <c r="S35" i="136"/>
  <c r="BK35" i="136" s="1"/>
  <c r="T35" i="136"/>
  <c r="BL35" i="136" s="1"/>
  <c r="AZ35" i="136" s="1"/>
  <c r="I35" i="136"/>
  <c r="BA35" i="136" s="1"/>
  <c r="J34" i="136"/>
  <c r="BB34" i="136" s="1"/>
  <c r="K34" i="136"/>
  <c r="BC34" i="136" s="1"/>
  <c r="L34" i="136"/>
  <c r="BD34" i="136" s="1"/>
  <c r="M34" i="136"/>
  <c r="BE34" i="136" s="1"/>
  <c r="N34" i="136"/>
  <c r="O34" i="136"/>
  <c r="BG34" i="136" s="1"/>
  <c r="P34" i="136"/>
  <c r="BH34" i="136" s="1"/>
  <c r="Q34" i="136"/>
  <c r="BI34" i="136" s="1"/>
  <c r="R34" i="136"/>
  <c r="BJ34" i="136" s="1"/>
  <c r="S34" i="136"/>
  <c r="BK34" i="136" s="1"/>
  <c r="T34" i="136"/>
  <c r="BL34" i="136" s="1"/>
  <c r="AZ34" i="136" s="1"/>
  <c r="I34" i="136"/>
  <c r="BA34" i="136" s="1"/>
  <c r="J32" i="136"/>
  <c r="BB32" i="136" s="1"/>
  <c r="K32" i="136"/>
  <c r="BC32" i="136" s="1"/>
  <c r="L32" i="136"/>
  <c r="BD32" i="136" s="1"/>
  <c r="M32" i="136"/>
  <c r="BE32" i="136" s="1"/>
  <c r="N32" i="136"/>
  <c r="BF32" i="136" s="1"/>
  <c r="AY32" i="136" s="1"/>
  <c r="O32" i="136"/>
  <c r="BG32" i="136" s="1"/>
  <c r="P32" i="136"/>
  <c r="BH32" i="136" s="1"/>
  <c r="Q32" i="136"/>
  <c r="BI32" i="136" s="1"/>
  <c r="R32" i="136"/>
  <c r="BJ32" i="136" s="1"/>
  <c r="S32" i="136"/>
  <c r="BK32" i="136" s="1"/>
  <c r="T32" i="136"/>
  <c r="BL32" i="136" s="1"/>
  <c r="AZ32" i="136" s="1"/>
  <c r="I32" i="136"/>
  <c r="BA32" i="136" s="1"/>
  <c r="J31" i="136"/>
  <c r="BB31" i="136" s="1"/>
  <c r="K31" i="136"/>
  <c r="BC31" i="136" s="1"/>
  <c r="L31" i="136"/>
  <c r="BD31" i="136" s="1"/>
  <c r="M31" i="136"/>
  <c r="BE31" i="136" s="1"/>
  <c r="N31" i="136"/>
  <c r="BF31" i="136" s="1"/>
  <c r="AY31" i="136" s="1"/>
  <c r="O31" i="136"/>
  <c r="BG31" i="136" s="1"/>
  <c r="P31" i="136"/>
  <c r="BH31" i="136" s="1"/>
  <c r="Q31" i="136"/>
  <c r="BI31" i="136" s="1"/>
  <c r="R31" i="136"/>
  <c r="BJ31" i="136" s="1"/>
  <c r="S31" i="136"/>
  <c r="BK31" i="136" s="1"/>
  <c r="T31" i="136"/>
  <c r="BL31" i="136" s="1"/>
  <c r="AZ31" i="136" s="1"/>
  <c r="I31" i="136"/>
  <c r="BA31" i="136" s="1"/>
  <c r="J29" i="136"/>
  <c r="BB29" i="136" s="1"/>
  <c r="K29" i="136"/>
  <c r="BC29" i="136" s="1"/>
  <c r="L29" i="136"/>
  <c r="BD29" i="136" s="1"/>
  <c r="M29" i="136"/>
  <c r="BE29" i="136" s="1"/>
  <c r="N29" i="136"/>
  <c r="BF29" i="136" s="1"/>
  <c r="AY29" i="136" s="1"/>
  <c r="O29" i="136"/>
  <c r="BG29" i="136" s="1"/>
  <c r="P29" i="136"/>
  <c r="BH29" i="136" s="1"/>
  <c r="Q29" i="136"/>
  <c r="BI29" i="136" s="1"/>
  <c r="R29" i="136"/>
  <c r="BJ29" i="136" s="1"/>
  <c r="S29" i="136"/>
  <c r="BK29" i="136" s="1"/>
  <c r="T29" i="136"/>
  <c r="BL29" i="136" s="1"/>
  <c r="AZ29" i="136" s="1"/>
  <c r="I29" i="136"/>
  <c r="BA29" i="136" s="1"/>
  <c r="J28" i="136"/>
  <c r="BB28" i="136" s="1"/>
  <c r="K28" i="136"/>
  <c r="BC28" i="136" s="1"/>
  <c r="L28" i="136"/>
  <c r="BD28" i="136" s="1"/>
  <c r="M28" i="136"/>
  <c r="BE28" i="136" s="1"/>
  <c r="N28" i="136"/>
  <c r="BF28" i="136" s="1"/>
  <c r="AY28" i="136" s="1"/>
  <c r="O28" i="136"/>
  <c r="BG28" i="136" s="1"/>
  <c r="P28" i="136"/>
  <c r="BH28" i="136" s="1"/>
  <c r="Q28" i="136"/>
  <c r="BI28" i="136" s="1"/>
  <c r="R28" i="136"/>
  <c r="BJ28" i="136" s="1"/>
  <c r="S28" i="136"/>
  <c r="BK28" i="136" s="1"/>
  <c r="T28" i="136"/>
  <c r="BL28" i="136" s="1"/>
  <c r="AZ28" i="136" s="1"/>
  <c r="I28" i="136"/>
  <c r="BA28" i="136" s="1"/>
  <c r="J26" i="136"/>
  <c r="BB26" i="136" s="1"/>
  <c r="K26" i="136"/>
  <c r="BC26" i="136" s="1"/>
  <c r="L26" i="136"/>
  <c r="BD26" i="136" s="1"/>
  <c r="M26" i="136"/>
  <c r="BE26" i="136" s="1"/>
  <c r="N26" i="136"/>
  <c r="BF26" i="136" s="1"/>
  <c r="AY26" i="136" s="1"/>
  <c r="O26" i="136"/>
  <c r="BG26" i="136" s="1"/>
  <c r="P26" i="136"/>
  <c r="BH26" i="136" s="1"/>
  <c r="Q26" i="136"/>
  <c r="BI26" i="136" s="1"/>
  <c r="R26" i="136"/>
  <c r="BJ26" i="136" s="1"/>
  <c r="S26" i="136"/>
  <c r="BK26" i="136" s="1"/>
  <c r="T26" i="136"/>
  <c r="I26" i="136"/>
  <c r="BA26" i="136" s="1"/>
  <c r="J25" i="136"/>
  <c r="BB25" i="136" s="1"/>
  <c r="K25" i="136"/>
  <c r="BC25" i="136" s="1"/>
  <c r="L25" i="136"/>
  <c r="BD25" i="136" s="1"/>
  <c r="M25" i="136"/>
  <c r="BE25" i="136" s="1"/>
  <c r="N25" i="136"/>
  <c r="BF25" i="136" s="1"/>
  <c r="AY25" i="136" s="1"/>
  <c r="O25" i="136"/>
  <c r="BG25" i="136" s="1"/>
  <c r="P25" i="136"/>
  <c r="BH25" i="136" s="1"/>
  <c r="Q25" i="136"/>
  <c r="BI25" i="136" s="1"/>
  <c r="R25" i="136"/>
  <c r="BJ25" i="136" s="1"/>
  <c r="S25" i="136"/>
  <c r="BK25" i="136" s="1"/>
  <c r="T25" i="136"/>
  <c r="BL25" i="136" s="1"/>
  <c r="AZ25" i="136" s="1"/>
  <c r="I25" i="136"/>
  <c r="BA25" i="136" s="1"/>
  <c r="J24" i="136"/>
  <c r="BB24" i="136" s="1"/>
  <c r="K24" i="136"/>
  <c r="BC24" i="136" s="1"/>
  <c r="L24" i="136"/>
  <c r="BD24" i="136" s="1"/>
  <c r="M24" i="136"/>
  <c r="BE24" i="136" s="1"/>
  <c r="N24" i="136"/>
  <c r="O24" i="136"/>
  <c r="BG24" i="136" s="1"/>
  <c r="P24" i="136"/>
  <c r="BH24" i="136" s="1"/>
  <c r="Q24" i="136"/>
  <c r="BI24" i="136" s="1"/>
  <c r="R24" i="136"/>
  <c r="BJ24" i="136" s="1"/>
  <c r="S24" i="136"/>
  <c r="BK24" i="136" s="1"/>
  <c r="T24" i="136"/>
  <c r="BL24" i="136" s="1"/>
  <c r="AZ24" i="136" s="1"/>
  <c r="I24" i="136"/>
  <c r="BA24" i="136" s="1"/>
  <c r="S23" i="136"/>
  <c r="BK23" i="136" s="1"/>
  <c r="T23" i="136"/>
  <c r="BL23" i="136" s="1"/>
  <c r="AZ23" i="136" s="1"/>
  <c r="J21" i="136"/>
  <c r="BB21" i="136" s="1"/>
  <c r="K21" i="136"/>
  <c r="BC21" i="136" s="1"/>
  <c r="L21" i="136"/>
  <c r="BD21" i="136" s="1"/>
  <c r="M21" i="136"/>
  <c r="BE21" i="136" s="1"/>
  <c r="N21" i="136"/>
  <c r="BF21" i="136" s="1"/>
  <c r="AY21" i="136" s="1"/>
  <c r="O21" i="136"/>
  <c r="BG21" i="136" s="1"/>
  <c r="P21" i="136"/>
  <c r="BH21" i="136" s="1"/>
  <c r="Q21" i="136"/>
  <c r="BI21" i="136" s="1"/>
  <c r="R21" i="136"/>
  <c r="BJ21" i="136" s="1"/>
  <c r="S21" i="136"/>
  <c r="BK21" i="136" s="1"/>
  <c r="T21" i="136"/>
  <c r="BL21" i="136" s="1"/>
  <c r="AZ21" i="136" s="1"/>
  <c r="I21" i="136"/>
  <c r="BA21" i="136" s="1"/>
  <c r="J20" i="136"/>
  <c r="BB20" i="136" s="1"/>
  <c r="K20" i="136"/>
  <c r="BC20" i="136" s="1"/>
  <c r="L20" i="136"/>
  <c r="BD20" i="136" s="1"/>
  <c r="M20" i="136"/>
  <c r="BE20" i="136" s="1"/>
  <c r="N20" i="136"/>
  <c r="BF20" i="136" s="1"/>
  <c r="AY20" i="136" s="1"/>
  <c r="O20" i="136"/>
  <c r="BG20" i="136" s="1"/>
  <c r="P20" i="136"/>
  <c r="BH20" i="136" s="1"/>
  <c r="Q20" i="136"/>
  <c r="BI20" i="136" s="1"/>
  <c r="R20" i="136"/>
  <c r="BJ20" i="136" s="1"/>
  <c r="S20" i="136"/>
  <c r="BK20" i="136" s="1"/>
  <c r="T20" i="136"/>
  <c r="BL20" i="136" s="1"/>
  <c r="AZ20" i="136" s="1"/>
  <c r="I20" i="136"/>
  <c r="BA20" i="136" s="1"/>
  <c r="J19" i="136"/>
  <c r="BB19" i="136" s="1"/>
  <c r="K19" i="136"/>
  <c r="BC19" i="136" s="1"/>
  <c r="L19" i="136"/>
  <c r="BD19" i="136" s="1"/>
  <c r="M19" i="136"/>
  <c r="BE19" i="136" s="1"/>
  <c r="N19" i="136"/>
  <c r="BF19" i="136" s="1"/>
  <c r="AY19" i="136" s="1"/>
  <c r="O19" i="136"/>
  <c r="BG19" i="136" s="1"/>
  <c r="P19" i="136"/>
  <c r="BH19" i="136" s="1"/>
  <c r="Q19" i="136"/>
  <c r="BI19" i="136" s="1"/>
  <c r="R19" i="136"/>
  <c r="BJ19" i="136" s="1"/>
  <c r="S19" i="136"/>
  <c r="BK19" i="136" s="1"/>
  <c r="T19" i="136"/>
  <c r="BL19" i="136" s="1"/>
  <c r="AZ19" i="136" s="1"/>
  <c r="I19" i="136"/>
  <c r="BA19" i="136" s="1"/>
  <c r="J16" i="136"/>
  <c r="BB16" i="136" s="1"/>
  <c r="K16" i="136"/>
  <c r="BC16" i="136" s="1"/>
  <c r="L16" i="136"/>
  <c r="BD16" i="136" s="1"/>
  <c r="M16" i="136"/>
  <c r="BE16" i="136" s="1"/>
  <c r="N16" i="136"/>
  <c r="BF16" i="136" s="1"/>
  <c r="AY16" i="136" s="1"/>
  <c r="O16" i="136"/>
  <c r="BG16" i="136" s="1"/>
  <c r="P16" i="136"/>
  <c r="BH16" i="136" s="1"/>
  <c r="Q16" i="136"/>
  <c r="BI16" i="136" s="1"/>
  <c r="R16" i="136"/>
  <c r="BJ16" i="136" s="1"/>
  <c r="S16" i="136"/>
  <c r="BK16" i="136" s="1"/>
  <c r="T16" i="136"/>
  <c r="BL16" i="136" s="1"/>
  <c r="AZ16" i="136" s="1"/>
  <c r="I16" i="136"/>
  <c r="BA16" i="136" s="1"/>
  <c r="J14" i="136"/>
  <c r="BB14" i="136" s="1"/>
  <c r="K14" i="136"/>
  <c r="BC14" i="136" s="1"/>
  <c r="L14" i="136"/>
  <c r="BD14" i="136" s="1"/>
  <c r="M14" i="136"/>
  <c r="BE14" i="136" s="1"/>
  <c r="N14" i="136"/>
  <c r="BF14" i="136" s="1"/>
  <c r="AY14" i="136" s="1"/>
  <c r="O14" i="136"/>
  <c r="BG14" i="136" s="1"/>
  <c r="P14" i="136"/>
  <c r="BH14" i="136" s="1"/>
  <c r="Q14" i="136"/>
  <c r="BI14" i="136" s="1"/>
  <c r="R14" i="136"/>
  <c r="BJ14" i="136" s="1"/>
  <c r="S14" i="136"/>
  <c r="BK14" i="136" s="1"/>
  <c r="T14" i="136"/>
  <c r="BL14" i="136" s="1"/>
  <c r="AZ14" i="136" s="1"/>
  <c r="I14" i="136"/>
  <c r="BA14" i="136" s="1"/>
  <c r="BW21" i="136" l="1" a="1"/>
  <c r="G24" i="137"/>
  <c r="G24" i="131" s="1"/>
  <c r="BF24" i="137"/>
  <c r="AY24" i="137" s="1"/>
  <c r="BW19" i="136" a="1"/>
  <c r="BW20" i="136" a="1"/>
  <c r="BW23" i="136" a="1"/>
  <c r="G37" i="137"/>
  <c r="G37" i="131" s="1"/>
  <c r="BF37" i="137"/>
  <c r="AY37" i="137" s="1"/>
  <c r="G46" i="137"/>
  <c r="G46" i="131" s="1"/>
  <c r="BF46" i="137"/>
  <c r="AY46" i="137" s="1"/>
  <c r="G47" i="137"/>
  <c r="BF47" i="137"/>
  <c r="AY47" i="137" s="1"/>
  <c r="BW31" i="136" a="1"/>
  <c r="BW35" i="136" a="1"/>
  <c r="BW36" i="136" a="1"/>
  <c r="BW39" i="136" a="1"/>
  <c r="BW40" i="136" a="1"/>
  <c r="BW42" i="136" a="1"/>
  <c r="BW44" i="136" a="1"/>
  <c r="BW46" i="136" a="1"/>
  <c r="BW47" i="136" a="1"/>
  <c r="BW25" i="136" a="1"/>
  <c r="BW32" i="136" a="1"/>
  <c r="AO28" i="21"/>
  <c r="BL26" i="136"/>
  <c r="AZ26" i="136" s="1"/>
  <c r="H46" i="136"/>
  <c r="H46" i="129" s="1"/>
  <c r="BL46" i="136"/>
  <c r="AZ46" i="136" s="1"/>
  <c r="H47" i="136"/>
  <c r="H47" i="129" s="1"/>
  <c r="BL47" i="136"/>
  <c r="AZ47" i="136" s="1"/>
  <c r="BW32" i="137" a="1"/>
  <c r="BW29" i="136" a="1"/>
  <c r="BW19" i="137" a="1"/>
  <c r="BW21" i="137" a="1"/>
  <c r="BW25" i="137" a="1"/>
  <c r="BW28" i="137" a="1"/>
  <c r="BW36" i="137" a="1"/>
  <c r="BW39" i="137" a="1"/>
  <c r="BW40" i="137" a="1"/>
  <c r="BW42" i="137" a="1"/>
  <c r="BW44" i="137" a="1"/>
  <c r="BW20" i="137" a="1"/>
  <c r="BW24" i="137" a="1"/>
  <c r="BW31" i="137" a="1"/>
  <c r="H46" i="137"/>
  <c r="H46" i="131" s="1"/>
  <c r="BL46" i="137"/>
  <c r="AZ46" i="137" s="1"/>
  <c r="H47" i="137"/>
  <c r="BL47" i="137"/>
  <c r="AZ47" i="137" s="1"/>
  <c r="BW26" i="136" a="1"/>
  <c r="BW23" i="137" a="1"/>
  <c r="BW26" i="137" a="1"/>
  <c r="BW35" i="137" a="1"/>
  <c r="BW28" i="136" a="1"/>
  <c r="BW29" i="137" a="1"/>
  <c r="G24" i="136"/>
  <c r="G24" i="129" s="1"/>
  <c r="BF24" i="136"/>
  <c r="AY24" i="136" s="1"/>
  <c r="G34" i="136"/>
  <c r="G34" i="129" s="1"/>
  <c r="BF34" i="136"/>
  <c r="AY34" i="136" s="1"/>
  <c r="G37" i="136"/>
  <c r="G37" i="129" s="1"/>
  <c r="BF37" i="136"/>
  <c r="AY37" i="136" s="1"/>
  <c r="G46" i="136"/>
  <c r="G46" i="129" s="1"/>
  <c r="BF46" i="136"/>
  <c r="AY46" i="136" s="1"/>
  <c r="G47" i="136"/>
  <c r="G47" i="129" s="1"/>
  <c r="BF47" i="136"/>
  <c r="AY47" i="136" s="1"/>
  <c r="BW16" i="136" a="1"/>
  <c r="BU15" i="134"/>
  <c r="BW15" i="134"/>
  <c r="BV15" i="134"/>
  <c r="BV15" i="135"/>
  <c r="BU15" i="135"/>
  <c r="BW15" i="135"/>
  <c r="BW15" i="137"/>
  <c r="BV15" i="137"/>
  <c r="BU15" i="137"/>
  <c r="BW14" i="136" a="1"/>
  <c r="BW14" i="137" a="1"/>
  <c r="BW16" i="137" a="1"/>
  <c r="BV15" i="136"/>
  <c r="BW15" i="136"/>
  <c r="BU15" i="136"/>
  <c r="BW15" i="73"/>
  <c r="BU15" i="73"/>
  <c r="BV15" i="73"/>
  <c r="BW15" i="58"/>
  <c r="BV15" i="58"/>
  <c r="BU15" i="58"/>
  <c r="O35" i="128"/>
  <c r="P35" i="128"/>
  <c r="P36" i="127"/>
  <c r="O36" i="131"/>
  <c r="P36" i="131"/>
  <c r="O36" i="69"/>
  <c r="P36" i="69"/>
  <c r="O35" i="127"/>
  <c r="P35" i="127"/>
  <c r="O36" i="129"/>
  <c r="P36" i="129"/>
  <c r="H37" i="137"/>
  <c r="H37" i="131" s="1"/>
  <c r="AZ39" i="21"/>
  <c r="O35" i="131"/>
  <c r="P35" i="131"/>
  <c r="O35" i="129"/>
  <c r="P35" i="129"/>
  <c r="O36" i="127"/>
  <c r="BA26" i="21"/>
  <c r="H24" i="137"/>
  <c r="H24" i="131" s="1"/>
  <c r="AZ26" i="21"/>
  <c r="H24" i="136"/>
  <c r="H24" i="129" s="1"/>
  <c r="AO26" i="21"/>
  <c r="H34" i="136"/>
  <c r="H34" i="129" s="1"/>
  <c r="AO36" i="21"/>
  <c r="H37" i="136"/>
  <c r="H37" i="129" s="1"/>
  <c r="AO39" i="21"/>
  <c r="J48" i="135"/>
  <c r="BB48" i="135" s="1"/>
  <c r="K48" i="135"/>
  <c r="BC48" i="135" s="1"/>
  <c r="L48" i="135"/>
  <c r="BD48" i="135" s="1"/>
  <c r="M48" i="135"/>
  <c r="BE48" i="135" s="1"/>
  <c r="N48" i="135"/>
  <c r="O48" i="135"/>
  <c r="BG48" i="135" s="1"/>
  <c r="P48" i="135"/>
  <c r="BH48" i="135" s="1"/>
  <c r="Q48" i="135"/>
  <c r="BI48" i="135" s="1"/>
  <c r="R48" i="135"/>
  <c r="BJ48" i="135" s="1"/>
  <c r="S48" i="135"/>
  <c r="BK48" i="135" s="1"/>
  <c r="T48" i="135"/>
  <c r="I48" i="135"/>
  <c r="BA48" i="135" s="1"/>
  <c r="J47" i="135"/>
  <c r="BB47" i="135" s="1"/>
  <c r="K47" i="135"/>
  <c r="BC47" i="135" s="1"/>
  <c r="L47" i="135"/>
  <c r="BD47" i="135" s="1"/>
  <c r="M47" i="135"/>
  <c r="BE47" i="135" s="1"/>
  <c r="N47" i="135"/>
  <c r="O47" i="135"/>
  <c r="BG47" i="135" s="1"/>
  <c r="P47" i="135"/>
  <c r="BH47" i="135" s="1"/>
  <c r="Q47" i="135"/>
  <c r="BI47" i="135" s="1"/>
  <c r="R47" i="135"/>
  <c r="BJ47" i="135" s="1"/>
  <c r="S47" i="135"/>
  <c r="BK47" i="135" s="1"/>
  <c r="T47" i="135"/>
  <c r="I47" i="135"/>
  <c r="BA47" i="135" s="1"/>
  <c r="J46" i="135"/>
  <c r="BB46" i="135" s="1"/>
  <c r="K46" i="135"/>
  <c r="BC46" i="135" s="1"/>
  <c r="L46" i="135"/>
  <c r="BD46" i="135" s="1"/>
  <c r="M46" i="135"/>
  <c r="BE46" i="135" s="1"/>
  <c r="N46" i="135"/>
  <c r="O46" i="135"/>
  <c r="BG46" i="135" s="1"/>
  <c r="P46" i="135"/>
  <c r="BH46" i="135" s="1"/>
  <c r="Q46" i="135"/>
  <c r="BI46" i="135" s="1"/>
  <c r="R46" i="135"/>
  <c r="BJ46" i="135" s="1"/>
  <c r="S46" i="135"/>
  <c r="BK46" i="135" s="1"/>
  <c r="T46" i="135"/>
  <c r="I46" i="135"/>
  <c r="BA46" i="135" s="1"/>
  <c r="J44" i="135"/>
  <c r="BB44" i="135" s="1"/>
  <c r="K44" i="135"/>
  <c r="BC44" i="135" s="1"/>
  <c r="L44" i="135"/>
  <c r="BD44" i="135" s="1"/>
  <c r="M44" i="135"/>
  <c r="BE44" i="135" s="1"/>
  <c r="N44" i="135"/>
  <c r="BF44" i="135" s="1"/>
  <c r="AY44" i="135" s="1"/>
  <c r="O44" i="135"/>
  <c r="BG44" i="135" s="1"/>
  <c r="P44" i="135"/>
  <c r="BH44" i="135" s="1"/>
  <c r="Q44" i="135"/>
  <c r="BI44" i="135" s="1"/>
  <c r="R44" i="135"/>
  <c r="BJ44" i="135" s="1"/>
  <c r="S44" i="135"/>
  <c r="BK44" i="135" s="1"/>
  <c r="T44" i="135"/>
  <c r="BL44" i="135" s="1"/>
  <c r="AZ44" i="135" s="1"/>
  <c r="I44" i="135"/>
  <c r="BA44" i="135" s="1"/>
  <c r="J42" i="135"/>
  <c r="BB42" i="135" s="1"/>
  <c r="K42" i="135"/>
  <c r="BC42" i="135" s="1"/>
  <c r="L42" i="135"/>
  <c r="BD42" i="135" s="1"/>
  <c r="M42" i="135"/>
  <c r="BE42" i="135" s="1"/>
  <c r="N42" i="135"/>
  <c r="BF42" i="135" s="1"/>
  <c r="AY42" i="135" s="1"/>
  <c r="O42" i="135"/>
  <c r="BG42" i="135" s="1"/>
  <c r="P42" i="135"/>
  <c r="BH42" i="135" s="1"/>
  <c r="Q42" i="135"/>
  <c r="BI42" i="135" s="1"/>
  <c r="R42" i="135"/>
  <c r="BJ42" i="135" s="1"/>
  <c r="S42" i="135"/>
  <c r="BK42" i="135" s="1"/>
  <c r="T42" i="135"/>
  <c r="BL42" i="135" s="1"/>
  <c r="AZ42" i="135" s="1"/>
  <c r="I42" i="135"/>
  <c r="BA42" i="135" s="1"/>
  <c r="J40" i="135"/>
  <c r="BB40" i="135" s="1"/>
  <c r="K40" i="135"/>
  <c r="BC40" i="135" s="1"/>
  <c r="L40" i="135"/>
  <c r="BD40" i="135" s="1"/>
  <c r="M40" i="135"/>
  <c r="BE40" i="135" s="1"/>
  <c r="N40" i="135"/>
  <c r="BF40" i="135" s="1"/>
  <c r="AY40" i="135" s="1"/>
  <c r="O40" i="135"/>
  <c r="BG40" i="135" s="1"/>
  <c r="P40" i="135"/>
  <c r="BH40" i="135" s="1"/>
  <c r="Q40" i="135"/>
  <c r="BI40" i="135" s="1"/>
  <c r="R40" i="135"/>
  <c r="BJ40" i="135" s="1"/>
  <c r="S40" i="135"/>
  <c r="BK40" i="135" s="1"/>
  <c r="T40" i="135"/>
  <c r="BL40" i="135" s="1"/>
  <c r="AZ40" i="135" s="1"/>
  <c r="I40" i="135"/>
  <c r="BA40" i="135" s="1"/>
  <c r="J39" i="135"/>
  <c r="BB39" i="135" s="1"/>
  <c r="K39" i="135"/>
  <c r="BC39" i="135" s="1"/>
  <c r="L39" i="135"/>
  <c r="BD39" i="135" s="1"/>
  <c r="M39" i="135"/>
  <c r="BE39" i="135" s="1"/>
  <c r="N39" i="135"/>
  <c r="BF39" i="135" s="1"/>
  <c r="AY39" i="135" s="1"/>
  <c r="O39" i="135"/>
  <c r="BG39" i="135" s="1"/>
  <c r="P39" i="135"/>
  <c r="BH39" i="135" s="1"/>
  <c r="Q39" i="135"/>
  <c r="BI39" i="135" s="1"/>
  <c r="R39" i="135"/>
  <c r="BJ39" i="135" s="1"/>
  <c r="S39" i="135"/>
  <c r="BK39" i="135" s="1"/>
  <c r="T39" i="135"/>
  <c r="BL39" i="135" s="1"/>
  <c r="AZ39" i="135" s="1"/>
  <c r="I39" i="135"/>
  <c r="BA39" i="135" s="1"/>
  <c r="J36" i="135"/>
  <c r="BB36" i="135" s="1"/>
  <c r="K36" i="135"/>
  <c r="BC36" i="135" s="1"/>
  <c r="L36" i="135"/>
  <c r="BD36" i="135" s="1"/>
  <c r="M36" i="135"/>
  <c r="BE36" i="135" s="1"/>
  <c r="N36" i="135"/>
  <c r="BF36" i="135" s="1"/>
  <c r="AY36" i="135" s="1"/>
  <c r="O36" i="135"/>
  <c r="BG36" i="135" s="1"/>
  <c r="P36" i="135"/>
  <c r="BH36" i="135" s="1"/>
  <c r="Q36" i="135"/>
  <c r="BI36" i="135" s="1"/>
  <c r="R36" i="135"/>
  <c r="BJ36" i="135" s="1"/>
  <c r="S36" i="135"/>
  <c r="BK36" i="135" s="1"/>
  <c r="T36" i="135"/>
  <c r="BL36" i="135" s="1"/>
  <c r="AZ36" i="135" s="1"/>
  <c r="I36" i="135"/>
  <c r="BA36" i="135" s="1"/>
  <c r="J34" i="135"/>
  <c r="BB34" i="135" s="1"/>
  <c r="K34" i="135"/>
  <c r="BC34" i="135" s="1"/>
  <c r="L34" i="135"/>
  <c r="BD34" i="135" s="1"/>
  <c r="M34" i="135"/>
  <c r="BE34" i="135" s="1"/>
  <c r="N34" i="135"/>
  <c r="O34" i="135"/>
  <c r="BG34" i="135" s="1"/>
  <c r="P34" i="135"/>
  <c r="BH34" i="135" s="1"/>
  <c r="Q34" i="135"/>
  <c r="BI34" i="135" s="1"/>
  <c r="R34" i="135"/>
  <c r="BJ34" i="135" s="1"/>
  <c r="S34" i="135"/>
  <c r="BK34" i="135" s="1"/>
  <c r="T34" i="135"/>
  <c r="BL34" i="135" s="1"/>
  <c r="AZ34" i="135" s="1"/>
  <c r="I34" i="135"/>
  <c r="BA34" i="135" s="1"/>
  <c r="J32" i="135"/>
  <c r="BB32" i="135" s="1"/>
  <c r="K32" i="135"/>
  <c r="BC32" i="135" s="1"/>
  <c r="L32" i="135"/>
  <c r="BD32" i="135" s="1"/>
  <c r="M32" i="135"/>
  <c r="BE32" i="135" s="1"/>
  <c r="N32" i="135"/>
  <c r="BF32" i="135" s="1"/>
  <c r="AY32" i="135" s="1"/>
  <c r="O32" i="135"/>
  <c r="BG32" i="135" s="1"/>
  <c r="P32" i="135"/>
  <c r="BH32" i="135" s="1"/>
  <c r="Q32" i="135"/>
  <c r="BI32" i="135" s="1"/>
  <c r="R32" i="135"/>
  <c r="BJ32" i="135" s="1"/>
  <c r="S32" i="135"/>
  <c r="BK32" i="135" s="1"/>
  <c r="T32" i="135"/>
  <c r="BL32" i="135" s="1"/>
  <c r="AZ32" i="135" s="1"/>
  <c r="I32" i="135"/>
  <c r="BA32" i="135" s="1"/>
  <c r="J31" i="135"/>
  <c r="BB31" i="135" s="1"/>
  <c r="K31" i="135"/>
  <c r="BC31" i="135" s="1"/>
  <c r="L31" i="135"/>
  <c r="BD31" i="135" s="1"/>
  <c r="M31" i="135"/>
  <c r="BE31" i="135" s="1"/>
  <c r="N31" i="135"/>
  <c r="BF31" i="135" s="1"/>
  <c r="AY31" i="135" s="1"/>
  <c r="O31" i="135"/>
  <c r="BG31" i="135" s="1"/>
  <c r="P31" i="135"/>
  <c r="BH31" i="135" s="1"/>
  <c r="Q31" i="135"/>
  <c r="BI31" i="135" s="1"/>
  <c r="R31" i="135"/>
  <c r="BJ31" i="135" s="1"/>
  <c r="S31" i="135"/>
  <c r="BK31" i="135" s="1"/>
  <c r="T31" i="135"/>
  <c r="BL31" i="135" s="1"/>
  <c r="AZ31" i="135" s="1"/>
  <c r="I31" i="135"/>
  <c r="BA31" i="135" s="1"/>
  <c r="J29" i="135"/>
  <c r="BB29" i="135" s="1"/>
  <c r="K29" i="135"/>
  <c r="BC29" i="135" s="1"/>
  <c r="L29" i="135"/>
  <c r="BD29" i="135" s="1"/>
  <c r="M29" i="135"/>
  <c r="BE29" i="135" s="1"/>
  <c r="N29" i="135"/>
  <c r="BF29" i="135" s="1"/>
  <c r="AY29" i="135" s="1"/>
  <c r="O29" i="135"/>
  <c r="BG29" i="135" s="1"/>
  <c r="P29" i="135"/>
  <c r="BH29" i="135" s="1"/>
  <c r="Q29" i="135"/>
  <c r="BI29" i="135" s="1"/>
  <c r="R29" i="135"/>
  <c r="BJ29" i="135" s="1"/>
  <c r="S29" i="135"/>
  <c r="BK29" i="135" s="1"/>
  <c r="T29" i="135"/>
  <c r="BL29" i="135" s="1"/>
  <c r="AZ29" i="135" s="1"/>
  <c r="I29" i="135"/>
  <c r="BA29" i="135" s="1"/>
  <c r="J28" i="135"/>
  <c r="BB28" i="135" s="1"/>
  <c r="K28" i="135"/>
  <c r="BC28" i="135" s="1"/>
  <c r="L28" i="135"/>
  <c r="BD28" i="135" s="1"/>
  <c r="M28" i="135"/>
  <c r="BE28" i="135" s="1"/>
  <c r="N28" i="135"/>
  <c r="BF28" i="135" s="1"/>
  <c r="AY28" i="135" s="1"/>
  <c r="O28" i="135"/>
  <c r="BG28" i="135" s="1"/>
  <c r="P28" i="135"/>
  <c r="BH28" i="135" s="1"/>
  <c r="Q28" i="135"/>
  <c r="BI28" i="135" s="1"/>
  <c r="R28" i="135"/>
  <c r="BJ28" i="135" s="1"/>
  <c r="S28" i="135"/>
  <c r="BK28" i="135" s="1"/>
  <c r="T28" i="135"/>
  <c r="BL28" i="135" s="1"/>
  <c r="AZ28" i="135" s="1"/>
  <c r="I28" i="135"/>
  <c r="BA28" i="135" s="1"/>
  <c r="J26" i="135"/>
  <c r="BB26" i="135" s="1"/>
  <c r="K26" i="135"/>
  <c r="BC26" i="135" s="1"/>
  <c r="L26" i="135"/>
  <c r="BD26" i="135" s="1"/>
  <c r="M26" i="135"/>
  <c r="BE26" i="135" s="1"/>
  <c r="N26" i="135"/>
  <c r="BF26" i="135" s="1"/>
  <c r="AY26" i="135" s="1"/>
  <c r="O26" i="135"/>
  <c r="BG26" i="135" s="1"/>
  <c r="P26" i="135"/>
  <c r="BH26" i="135" s="1"/>
  <c r="Q26" i="135"/>
  <c r="BI26" i="135" s="1"/>
  <c r="R26" i="135"/>
  <c r="BJ26" i="135" s="1"/>
  <c r="S26" i="135"/>
  <c r="BK26" i="135" s="1"/>
  <c r="T26" i="135"/>
  <c r="BL26" i="135" s="1"/>
  <c r="AZ26" i="135" s="1"/>
  <c r="I26" i="135"/>
  <c r="BA26" i="135" s="1"/>
  <c r="J25" i="135"/>
  <c r="BB25" i="135" s="1"/>
  <c r="K25" i="135"/>
  <c r="BC25" i="135" s="1"/>
  <c r="L25" i="135"/>
  <c r="BD25" i="135" s="1"/>
  <c r="M25" i="135"/>
  <c r="BE25" i="135" s="1"/>
  <c r="N25" i="135"/>
  <c r="BF25" i="135" s="1"/>
  <c r="AY25" i="135" s="1"/>
  <c r="O25" i="135"/>
  <c r="BG25" i="135" s="1"/>
  <c r="P25" i="135"/>
  <c r="BH25" i="135" s="1"/>
  <c r="Q25" i="135"/>
  <c r="BI25" i="135" s="1"/>
  <c r="R25" i="135"/>
  <c r="BJ25" i="135" s="1"/>
  <c r="S25" i="135"/>
  <c r="BK25" i="135" s="1"/>
  <c r="T25" i="135"/>
  <c r="BL25" i="135" s="1"/>
  <c r="AZ25" i="135" s="1"/>
  <c r="I25" i="135"/>
  <c r="BA25" i="135" s="1"/>
  <c r="J24" i="135"/>
  <c r="BB24" i="135" s="1"/>
  <c r="K24" i="135"/>
  <c r="BC24" i="135" s="1"/>
  <c r="L24" i="135"/>
  <c r="BD24" i="135" s="1"/>
  <c r="M24" i="135"/>
  <c r="BE24" i="135" s="1"/>
  <c r="N24" i="135"/>
  <c r="O24" i="135"/>
  <c r="BG24" i="135" s="1"/>
  <c r="P24" i="135"/>
  <c r="BH24" i="135" s="1"/>
  <c r="Q24" i="135"/>
  <c r="BI24" i="135" s="1"/>
  <c r="R24" i="135"/>
  <c r="BJ24" i="135" s="1"/>
  <c r="S24" i="135"/>
  <c r="BK24" i="135" s="1"/>
  <c r="T24" i="135"/>
  <c r="BL24" i="135" s="1"/>
  <c r="AZ24" i="135" s="1"/>
  <c r="I24" i="135"/>
  <c r="BA24" i="135" s="1"/>
  <c r="J23" i="135"/>
  <c r="BB23" i="135" s="1"/>
  <c r="K23" i="135"/>
  <c r="BC23" i="135" s="1"/>
  <c r="L23" i="135"/>
  <c r="BD23" i="135" s="1"/>
  <c r="M23" i="135"/>
  <c r="BE23" i="135" s="1"/>
  <c r="N23" i="135"/>
  <c r="BF23" i="135" s="1"/>
  <c r="AY23" i="135" s="1"/>
  <c r="O23" i="135"/>
  <c r="BG23" i="135" s="1"/>
  <c r="P23" i="135"/>
  <c r="BH23" i="135" s="1"/>
  <c r="Q23" i="135"/>
  <c r="BI23" i="135" s="1"/>
  <c r="R23" i="135"/>
  <c r="BJ23" i="135" s="1"/>
  <c r="S23" i="135"/>
  <c r="BK23" i="135" s="1"/>
  <c r="T23" i="135"/>
  <c r="BL23" i="135" s="1"/>
  <c r="AZ23" i="135" s="1"/>
  <c r="I23" i="135"/>
  <c r="BA23" i="135" s="1"/>
  <c r="J21" i="135"/>
  <c r="BB21" i="135" s="1"/>
  <c r="K21" i="135"/>
  <c r="BC21" i="135" s="1"/>
  <c r="L21" i="135"/>
  <c r="BD21" i="135" s="1"/>
  <c r="M21" i="135"/>
  <c r="BE21" i="135" s="1"/>
  <c r="N21" i="135"/>
  <c r="BF21" i="135" s="1"/>
  <c r="AY21" i="135" s="1"/>
  <c r="O21" i="135"/>
  <c r="BG21" i="135" s="1"/>
  <c r="P21" i="135"/>
  <c r="BH21" i="135" s="1"/>
  <c r="Q21" i="135"/>
  <c r="BI21" i="135" s="1"/>
  <c r="R21" i="135"/>
  <c r="BJ21" i="135" s="1"/>
  <c r="S21" i="135"/>
  <c r="BK21" i="135" s="1"/>
  <c r="T21" i="135"/>
  <c r="BL21" i="135" s="1"/>
  <c r="AZ21" i="135" s="1"/>
  <c r="I21" i="135"/>
  <c r="BA21" i="135" s="1"/>
  <c r="I20" i="135"/>
  <c r="BA20" i="135" s="1"/>
  <c r="J20" i="135"/>
  <c r="BB20" i="135" s="1"/>
  <c r="K20" i="135"/>
  <c r="BC20" i="135" s="1"/>
  <c r="L20" i="135"/>
  <c r="BD20" i="135" s="1"/>
  <c r="M20" i="135"/>
  <c r="BE20" i="135" s="1"/>
  <c r="N20" i="135"/>
  <c r="BF20" i="135" s="1"/>
  <c r="AY20" i="135" s="1"/>
  <c r="O20" i="135"/>
  <c r="BG20" i="135" s="1"/>
  <c r="P20" i="135"/>
  <c r="BH20" i="135" s="1"/>
  <c r="Q20" i="135"/>
  <c r="BI20" i="135" s="1"/>
  <c r="R20" i="135"/>
  <c r="BJ20" i="135" s="1"/>
  <c r="S20" i="135"/>
  <c r="BK20" i="135" s="1"/>
  <c r="T20" i="135"/>
  <c r="BL20" i="135" s="1"/>
  <c r="AZ20" i="135" s="1"/>
  <c r="J19" i="135"/>
  <c r="BB19" i="135" s="1"/>
  <c r="K19" i="135"/>
  <c r="BC19" i="135" s="1"/>
  <c r="L19" i="135"/>
  <c r="BD19" i="135" s="1"/>
  <c r="M19" i="135"/>
  <c r="BE19" i="135" s="1"/>
  <c r="N19" i="135"/>
  <c r="BF19" i="135" s="1"/>
  <c r="AY19" i="135" s="1"/>
  <c r="O19" i="135"/>
  <c r="BG19" i="135" s="1"/>
  <c r="P19" i="135"/>
  <c r="BH19" i="135" s="1"/>
  <c r="Q19" i="135"/>
  <c r="BI19" i="135" s="1"/>
  <c r="R19" i="135"/>
  <c r="BJ19" i="135" s="1"/>
  <c r="S19" i="135"/>
  <c r="BK19" i="135" s="1"/>
  <c r="T19" i="135"/>
  <c r="BL19" i="135" s="1"/>
  <c r="AZ19" i="135" s="1"/>
  <c r="I19" i="135"/>
  <c r="BA19" i="135" s="1"/>
  <c r="J16" i="135"/>
  <c r="BB16" i="135" s="1"/>
  <c r="K16" i="135"/>
  <c r="BC16" i="135" s="1"/>
  <c r="L16" i="135"/>
  <c r="BD16" i="135" s="1"/>
  <c r="M16" i="135"/>
  <c r="BE16" i="135" s="1"/>
  <c r="N16" i="135"/>
  <c r="BF16" i="135" s="1"/>
  <c r="AY16" i="135" s="1"/>
  <c r="O16" i="135"/>
  <c r="BG16" i="135" s="1"/>
  <c r="P16" i="135"/>
  <c r="BH16" i="135" s="1"/>
  <c r="Q16" i="135"/>
  <c r="BI16" i="135" s="1"/>
  <c r="R16" i="135"/>
  <c r="BJ16" i="135" s="1"/>
  <c r="S16" i="135"/>
  <c r="BK16" i="135" s="1"/>
  <c r="T16" i="135"/>
  <c r="BL16" i="135" s="1"/>
  <c r="AZ16" i="135" s="1"/>
  <c r="I16" i="135"/>
  <c r="BA16" i="135" s="1"/>
  <c r="J14" i="135"/>
  <c r="BB14" i="135" s="1"/>
  <c r="K14" i="135"/>
  <c r="BC14" i="135" s="1"/>
  <c r="L14" i="135"/>
  <c r="BD14" i="135" s="1"/>
  <c r="M14" i="135"/>
  <c r="BE14" i="135" s="1"/>
  <c r="N14" i="135"/>
  <c r="BF14" i="135" s="1"/>
  <c r="AY14" i="135" s="1"/>
  <c r="O14" i="135"/>
  <c r="BG14" i="135" s="1"/>
  <c r="P14" i="135"/>
  <c r="BH14" i="135" s="1"/>
  <c r="Q14" i="135"/>
  <c r="BI14" i="135" s="1"/>
  <c r="R14" i="135"/>
  <c r="BJ14" i="135" s="1"/>
  <c r="S14" i="135"/>
  <c r="BK14" i="135" s="1"/>
  <c r="T14" i="135"/>
  <c r="BL14" i="135" s="1"/>
  <c r="AZ14" i="135" s="1"/>
  <c r="I14" i="135"/>
  <c r="BA14" i="135" s="1"/>
  <c r="J12" i="135"/>
  <c r="BB12" i="135" s="1"/>
  <c r="K12" i="135"/>
  <c r="BC12" i="135" s="1"/>
  <c r="L12" i="135"/>
  <c r="BD12" i="135" s="1"/>
  <c r="M12" i="135"/>
  <c r="BE12" i="135" s="1"/>
  <c r="N12" i="135"/>
  <c r="BF12" i="135" s="1"/>
  <c r="AY12" i="135" s="1"/>
  <c r="O12" i="135"/>
  <c r="BG12" i="135" s="1"/>
  <c r="P12" i="135"/>
  <c r="BH12" i="135" s="1"/>
  <c r="Q12" i="135"/>
  <c r="BI12" i="135" s="1"/>
  <c r="R12" i="135"/>
  <c r="BJ12" i="135" s="1"/>
  <c r="S12" i="135"/>
  <c r="BK12" i="135" s="1"/>
  <c r="T12" i="135"/>
  <c r="BL12" i="135" s="1"/>
  <c r="AZ12" i="135" s="1"/>
  <c r="I12" i="135"/>
  <c r="BA12" i="135" s="1"/>
  <c r="J11" i="135"/>
  <c r="BB11" i="135" s="1"/>
  <c r="K11" i="135"/>
  <c r="BC11" i="135" s="1"/>
  <c r="L11" i="135"/>
  <c r="BD11" i="135" s="1"/>
  <c r="M11" i="135"/>
  <c r="BE11" i="135" s="1"/>
  <c r="N11" i="135"/>
  <c r="BF11" i="135" s="1"/>
  <c r="AY11" i="135" s="1"/>
  <c r="O11" i="135"/>
  <c r="BG11" i="135" s="1"/>
  <c r="P11" i="135"/>
  <c r="BH11" i="135" s="1"/>
  <c r="Q11" i="135"/>
  <c r="BI11" i="135" s="1"/>
  <c r="R11" i="135"/>
  <c r="BJ11" i="135" s="1"/>
  <c r="S11" i="135"/>
  <c r="BK11" i="135" s="1"/>
  <c r="T11" i="135"/>
  <c r="BL11" i="135" s="1"/>
  <c r="AZ11" i="135" s="1"/>
  <c r="I11" i="135"/>
  <c r="BA11" i="135" s="1"/>
  <c r="J10" i="135"/>
  <c r="BB10" i="135" s="1"/>
  <c r="K10" i="135"/>
  <c r="BC10" i="135" s="1"/>
  <c r="L10" i="135"/>
  <c r="BD10" i="135" s="1"/>
  <c r="M10" i="135"/>
  <c r="BE10" i="135" s="1"/>
  <c r="N10" i="135"/>
  <c r="BF10" i="135" s="1"/>
  <c r="AY10" i="135" s="1"/>
  <c r="O10" i="135"/>
  <c r="BG10" i="135" s="1"/>
  <c r="P10" i="135"/>
  <c r="BH10" i="135" s="1"/>
  <c r="Q10" i="135"/>
  <c r="BI10" i="135" s="1"/>
  <c r="R10" i="135"/>
  <c r="BJ10" i="135" s="1"/>
  <c r="S10" i="135"/>
  <c r="BK10" i="135" s="1"/>
  <c r="T10" i="135"/>
  <c r="BL10" i="135" s="1"/>
  <c r="AZ10" i="135" s="1"/>
  <c r="I10" i="135"/>
  <c r="BA10" i="135" s="1"/>
  <c r="J8" i="135"/>
  <c r="BB8" i="135" s="1"/>
  <c r="K8" i="135"/>
  <c r="BC8" i="135" s="1"/>
  <c r="L8" i="135"/>
  <c r="BD8" i="135" s="1"/>
  <c r="M8" i="135"/>
  <c r="BE8" i="135" s="1"/>
  <c r="N8" i="135"/>
  <c r="BF8" i="135" s="1"/>
  <c r="AY8" i="135" s="1"/>
  <c r="O8" i="135"/>
  <c r="BG8" i="135" s="1"/>
  <c r="P8" i="135"/>
  <c r="BH8" i="135" s="1"/>
  <c r="Q8" i="135"/>
  <c r="BI8" i="135" s="1"/>
  <c r="R8" i="135"/>
  <c r="BJ8" i="135" s="1"/>
  <c r="S8" i="135"/>
  <c r="BK8" i="135" s="1"/>
  <c r="T8" i="135"/>
  <c r="BL8" i="135" s="1"/>
  <c r="AZ8" i="135" s="1"/>
  <c r="I8" i="135"/>
  <c r="BA8" i="135" s="1"/>
  <c r="J48" i="134"/>
  <c r="BB48" i="134" s="1"/>
  <c r="K48" i="134"/>
  <c r="BC48" i="134" s="1"/>
  <c r="L48" i="134"/>
  <c r="BD48" i="134" s="1"/>
  <c r="M48" i="134"/>
  <c r="BE48" i="134" s="1"/>
  <c r="N48" i="134"/>
  <c r="O48" i="134"/>
  <c r="BG48" i="134" s="1"/>
  <c r="P48" i="134"/>
  <c r="BH48" i="134" s="1"/>
  <c r="Q48" i="134"/>
  <c r="BI48" i="134" s="1"/>
  <c r="R48" i="134"/>
  <c r="BJ48" i="134" s="1"/>
  <c r="S48" i="134"/>
  <c r="T48" i="134"/>
  <c r="I48" i="134"/>
  <c r="BA48" i="134" s="1"/>
  <c r="J47" i="134"/>
  <c r="BB47" i="134" s="1"/>
  <c r="K47" i="134"/>
  <c r="BC47" i="134" s="1"/>
  <c r="L47" i="134"/>
  <c r="BD47" i="134" s="1"/>
  <c r="M47" i="134"/>
  <c r="BE47" i="134" s="1"/>
  <c r="N47" i="134"/>
  <c r="O47" i="134"/>
  <c r="BG47" i="134" s="1"/>
  <c r="P47" i="134"/>
  <c r="BH47" i="134" s="1"/>
  <c r="Q47" i="134"/>
  <c r="BI47" i="134" s="1"/>
  <c r="R47" i="134"/>
  <c r="BJ47" i="134" s="1"/>
  <c r="S47" i="134"/>
  <c r="T47" i="134"/>
  <c r="I47" i="134"/>
  <c r="BA47" i="134" s="1"/>
  <c r="J46" i="134"/>
  <c r="BB46" i="134" s="1"/>
  <c r="K46" i="134"/>
  <c r="BC46" i="134" s="1"/>
  <c r="L46" i="134"/>
  <c r="BD46" i="134" s="1"/>
  <c r="M46" i="134"/>
  <c r="BE46" i="134" s="1"/>
  <c r="N46" i="134"/>
  <c r="BF46" i="134" s="1"/>
  <c r="AY46" i="134" s="1"/>
  <c r="O46" i="134"/>
  <c r="BG46" i="134" s="1"/>
  <c r="P46" i="134"/>
  <c r="BH46" i="134" s="1"/>
  <c r="Q46" i="134"/>
  <c r="BI46" i="134" s="1"/>
  <c r="R46" i="134"/>
  <c r="BJ46" i="134" s="1"/>
  <c r="S46" i="134"/>
  <c r="BK46" i="134" s="1"/>
  <c r="T46" i="134"/>
  <c r="BL46" i="134" s="1"/>
  <c r="AZ46" i="134" s="1"/>
  <c r="I46" i="134"/>
  <c r="BA46" i="134" s="1"/>
  <c r="J44" i="134"/>
  <c r="BB44" i="134" s="1"/>
  <c r="K44" i="134"/>
  <c r="BC44" i="134" s="1"/>
  <c r="L44" i="134"/>
  <c r="BD44" i="134" s="1"/>
  <c r="M44" i="134"/>
  <c r="BE44" i="134" s="1"/>
  <c r="N44" i="134"/>
  <c r="BF44" i="134" s="1"/>
  <c r="AY44" i="134" s="1"/>
  <c r="O44" i="134"/>
  <c r="BG44" i="134" s="1"/>
  <c r="P44" i="134"/>
  <c r="BH44" i="134" s="1"/>
  <c r="Q44" i="134"/>
  <c r="BI44" i="134" s="1"/>
  <c r="R44" i="134"/>
  <c r="BJ44" i="134" s="1"/>
  <c r="S44" i="134"/>
  <c r="BK44" i="134" s="1"/>
  <c r="T44" i="134"/>
  <c r="BL44" i="134" s="1"/>
  <c r="AZ44" i="134" s="1"/>
  <c r="I44" i="134"/>
  <c r="BA44" i="134" s="1"/>
  <c r="J42" i="134"/>
  <c r="BB42" i="134" s="1"/>
  <c r="K42" i="134"/>
  <c r="BC42" i="134" s="1"/>
  <c r="L42" i="134"/>
  <c r="BD42" i="134" s="1"/>
  <c r="M42" i="134"/>
  <c r="BE42" i="134" s="1"/>
  <c r="N42" i="134"/>
  <c r="BF42" i="134" s="1"/>
  <c r="AY42" i="134" s="1"/>
  <c r="O42" i="134"/>
  <c r="BG42" i="134" s="1"/>
  <c r="P42" i="134"/>
  <c r="BH42" i="134" s="1"/>
  <c r="Q42" i="134"/>
  <c r="BI42" i="134" s="1"/>
  <c r="R42" i="134"/>
  <c r="BJ42" i="134" s="1"/>
  <c r="S42" i="134"/>
  <c r="BK42" i="134" s="1"/>
  <c r="T42" i="134"/>
  <c r="BL42" i="134" s="1"/>
  <c r="AZ42" i="134" s="1"/>
  <c r="I42" i="134"/>
  <c r="BA42" i="134" s="1"/>
  <c r="J37" i="134"/>
  <c r="BB37" i="134" s="1"/>
  <c r="K37" i="134"/>
  <c r="BC37" i="134" s="1"/>
  <c r="L37" i="134"/>
  <c r="BD37" i="134" s="1"/>
  <c r="M37" i="134"/>
  <c r="BE37" i="134" s="1"/>
  <c r="N37" i="134"/>
  <c r="O37" i="134"/>
  <c r="BG37" i="134" s="1"/>
  <c r="P37" i="134"/>
  <c r="BH37" i="134" s="1"/>
  <c r="Q37" i="134"/>
  <c r="BI37" i="134" s="1"/>
  <c r="R37" i="134"/>
  <c r="BJ37" i="134" s="1"/>
  <c r="S37" i="134"/>
  <c r="T37" i="134"/>
  <c r="I37" i="134"/>
  <c r="BA37" i="134" s="1"/>
  <c r="J36" i="134"/>
  <c r="BB36" i="134" s="1"/>
  <c r="K36" i="134"/>
  <c r="BC36" i="134" s="1"/>
  <c r="L36" i="134"/>
  <c r="BD36" i="134" s="1"/>
  <c r="M36" i="134"/>
  <c r="BE36" i="134" s="1"/>
  <c r="N36" i="134"/>
  <c r="BF36" i="134" s="1"/>
  <c r="AY36" i="134" s="1"/>
  <c r="O36" i="134"/>
  <c r="BG36" i="134" s="1"/>
  <c r="P36" i="134"/>
  <c r="BH36" i="134" s="1"/>
  <c r="Q36" i="134"/>
  <c r="BI36" i="134" s="1"/>
  <c r="R36" i="134"/>
  <c r="BJ36" i="134" s="1"/>
  <c r="S36" i="134"/>
  <c r="BK36" i="134" s="1"/>
  <c r="T36" i="134"/>
  <c r="BL36" i="134" s="1"/>
  <c r="AZ36" i="134" s="1"/>
  <c r="I36" i="134"/>
  <c r="BA36" i="134" s="1"/>
  <c r="J35" i="134"/>
  <c r="BB35" i="134" s="1"/>
  <c r="K35" i="134"/>
  <c r="BC35" i="134" s="1"/>
  <c r="L35" i="134"/>
  <c r="BD35" i="134" s="1"/>
  <c r="M35" i="134"/>
  <c r="BE35" i="134" s="1"/>
  <c r="N35" i="134"/>
  <c r="BF35" i="134" s="1"/>
  <c r="AY35" i="134" s="1"/>
  <c r="O35" i="134"/>
  <c r="BG35" i="134" s="1"/>
  <c r="P35" i="134"/>
  <c r="BH35" i="134" s="1"/>
  <c r="Q35" i="134"/>
  <c r="BI35" i="134" s="1"/>
  <c r="R35" i="134"/>
  <c r="BJ35" i="134" s="1"/>
  <c r="S35" i="134"/>
  <c r="BK35" i="134" s="1"/>
  <c r="T35" i="134"/>
  <c r="BL35" i="134" s="1"/>
  <c r="AZ35" i="134" s="1"/>
  <c r="I35" i="134"/>
  <c r="BA35" i="134" s="1"/>
  <c r="J34" i="134"/>
  <c r="BB34" i="134" s="1"/>
  <c r="K34" i="134"/>
  <c r="BC34" i="134" s="1"/>
  <c r="L34" i="134"/>
  <c r="BD34" i="134" s="1"/>
  <c r="M34" i="134"/>
  <c r="BE34" i="134" s="1"/>
  <c r="N34" i="134"/>
  <c r="O34" i="134"/>
  <c r="BG34" i="134" s="1"/>
  <c r="P34" i="134"/>
  <c r="BH34" i="134" s="1"/>
  <c r="Q34" i="134"/>
  <c r="BI34" i="134" s="1"/>
  <c r="R34" i="134"/>
  <c r="BJ34" i="134" s="1"/>
  <c r="S34" i="134"/>
  <c r="T34" i="134"/>
  <c r="I34" i="134"/>
  <c r="BA34" i="134" s="1"/>
  <c r="J32" i="134"/>
  <c r="BB32" i="134" s="1"/>
  <c r="K32" i="134"/>
  <c r="BC32" i="134" s="1"/>
  <c r="L32" i="134"/>
  <c r="BD32" i="134" s="1"/>
  <c r="M32" i="134"/>
  <c r="BE32" i="134" s="1"/>
  <c r="N32" i="134"/>
  <c r="BF32" i="134" s="1"/>
  <c r="AY32" i="134" s="1"/>
  <c r="O32" i="134"/>
  <c r="BG32" i="134" s="1"/>
  <c r="P32" i="134"/>
  <c r="BH32" i="134" s="1"/>
  <c r="Q32" i="134"/>
  <c r="BI32" i="134" s="1"/>
  <c r="R32" i="134"/>
  <c r="BJ32" i="134" s="1"/>
  <c r="S32" i="134"/>
  <c r="BK32" i="134" s="1"/>
  <c r="T32" i="134"/>
  <c r="BL32" i="134" s="1"/>
  <c r="AZ32" i="134" s="1"/>
  <c r="I32" i="134"/>
  <c r="BA32" i="134" s="1"/>
  <c r="J31" i="134"/>
  <c r="BB31" i="134" s="1"/>
  <c r="K31" i="134"/>
  <c r="BC31" i="134" s="1"/>
  <c r="L31" i="134"/>
  <c r="BD31" i="134" s="1"/>
  <c r="M31" i="134"/>
  <c r="BE31" i="134" s="1"/>
  <c r="N31" i="134"/>
  <c r="BF31" i="134" s="1"/>
  <c r="AY31" i="134" s="1"/>
  <c r="O31" i="134"/>
  <c r="BG31" i="134" s="1"/>
  <c r="P31" i="134"/>
  <c r="BH31" i="134" s="1"/>
  <c r="Q31" i="134"/>
  <c r="BI31" i="134" s="1"/>
  <c r="R31" i="134"/>
  <c r="BJ31" i="134" s="1"/>
  <c r="S31" i="134"/>
  <c r="BK31" i="134" s="1"/>
  <c r="T31" i="134"/>
  <c r="BL31" i="134" s="1"/>
  <c r="AZ31" i="134" s="1"/>
  <c r="I31" i="134"/>
  <c r="BA31" i="134" s="1"/>
  <c r="J28" i="134"/>
  <c r="BB28" i="134" s="1"/>
  <c r="K28" i="134"/>
  <c r="BC28" i="134" s="1"/>
  <c r="L28" i="134"/>
  <c r="BD28" i="134" s="1"/>
  <c r="M28" i="134"/>
  <c r="BE28" i="134" s="1"/>
  <c r="N28" i="134"/>
  <c r="BF28" i="134" s="1"/>
  <c r="AY28" i="134" s="1"/>
  <c r="O28" i="134"/>
  <c r="BG28" i="134" s="1"/>
  <c r="P28" i="134"/>
  <c r="BH28" i="134" s="1"/>
  <c r="Q28" i="134"/>
  <c r="BI28" i="134" s="1"/>
  <c r="R28" i="134"/>
  <c r="BJ28" i="134" s="1"/>
  <c r="S28" i="134"/>
  <c r="BK28" i="134" s="1"/>
  <c r="T28" i="134"/>
  <c r="BL28" i="134" s="1"/>
  <c r="AZ28" i="134" s="1"/>
  <c r="I28" i="134"/>
  <c r="BA28" i="134" s="1"/>
  <c r="J29" i="134"/>
  <c r="BB29" i="134" s="1"/>
  <c r="K29" i="134"/>
  <c r="BC29" i="134" s="1"/>
  <c r="L29" i="134"/>
  <c r="BD29" i="134" s="1"/>
  <c r="M29" i="134"/>
  <c r="BE29" i="134" s="1"/>
  <c r="N29" i="134"/>
  <c r="BF29" i="134" s="1"/>
  <c r="AY29" i="134" s="1"/>
  <c r="O29" i="134"/>
  <c r="BG29" i="134" s="1"/>
  <c r="P29" i="134"/>
  <c r="BH29" i="134" s="1"/>
  <c r="Q29" i="134"/>
  <c r="BI29" i="134" s="1"/>
  <c r="R29" i="134"/>
  <c r="BJ29" i="134" s="1"/>
  <c r="S29" i="134"/>
  <c r="BK29" i="134" s="1"/>
  <c r="T29" i="134"/>
  <c r="BL29" i="134" s="1"/>
  <c r="AZ29" i="134" s="1"/>
  <c r="I29" i="134"/>
  <c r="BA29" i="134" s="1"/>
  <c r="J26" i="134"/>
  <c r="BB26" i="134" s="1"/>
  <c r="K26" i="134"/>
  <c r="BC26" i="134" s="1"/>
  <c r="L26" i="134"/>
  <c r="BD26" i="134" s="1"/>
  <c r="M26" i="134"/>
  <c r="BE26" i="134" s="1"/>
  <c r="N26" i="134"/>
  <c r="BF26" i="134" s="1"/>
  <c r="AY26" i="134" s="1"/>
  <c r="O26" i="134"/>
  <c r="BG26" i="134" s="1"/>
  <c r="P26" i="134"/>
  <c r="BH26" i="134" s="1"/>
  <c r="Q26" i="134"/>
  <c r="BI26" i="134" s="1"/>
  <c r="R26" i="134"/>
  <c r="BJ26" i="134" s="1"/>
  <c r="S26" i="134"/>
  <c r="BK26" i="134" s="1"/>
  <c r="T26" i="134"/>
  <c r="BL26" i="134" s="1"/>
  <c r="AZ26" i="134" s="1"/>
  <c r="I26" i="134"/>
  <c r="BA26" i="134" s="1"/>
  <c r="J25" i="134"/>
  <c r="BB25" i="134" s="1"/>
  <c r="K25" i="134"/>
  <c r="BC25" i="134" s="1"/>
  <c r="L25" i="134"/>
  <c r="BD25" i="134" s="1"/>
  <c r="M25" i="134"/>
  <c r="BE25" i="134" s="1"/>
  <c r="N25" i="134"/>
  <c r="BF25" i="134" s="1"/>
  <c r="AY25" i="134" s="1"/>
  <c r="O25" i="134"/>
  <c r="BG25" i="134" s="1"/>
  <c r="P25" i="134"/>
  <c r="BH25" i="134" s="1"/>
  <c r="Q25" i="134"/>
  <c r="BI25" i="134" s="1"/>
  <c r="R25" i="134"/>
  <c r="BJ25" i="134" s="1"/>
  <c r="S25" i="134"/>
  <c r="BK25" i="134" s="1"/>
  <c r="T25" i="134"/>
  <c r="BL25" i="134" s="1"/>
  <c r="AZ25" i="134" s="1"/>
  <c r="I25" i="134"/>
  <c r="BA25" i="134" s="1"/>
  <c r="J24" i="134"/>
  <c r="BB24" i="134" s="1"/>
  <c r="K24" i="134"/>
  <c r="BC24" i="134" s="1"/>
  <c r="L24" i="134"/>
  <c r="BD24" i="134" s="1"/>
  <c r="M24" i="134"/>
  <c r="BE24" i="134" s="1"/>
  <c r="N24" i="134"/>
  <c r="O24" i="134"/>
  <c r="BG24" i="134" s="1"/>
  <c r="P24" i="134"/>
  <c r="BH24" i="134" s="1"/>
  <c r="Q24" i="134"/>
  <c r="BI24" i="134" s="1"/>
  <c r="R24" i="134"/>
  <c r="BJ24" i="134" s="1"/>
  <c r="S24" i="134"/>
  <c r="T24" i="134"/>
  <c r="I24" i="134"/>
  <c r="BA24" i="134" s="1"/>
  <c r="J23" i="134"/>
  <c r="BB23" i="134" s="1"/>
  <c r="K23" i="134"/>
  <c r="BC23" i="134" s="1"/>
  <c r="L23" i="134"/>
  <c r="BD23" i="134" s="1"/>
  <c r="M23" i="134"/>
  <c r="BE23" i="134" s="1"/>
  <c r="N23" i="134"/>
  <c r="BF23" i="134" s="1"/>
  <c r="AY23" i="134" s="1"/>
  <c r="O23" i="134"/>
  <c r="BG23" i="134" s="1"/>
  <c r="P23" i="134"/>
  <c r="BH23" i="134" s="1"/>
  <c r="Q23" i="134"/>
  <c r="BI23" i="134" s="1"/>
  <c r="R23" i="134"/>
  <c r="BJ23" i="134" s="1"/>
  <c r="S23" i="134"/>
  <c r="BK23" i="134" s="1"/>
  <c r="T23" i="134"/>
  <c r="BL23" i="134" s="1"/>
  <c r="AZ23" i="134" s="1"/>
  <c r="I23" i="134"/>
  <c r="BA23" i="134" s="1"/>
  <c r="J21" i="134"/>
  <c r="BB21" i="134" s="1"/>
  <c r="K21" i="134"/>
  <c r="BC21" i="134" s="1"/>
  <c r="L21" i="134"/>
  <c r="BD21" i="134" s="1"/>
  <c r="M21" i="134"/>
  <c r="BE21" i="134" s="1"/>
  <c r="N21" i="134"/>
  <c r="BF21" i="134" s="1"/>
  <c r="AY21" i="134" s="1"/>
  <c r="O21" i="134"/>
  <c r="BG21" i="134" s="1"/>
  <c r="P21" i="134"/>
  <c r="BH21" i="134" s="1"/>
  <c r="Q21" i="134"/>
  <c r="BI21" i="134" s="1"/>
  <c r="R21" i="134"/>
  <c r="BJ21" i="134" s="1"/>
  <c r="S21" i="134"/>
  <c r="BK21" i="134" s="1"/>
  <c r="T21" i="134"/>
  <c r="BL21" i="134" s="1"/>
  <c r="AZ21" i="134" s="1"/>
  <c r="I21" i="134"/>
  <c r="BA21" i="134" s="1"/>
  <c r="J20" i="134"/>
  <c r="BB20" i="134" s="1"/>
  <c r="K20" i="134"/>
  <c r="BC20" i="134" s="1"/>
  <c r="L20" i="134"/>
  <c r="BD20" i="134" s="1"/>
  <c r="M20" i="134"/>
  <c r="BE20" i="134" s="1"/>
  <c r="N20" i="134"/>
  <c r="BF20" i="134" s="1"/>
  <c r="AY20" i="134" s="1"/>
  <c r="O20" i="134"/>
  <c r="BG20" i="134" s="1"/>
  <c r="P20" i="134"/>
  <c r="BH20" i="134" s="1"/>
  <c r="Q20" i="134"/>
  <c r="BI20" i="134" s="1"/>
  <c r="R20" i="134"/>
  <c r="BJ20" i="134" s="1"/>
  <c r="S20" i="134"/>
  <c r="BK20" i="134" s="1"/>
  <c r="T20" i="134"/>
  <c r="BL20" i="134" s="1"/>
  <c r="AZ20" i="134" s="1"/>
  <c r="I20" i="134"/>
  <c r="BA20" i="134" s="1"/>
  <c r="J19" i="134"/>
  <c r="BB19" i="134" s="1"/>
  <c r="K19" i="134"/>
  <c r="BC19" i="134" s="1"/>
  <c r="L19" i="134"/>
  <c r="BD19" i="134" s="1"/>
  <c r="M19" i="134"/>
  <c r="BE19" i="134" s="1"/>
  <c r="N19" i="134"/>
  <c r="BF19" i="134" s="1"/>
  <c r="AY19" i="134" s="1"/>
  <c r="O19" i="134"/>
  <c r="BG19" i="134" s="1"/>
  <c r="P19" i="134"/>
  <c r="BH19" i="134" s="1"/>
  <c r="Q19" i="134"/>
  <c r="BI19" i="134" s="1"/>
  <c r="R19" i="134"/>
  <c r="BJ19" i="134" s="1"/>
  <c r="S19" i="134"/>
  <c r="BK19" i="134" s="1"/>
  <c r="T19" i="134"/>
  <c r="BL19" i="134" s="1"/>
  <c r="AZ19" i="134" s="1"/>
  <c r="I19" i="134"/>
  <c r="BA19" i="134" s="1"/>
  <c r="J16" i="134"/>
  <c r="BB16" i="134" s="1"/>
  <c r="K16" i="134"/>
  <c r="BC16" i="134" s="1"/>
  <c r="L16" i="134"/>
  <c r="BD16" i="134" s="1"/>
  <c r="M16" i="134"/>
  <c r="BE16" i="134" s="1"/>
  <c r="N16" i="134"/>
  <c r="BF16" i="134" s="1"/>
  <c r="AY16" i="134" s="1"/>
  <c r="O16" i="134"/>
  <c r="BG16" i="134" s="1"/>
  <c r="P16" i="134"/>
  <c r="BH16" i="134" s="1"/>
  <c r="Q16" i="134"/>
  <c r="BI16" i="134" s="1"/>
  <c r="R16" i="134"/>
  <c r="BJ16" i="134" s="1"/>
  <c r="S16" i="134"/>
  <c r="BK16" i="134" s="1"/>
  <c r="T16" i="134"/>
  <c r="BL16" i="134" s="1"/>
  <c r="AZ16" i="134" s="1"/>
  <c r="I16" i="134"/>
  <c r="BA16" i="134" s="1"/>
  <c r="G15" i="134"/>
  <c r="H15" i="134"/>
  <c r="J14" i="134"/>
  <c r="BB14" i="134" s="1"/>
  <c r="K14" i="134"/>
  <c r="BC14" i="134" s="1"/>
  <c r="L14" i="134"/>
  <c r="BD14" i="134" s="1"/>
  <c r="M14" i="134"/>
  <c r="BE14" i="134" s="1"/>
  <c r="N14" i="134"/>
  <c r="BF14" i="134" s="1"/>
  <c r="AY14" i="134" s="1"/>
  <c r="O14" i="134"/>
  <c r="BG14" i="134" s="1"/>
  <c r="P14" i="134"/>
  <c r="BH14" i="134" s="1"/>
  <c r="Q14" i="134"/>
  <c r="BI14" i="134" s="1"/>
  <c r="R14" i="134"/>
  <c r="BJ14" i="134" s="1"/>
  <c r="S14" i="134"/>
  <c r="BK14" i="134" s="1"/>
  <c r="T14" i="134"/>
  <c r="BL14" i="134" s="1"/>
  <c r="AZ14" i="134" s="1"/>
  <c r="I14" i="134"/>
  <c r="BA14" i="134" s="1"/>
  <c r="J12" i="134"/>
  <c r="BB12" i="134" s="1"/>
  <c r="K12" i="134"/>
  <c r="BC12" i="134" s="1"/>
  <c r="L12" i="134"/>
  <c r="BD12" i="134" s="1"/>
  <c r="M12" i="134"/>
  <c r="BE12" i="134" s="1"/>
  <c r="N12" i="134"/>
  <c r="BF12" i="134" s="1"/>
  <c r="AY12" i="134" s="1"/>
  <c r="O12" i="134"/>
  <c r="BG12" i="134" s="1"/>
  <c r="P12" i="134"/>
  <c r="BH12" i="134" s="1"/>
  <c r="Q12" i="134"/>
  <c r="BI12" i="134" s="1"/>
  <c r="R12" i="134"/>
  <c r="BJ12" i="134" s="1"/>
  <c r="S12" i="134"/>
  <c r="BK12" i="134" s="1"/>
  <c r="T12" i="134"/>
  <c r="BL12" i="134" s="1"/>
  <c r="AZ12" i="134" s="1"/>
  <c r="I12" i="134"/>
  <c r="BA12" i="134" s="1"/>
  <c r="J11" i="134"/>
  <c r="BB11" i="134" s="1"/>
  <c r="K11" i="134"/>
  <c r="BC11" i="134" s="1"/>
  <c r="L11" i="134"/>
  <c r="BD11" i="134" s="1"/>
  <c r="M11" i="134"/>
  <c r="BE11" i="134" s="1"/>
  <c r="N11" i="134"/>
  <c r="BF11" i="134" s="1"/>
  <c r="AY11" i="134" s="1"/>
  <c r="O11" i="134"/>
  <c r="BG11" i="134" s="1"/>
  <c r="P11" i="134"/>
  <c r="BH11" i="134" s="1"/>
  <c r="Q11" i="134"/>
  <c r="BI11" i="134" s="1"/>
  <c r="R11" i="134"/>
  <c r="BJ11" i="134" s="1"/>
  <c r="S11" i="134"/>
  <c r="BK11" i="134" s="1"/>
  <c r="T11" i="134"/>
  <c r="BL11" i="134" s="1"/>
  <c r="AZ11" i="134" s="1"/>
  <c r="I11" i="134"/>
  <c r="BA11" i="134" s="1"/>
  <c r="J10" i="134"/>
  <c r="BB10" i="134" s="1"/>
  <c r="K10" i="134"/>
  <c r="BC10" i="134" s="1"/>
  <c r="L10" i="134"/>
  <c r="BD10" i="134" s="1"/>
  <c r="M10" i="134"/>
  <c r="BE10" i="134" s="1"/>
  <c r="N10" i="134"/>
  <c r="BF10" i="134" s="1"/>
  <c r="AY10" i="134" s="1"/>
  <c r="O10" i="134"/>
  <c r="BG10" i="134" s="1"/>
  <c r="P10" i="134"/>
  <c r="BH10" i="134" s="1"/>
  <c r="Q10" i="134"/>
  <c r="BI10" i="134" s="1"/>
  <c r="R10" i="134"/>
  <c r="BJ10" i="134" s="1"/>
  <c r="S10" i="134"/>
  <c r="BK10" i="134" s="1"/>
  <c r="T10" i="134"/>
  <c r="BL10" i="134" s="1"/>
  <c r="AZ10" i="134" s="1"/>
  <c r="I10" i="134"/>
  <c r="BA10" i="134" s="1"/>
  <c r="J8" i="134"/>
  <c r="BB8" i="134" s="1"/>
  <c r="K8" i="134"/>
  <c r="BC8" i="134" s="1"/>
  <c r="L8" i="134"/>
  <c r="BD8" i="134" s="1"/>
  <c r="M8" i="134"/>
  <c r="BE8" i="134" s="1"/>
  <c r="N8" i="134"/>
  <c r="BF8" i="134" s="1"/>
  <c r="AY8" i="134" s="1"/>
  <c r="O8" i="134"/>
  <c r="BG8" i="134" s="1"/>
  <c r="P8" i="134"/>
  <c r="BH8" i="134" s="1"/>
  <c r="Q8" i="134"/>
  <c r="BI8" i="134" s="1"/>
  <c r="R8" i="134"/>
  <c r="BJ8" i="134" s="1"/>
  <c r="S8" i="134"/>
  <c r="BK8" i="134" s="1"/>
  <c r="T8" i="134"/>
  <c r="BL8" i="134" s="1"/>
  <c r="AZ8" i="134" s="1"/>
  <c r="I8" i="134"/>
  <c r="BA8" i="134" s="1"/>
  <c r="J48" i="73"/>
  <c r="BB48" i="73" s="1"/>
  <c r="K48" i="73"/>
  <c r="BC48" i="73" s="1"/>
  <c r="L48" i="73"/>
  <c r="BD48" i="73" s="1"/>
  <c r="M48" i="73"/>
  <c r="BE48" i="73" s="1"/>
  <c r="N48" i="73"/>
  <c r="O48" i="73"/>
  <c r="BG48" i="73" s="1"/>
  <c r="P48" i="73"/>
  <c r="BH48" i="73" s="1"/>
  <c r="Q48" i="73"/>
  <c r="BI48" i="73" s="1"/>
  <c r="R48" i="73"/>
  <c r="BJ48" i="73" s="1"/>
  <c r="S48" i="73"/>
  <c r="BK48" i="73" s="1"/>
  <c r="T48" i="73"/>
  <c r="I48" i="73"/>
  <c r="BA48" i="73" s="1"/>
  <c r="J47" i="73"/>
  <c r="BB47" i="73" s="1"/>
  <c r="K47" i="73"/>
  <c r="BC47" i="73" s="1"/>
  <c r="L47" i="73"/>
  <c r="BD47" i="73" s="1"/>
  <c r="M47" i="73"/>
  <c r="BE47" i="73" s="1"/>
  <c r="N47" i="73"/>
  <c r="O47" i="73"/>
  <c r="BG47" i="73" s="1"/>
  <c r="P47" i="73"/>
  <c r="BH47" i="73" s="1"/>
  <c r="Q47" i="73"/>
  <c r="BI47" i="73" s="1"/>
  <c r="R47" i="73"/>
  <c r="BJ47" i="73" s="1"/>
  <c r="S47" i="73"/>
  <c r="BK47" i="73" s="1"/>
  <c r="T47" i="73"/>
  <c r="I47" i="73"/>
  <c r="BA47" i="73" s="1"/>
  <c r="J46" i="73"/>
  <c r="BB46" i="73" s="1"/>
  <c r="K46" i="73"/>
  <c r="BC46" i="73" s="1"/>
  <c r="L46" i="73"/>
  <c r="BD46" i="73" s="1"/>
  <c r="M46" i="73"/>
  <c r="BE46" i="73" s="1"/>
  <c r="N46" i="73"/>
  <c r="BF46" i="73" s="1"/>
  <c r="AY46" i="73" s="1"/>
  <c r="O46" i="73"/>
  <c r="BG46" i="73" s="1"/>
  <c r="P46" i="73"/>
  <c r="BH46" i="73" s="1"/>
  <c r="Q46" i="73"/>
  <c r="BI46" i="73" s="1"/>
  <c r="R46" i="73"/>
  <c r="BJ46" i="73" s="1"/>
  <c r="S46" i="73"/>
  <c r="BK46" i="73" s="1"/>
  <c r="T46" i="73"/>
  <c r="BL46" i="73" s="1"/>
  <c r="AZ46" i="73" s="1"/>
  <c r="I46" i="73"/>
  <c r="BA46" i="73" s="1"/>
  <c r="BW46" i="73" s="1" a="1"/>
  <c r="J42" i="73"/>
  <c r="BB42" i="73" s="1"/>
  <c r="K42" i="73"/>
  <c r="BC42" i="73" s="1"/>
  <c r="L42" i="73"/>
  <c r="BD42" i="73" s="1"/>
  <c r="M42" i="73"/>
  <c r="BE42" i="73" s="1"/>
  <c r="N42" i="73"/>
  <c r="BF42" i="73" s="1"/>
  <c r="AY42" i="73" s="1"/>
  <c r="O42" i="73"/>
  <c r="BG42" i="73" s="1"/>
  <c r="P42" i="73"/>
  <c r="BH42" i="73" s="1"/>
  <c r="Q42" i="73"/>
  <c r="BI42" i="73" s="1"/>
  <c r="R42" i="73"/>
  <c r="BJ42" i="73" s="1"/>
  <c r="S42" i="73"/>
  <c r="BK42" i="73" s="1"/>
  <c r="T42" i="73"/>
  <c r="BL42" i="73" s="1"/>
  <c r="AZ42" i="73" s="1"/>
  <c r="I42" i="73"/>
  <c r="BA42" i="73" s="1"/>
  <c r="BW42" i="73" s="1" a="1"/>
  <c r="J40" i="73"/>
  <c r="BB40" i="73" s="1"/>
  <c r="K40" i="73"/>
  <c r="BC40" i="73" s="1"/>
  <c r="L40" i="73"/>
  <c r="BD40" i="73" s="1"/>
  <c r="M40" i="73"/>
  <c r="BE40" i="73" s="1"/>
  <c r="N40" i="73"/>
  <c r="BF40" i="73" s="1"/>
  <c r="AY40" i="73" s="1"/>
  <c r="O40" i="73"/>
  <c r="BG40" i="73" s="1"/>
  <c r="P40" i="73"/>
  <c r="BH40" i="73" s="1"/>
  <c r="Q40" i="73"/>
  <c r="BI40" i="73" s="1"/>
  <c r="R40" i="73"/>
  <c r="BJ40" i="73" s="1"/>
  <c r="S40" i="73"/>
  <c r="BK40" i="73" s="1"/>
  <c r="T40" i="73"/>
  <c r="BL40" i="73" s="1"/>
  <c r="AZ40" i="73" s="1"/>
  <c r="I40" i="73"/>
  <c r="BA40" i="73" s="1"/>
  <c r="BW40" i="73" s="1" a="1"/>
  <c r="J39" i="73"/>
  <c r="BB39" i="73" s="1"/>
  <c r="K39" i="73"/>
  <c r="BC39" i="73" s="1"/>
  <c r="L39" i="73"/>
  <c r="BD39" i="73" s="1"/>
  <c r="M39" i="73"/>
  <c r="BE39" i="73" s="1"/>
  <c r="N39" i="73"/>
  <c r="BF39" i="73" s="1"/>
  <c r="AY39" i="73" s="1"/>
  <c r="O39" i="73"/>
  <c r="BG39" i="73" s="1"/>
  <c r="P39" i="73"/>
  <c r="BH39" i="73" s="1"/>
  <c r="Q39" i="73"/>
  <c r="BI39" i="73" s="1"/>
  <c r="R39" i="73"/>
  <c r="BJ39" i="73" s="1"/>
  <c r="S39" i="73"/>
  <c r="BK39" i="73" s="1"/>
  <c r="T39" i="73"/>
  <c r="BL39" i="73" s="1"/>
  <c r="AZ39" i="73" s="1"/>
  <c r="I39" i="73"/>
  <c r="BA39" i="73" s="1"/>
  <c r="BW39" i="73" s="1" a="1"/>
  <c r="J37" i="73"/>
  <c r="BB37" i="73" s="1"/>
  <c r="K37" i="73"/>
  <c r="BC37" i="73" s="1"/>
  <c r="L37" i="73"/>
  <c r="BD37" i="73" s="1"/>
  <c r="M37" i="73"/>
  <c r="BE37" i="73" s="1"/>
  <c r="N37" i="73"/>
  <c r="O37" i="73"/>
  <c r="BG37" i="73" s="1"/>
  <c r="P37" i="73"/>
  <c r="BH37" i="73" s="1"/>
  <c r="Q37" i="73"/>
  <c r="BI37" i="73" s="1"/>
  <c r="R37" i="73"/>
  <c r="BJ37" i="73" s="1"/>
  <c r="S37" i="73"/>
  <c r="BK37" i="73" s="1"/>
  <c r="T37" i="73"/>
  <c r="I37" i="73"/>
  <c r="BA37" i="73" s="1"/>
  <c r="J36" i="73"/>
  <c r="BB36" i="73" s="1"/>
  <c r="K36" i="73"/>
  <c r="BC36" i="73" s="1"/>
  <c r="L36" i="73"/>
  <c r="BD36" i="73" s="1"/>
  <c r="M36" i="73"/>
  <c r="BE36" i="73" s="1"/>
  <c r="N36" i="73"/>
  <c r="BF36" i="73" s="1"/>
  <c r="AY36" i="73" s="1"/>
  <c r="O36" i="73"/>
  <c r="BG36" i="73" s="1"/>
  <c r="P36" i="73"/>
  <c r="BH36" i="73" s="1"/>
  <c r="Q36" i="73"/>
  <c r="BI36" i="73" s="1"/>
  <c r="R36" i="73"/>
  <c r="BJ36" i="73" s="1"/>
  <c r="S36" i="73"/>
  <c r="BK36" i="73" s="1"/>
  <c r="T36" i="73"/>
  <c r="BL36" i="73" s="1"/>
  <c r="AZ36" i="73" s="1"/>
  <c r="I36" i="73"/>
  <c r="BA36" i="73" s="1"/>
  <c r="BW36" i="73" s="1" a="1"/>
  <c r="J35" i="73"/>
  <c r="BB35" i="73" s="1"/>
  <c r="K35" i="73"/>
  <c r="BC35" i="73" s="1"/>
  <c r="L35" i="73"/>
  <c r="BD35" i="73" s="1"/>
  <c r="M35" i="73"/>
  <c r="BE35" i="73" s="1"/>
  <c r="N35" i="73"/>
  <c r="BF35" i="73" s="1"/>
  <c r="AY35" i="73" s="1"/>
  <c r="O35" i="73"/>
  <c r="BG35" i="73" s="1"/>
  <c r="P35" i="73"/>
  <c r="BH35" i="73" s="1"/>
  <c r="Q35" i="73"/>
  <c r="BI35" i="73" s="1"/>
  <c r="R35" i="73"/>
  <c r="BJ35" i="73" s="1"/>
  <c r="S35" i="73"/>
  <c r="BK35" i="73" s="1"/>
  <c r="T35" i="73"/>
  <c r="BL35" i="73" s="1"/>
  <c r="AZ35" i="73" s="1"/>
  <c r="I35" i="73"/>
  <c r="BA35" i="73" s="1"/>
  <c r="BW35" i="73" s="1" a="1"/>
  <c r="J34" i="73"/>
  <c r="BB34" i="73" s="1"/>
  <c r="K34" i="73"/>
  <c r="BC34" i="73" s="1"/>
  <c r="L34" i="73"/>
  <c r="BD34" i="73" s="1"/>
  <c r="M34" i="73"/>
  <c r="BE34" i="73" s="1"/>
  <c r="N34" i="73"/>
  <c r="O34" i="73"/>
  <c r="BG34" i="73" s="1"/>
  <c r="P34" i="73"/>
  <c r="BH34" i="73" s="1"/>
  <c r="Q34" i="73"/>
  <c r="BI34" i="73" s="1"/>
  <c r="R34" i="73"/>
  <c r="BJ34" i="73" s="1"/>
  <c r="S34" i="73"/>
  <c r="BK34" i="73" s="1"/>
  <c r="T34" i="73"/>
  <c r="I34" i="73"/>
  <c r="BA34" i="73" s="1"/>
  <c r="J32" i="73"/>
  <c r="BB32" i="73" s="1"/>
  <c r="K32" i="73"/>
  <c r="BC32" i="73" s="1"/>
  <c r="L32" i="73"/>
  <c r="BD32" i="73" s="1"/>
  <c r="M32" i="73"/>
  <c r="BE32" i="73" s="1"/>
  <c r="N32" i="73"/>
  <c r="BF32" i="73" s="1"/>
  <c r="AY32" i="73" s="1"/>
  <c r="O32" i="73"/>
  <c r="BG32" i="73" s="1"/>
  <c r="P32" i="73"/>
  <c r="BH32" i="73" s="1"/>
  <c r="Q32" i="73"/>
  <c r="BI32" i="73" s="1"/>
  <c r="R32" i="73"/>
  <c r="BJ32" i="73" s="1"/>
  <c r="S32" i="73"/>
  <c r="BK32" i="73" s="1"/>
  <c r="T32" i="73"/>
  <c r="BL32" i="73" s="1"/>
  <c r="AZ32" i="73" s="1"/>
  <c r="I32" i="73"/>
  <c r="BA32" i="73" s="1"/>
  <c r="BW32" i="73" s="1" a="1"/>
  <c r="J31" i="73"/>
  <c r="BB31" i="73" s="1"/>
  <c r="K31" i="73"/>
  <c r="BC31" i="73" s="1"/>
  <c r="L31" i="73"/>
  <c r="BD31" i="73" s="1"/>
  <c r="M31" i="73"/>
  <c r="BE31" i="73" s="1"/>
  <c r="N31" i="73"/>
  <c r="BF31" i="73" s="1"/>
  <c r="AY31" i="73" s="1"/>
  <c r="O31" i="73"/>
  <c r="BG31" i="73" s="1"/>
  <c r="P31" i="73"/>
  <c r="BH31" i="73" s="1"/>
  <c r="Q31" i="73"/>
  <c r="BI31" i="73" s="1"/>
  <c r="R31" i="73"/>
  <c r="BJ31" i="73" s="1"/>
  <c r="S31" i="73"/>
  <c r="BK31" i="73" s="1"/>
  <c r="T31" i="73"/>
  <c r="BL31" i="73" s="1"/>
  <c r="AZ31" i="73" s="1"/>
  <c r="I31" i="73"/>
  <c r="BA31" i="73" s="1"/>
  <c r="BW31" i="73" s="1" a="1"/>
  <c r="J29" i="73"/>
  <c r="BB29" i="73" s="1"/>
  <c r="K29" i="73"/>
  <c r="BC29" i="73" s="1"/>
  <c r="L29" i="73"/>
  <c r="BD29" i="73" s="1"/>
  <c r="M29" i="73"/>
  <c r="BE29" i="73" s="1"/>
  <c r="N29" i="73"/>
  <c r="BF29" i="73" s="1"/>
  <c r="AY29" i="73" s="1"/>
  <c r="O29" i="73"/>
  <c r="BG29" i="73" s="1"/>
  <c r="P29" i="73"/>
  <c r="BH29" i="73" s="1"/>
  <c r="Q29" i="73"/>
  <c r="BI29" i="73" s="1"/>
  <c r="R29" i="73"/>
  <c r="BJ29" i="73" s="1"/>
  <c r="S29" i="73"/>
  <c r="BK29" i="73" s="1"/>
  <c r="T29" i="73"/>
  <c r="BL29" i="73" s="1"/>
  <c r="AZ29" i="73" s="1"/>
  <c r="I29" i="73"/>
  <c r="BA29" i="73" s="1"/>
  <c r="BW29" i="73" s="1" a="1"/>
  <c r="J28" i="73"/>
  <c r="BB28" i="73" s="1"/>
  <c r="K28" i="73"/>
  <c r="BC28" i="73" s="1"/>
  <c r="L28" i="73"/>
  <c r="BD28" i="73" s="1"/>
  <c r="M28" i="73"/>
  <c r="BE28" i="73" s="1"/>
  <c r="N28" i="73"/>
  <c r="BF28" i="73" s="1"/>
  <c r="AY28" i="73" s="1"/>
  <c r="O28" i="73"/>
  <c r="BG28" i="73" s="1"/>
  <c r="P28" i="73"/>
  <c r="BH28" i="73" s="1"/>
  <c r="Q28" i="73"/>
  <c r="BI28" i="73" s="1"/>
  <c r="R28" i="73"/>
  <c r="BJ28" i="73" s="1"/>
  <c r="S28" i="73"/>
  <c r="BK28" i="73" s="1"/>
  <c r="T28" i="73"/>
  <c r="BL28" i="73" s="1"/>
  <c r="AZ28" i="73" s="1"/>
  <c r="I28" i="73"/>
  <c r="BA28" i="73" s="1"/>
  <c r="BW28" i="73" s="1" a="1"/>
  <c r="J26" i="73"/>
  <c r="BB26" i="73" s="1"/>
  <c r="K26" i="73"/>
  <c r="BC26" i="73" s="1"/>
  <c r="L26" i="73"/>
  <c r="BD26" i="73" s="1"/>
  <c r="M26" i="73"/>
  <c r="BE26" i="73" s="1"/>
  <c r="N26" i="73"/>
  <c r="BF26" i="73" s="1"/>
  <c r="AY26" i="73" s="1"/>
  <c r="O26" i="73"/>
  <c r="BG26" i="73" s="1"/>
  <c r="P26" i="73"/>
  <c r="BH26" i="73" s="1"/>
  <c r="Q26" i="73"/>
  <c r="BI26" i="73" s="1"/>
  <c r="R26" i="73"/>
  <c r="BJ26" i="73" s="1"/>
  <c r="S26" i="73"/>
  <c r="BK26" i="73" s="1"/>
  <c r="T26" i="73"/>
  <c r="BL26" i="73" s="1"/>
  <c r="AZ26" i="73" s="1"/>
  <c r="I26" i="73"/>
  <c r="BA26" i="73" s="1"/>
  <c r="BW26" i="73" s="1" a="1"/>
  <c r="J25" i="73"/>
  <c r="BB25" i="73" s="1"/>
  <c r="K25" i="73"/>
  <c r="BC25" i="73" s="1"/>
  <c r="L25" i="73"/>
  <c r="BD25" i="73" s="1"/>
  <c r="M25" i="73"/>
  <c r="BE25" i="73" s="1"/>
  <c r="N25" i="73"/>
  <c r="BF25" i="73" s="1"/>
  <c r="AY25" i="73" s="1"/>
  <c r="O25" i="73"/>
  <c r="BG25" i="73" s="1"/>
  <c r="P25" i="73"/>
  <c r="BH25" i="73" s="1"/>
  <c r="Q25" i="73"/>
  <c r="BI25" i="73" s="1"/>
  <c r="R25" i="73"/>
  <c r="BJ25" i="73" s="1"/>
  <c r="S25" i="73"/>
  <c r="BK25" i="73" s="1"/>
  <c r="T25" i="73"/>
  <c r="BL25" i="73" s="1"/>
  <c r="AZ25" i="73" s="1"/>
  <c r="I25" i="73"/>
  <c r="BA25" i="73" s="1"/>
  <c r="BW25" i="73" s="1" a="1"/>
  <c r="J24" i="73"/>
  <c r="BB24" i="73" s="1"/>
  <c r="K24" i="73"/>
  <c r="BC24" i="73" s="1"/>
  <c r="L24" i="73"/>
  <c r="BD24" i="73" s="1"/>
  <c r="M24" i="73"/>
  <c r="BE24" i="73" s="1"/>
  <c r="N24" i="73"/>
  <c r="O24" i="73"/>
  <c r="BG24" i="73" s="1"/>
  <c r="P24" i="73"/>
  <c r="BH24" i="73" s="1"/>
  <c r="Q24" i="73"/>
  <c r="BI24" i="73" s="1"/>
  <c r="R24" i="73"/>
  <c r="BJ24" i="73" s="1"/>
  <c r="S24" i="73"/>
  <c r="BK24" i="73" s="1"/>
  <c r="T24" i="73"/>
  <c r="I24" i="73"/>
  <c r="BA24" i="73" s="1"/>
  <c r="J23" i="73"/>
  <c r="BB23" i="73" s="1"/>
  <c r="K23" i="73"/>
  <c r="BC23" i="73" s="1"/>
  <c r="L23" i="73"/>
  <c r="BD23" i="73" s="1"/>
  <c r="M23" i="73"/>
  <c r="BE23" i="73" s="1"/>
  <c r="N23" i="73"/>
  <c r="BF23" i="73" s="1"/>
  <c r="AY23" i="73" s="1"/>
  <c r="O23" i="73"/>
  <c r="BG23" i="73" s="1"/>
  <c r="P23" i="73"/>
  <c r="BH23" i="73" s="1"/>
  <c r="Q23" i="73"/>
  <c r="BI23" i="73" s="1"/>
  <c r="R23" i="73"/>
  <c r="BJ23" i="73" s="1"/>
  <c r="S23" i="73"/>
  <c r="BK23" i="73" s="1"/>
  <c r="T23" i="73"/>
  <c r="BL23" i="73" s="1"/>
  <c r="AZ23" i="73" s="1"/>
  <c r="I23" i="73"/>
  <c r="BA23" i="73" s="1"/>
  <c r="BW23" i="73" s="1" a="1"/>
  <c r="J21" i="73"/>
  <c r="BB21" i="73" s="1"/>
  <c r="K21" i="73"/>
  <c r="BC21" i="73" s="1"/>
  <c r="L21" i="73"/>
  <c r="BD21" i="73" s="1"/>
  <c r="M21" i="73"/>
  <c r="BE21" i="73" s="1"/>
  <c r="N21" i="73"/>
  <c r="BF21" i="73" s="1"/>
  <c r="AY21" i="73" s="1"/>
  <c r="I21" i="73"/>
  <c r="BA21" i="73" s="1"/>
  <c r="J20" i="73"/>
  <c r="BB20" i="73" s="1"/>
  <c r="K20" i="73"/>
  <c r="BC20" i="73" s="1"/>
  <c r="L20" i="73"/>
  <c r="BD20" i="73" s="1"/>
  <c r="M20" i="73"/>
  <c r="BE20" i="73" s="1"/>
  <c r="N20" i="73"/>
  <c r="BF20" i="73" s="1"/>
  <c r="AY20" i="73" s="1"/>
  <c r="O20" i="73"/>
  <c r="BG20" i="73" s="1"/>
  <c r="P20" i="73"/>
  <c r="BH20" i="73" s="1"/>
  <c r="Q20" i="73"/>
  <c r="BI20" i="73" s="1"/>
  <c r="R20" i="73"/>
  <c r="BJ20" i="73" s="1"/>
  <c r="S20" i="73"/>
  <c r="BK20" i="73" s="1"/>
  <c r="T20" i="73"/>
  <c r="BL20" i="73" s="1"/>
  <c r="AZ20" i="73" s="1"/>
  <c r="I20" i="73"/>
  <c r="BA20" i="73" s="1"/>
  <c r="J19" i="73"/>
  <c r="BB19" i="73" s="1"/>
  <c r="K19" i="73"/>
  <c r="BC19" i="73" s="1"/>
  <c r="L19" i="73"/>
  <c r="BD19" i="73" s="1"/>
  <c r="M19" i="73"/>
  <c r="BE19" i="73" s="1"/>
  <c r="N19" i="73"/>
  <c r="BF19" i="73" s="1"/>
  <c r="AY19" i="73" s="1"/>
  <c r="O19" i="73"/>
  <c r="BG19" i="73" s="1"/>
  <c r="P19" i="73"/>
  <c r="BH19" i="73" s="1"/>
  <c r="Q19" i="73"/>
  <c r="BI19" i="73" s="1"/>
  <c r="R19" i="73"/>
  <c r="BJ19" i="73" s="1"/>
  <c r="S19" i="73"/>
  <c r="BK19" i="73" s="1"/>
  <c r="T19" i="73"/>
  <c r="BL19" i="73" s="1"/>
  <c r="AZ19" i="73" s="1"/>
  <c r="I19" i="73"/>
  <c r="BA19" i="73" s="1"/>
  <c r="J16" i="73"/>
  <c r="BB16" i="73" s="1"/>
  <c r="K16" i="73"/>
  <c r="BC16" i="73" s="1"/>
  <c r="L16" i="73"/>
  <c r="BD16" i="73" s="1"/>
  <c r="M16" i="73"/>
  <c r="BE16" i="73" s="1"/>
  <c r="N16" i="73"/>
  <c r="BF16" i="73" s="1"/>
  <c r="AY16" i="73" s="1"/>
  <c r="O16" i="73"/>
  <c r="BG16" i="73" s="1"/>
  <c r="P16" i="73"/>
  <c r="BH16" i="73" s="1"/>
  <c r="Q16" i="73"/>
  <c r="BI16" i="73" s="1"/>
  <c r="R16" i="73"/>
  <c r="BJ16" i="73" s="1"/>
  <c r="S16" i="73"/>
  <c r="BK16" i="73" s="1"/>
  <c r="T16" i="73"/>
  <c r="BL16" i="73" s="1"/>
  <c r="AZ16" i="73" s="1"/>
  <c r="I16" i="73"/>
  <c r="BA16" i="73" s="1"/>
  <c r="J14" i="73"/>
  <c r="BB14" i="73" s="1"/>
  <c r="K14" i="73"/>
  <c r="BC14" i="73" s="1"/>
  <c r="L14" i="73"/>
  <c r="BD14" i="73" s="1"/>
  <c r="M14" i="73"/>
  <c r="BE14" i="73" s="1"/>
  <c r="N14" i="73"/>
  <c r="BF14" i="73" s="1"/>
  <c r="AY14" i="73" s="1"/>
  <c r="O14" i="73"/>
  <c r="BG14" i="73" s="1"/>
  <c r="P14" i="73"/>
  <c r="BH14" i="73" s="1"/>
  <c r="Q14" i="73"/>
  <c r="BI14" i="73" s="1"/>
  <c r="R14" i="73"/>
  <c r="BJ14" i="73" s="1"/>
  <c r="S14" i="73"/>
  <c r="BK14" i="73" s="1"/>
  <c r="T14" i="73"/>
  <c r="BL14" i="73" s="1"/>
  <c r="AZ14" i="73" s="1"/>
  <c r="I14" i="73"/>
  <c r="BA14" i="73" s="1"/>
  <c r="J12" i="73"/>
  <c r="BB12" i="73" s="1"/>
  <c r="K12" i="73"/>
  <c r="BC12" i="73" s="1"/>
  <c r="L12" i="73"/>
  <c r="BD12" i="73" s="1"/>
  <c r="M12" i="73"/>
  <c r="BE12" i="73" s="1"/>
  <c r="N12" i="73"/>
  <c r="BF12" i="73" s="1"/>
  <c r="AY12" i="73" s="1"/>
  <c r="O12" i="73"/>
  <c r="BG12" i="73" s="1"/>
  <c r="P12" i="73"/>
  <c r="BH12" i="73" s="1"/>
  <c r="Q12" i="73"/>
  <c r="BI12" i="73" s="1"/>
  <c r="R12" i="73"/>
  <c r="BJ12" i="73" s="1"/>
  <c r="S12" i="73"/>
  <c r="BK12" i="73" s="1"/>
  <c r="T12" i="73"/>
  <c r="BL12" i="73" s="1"/>
  <c r="AZ12" i="73" s="1"/>
  <c r="I12" i="73"/>
  <c r="BA12" i="73" s="1"/>
  <c r="J11" i="73"/>
  <c r="BB11" i="73" s="1"/>
  <c r="K11" i="73"/>
  <c r="BC11" i="73" s="1"/>
  <c r="L11" i="73"/>
  <c r="BD11" i="73" s="1"/>
  <c r="M11" i="73"/>
  <c r="BE11" i="73" s="1"/>
  <c r="N11" i="73"/>
  <c r="BF11" i="73" s="1"/>
  <c r="AY11" i="73" s="1"/>
  <c r="O11" i="73"/>
  <c r="BG11" i="73" s="1"/>
  <c r="P11" i="73"/>
  <c r="BH11" i="73" s="1"/>
  <c r="Q11" i="73"/>
  <c r="BI11" i="73" s="1"/>
  <c r="R11" i="73"/>
  <c r="BJ11" i="73" s="1"/>
  <c r="S11" i="73"/>
  <c r="BK11" i="73" s="1"/>
  <c r="T11" i="73"/>
  <c r="BL11" i="73" s="1"/>
  <c r="AZ11" i="73" s="1"/>
  <c r="I11" i="73"/>
  <c r="BA11" i="73" s="1"/>
  <c r="J10" i="73"/>
  <c r="BB10" i="73" s="1"/>
  <c r="K10" i="73"/>
  <c r="BC10" i="73" s="1"/>
  <c r="L10" i="73"/>
  <c r="BD10" i="73" s="1"/>
  <c r="M10" i="73"/>
  <c r="BE10" i="73" s="1"/>
  <c r="N10" i="73"/>
  <c r="BF10" i="73" s="1"/>
  <c r="AY10" i="73" s="1"/>
  <c r="O10" i="73"/>
  <c r="BG10" i="73" s="1"/>
  <c r="P10" i="73"/>
  <c r="BH10" i="73" s="1"/>
  <c r="Q10" i="73"/>
  <c r="BI10" i="73" s="1"/>
  <c r="R10" i="73"/>
  <c r="BJ10" i="73" s="1"/>
  <c r="S10" i="73"/>
  <c r="BK10" i="73" s="1"/>
  <c r="T10" i="73"/>
  <c r="BL10" i="73" s="1"/>
  <c r="AZ10" i="73" s="1"/>
  <c r="I10" i="73"/>
  <c r="BA10" i="73" s="1"/>
  <c r="J8" i="73"/>
  <c r="BB8" i="73" s="1"/>
  <c r="K8" i="73"/>
  <c r="BC8" i="73" s="1"/>
  <c r="L8" i="73"/>
  <c r="BD8" i="73" s="1"/>
  <c r="M8" i="73"/>
  <c r="BE8" i="73" s="1"/>
  <c r="N8" i="73"/>
  <c r="BF8" i="73" s="1"/>
  <c r="AY8" i="73" s="1"/>
  <c r="O8" i="73"/>
  <c r="BG8" i="73" s="1"/>
  <c r="P8" i="73"/>
  <c r="BH8" i="73" s="1"/>
  <c r="Q8" i="73"/>
  <c r="BI8" i="73" s="1"/>
  <c r="R8" i="73"/>
  <c r="BJ8" i="73" s="1"/>
  <c r="S8" i="73"/>
  <c r="BK8" i="73" s="1"/>
  <c r="T8" i="73"/>
  <c r="BL8" i="73" s="1"/>
  <c r="AZ8" i="73" s="1"/>
  <c r="I8" i="73"/>
  <c r="BA8" i="73" s="1"/>
  <c r="I62" i="58"/>
  <c r="BA62" i="58" s="1"/>
  <c r="J62" i="58"/>
  <c r="BB62" i="58" s="1"/>
  <c r="K62" i="58"/>
  <c r="BC62" i="58" s="1"/>
  <c r="L62" i="58"/>
  <c r="BD62" i="58" s="1"/>
  <c r="M62" i="58"/>
  <c r="BE62" i="58" s="1"/>
  <c r="N62" i="58"/>
  <c r="O62" i="58"/>
  <c r="BG62" i="58" s="1"/>
  <c r="P62" i="58"/>
  <c r="BH62" i="58" s="1"/>
  <c r="Q62" i="58"/>
  <c r="BI62" i="58" s="1"/>
  <c r="R62" i="58"/>
  <c r="BJ62" i="58" s="1"/>
  <c r="S62" i="58"/>
  <c r="BK62" i="58" s="1"/>
  <c r="T62" i="58"/>
  <c r="I61" i="58"/>
  <c r="BA61" i="58" s="1"/>
  <c r="J61" i="58"/>
  <c r="BB61" i="58" s="1"/>
  <c r="K61" i="58"/>
  <c r="BC61" i="58" s="1"/>
  <c r="L61" i="58"/>
  <c r="BD61" i="58" s="1"/>
  <c r="M61" i="58"/>
  <c r="BE61" i="58" s="1"/>
  <c r="N61" i="58"/>
  <c r="O61" i="58"/>
  <c r="BG61" i="58" s="1"/>
  <c r="P61" i="58"/>
  <c r="BH61" i="58" s="1"/>
  <c r="Q61" i="58"/>
  <c r="BI61" i="58" s="1"/>
  <c r="R61" i="58"/>
  <c r="BJ61" i="58" s="1"/>
  <c r="S61" i="58"/>
  <c r="BK61" i="58" s="1"/>
  <c r="T61" i="58"/>
  <c r="I60" i="58"/>
  <c r="BA60" i="58" s="1"/>
  <c r="J60" i="58"/>
  <c r="BB60" i="58" s="1"/>
  <c r="K60" i="58"/>
  <c r="BC60" i="58" s="1"/>
  <c r="L60" i="58"/>
  <c r="BD60" i="58" s="1"/>
  <c r="M60" i="58"/>
  <c r="BE60" i="58" s="1"/>
  <c r="N60" i="58"/>
  <c r="O60" i="58"/>
  <c r="BG60" i="58" s="1"/>
  <c r="P60" i="58"/>
  <c r="BH60" i="58" s="1"/>
  <c r="Q60" i="58"/>
  <c r="BI60" i="58" s="1"/>
  <c r="R60" i="58"/>
  <c r="BJ60" i="58" s="1"/>
  <c r="S60" i="58"/>
  <c r="BK60" i="58" s="1"/>
  <c r="T60" i="58"/>
  <c r="J59" i="58"/>
  <c r="BB59" i="58" s="1"/>
  <c r="K59" i="58"/>
  <c r="BC59" i="58" s="1"/>
  <c r="L59" i="58"/>
  <c r="BD59" i="58" s="1"/>
  <c r="M59" i="58"/>
  <c r="BE59" i="58" s="1"/>
  <c r="N59" i="58"/>
  <c r="BF59" i="58" s="1"/>
  <c r="AY59" i="58" s="1"/>
  <c r="O59" i="58"/>
  <c r="BG59" i="58" s="1"/>
  <c r="P59" i="58"/>
  <c r="BH59" i="58" s="1"/>
  <c r="Q59" i="58"/>
  <c r="BI59" i="58" s="1"/>
  <c r="R59" i="58"/>
  <c r="BJ59" i="58" s="1"/>
  <c r="S59" i="58"/>
  <c r="BK59" i="58" s="1"/>
  <c r="T59" i="58"/>
  <c r="BL59" i="58" s="1"/>
  <c r="AZ59" i="58" s="1"/>
  <c r="I59" i="58"/>
  <c r="BA59" i="58" s="1"/>
  <c r="J56" i="58"/>
  <c r="BB56" i="58" s="1"/>
  <c r="K56" i="58"/>
  <c r="BC56" i="58" s="1"/>
  <c r="L56" i="58"/>
  <c r="BD56" i="58" s="1"/>
  <c r="M56" i="58"/>
  <c r="BE56" i="58" s="1"/>
  <c r="N56" i="58"/>
  <c r="O56" i="58"/>
  <c r="BG56" i="58" s="1"/>
  <c r="P56" i="58"/>
  <c r="BH56" i="58" s="1"/>
  <c r="Q56" i="58"/>
  <c r="BI56" i="58" s="1"/>
  <c r="R56" i="58"/>
  <c r="BJ56" i="58" s="1"/>
  <c r="S56" i="58"/>
  <c r="BK56" i="58" s="1"/>
  <c r="T56" i="58"/>
  <c r="I56" i="58"/>
  <c r="BA56" i="58" s="1"/>
  <c r="J55" i="58"/>
  <c r="BB55" i="58" s="1"/>
  <c r="K55" i="58"/>
  <c r="BC55" i="58" s="1"/>
  <c r="L55" i="58"/>
  <c r="BD55" i="58" s="1"/>
  <c r="M55" i="58"/>
  <c r="BE55" i="58" s="1"/>
  <c r="N55" i="58"/>
  <c r="BF55" i="58" s="1"/>
  <c r="AY55" i="58" s="1"/>
  <c r="O55" i="58"/>
  <c r="BG55" i="58" s="1"/>
  <c r="P55" i="58"/>
  <c r="BH55" i="58" s="1"/>
  <c r="Q55" i="58"/>
  <c r="BI55" i="58" s="1"/>
  <c r="R55" i="58"/>
  <c r="BJ55" i="58" s="1"/>
  <c r="S55" i="58"/>
  <c r="BK55" i="58" s="1"/>
  <c r="T55" i="58"/>
  <c r="BL55" i="58" s="1"/>
  <c r="AZ55" i="58" s="1"/>
  <c r="I55" i="58"/>
  <c r="BA55" i="58" s="1"/>
  <c r="J54" i="58"/>
  <c r="BB54" i="58" s="1"/>
  <c r="K54" i="58"/>
  <c r="BC54" i="58" s="1"/>
  <c r="L54" i="58"/>
  <c r="BD54" i="58" s="1"/>
  <c r="M54" i="58"/>
  <c r="BE54" i="58" s="1"/>
  <c r="N54" i="58"/>
  <c r="BF54" i="58" s="1"/>
  <c r="AY54" i="58" s="1"/>
  <c r="O54" i="58"/>
  <c r="BG54" i="58" s="1"/>
  <c r="P54" i="58"/>
  <c r="BH54" i="58" s="1"/>
  <c r="Q54" i="58"/>
  <c r="BI54" i="58" s="1"/>
  <c r="R54" i="58"/>
  <c r="BJ54" i="58" s="1"/>
  <c r="S54" i="58"/>
  <c r="BK54" i="58" s="1"/>
  <c r="T54" i="58"/>
  <c r="BL54" i="58" s="1"/>
  <c r="AZ54" i="58" s="1"/>
  <c r="I54" i="58"/>
  <c r="BA54" i="58" s="1"/>
  <c r="J52" i="58"/>
  <c r="K52" i="58"/>
  <c r="L52" i="58"/>
  <c r="M52" i="58"/>
  <c r="N52" i="58"/>
  <c r="AY52" i="58" s="1"/>
  <c r="O52" i="58"/>
  <c r="P52" i="58"/>
  <c r="Q52" i="58"/>
  <c r="R52" i="58"/>
  <c r="S52" i="58"/>
  <c r="T52" i="58"/>
  <c r="AZ52" i="58" s="1"/>
  <c r="I52" i="58"/>
  <c r="J51" i="58"/>
  <c r="BB51" i="58" s="1"/>
  <c r="K51" i="58"/>
  <c r="BC51" i="58" s="1"/>
  <c r="L51" i="58"/>
  <c r="BD51" i="58" s="1"/>
  <c r="M51" i="58"/>
  <c r="BE51" i="58" s="1"/>
  <c r="N51" i="58"/>
  <c r="BF51" i="58" s="1"/>
  <c r="AY51" i="58" s="1"/>
  <c r="O51" i="58"/>
  <c r="BG51" i="58" s="1"/>
  <c r="P51" i="58"/>
  <c r="BH51" i="58" s="1"/>
  <c r="Q51" i="58"/>
  <c r="BI51" i="58" s="1"/>
  <c r="R51" i="58"/>
  <c r="BJ51" i="58" s="1"/>
  <c r="S51" i="58"/>
  <c r="BK51" i="58" s="1"/>
  <c r="T51" i="58"/>
  <c r="BL51" i="58" s="1"/>
  <c r="AZ51" i="58" s="1"/>
  <c r="I51" i="58"/>
  <c r="BA51" i="58" s="1"/>
  <c r="J50" i="58"/>
  <c r="K50" i="58"/>
  <c r="L50" i="58"/>
  <c r="M50" i="58"/>
  <c r="N50" i="58"/>
  <c r="O50" i="58"/>
  <c r="P50" i="58"/>
  <c r="Q50" i="58"/>
  <c r="R50" i="58"/>
  <c r="S50" i="58"/>
  <c r="T50" i="58"/>
  <c r="I50" i="58"/>
  <c r="J43" i="58"/>
  <c r="BB43" i="58" s="1"/>
  <c r="K43" i="58"/>
  <c r="BC43" i="58" s="1"/>
  <c r="L43" i="58"/>
  <c r="BD43" i="58" s="1"/>
  <c r="M43" i="58"/>
  <c r="BE43" i="58" s="1"/>
  <c r="N43" i="58"/>
  <c r="BF43" i="58" s="1"/>
  <c r="AY43" i="58" s="1"/>
  <c r="O43" i="58"/>
  <c r="BG43" i="58" s="1"/>
  <c r="P43" i="58"/>
  <c r="BH43" i="58" s="1"/>
  <c r="Q43" i="58"/>
  <c r="BI43" i="58" s="1"/>
  <c r="R43" i="58"/>
  <c r="BJ43" i="58" s="1"/>
  <c r="S43" i="58"/>
  <c r="BK43" i="58" s="1"/>
  <c r="T43" i="58"/>
  <c r="BL43" i="58" s="1"/>
  <c r="AZ43" i="58" s="1"/>
  <c r="I43" i="58"/>
  <c r="BA43" i="58" s="1"/>
  <c r="J41" i="58"/>
  <c r="BB41" i="58" s="1"/>
  <c r="K41" i="58"/>
  <c r="BC41" i="58" s="1"/>
  <c r="L41" i="58"/>
  <c r="BD41" i="58" s="1"/>
  <c r="M41" i="58"/>
  <c r="BE41" i="58" s="1"/>
  <c r="N41" i="58"/>
  <c r="BF41" i="58" s="1"/>
  <c r="AY41" i="58" s="1"/>
  <c r="O41" i="58"/>
  <c r="BG41" i="58" s="1"/>
  <c r="P41" i="58"/>
  <c r="BH41" i="58" s="1"/>
  <c r="Q41" i="58"/>
  <c r="BI41" i="58" s="1"/>
  <c r="R41" i="58"/>
  <c r="BJ41" i="58" s="1"/>
  <c r="S41" i="58"/>
  <c r="BK41" i="58" s="1"/>
  <c r="T41" i="58"/>
  <c r="BL41" i="58" s="1"/>
  <c r="AZ41" i="58" s="1"/>
  <c r="I41" i="58"/>
  <c r="BA41" i="58" s="1"/>
  <c r="J40" i="58"/>
  <c r="BB40" i="58" s="1"/>
  <c r="K40" i="58"/>
  <c r="BC40" i="58" s="1"/>
  <c r="L40" i="58"/>
  <c r="BD40" i="58" s="1"/>
  <c r="M40" i="58"/>
  <c r="BE40" i="58" s="1"/>
  <c r="N40" i="58"/>
  <c r="O40" i="58"/>
  <c r="BG40" i="58" s="1"/>
  <c r="P40" i="58"/>
  <c r="BH40" i="58" s="1"/>
  <c r="Q40" i="58"/>
  <c r="BI40" i="58" s="1"/>
  <c r="R40" i="58"/>
  <c r="BJ40" i="58" s="1"/>
  <c r="S40" i="58"/>
  <c r="BK40" i="58" s="1"/>
  <c r="T40" i="58"/>
  <c r="I40" i="58"/>
  <c r="BA40" i="58" s="1"/>
  <c r="J39" i="58"/>
  <c r="BB39" i="58" s="1"/>
  <c r="K39" i="58"/>
  <c r="BC39" i="58" s="1"/>
  <c r="L39" i="58"/>
  <c r="BD39" i="58" s="1"/>
  <c r="M39" i="58"/>
  <c r="BE39" i="58" s="1"/>
  <c r="N39" i="58"/>
  <c r="BF39" i="58" s="1"/>
  <c r="AY39" i="58" s="1"/>
  <c r="O39" i="58"/>
  <c r="BG39" i="58" s="1"/>
  <c r="P39" i="58"/>
  <c r="BH39" i="58" s="1"/>
  <c r="Q39" i="58"/>
  <c r="BI39" i="58" s="1"/>
  <c r="R39" i="58"/>
  <c r="BJ39" i="58" s="1"/>
  <c r="S39" i="58"/>
  <c r="BK39" i="58" s="1"/>
  <c r="T39" i="58"/>
  <c r="BL39" i="58" s="1"/>
  <c r="AZ39" i="58" s="1"/>
  <c r="I39" i="58"/>
  <c r="BA39" i="58" s="1"/>
  <c r="J38" i="58"/>
  <c r="BB38" i="58" s="1"/>
  <c r="K38" i="58"/>
  <c r="BC38" i="58" s="1"/>
  <c r="L38" i="58"/>
  <c r="BD38" i="58" s="1"/>
  <c r="M38" i="58"/>
  <c r="BE38" i="58" s="1"/>
  <c r="N38" i="58"/>
  <c r="BF38" i="58" s="1"/>
  <c r="AY38" i="58" s="1"/>
  <c r="O38" i="58"/>
  <c r="BG38" i="58" s="1"/>
  <c r="P38" i="58"/>
  <c r="BH38" i="58" s="1"/>
  <c r="Q38" i="58"/>
  <c r="BI38" i="58" s="1"/>
  <c r="R38" i="58"/>
  <c r="BJ38" i="58" s="1"/>
  <c r="S38" i="58"/>
  <c r="BK38" i="58" s="1"/>
  <c r="T38" i="58"/>
  <c r="BL38" i="58" s="1"/>
  <c r="AZ38" i="58" s="1"/>
  <c r="I38" i="58"/>
  <c r="BA38" i="58" s="1"/>
  <c r="J37" i="58"/>
  <c r="BB37" i="58" s="1"/>
  <c r="K37" i="58"/>
  <c r="BC37" i="58" s="1"/>
  <c r="L37" i="58"/>
  <c r="BD37" i="58" s="1"/>
  <c r="M37" i="58"/>
  <c r="BE37" i="58" s="1"/>
  <c r="N37" i="58"/>
  <c r="BF37" i="58" s="1"/>
  <c r="AY37" i="58" s="1"/>
  <c r="O37" i="58"/>
  <c r="BG37" i="58" s="1"/>
  <c r="P37" i="58"/>
  <c r="BH37" i="58" s="1"/>
  <c r="Q37" i="58"/>
  <c r="BI37" i="58" s="1"/>
  <c r="R37" i="58"/>
  <c r="BJ37" i="58" s="1"/>
  <c r="S37" i="58"/>
  <c r="BK37" i="58" s="1"/>
  <c r="T37" i="58"/>
  <c r="BL37" i="58" s="1"/>
  <c r="AZ37" i="58" s="1"/>
  <c r="I37" i="58"/>
  <c r="BA37" i="58" s="1"/>
  <c r="J36" i="58"/>
  <c r="BB36" i="58" s="1"/>
  <c r="K36" i="58"/>
  <c r="BC36" i="58" s="1"/>
  <c r="L36" i="58"/>
  <c r="BD36" i="58" s="1"/>
  <c r="M36" i="58"/>
  <c r="BE36" i="58" s="1"/>
  <c r="N36" i="58"/>
  <c r="O36" i="58"/>
  <c r="BG36" i="58" s="1"/>
  <c r="P36" i="58"/>
  <c r="BH36" i="58" s="1"/>
  <c r="Q36" i="58"/>
  <c r="BI36" i="58" s="1"/>
  <c r="R36" i="58"/>
  <c r="BJ36" i="58" s="1"/>
  <c r="S36" i="58"/>
  <c r="BK36" i="58" s="1"/>
  <c r="T36" i="58"/>
  <c r="I36" i="58"/>
  <c r="BA36" i="58" s="1"/>
  <c r="D34" i="35"/>
  <c r="J34" i="58"/>
  <c r="BB34" i="58" s="1"/>
  <c r="K34" i="58"/>
  <c r="BC34" i="58" s="1"/>
  <c r="L34" i="58"/>
  <c r="BD34" i="58" s="1"/>
  <c r="M34" i="58"/>
  <c r="BE34" i="58" s="1"/>
  <c r="N34" i="58"/>
  <c r="O34" i="58"/>
  <c r="BG34" i="58" s="1"/>
  <c r="P34" i="58"/>
  <c r="BH34" i="58" s="1"/>
  <c r="Q34" i="58"/>
  <c r="BI34" i="58" s="1"/>
  <c r="R34" i="58"/>
  <c r="BJ34" i="58" s="1"/>
  <c r="S34" i="58"/>
  <c r="BK34" i="58" s="1"/>
  <c r="T34" i="58"/>
  <c r="I34" i="58"/>
  <c r="BA34" i="58" s="1"/>
  <c r="J32" i="58"/>
  <c r="BB32" i="58" s="1"/>
  <c r="K32" i="58"/>
  <c r="BC32" i="58" s="1"/>
  <c r="L32" i="58"/>
  <c r="BD32" i="58" s="1"/>
  <c r="M32" i="58"/>
  <c r="BE32" i="58" s="1"/>
  <c r="N32" i="58"/>
  <c r="BF32" i="58" s="1"/>
  <c r="AY32" i="58" s="1"/>
  <c r="O32" i="58"/>
  <c r="BG32" i="58" s="1"/>
  <c r="P32" i="58"/>
  <c r="BH32" i="58" s="1"/>
  <c r="Q32" i="58"/>
  <c r="BI32" i="58" s="1"/>
  <c r="R32" i="58"/>
  <c r="BJ32" i="58" s="1"/>
  <c r="S32" i="58"/>
  <c r="BK32" i="58" s="1"/>
  <c r="T32" i="58"/>
  <c r="BL32" i="58" s="1"/>
  <c r="AZ32" i="58" s="1"/>
  <c r="I32" i="58"/>
  <c r="BA32" i="58" s="1"/>
  <c r="J31" i="58"/>
  <c r="BB31" i="58" s="1"/>
  <c r="K31" i="58"/>
  <c r="BC31" i="58" s="1"/>
  <c r="L31" i="58"/>
  <c r="BD31" i="58" s="1"/>
  <c r="M31" i="58"/>
  <c r="BE31" i="58" s="1"/>
  <c r="N31" i="58"/>
  <c r="BF31" i="58" s="1"/>
  <c r="AY31" i="58" s="1"/>
  <c r="O31" i="58"/>
  <c r="BG31" i="58" s="1"/>
  <c r="P31" i="58"/>
  <c r="BH31" i="58" s="1"/>
  <c r="Q31" i="58"/>
  <c r="BI31" i="58" s="1"/>
  <c r="R31" i="58"/>
  <c r="BJ31" i="58" s="1"/>
  <c r="S31" i="58"/>
  <c r="BK31" i="58" s="1"/>
  <c r="T31" i="58"/>
  <c r="BL31" i="58" s="1"/>
  <c r="AZ31" i="58" s="1"/>
  <c r="I31" i="58"/>
  <c r="BA31" i="58" s="1"/>
  <c r="J29" i="58"/>
  <c r="BB29" i="58" s="1"/>
  <c r="K29" i="58"/>
  <c r="BC29" i="58" s="1"/>
  <c r="L29" i="58"/>
  <c r="BD29" i="58" s="1"/>
  <c r="M29" i="58"/>
  <c r="BE29" i="58" s="1"/>
  <c r="N29" i="58"/>
  <c r="BF29" i="58" s="1"/>
  <c r="AY29" i="58" s="1"/>
  <c r="O29" i="58"/>
  <c r="BG29" i="58" s="1"/>
  <c r="P29" i="58"/>
  <c r="BH29" i="58" s="1"/>
  <c r="Q29" i="58"/>
  <c r="BI29" i="58" s="1"/>
  <c r="R29" i="58"/>
  <c r="BJ29" i="58" s="1"/>
  <c r="S29" i="58"/>
  <c r="BK29" i="58" s="1"/>
  <c r="T29" i="58"/>
  <c r="BL29" i="58" s="1"/>
  <c r="AZ29" i="58" s="1"/>
  <c r="I29" i="58"/>
  <c r="BA29" i="58" s="1"/>
  <c r="J28" i="58"/>
  <c r="BB28" i="58" s="1"/>
  <c r="K28" i="58"/>
  <c r="BC28" i="58" s="1"/>
  <c r="L28" i="58"/>
  <c r="BD28" i="58" s="1"/>
  <c r="M28" i="58"/>
  <c r="BE28" i="58" s="1"/>
  <c r="N28" i="58"/>
  <c r="O28" i="58"/>
  <c r="BG28" i="58" s="1"/>
  <c r="P28" i="58"/>
  <c r="BH28" i="58" s="1"/>
  <c r="Q28" i="58"/>
  <c r="BI28" i="58" s="1"/>
  <c r="R28" i="58"/>
  <c r="BJ28" i="58" s="1"/>
  <c r="S28" i="58"/>
  <c r="BK28" i="58" s="1"/>
  <c r="T28" i="58"/>
  <c r="I28" i="58"/>
  <c r="BA28" i="58" s="1"/>
  <c r="J26" i="58"/>
  <c r="BB26" i="58" s="1"/>
  <c r="K26" i="58"/>
  <c r="BC26" i="58" s="1"/>
  <c r="L26" i="58"/>
  <c r="BD26" i="58" s="1"/>
  <c r="M26" i="58"/>
  <c r="BE26" i="58" s="1"/>
  <c r="N26" i="58"/>
  <c r="BF26" i="58" s="1"/>
  <c r="AY26" i="58" s="1"/>
  <c r="O26" i="58"/>
  <c r="BG26" i="58" s="1"/>
  <c r="P26" i="58"/>
  <c r="BH26" i="58" s="1"/>
  <c r="Q26" i="58"/>
  <c r="BI26" i="58" s="1"/>
  <c r="R26" i="58"/>
  <c r="BJ26" i="58" s="1"/>
  <c r="S26" i="58"/>
  <c r="BK26" i="58" s="1"/>
  <c r="T26" i="58"/>
  <c r="BL26" i="58" s="1"/>
  <c r="AZ26" i="58" s="1"/>
  <c r="I26" i="58"/>
  <c r="BA26" i="58" s="1"/>
  <c r="J25" i="58"/>
  <c r="BB25" i="58" s="1"/>
  <c r="K25" i="58"/>
  <c r="BC25" i="58" s="1"/>
  <c r="L25" i="58"/>
  <c r="BD25" i="58" s="1"/>
  <c r="M25" i="58"/>
  <c r="BE25" i="58" s="1"/>
  <c r="N25" i="58"/>
  <c r="BF25" i="58" s="1"/>
  <c r="AY25" i="58" s="1"/>
  <c r="O25" i="58"/>
  <c r="BG25" i="58" s="1"/>
  <c r="P25" i="58"/>
  <c r="BH25" i="58" s="1"/>
  <c r="Q25" i="58"/>
  <c r="BI25" i="58" s="1"/>
  <c r="R25" i="58"/>
  <c r="BJ25" i="58" s="1"/>
  <c r="S25" i="58"/>
  <c r="BK25" i="58" s="1"/>
  <c r="T25" i="58"/>
  <c r="BL25" i="58" s="1"/>
  <c r="AZ25" i="58" s="1"/>
  <c r="I25" i="58"/>
  <c r="BA25" i="58" s="1"/>
  <c r="J24" i="58"/>
  <c r="BB24" i="58" s="1"/>
  <c r="K24" i="58"/>
  <c r="BC24" i="58" s="1"/>
  <c r="L24" i="58"/>
  <c r="BD24" i="58" s="1"/>
  <c r="M24" i="58"/>
  <c r="BE24" i="58" s="1"/>
  <c r="N24" i="58"/>
  <c r="O24" i="58"/>
  <c r="BG24" i="58" s="1"/>
  <c r="P24" i="58"/>
  <c r="BH24" i="58" s="1"/>
  <c r="Q24" i="58"/>
  <c r="BI24" i="58" s="1"/>
  <c r="R24" i="58"/>
  <c r="BJ24" i="58" s="1"/>
  <c r="S24" i="58"/>
  <c r="BK24" i="58" s="1"/>
  <c r="T24" i="58"/>
  <c r="I24" i="58"/>
  <c r="BA24" i="58" s="1"/>
  <c r="J23" i="58"/>
  <c r="BB23" i="58" s="1"/>
  <c r="K23" i="58"/>
  <c r="BC23" i="58" s="1"/>
  <c r="L23" i="58"/>
  <c r="BD23" i="58" s="1"/>
  <c r="M23" i="58"/>
  <c r="BE23" i="58" s="1"/>
  <c r="N23" i="58"/>
  <c r="O23" i="58"/>
  <c r="BG23" i="58" s="1"/>
  <c r="P23" i="58"/>
  <c r="BH23" i="58" s="1"/>
  <c r="Q23" i="58"/>
  <c r="BI23" i="58" s="1"/>
  <c r="R23" i="58"/>
  <c r="BJ23" i="58" s="1"/>
  <c r="S23" i="58"/>
  <c r="BK23" i="58" s="1"/>
  <c r="T23" i="58"/>
  <c r="I23" i="58"/>
  <c r="BA23" i="58" s="1"/>
  <c r="J20" i="58"/>
  <c r="BB20" i="58" s="1"/>
  <c r="K20" i="58"/>
  <c r="BC20" i="58" s="1"/>
  <c r="L20" i="58"/>
  <c r="BD20" i="58" s="1"/>
  <c r="M20" i="58"/>
  <c r="BE20" i="58" s="1"/>
  <c r="N20" i="58"/>
  <c r="BF20" i="58" s="1"/>
  <c r="AY20" i="58" s="1"/>
  <c r="O20" i="58"/>
  <c r="BG20" i="58" s="1"/>
  <c r="P20" i="58"/>
  <c r="BH20" i="58" s="1"/>
  <c r="Q20" i="58"/>
  <c r="BI20" i="58" s="1"/>
  <c r="R20" i="58"/>
  <c r="BJ20" i="58" s="1"/>
  <c r="S20" i="58"/>
  <c r="BK20" i="58" s="1"/>
  <c r="T20" i="58"/>
  <c r="BL20" i="58" s="1"/>
  <c r="AZ20" i="58" s="1"/>
  <c r="I20" i="58"/>
  <c r="BA20" i="58" s="1"/>
  <c r="J19" i="58"/>
  <c r="BB19" i="58" s="1"/>
  <c r="K19" i="58"/>
  <c r="BC19" i="58" s="1"/>
  <c r="L19" i="58"/>
  <c r="BD19" i="58" s="1"/>
  <c r="M19" i="58"/>
  <c r="BE19" i="58" s="1"/>
  <c r="N19" i="58"/>
  <c r="BF19" i="58" s="1"/>
  <c r="AY19" i="58" s="1"/>
  <c r="O19" i="58"/>
  <c r="BG19" i="58" s="1"/>
  <c r="P19" i="58"/>
  <c r="BH19" i="58" s="1"/>
  <c r="Q19" i="58"/>
  <c r="BI19" i="58" s="1"/>
  <c r="R19" i="58"/>
  <c r="BJ19" i="58" s="1"/>
  <c r="S19" i="58"/>
  <c r="BK19" i="58" s="1"/>
  <c r="T19" i="58"/>
  <c r="I19" i="58"/>
  <c r="BA19" i="58" s="1"/>
  <c r="J16" i="58"/>
  <c r="BB16" i="58" s="1"/>
  <c r="K16" i="58"/>
  <c r="BC16" i="58" s="1"/>
  <c r="L16" i="58"/>
  <c r="BD16" i="58" s="1"/>
  <c r="M16" i="58"/>
  <c r="BE16" i="58" s="1"/>
  <c r="N16" i="58"/>
  <c r="BF16" i="58" s="1"/>
  <c r="AY16" i="58" s="1"/>
  <c r="O16" i="58"/>
  <c r="BG16" i="58" s="1"/>
  <c r="P16" i="58"/>
  <c r="BH16" i="58" s="1"/>
  <c r="Q16" i="58"/>
  <c r="BI16" i="58" s="1"/>
  <c r="R16" i="58"/>
  <c r="BJ16" i="58" s="1"/>
  <c r="S16" i="58"/>
  <c r="BK16" i="58" s="1"/>
  <c r="T16" i="58"/>
  <c r="BL16" i="58" s="1"/>
  <c r="AZ16" i="58" s="1"/>
  <c r="I16" i="58"/>
  <c r="BA16" i="58" s="1"/>
  <c r="J14" i="58"/>
  <c r="BB14" i="58" s="1"/>
  <c r="K14" i="58"/>
  <c r="BC14" i="58" s="1"/>
  <c r="L14" i="58"/>
  <c r="BD14" i="58" s="1"/>
  <c r="M14" i="58"/>
  <c r="BE14" i="58" s="1"/>
  <c r="N14" i="58"/>
  <c r="BF14" i="58" s="1"/>
  <c r="AY14" i="58" s="1"/>
  <c r="O14" i="58"/>
  <c r="BG14" i="58" s="1"/>
  <c r="P14" i="58"/>
  <c r="BH14" i="58" s="1"/>
  <c r="Q14" i="58"/>
  <c r="BI14" i="58" s="1"/>
  <c r="R14" i="58"/>
  <c r="BJ14" i="58" s="1"/>
  <c r="S14" i="58"/>
  <c r="BK14" i="58" s="1"/>
  <c r="T14" i="58"/>
  <c r="BL14" i="58" s="1"/>
  <c r="AZ14" i="58" s="1"/>
  <c r="I14" i="58"/>
  <c r="BA14" i="58" s="1"/>
  <c r="J8" i="58"/>
  <c r="BB8" i="58" s="1"/>
  <c r="K8" i="58"/>
  <c r="BC8" i="58" s="1"/>
  <c r="L8" i="58"/>
  <c r="BD8" i="58" s="1"/>
  <c r="M8" i="58"/>
  <c r="BE8" i="58" s="1"/>
  <c r="N8" i="58"/>
  <c r="BF8" i="58" s="1"/>
  <c r="AY8" i="58" s="1"/>
  <c r="O8" i="58"/>
  <c r="BG8" i="58" s="1"/>
  <c r="P8" i="58"/>
  <c r="BH8" i="58" s="1"/>
  <c r="Q8" i="58"/>
  <c r="BI8" i="58" s="1"/>
  <c r="R8" i="58"/>
  <c r="BJ8" i="58" s="1"/>
  <c r="S8" i="58"/>
  <c r="BK8" i="58" s="1"/>
  <c r="T8" i="58"/>
  <c r="BL8" i="58" s="1"/>
  <c r="AZ8" i="58" s="1"/>
  <c r="I8" i="58"/>
  <c r="BA8" i="58" s="1"/>
  <c r="BW40" i="73" l="1"/>
  <c r="BV40" i="73"/>
  <c r="BU40" i="73"/>
  <c r="BW29" i="134" a="1"/>
  <c r="BW31" i="134" a="1"/>
  <c r="BW32" i="134" a="1"/>
  <c r="BW35" i="134" a="1"/>
  <c r="BW36" i="134" a="1"/>
  <c r="BW42" i="134" a="1"/>
  <c r="BW44" i="134" a="1"/>
  <c r="BW46" i="134" a="1"/>
  <c r="BW19" i="135" a="1"/>
  <c r="BW21" i="135" a="1"/>
  <c r="BW23" i="135" a="1"/>
  <c r="BW25" i="135" a="1"/>
  <c r="BW26" i="135" a="1"/>
  <c r="BW28" i="135" a="1"/>
  <c r="BW29" i="135" a="1"/>
  <c r="BW31" i="135" a="1"/>
  <c r="BW32" i="135" a="1"/>
  <c r="BW36" i="135" a="1"/>
  <c r="BW39" i="135" a="1"/>
  <c r="BW40" i="135" a="1"/>
  <c r="BW42" i="135" a="1"/>
  <c r="BW44" i="135" a="1"/>
  <c r="BV28" i="136"/>
  <c r="BW28" i="136"/>
  <c r="BU28" i="136"/>
  <c r="BV20" i="137"/>
  <c r="BW20" i="137"/>
  <c r="BU20" i="137"/>
  <c r="BU29" i="136"/>
  <c r="BV29" i="136"/>
  <c r="BW29" i="136"/>
  <c r="BW46" i="136"/>
  <c r="BV46" i="136"/>
  <c r="BU46" i="136"/>
  <c r="BV31" i="137"/>
  <c r="BU31" i="137"/>
  <c r="BW31" i="137"/>
  <c r="BW21" i="134" a="1"/>
  <c r="H24" i="134"/>
  <c r="H24" i="127" s="1"/>
  <c r="BL24" i="134"/>
  <c r="AZ24" i="134" s="1"/>
  <c r="H47" i="134"/>
  <c r="H47" i="127" s="1"/>
  <c r="BL47" i="134"/>
  <c r="AZ47" i="134" s="1"/>
  <c r="H48" i="134"/>
  <c r="H48" i="127" s="1"/>
  <c r="BL48" i="134"/>
  <c r="AZ48" i="134" s="1"/>
  <c r="H46" i="135"/>
  <c r="H46" i="128" s="1"/>
  <c r="BL46" i="135"/>
  <c r="AZ46" i="135" s="1"/>
  <c r="H47" i="135"/>
  <c r="H47" i="128" s="1"/>
  <c r="BL47" i="135"/>
  <c r="AZ47" i="135" s="1"/>
  <c r="H48" i="135"/>
  <c r="BL48" i="135"/>
  <c r="AZ48" i="135" s="1"/>
  <c r="BU35" i="137"/>
  <c r="BV35" i="137"/>
  <c r="BW35" i="137"/>
  <c r="BW47" i="137" a="1"/>
  <c r="BW32" i="137"/>
  <c r="BU32" i="137"/>
  <c r="BV32" i="137"/>
  <c r="BW44" i="136"/>
  <c r="BV44" i="136"/>
  <c r="BU44" i="136"/>
  <c r="BW23" i="73"/>
  <c r="BV23" i="73"/>
  <c r="BU23" i="73"/>
  <c r="BW39" i="73"/>
  <c r="BV39" i="73"/>
  <c r="BU39" i="73"/>
  <c r="H47" i="73"/>
  <c r="H49" i="21" s="1"/>
  <c r="BL47" i="73"/>
  <c r="AZ47" i="73" s="1"/>
  <c r="BW26" i="134" a="1"/>
  <c r="S26" i="21"/>
  <c r="BK24" i="134"/>
  <c r="S36" i="21"/>
  <c r="BK34" i="134"/>
  <c r="S39" i="21"/>
  <c r="BK37" i="134"/>
  <c r="S49" i="21"/>
  <c r="BK47" i="134"/>
  <c r="S50" i="21"/>
  <c r="BK48" i="134"/>
  <c r="BU26" i="137"/>
  <c r="BW26" i="137"/>
  <c r="BV26" i="137"/>
  <c r="BW46" i="137" a="1"/>
  <c r="BW42" i="136"/>
  <c r="BV42" i="136"/>
  <c r="BU42" i="136"/>
  <c r="G60" i="58"/>
  <c r="G60" i="36" s="1"/>
  <c r="BF60" i="58"/>
  <c r="AY60" i="58" s="1"/>
  <c r="BU21" i="137"/>
  <c r="BW21" i="137"/>
  <c r="BV21" i="137"/>
  <c r="G40" i="58"/>
  <c r="G40" i="36" s="1"/>
  <c r="BF40" i="58"/>
  <c r="AY40" i="58" s="1"/>
  <c r="BW23" i="134" a="1"/>
  <c r="BW25" i="58" a="1"/>
  <c r="BW23" i="137"/>
  <c r="BV23" i="137"/>
  <c r="BU23" i="137"/>
  <c r="BW44" i="137"/>
  <c r="BV44" i="137"/>
  <c r="BU44" i="137"/>
  <c r="BV40" i="136"/>
  <c r="BW40" i="136"/>
  <c r="BU40" i="136"/>
  <c r="AY28" i="58"/>
  <c r="BF28" i="58"/>
  <c r="G62" i="58"/>
  <c r="G62" i="36" s="1"/>
  <c r="BF62" i="58"/>
  <c r="AY62" i="58" s="1"/>
  <c r="BW29" i="73"/>
  <c r="BV29" i="73"/>
  <c r="BU29" i="73"/>
  <c r="BW32" i="73"/>
  <c r="BV32" i="73"/>
  <c r="BU32" i="73"/>
  <c r="BW35" i="73"/>
  <c r="BV35" i="73"/>
  <c r="BU35" i="73"/>
  <c r="BW28" i="134" a="1"/>
  <c r="BW20" i="58" a="1"/>
  <c r="BW26" i="58" a="1"/>
  <c r="BW31" i="58" a="1"/>
  <c r="BL19" i="58"/>
  <c r="AZ19" i="58" s="1"/>
  <c r="H19" i="58"/>
  <c r="BL28" i="58"/>
  <c r="BW28" i="58" s="1" a="1"/>
  <c r="H34" i="58"/>
  <c r="H34" i="36" s="1"/>
  <c r="BL34" i="58"/>
  <c r="AZ34" i="58" s="1"/>
  <c r="BW37" i="58" a="1"/>
  <c r="BW38" i="58" a="1"/>
  <c r="BW39" i="58" a="1"/>
  <c r="BW41" i="58" a="1"/>
  <c r="BW43" i="58" a="1"/>
  <c r="BW51" i="58" a="1"/>
  <c r="BW52" i="58" a="1"/>
  <c r="BW54" i="58" a="1"/>
  <c r="BW55" i="58" a="1"/>
  <c r="BW59" i="58" a="1"/>
  <c r="H60" i="58"/>
  <c r="H60" i="36" s="1"/>
  <c r="BL60" i="58"/>
  <c r="AZ60" i="58" s="1"/>
  <c r="H61" i="58"/>
  <c r="H61" i="36" s="1"/>
  <c r="BL61" i="58"/>
  <c r="AZ61" i="58" s="1"/>
  <c r="H62" i="58"/>
  <c r="H62" i="36" s="1"/>
  <c r="BL62" i="58"/>
  <c r="AZ62" i="58" s="1"/>
  <c r="BW19" i="73" a="1"/>
  <c r="BW20" i="73" a="1"/>
  <c r="BW21" i="73" a="1"/>
  <c r="BU26" i="136"/>
  <c r="BV26" i="136"/>
  <c r="BW26" i="136"/>
  <c r="BU42" i="137"/>
  <c r="BV42" i="137"/>
  <c r="BW42" i="137"/>
  <c r="BW39" i="136"/>
  <c r="BV39" i="136"/>
  <c r="BU39" i="136"/>
  <c r="BW23" i="136"/>
  <c r="BV23" i="136"/>
  <c r="BU23" i="136"/>
  <c r="G34" i="58"/>
  <c r="G34" i="36" s="1"/>
  <c r="BF34" i="58"/>
  <c r="AY34" i="58" s="1"/>
  <c r="BW25" i="73"/>
  <c r="BV25" i="73"/>
  <c r="BU25" i="73"/>
  <c r="G36" i="58"/>
  <c r="G36" i="36" s="1"/>
  <c r="BF36" i="58"/>
  <c r="AY36" i="58" s="1"/>
  <c r="H48" i="73"/>
  <c r="H50" i="21" s="1"/>
  <c r="BL48" i="73"/>
  <c r="AZ48" i="73" s="1"/>
  <c r="BW19" i="137"/>
  <c r="BV19" i="137"/>
  <c r="BU19" i="137"/>
  <c r="BW19" i="134" a="1"/>
  <c r="H34" i="134"/>
  <c r="H34" i="127" s="1"/>
  <c r="BL34" i="134"/>
  <c r="AZ34" i="134" s="1"/>
  <c r="BW34" i="58" a="1"/>
  <c r="H36" i="58"/>
  <c r="H36" i="36" s="1"/>
  <c r="BL36" i="58"/>
  <c r="AZ36" i="58" s="1"/>
  <c r="H40" i="58"/>
  <c r="BL40" i="58"/>
  <c r="AZ40" i="58" s="1"/>
  <c r="H56" i="58"/>
  <c r="F56" i="35" s="1"/>
  <c r="BL56" i="58"/>
  <c r="AZ56" i="58" s="1"/>
  <c r="G48" i="73"/>
  <c r="BF48" i="73"/>
  <c r="AY48" i="73" s="1"/>
  <c r="BW40" i="137"/>
  <c r="BV40" i="137"/>
  <c r="BU40" i="137"/>
  <c r="BV36" i="136"/>
  <c r="BU36" i="136"/>
  <c r="BW36" i="136"/>
  <c r="BV20" i="136"/>
  <c r="BU20" i="136"/>
  <c r="BW20" i="136"/>
  <c r="G61" i="58"/>
  <c r="G61" i="36" s="1"/>
  <c r="BF61" i="58"/>
  <c r="AY61" i="58" s="1"/>
  <c r="BW28" i="73"/>
  <c r="BU28" i="73"/>
  <c r="BV28" i="73"/>
  <c r="BW25" i="136"/>
  <c r="BV25" i="136"/>
  <c r="BU25" i="136"/>
  <c r="BU47" i="136"/>
  <c r="BW47" i="136"/>
  <c r="BV47" i="136"/>
  <c r="BW20" i="134" a="1"/>
  <c r="BW32" i="58" a="1"/>
  <c r="G47" i="73"/>
  <c r="BF47" i="73"/>
  <c r="AY47" i="73" s="1"/>
  <c r="BW39" i="137"/>
  <c r="BU39" i="137"/>
  <c r="BV39" i="137"/>
  <c r="BV35" i="136"/>
  <c r="BU35" i="136"/>
  <c r="BW35" i="136"/>
  <c r="BW19" i="136"/>
  <c r="BU19" i="136"/>
  <c r="BV19" i="136"/>
  <c r="BW26" i="73"/>
  <c r="BV26" i="73"/>
  <c r="BU26" i="73"/>
  <c r="BW42" i="73"/>
  <c r="BV42" i="73"/>
  <c r="BU42" i="73"/>
  <c r="BW29" i="137"/>
  <c r="BV29" i="137"/>
  <c r="BU29" i="137"/>
  <c r="BW25" i="134" a="1"/>
  <c r="BW19" i="58" a="1"/>
  <c r="BW29" i="58" a="1"/>
  <c r="G24" i="134"/>
  <c r="G24" i="127" s="1"/>
  <c r="BF24" i="134"/>
  <c r="AY24" i="134" s="1"/>
  <c r="G34" i="134"/>
  <c r="G34" i="127" s="1"/>
  <c r="BF34" i="134"/>
  <c r="AY34" i="134" s="1"/>
  <c r="G37" i="134"/>
  <c r="G37" i="127" s="1"/>
  <c r="BF37" i="134"/>
  <c r="AY37" i="134" s="1"/>
  <c r="G47" i="134"/>
  <c r="G47" i="127" s="1"/>
  <c r="BF47" i="134"/>
  <c r="AY47" i="134" s="1"/>
  <c r="G48" i="134"/>
  <c r="G48" i="127" s="1"/>
  <c r="BF48" i="134"/>
  <c r="AY48" i="134" s="1"/>
  <c r="G24" i="135"/>
  <c r="G24" i="128" s="1"/>
  <c r="BF24" i="135"/>
  <c r="AY24" i="135" s="1"/>
  <c r="G34" i="135"/>
  <c r="G34" i="128" s="1"/>
  <c r="BF34" i="135"/>
  <c r="AY34" i="135" s="1"/>
  <c r="G46" i="135"/>
  <c r="G46" i="128" s="1"/>
  <c r="BF46" i="135"/>
  <c r="AY46" i="135" s="1"/>
  <c r="G47" i="135"/>
  <c r="G47" i="128" s="1"/>
  <c r="BF47" i="135"/>
  <c r="AY47" i="135" s="1"/>
  <c r="G48" i="135"/>
  <c r="BF48" i="135"/>
  <c r="AY48" i="135" s="1"/>
  <c r="BV36" i="137"/>
  <c r="BU36" i="137"/>
  <c r="BW36" i="137"/>
  <c r="BW34" i="136" a="1"/>
  <c r="BW31" i="73"/>
  <c r="BV31" i="73"/>
  <c r="BU31" i="73"/>
  <c r="BW46" i="73"/>
  <c r="BU46" i="73"/>
  <c r="BV46" i="73"/>
  <c r="BW24" i="137"/>
  <c r="BU24" i="137"/>
  <c r="BV24" i="137"/>
  <c r="H37" i="134"/>
  <c r="H37" i="127" s="1"/>
  <c r="BL37" i="134"/>
  <c r="AZ37" i="134" s="1"/>
  <c r="BW60" i="58" a="1"/>
  <c r="BW28" i="137"/>
  <c r="BU28" i="137"/>
  <c r="BV28" i="137"/>
  <c r="BW37" i="136" a="1"/>
  <c r="BW31" i="136"/>
  <c r="BV31" i="136"/>
  <c r="BU31" i="136"/>
  <c r="BW36" i="73"/>
  <c r="BU36" i="73"/>
  <c r="BV36" i="73"/>
  <c r="G56" i="58"/>
  <c r="G56" i="36" s="1"/>
  <c r="BF56" i="58"/>
  <c r="AY56" i="58" s="1"/>
  <c r="BW20" i="135" a="1"/>
  <c r="BW24" i="134" a="1"/>
  <c r="BW37" i="137" a="1"/>
  <c r="BW25" i="137"/>
  <c r="BV25" i="137"/>
  <c r="BU25" i="137"/>
  <c r="BV32" i="136"/>
  <c r="BU32" i="136"/>
  <c r="BW32" i="136"/>
  <c r="BW24" i="136" a="1"/>
  <c r="BV21" i="136"/>
  <c r="BW21" i="136"/>
  <c r="BU21" i="136"/>
  <c r="BU14" i="136"/>
  <c r="BV14" i="136"/>
  <c r="BW14" i="136"/>
  <c r="BW8" i="73" a="1"/>
  <c r="BW10" i="73" a="1"/>
  <c r="BW11" i="73" a="1"/>
  <c r="BW12" i="73" a="1"/>
  <c r="BW14" i="73" a="1"/>
  <c r="BW16" i="73" a="1"/>
  <c r="BW8" i="134" a="1"/>
  <c r="BW10" i="134" a="1"/>
  <c r="BW11" i="134" a="1"/>
  <c r="BW12" i="134" a="1"/>
  <c r="BW14" i="134" a="1"/>
  <c r="BU14" i="137"/>
  <c r="BV14" i="137"/>
  <c r="BW14" i="137"/>
  <c r="BW16" i="134" a="1"/>
  <c r="BW8" i="135" a="1"/>
  <c r="BW10" i="135" a="1"/>
  <c r="BW11" i="135" a="1"/>
  <c r="BW12" i="135" a="1"/>
  <c r="BW14" i="135" a="1"/>
  <c r="BW16" i="135" a="1"/>
  <c r="BW8" i="58" a="1"/>
  <c r="BW14" i="58" a="1"/>
  <c r="BW16" i="58" a="1"/>
  <c r="BW16" i="137"/>
  <c r="BV16" i="137"/>
  <c r="BU16" i="137"/>
  <c r="BW16" i="136"/>
  <c r="BV16" i="136"/>
  <c r="BU16" i="136"/>
  <c r="G37" i="73"/>
  <c r="G38" i="69" s="1"/>
  <c r="BF37" i="73"/>
  <c r="AY37" i="73" s="1"/>
  <c r="H24" i="73"/>
  <c r="H26" i="21" s="1"/>
  <c r="BL24" i="73"/>
  <c r="AZ24" i="73" s="1"/>
  <c r="G34" i="73"/>
  <c r="BF34" i="73"/>
  <c r="AY34" i="73" s="1"/>
  <c r="H34" i="73"/>
  <c r="H36" i="21" s="1"/>
  <c r="BL34" i="73"/>
  <c r="AZ34" i="73" s="1"/>
  <c r="G24" i="73"/>
  <c r="G25" i="69" s="1"/>
  <c r="BF24" i="73"/>
  <c r="AY24" i="73" s="1"/>
  <c r="H37" i="73"/>
  <c r="H38" i="69" s="1"/>
  <c r="BL37" i="73"/>
  <c r="AZ37" i="73" s="1"/>
  <c r="H24" i="58"/>
  <c r="BL24" i="58"/>
  <c r="AZ24" i="58" s="1"/>
  <c r="H23" i="58"/>
  <c r="H23" i="36" s="1"/>
  <c r="BL23" i="58"/>
  <c r="G24" i="58"/>
  <c r="G24" i="36" s="1"/>
  <c r="BF24" i="58"/>
  <c r="AY24" i="58" s="1"/>
  <c r="G23" i="58"/>
  <c r="G23" i="36" s="1"/>
  <c r="BF23" i="58"/>
  <c r="AY23" i="58" s="1"/>
  <c r="H24" i="135"/>
  <c r="H24" i="128" s="1"/>
  <c r="AD26" i="21"/>
  <c r="H34" i="135"/>
  <c r="H34" i="128" s="1"/>
  <c r="AD36" i="21"/>
  <c r="H39" i="21"/>
  <c r="H56" i="36"/>
  <c r="F36" i="35"/>
  <c r="H40" i="36"/>
  <c r="F40" i="35"/>
  <c r="F24" i="35"/>
  <c r="H24" i="36"/>
  <c r="AY29" i="21"/>
  <c r="AY32" i="21"/>
  <c r="AY43" i="21"/>
  <c r="AY52" i="21"/>
  <c r="AY53" i="21"/>
  <c r="AY54" i="21"/>
  <c r="AY55" i="21"/>
  <c r="AY56" i="21"/>
  <c r="AX22" i="21"/>
  <c r="AX23" i="21"/>
  <c r="AX25" i="21"/>
  <c r="AX26" i="21"/>
  <c r="AX27" i="21"/>
  <c r="AX28" i="21"/>
  <c r="AX30" i="21"/>
  <c r="AX31" i="21"/>
  <c r="AX33" i="21"/>
  <c r="AX34" i="21"/>
  <c r="AX36" i="21"/>
  <c r="AX37" i="21"/>
  <c r="AX38" i="21"/>
  <c r="AX39" i="21"/>
  <c r="AX41" i="21"/>
  <c r="AX42" i="21"/>
  <c r="AX44" i="21"/>
  <c r="AX45" i="21"/>
  <c r="AX46" i="21"/>
  <c r="AX47" i="21"/>
  <c r="AX48" i="21"/>
  <c r="AX49" i="21"/>
  <c r="AX50" i="21"/>
  <c r="AU24" i="21"/>
  <c r="AU29" i="21"/>
  <c r="AU32" i="21"/>
  <c r="AU35" i="21"/>
  <c r="AU40" i="21"/>
  <c r="AU43" i="21"/>
  <c r="AU46" i="21"/>
  <c r="AU47" i="21"/>
  <c r="AU51" i="21"/>
  <c r="AV56" i="21"/>
  <c r="AV55" i="21"/>
  <c r="AV54" i="21"/>
  <c r="AV53" i="21"/>
  <c r="AV52" i="21"/>
  <c r="AV51" i="21"/>
  <c r="AV50" i="21"/>
  <c r="BA50" i="21" s="1"/>
  <c r="AV49" i="21"/>
  <c r="BA49" i="21" s="1"/>
  <c r="AV48" i="21"/>
  <c r="AV47" i="21"/>
  <c r="AV46" i="21"/>
  <c r="AV45" i="21"/>
  <c r="AV44" i="21"/>
  <c r="AV43" i="21"/>
  <c r="AV42" i="21"/>
  <c r="AV41" i="21"/>
  <c r="AV40" i="21"/>
  <c r="AV39" i="21"/>
  <c r="AV38" i="21"/>
  <c r="AV37" i="21"/>
  <c r="AV36" i="21"/>
  <c r="BA36" i="21" s="1"/>
  <c r="AV35" i="21"/>
  <c r="AV34" i="21"/>
  <c r="AV33" i="21"/>
  <c r="AV32" i="21"/>
  <c r="AV31" i="21"/>
  <c r="AV30" i="21"/>
  <c r="AV29" i="21"/>
  <c r="AV28" i="21"/>
  <c r="AV27" i="21"/>
  <c r="AV25" i="21"/>
  <c r="AV24" i="21"/>
  <c r="AV23" i="21"/>
  <c r="AV22" i="21"/>
  <c r="AV21" i="21"/>
  <c r="AN29" i="21"/>
  <c r="AN32" i="21"/>
  <c r="AN43" i="21"/>
  <c r="AN52" i="21"/>
  <c r="AN53" i="21"/>
  <c r="AN54" i="21"/>
  <c r="AN55" i="21"/>
  <c r="AN56" i="21"/>
  <c r="AL22" i="21"/>
  <c r="AL23" i="21"/>
  <c r="AL25" i="21"/>
  <c r="AL26" i="21"/>
  <c r="AL27" i="21"/>
  <c r="AL28" i="21"/>
  <c r="AL30" i="21"/>
  <c r="AL31" i="21"/>
  <c r="AL33" i="21"/>
  <c r="AL34" i="21"/>
  <c r="AL36" i="21"/>
  <c r="AL37" i="21"/>
  <c r="AL38" i="21"/>
  <c r="AL39" i="21"/>
  <c r="AL41" i="21"/>
  <c r="AL42" i="21"/>
  <c r="AL44" i="21"/>
  <c r="AL45" i="21"/>
  <c r="AL46" i="21"/>
  <c r="AL48" i="21"/>
  <c r="AL49" i="21"/>
  <c r="AL50" i="21"/>
  <c r="AJ24" i="21"/>
  <c r="AJ29" i="21"/>
  <c r="AJ32" i="21"/>
  <c r="AJ35" i="21"/>
  <c r="AJ40" i="21"/>
  <c r="AJ43" i="21"/>
  <c r="AJ46" i="21"/>
  <c r="AJ47" i="21"/>
  <c r="AJ51" i="21"/>
  <c r="AK56" i="21"/>
  <c r="AK55" i="21"/>
  <c r="AK54" i="21"/>
  <c r="AK53" i="21"/>
  <c r="AK52" i="21"/>
  <c r="AK51" i="21"/>
  <c r="AK50" i="21"/>
  <c r="AP50" i="21" s="1"/>
  <c r="AK49" i="21"/>
  <c r="AP49" i="21" s="1"/>
  <c r="AK48" i="21"/>
  <c r="AK47" i="21"/>
  <c r="AK46" i="21"/>
  <c r="AK45" i="21"/>
  <c r="AK44" i="21"/>
  <c r="AK43" i="21"/>
  <c r="AK42" i="21"/>
  <c r="AP42" i="21" s="1"/>
  <c r="AR42" i="21" s="1"/>
  <c r="AK41" i="21"/>
  <c r="AP41" i="21" s="1"/>
  <c r="AR41" i="21" s="1"/>
  <c r="AK40" i="21"/>
  <c r="AK39" i="21"/>
  <c r="AK38" i="21"/>
  <c r="AK37" i="21"/>
  <c r="AK36" i="21"/>
  <c r="AP36" i="21" s="1"/>
  <c r="AK35" i="21"/>
  <c r="AK34" i="21"/>
  <c r="AK33" i="21"/>
  <c r="AK32" i="21"/>
  <c r="AK31" i="21"/>
  <c r="AK30" i="21"/>
  <c r="AK29" i="21"/>
  <c r="AK28" i="21"/>
  <c r="AP28" i="21" s="1"/>
  <c r="AK27" i="21"/>
  <c r="AK26" i="21"/>
  <c r="AP26" i="21" s="1"/>
  <c r="AK25" i="21"/>
  <c r="AP25" i="21" s="1"/>
  <c r="AK24" i="21"/>
  <c r="AK23" i="21"/>
  <c r="AK22" i="21"/>
  <c r="AK21" i="21"/>
  <c r="AC29" i="21"/>
  <c r="AC32" i="21"/>
  <c r="AC43" i="21"/>
  <c r="AC52" i="21"/>
  <c r="AC53" i="21"/>
  <c r="AC54" i="21"/>
  <c r="AC55" i="21"/>
  <c r="AC56" i="21"/>
  <c r="AA22" i="21"/>
  <c r="AA23" i="21"/>
  <c r="AA25" i="21"/>
  <c r="AA26" i="21"/>
  <c r="AA27" i="21"/>
  <c r="AA28" i="21"/>
  <c r="AA30" i="21"/>
  <c r="AA31" i="21"/>
  <c r="AA33" i="21"/>
  <c r="AA34" i="21"/>
  <c r="AA36" i="21"/>
  <c r="AA37" i="21"/>
  <c r="AA38" i="21"/>
  <c r="AA39" i="21"/>
  <c r="AA41" i="21"/>
  <c r="AA42" i="21"/>
  <c r="AA44" i="21"/>
  <c r="AA45" i="21"/>
  <c r="AA46" i="21"/>
  <c r="AA48" i="21"/>
  <c r="AA49" i="21"/>
  <c r="AA50" i="21"/>
  <c r="AB22" i="21"/>
  <c r="AB23" i="21"/>
  <c r="AB25" i="21"/>
  <c r="AB26" i="21"/>
  <c r="AB27" i="21"/>
  <c r="AB28" i="21"/>
  <c r="AB30" i="21"/>
  <c r="AB31" i="21"/>
  <c r="AB33" i="21"/>
  <c r="AB34" i="21"/>
  <c r="AB36" i="21"/>
  <c r="AB37" i="21"/>
  <c r="AB38" i="21"/>
  <c r="AB39" i="21"/>
  <c r="AB41" i="21"/>
  <c r="AB42" i="21"/>
  <c r="AB44" i="21"/>
  <c r="AB45" i="21"/>
  <c r="AB46" i="21"/>
  <c r="AB47" i="21"/>
  <c r="AB48" i="21"/>
  <c r="AB49" i="21"/>
  <c r="AB50" i="21"/>
  <c r="Y24" i="21"/>
  <c r="Y29" i="21"/>
  <c r="Y32" i="21"/>
  <c r="Y35" i="21"/>
  <c r="Y40" i="21"/>
  <c r="Y43" i="21"/>
  <c r="Y46" i="21"/>
  <c r="Y47" i="21"/>
  <c r="Y51" i="21"/>
  <c r="Z56" i="21"/>
  <c r="Z55" i="21"/>
  <c r="Z54" i="21"/>
  <c r="Z53" i="21"/>
  <c r="Z52" i="21"/>
  <c r="Z51" i="21"/>
  <c r="Z50" i="21"/>
  <c r="Z49" i="21"/>
  <c r="Z48" i="21"/>
  <c r="Z47" i="21"/>
  <c r="Z46" i="21"/>
  <c r="Z45" i="21"/>
  <c r="Z44" i="21"/>
  <c r="Z43" i="21"/>
  <c r="Z42" i="21"/>
  <c r="Z41" i="21"/>
  <c r="Z40" i="21"/>
  <c r="Z39" i="21"/>
  <c r="Z38" i="21"/>
  <c r="Z37" i="21"/>
  <c r="Z36" i="21"/>
  <c r="Z35" i="21"/>
  <c r="Z34" i="21"/>
  <c r="Z33" i="21"/>
  <c r="Z32" i="21"/>
  <c r="Z31" i="21"/>
  <c r="Z30" i="21"/>
  <c r="Z29" i="21"/>
  <c r="Z28" i="21"/>
  <c r="Z27" i="21"/>
  <c r="Z26" i="21"/>
  <c r="Z25" i="21"/>
  <c r="Z24" i="21"/>
  <c r="Z23" i="21"/>
  <c r="Z22" i="21"/>
  <c r="Z21" i="21"/>
  <c r="R29" i="21"/>
  <c r="R32" i="21"/>
  <c r="R43" i="21"/>
  <c r="R52" i="21"/>
  <c r="R53" i="21"/>
  <c r="R54" i="21"/>
  <c r="R55" i="21"/>
  <c r="R56" i="21"/>
  <c r="Q22" i="21"/>
  <c r="Q23" i="21"/>
  <c r="Q25" i="21"/>
  <c r="Q26" i="21"/>
  <c r="Q27" i="21"/>
  <c r="Q28" i="21"/>
  <c r="Q30" i="21"/>
  <c r="Q31" i="21"/>
  <c r="Q33" i="21"/>
  <c r="Q34" i="21"/>
  <c r="Q36" i="21"/>
  <c r="Q37" i="21"/>
  <c r="Q38" i="21"/>
  <c r="Q39" i="21"/>
  <c r="Q41" i="21"/>
  <c r="Q42" i="21"/>
  <c r="Q44" i="21"/>
  <c r="Q45" i="21"/>
  <c r="Q46" i="21"/>
  <c r="Q47" i="21"/>
  <c r="Q48" i="21"/>
  <c r="Q49" i="21"/>
  <c r="Q50" i="21"/>
  <c r="N24" i="21"/>
  <c r="N29" i="21"/>
  <c r="N32" i="21"/>
  <c r="N35" i="21"/>
  <c r="N40" i="21"/>
  <c r="N43" i="21"/>
  <c r="N46" i="21"/>
  <c r="N47" i="21"/>
  <c r="N51" i="21"/>
  <c r="E22" i="21"/>
  <c r="F22" i="21"/>
  <c r="E23" i="21"/>
  <c r="F23" i="21"/>
  <c r="E25" i="21"/>
  <c r="F25" i="21"/>
  <c r="E26" i="21"/>
  <c r="F26" i="21"/>
  <c r="E27" i="21"/>
  <c r="F27" i="21"/>
  <c r="E28" i="21"/>
  <c r="F28" i="21"/>
  <c r="E30" i="21"/>
  <c r="F30" i="21"/>
  <c r="E31" i="21"/>
  <c r="F31" i="21"/>
  <c r="E33" i="21"/>
  <c r="F33" i="21"/>
  <c r="E34" i="21"/>
  <c r="F34" i="21"/>
  <c r="E36" i="21"/>
  <c r="F36" i="21"/>
  <c r="E37" i="21"/>
  <c r="F37" i="21"/>
  <c r="E38" i="21"/>
  <c r="F38" i="21"/>
  <c r="E39" i="21"/>
  <c r="F39" i="21"/>
  <c r="E41" i="21"/>
  <c r="F41" i="21"/>
  <c r="E42" i="21"/>
  <c r="F42" i="21"/>
  <c r="E44" i="21"/>
  <c r="F44" i="21"/>
  <c r="E45" i="21"/>
  <c r="F45" i="21"/>
  <c r="E46" i="21"/>
  <c r="F46" i="21"/>
  <c r="E48" i="21"/>
  <c r="F48" i="21"/>
  <c r="E49" i="21"/>
  <c r="F49" i="21"/>
  <c r="E50" i="21"/>
  <c r="F50" i="21"/>
  <c r="C25" i="21"/>
  <c r="C30" i="21"/>
  <c r="C33" i="21"/>
  <c r="C36" i="21"/>
  <c r="C41" i="21"/>
  <c r="C43" i="21"/>
  <c r="C46" i="21"/>
  <c r="C47" i="21"/>
  <c r="C51" i="21"/>
  <c r="O56" i="21"/>
  <c r="O55" i="21"/>
  <c r="O54" i="21"/>
  <c r="O53" i="21"/>
  <c r="O52" i="21"/>
  <c r="O51" i="21"/>
  <c r="O50" i="21"/>
  <c r="O49" i="21"/>
  <c r="O48" i="21"/>
  <c r="O47" i="21"/>
  <c r="O46" i="21"/>
  <c r="O45" i="21"/>
  <c r="O44" i="21"/>
  <c r="O43" i="21"/>
  <c r="O42" i="21"/>
  <c r="O41" i="21"/>
  <c r="O40" i="21"/>
  <c r="O39" i="21"/>
  <c r="O38" i="21"/>
  <c r="O37" i="21"/>
  <c r="O36" i="21"/>
  <c r="O35" i="21"/>
  <c r="O34" i="21"/>
  <c r="O33" i="21"/>
  <c r="O32" i="21"/>
  <c r="O31" i="21"/>
  <c r="O30" i="21"/>
  <c r="O29" i="21"/>
  <c r="O28" i="21"/>
  <c r="O27" i="21"/>
  <c r="O26" i="21"/>
  <c r="O25" i="21"/>
  <c r="O24" i="21"/>
  <c r="O23" i="21"/>
  <c r="O22" i="21"/>
  <c r="O21" i="21"/>
  <c r="O20" i="21"/>
  <c r="D21" i="21"/>
  <c r="D22" i="21"/>
  <c r="D23" i="21"/>
  <c r="D24" i="21"/>
  <c r="D25" i="21"/>
  <c r="D26" i="21"/>
  <c r="D27" i="21"/>
  <c r="D28" i="21"/>
  <c r="D29" i="21"/>
  <c r="D30" i="21"/>
  <c r="D31" i="21"/>
  <c r="D32" i="21"/>
  <c r="D33" i="21"/>
  <c r="D34" i="21"/>
  <c r="D35" i="21"/>
  <c r="D36" i="21"/>
  <c r="D37" i="21"/>
  <c r="D38" i="21"/>
  <c r="D39" i="21"/>
  <c r="D40" i="21"/>
  <c r="D41" i="21"/>
  <c r="D42" i="21"/>
  <c r="D43" i="21"/>
  <c r="D44" i="21"/>
  <c r="D45" i="21"/>
  <c r="D46" i="21"/>
  <c r="D47" i="21"/>
  <c r="D48" i="21"/>
  <c r="D49" i="21"/>
  <c r="D50" i="21"/>
  <c r="D51" i="21"/>
  <c r="D52" i="21"/>
  <c r="D53" i="21"/>
  <c r="D54" i="21"/>
  <c r="D55" i="21"/>
  <c r="D56" i="21"/>
  <c r="D45" i="35"/>
  <c r="E22" i="35"/>
  <c r="E27" i="35"/>
  <c r="E30" i="35"/>
  <c r="E33" i="35"/>
  <c r="E42" i="35"/>
  <c r="E45" i="35"/>
  <c r="E49" i="35"/>
  <c r="E58" i="35"/>
  <c r="E64" i="35"/>
  <c r="E65" i="35"/>
  <c r="E66" i="35"/>
  <c r="E67" i="35"/>
  <c r="E68" i="35"/>
  <c r="D10" i="35"/>
  <c r="D11" i="35"/>
  <c r="D12" i="35"/>
  <c r="D14" i="35"/>
  <c r="D15" i="35"/>
  <c r="D16" i="35"/>
  <c r="C19" i="35"/>
  <c r="C20" i="35"/>
  <c r="C21" i="35"/>
  <c r="C23" i="35"/>
  <c r="C24" i="35"/>
  <c r="C25" i="35"/>
  <c r="C26" i="35"/>
  <c r="C28" i="35"/>
  <c r="C29" i="35"/>
  <c r="C31" i="35"/>
  <c r="C32" i="35"/>
  <c r="C36" i="35"/>
  <c r="C37" i="35"/>
  <c r="C38" i="35"/>
  <c r="C39" i="35"/>
  <c r="C40" i="35"/>
  <c r="C41" i="35"/>
  <c r="C43" i="35"/>
  <c r="C44" i="35"/>
  <c r="C46" i="35"/>
  <c r="C47" i="35"/>
  <c r="C48" i="35"/>
  <c r="C50" i="35"/>
  <c r="C51" i="35"/>
  <c r="C52" i="35"/>
  <c r="C54" i="35"/>
  <c r="C55" i="35"/>
  <c r="C56" i="35"/>
  <c r="C57" i="35"/>
  <c r="C59" i="35"/>
  <c r="C60" i="35"/>
  <c r="C61" i="35"/>
  <c r="C62" i="35"/>
  <c r="A22" i="35"/>
  <c r="A27" i="35"/>
  <c r="A30" i="35"/>
  <c r="A33" i="35"/>
  <c r="A35" i="35"/>
  <c r="A42" i="35"/>
  <c r="A45" i="35"/>
  <c r="A49" i="35"/>
  <c r="A53" i="35"/>
  <c r="A58" i="35"/>
  <c r="A63" i="35"/>
  <c r="B68" i="35"/>
  <c r="B67" i="35"/>
  <c r="B66" i="35"/>
  <c r="B65" i="35"/>
  <c r="B64" i="35"/>
  <c r="B63" i="35"/>
  <c r="B62" i="35"/>
  <c r="B61" i="35"/>
  <c r="B60" i="35"/>
  <c r="B59" i="35"/>
  <c r="G59" i="35" s="1"/>
  <c r="B58" i="35"/>
  <c r="B57" i="35"/>
  <c r="G57" i="35" s="1"/>
  <c r="B56" i="35"/>
  <c r="G56" i="35" s="1"/>
  <c r="B55" i="35"/>
  <c r="G55" i="35" s="1"/>
  <c r="B54" i="35"/>
  <c r="B53" i="35"/>
  <c r="B52" i="35"/>
  <c r="B51" i="35"/>
  <c r="B50" i="35"/>
  <c r="B49" i="35"/>
  <c r="B48" i="35"/>
  <c r="B47" i="35"/>
  <c r="B46" i="35"/>
  <c r="B45" i="35"/>
  <c r="B44" i="35"/>
  <c r="B43" i="35"/>
  <c r="B42" i="35"/>
  <c r="B41" i="35"/>
  <c r="B40" i="35"/>
  <c r="G40" i="35" s="1"/>
  <c r="B39" i="35"/>
  <c r="B38" i="35"/>
  <c r="B37" i="35"/>
  <c r="B36" i="35"/>
  <c r="G36" i="35" s="1"/>
  <c r="B35" i="35"/>
  <c r="B34" i="35"/>
  <c r="B33" i="35"/>
  <c r="B32" i="35"/>
  <c r="G32" i="35" s="1"/>
  <c r="B31" i="35"/>
  <c r="B30" i="35"/>
  <c r="B29" i="35"/>
  <c r="B28" i="35"/>
  <c r="B27" i="35"/>
  <c r="B26" i="35"/>
  <c r="B25" i="35"/>
  <c r="B24" i="35"/>
  <c r="G24" i="35" s="1"/>
  <c r="B23" i="35"/>
  <c r="B22" i="35"/>
  <c r="B21" i="35"/>
  <c r="B20" i="35"/>
  <c r="B19" i="35"/>
  <c r="F22" i="131"/>
  <c r="F27" i="131"/>
  <c r="F30" i="131"/>
  <c r="F33" i="131"/>
  <c r="F38" i="131"/>
  <c r="F41" i="131"/>
  <c r="F44" i="131"/>
  <c r="F45" i="131"/>
  <c r="F50" i="131"/>
  <c r="F51" i="131"/>
  <c r="F52" i="131"/>
  <c r="F53" i="131"/>
  <c r="F54" i="131"/>
  <c r="D20" i="131"/>
  <c r="D21" i="131"/>
  <c r="D23" i="131"/>
  <c r="D24" i="131"/>
  <c r="D25" i="131"/>
  <c r="D26" i="131"/>
  <c r="D28" i="131"/>
  <c r="D29" i="131"/>
  <c r="D31" i="131"/>
  <c r="D32" i="131"/>
  <c r="D34" i="131"/>
  <c r="D35" i="131"/>
  <c r="D36" i="131"/>
  <c r="D37" i="131"/>
  <c r="D39" i="131"/>
  <c r="D40" i="131"/>
  <c r="D42" i="131"/>
  <c r="D43" i="131"/>
  <c r="D44" i="131"/>
  <c r="D45" i="131"/>
  <c r="D46" i="131"/>
  <c r="D47" i="131"/>
  <c r="D48" i="131"/>
  <c r="D19" i="131"/>
  <c r="C20" i="131"/>
  <c r="C21" i="131"/>
  <c r="C23" i="131"/>
  <c r="C24" i="131"/>
  <c r="C25" i="131"/>
  <c r="C26" i="131"/>
  <c r="C28" i="131"/>
  <c r="C29" i="131"/>
  <c r="C31" i="131"/>
  <c r="C32" i="131"/>
  <c r="C34" i="131"/>
  <c r="C35" i="131"/>
  <c r="C36" i="131"/>
  <c r="C37" i="131"/>
  <c r="C39" i="131"/>
  <c r="C40" i="131"/>
  <c r="C42" i="131"/>
  <c r="C43" i="131"/>
  <c r="C44" i="131"/>
  <c r="C46" i="131"/>
  <c r="C47" i="131"/>
  <c r="C48" i="131"/>
  <c r="A22" i="131"/>
  <c r="A27" i="131"/>
  <c r="A30" i="131"/>
  <c r="A33" i="131"/>
  <c r="A38" i="131"/>
  <c r="A41" i="131"/>
  <c r="A44" i="131"/>
  <c r="A45" i="131"/>
  <c r="A49" i="131"/>
  <c r="B54" i="131"/>
  <c r="B53" i="131"/>
  <c r="B52" i="131"/>
  <c r="B51" i="131"/>
  <c r="B50" i="131"/>
  <c r="B49" i="131"/>
  <c r="B48" i="131"/>
  <c r="B47" i="131"/>
  <c r="B46" i="131"/>
  <c r="B45" i="131"/>
  <c r="B44" i="131"/>
  <c r="B43" i="131"/>
  <c r="B42" i="131"/>
  <c r="B41" i="131"/>
  <c r="B40" i="131"/>
  <c r="B39" i="131"/>
  <c r="B38" i="131"/>
  <c r="B37" i="131"/>
  <c r="B36" i="131"/>
  <c r="B35" i="131"/>
  <c r="B34" i="131"/>
  <c r="B33" i="131"/>
  <c r="B32" i="131"/>
  <c r="B31" i="131"/>
  <c r="B30" i="131"/>
  <c r="B29" i="131"/>
  <c r="B28" i="131"/>
  <c r="B27" i="131"/>
  <c r="B26" i="131"/>
  <c r="B25" i="131"/>
  <c r="B24" i="131"/>
  <c r="B23" i="131"/>
  <c r="B22" i="131"/>
  <c r="B21" i="131"/>
  <c r="B20" i="131"/>
  <c r="B19" i="131"/>
  <c r="D21" i="69"/>
  <c r="D22" i="69"/>
  <c r="D24" i="69"/>
  <c r="D25" i="69"/>
  <c r="D26" i="69"/>
  <c r="D27" i="69"/>
  <c r="D29" i="69"/>
  <c r="D30" i="69"/>
  <c r="D32" i="69"/>
  <c r="D33" i="69"/>
  <c r="D35" i="69"/>
  <c r="D36" i="69"/>
  <c r="D37" i="69"/>
  <c r="D38" i="69"/>
  <c r="D40" i="69"/>
  <c r="D41" i="69"/>
  <c r="D43" i="69"/>
  <c r="D44" i="69"/>
  <c r="D45" i="69"/>
  <c r="D47" i="69"/>
  <c r="D48" i="69"/>
  <c r="D49" i="69"/>
  <c r="D50" i="69"/>
  <c r="D51" i="69"/>
  <c r="D52" i="69"/>
  <c r="D53" i="69"/>
  <c r="D54" i="69"/>
  <c r="D55" i="69"/>
  <c r="A22" i="129"/>
  <c r="A27" i="129"/>
  <c r="A30" i="129"/>
  <c r="A33" i="129"/>
  <c r="A38" i="129"/>
  <c r="A41" i="129"/>
  <c r="A44" i="129"/>
  <c r="A45" i="129"/>
  <c r="A49" i="129"/>
  <c r="D9" i="129"/>
  <c r="D10" i="129"/>
  <c r="D11" i="129"/>
  <c r="D12" i="129"/>
  <c r="D13" i="129"/>
  <c r="D14" i="129"/>
  <c r="D15" i="129"/>
  <c r="D16" i="129"/>
  <c r="F9" i="129"/>
  <c r="F13" i="129"/>
  <c r="F22" i="129"/>
  <c r="F27" i="129"/>
  <c r="F30" i="129"/>
  <c r="F33" i="129"/>
  <c r="F38" i="129"/>
  <c r="F41" i="129"/>
  <c r="F44" i="129"/>
  <c r="F45" i="129"/>
  <c r="F50" i="129"/>
  <c r="F51" i="129"/>
  <c r="F52" i="129"/>
  <c r="F53" i="129"/>
  <c r="F54" i="129"/>
  <c r="D20" i="129"/>
  <c r="D21" i="129"/>
  <c r="D23" i="129"/>
  <c r="D24" i="129"/>
  <c r="D25" i="129"/>
  <c r="D26" i="129"/>
  <c r="D28" i="129"/>
  <c r="D29" i="129"/>
  <c r="D31" i="129"/>
  <c r="D32" i="129"/>
  <c r="D34" i="129"/>
  <c r="D35" i="129"/>
  <c r="D36" i="129"/>
  <c r="D37" i="129"/>
  <c r="D39" i="129"/>
  <c r="D40" i="129"/>
  <c r="D42" i="129"/>
  <c r="D43" i="129"/>
  <c r="D45" i="129"/>
  <c r="D46" i="129"/>
  <c r="D47" i="129"/>
  <c r="D48" i="129"/>
  <c r="C20" i="129"/>
  <c r="C21" i="129"/>
  <c r="C23" i="129"/>
  <c r="C24" i="129"/>
  <c r="C25" i="129"/>
  <c r="C26" i="129"/>
  <c r="C28" i="129"/>
  <c r="C29" i="129"/>
  <c r="C31" i="129"/>
  <c r="C32" i="129"/>
  <c r="C34" i="129"/>
  <c r="C35" i="129"/>
  <c r="C36" i="129"/>
  <c r="C37" i="129"/>
  <c r="C39" i="129"/>
  <c r="C40" i="129"/>
  <c r="C42" i="129"/>
  <c r="C43" i="129"/>
  <c r="C44" i="129"/>
  <c r="C46" i="129"/>
  <c r="C47" i="129"/>
  <c r="C48" i="129"/>
  <c r="B54" i="129"/>
  <c r="B53" i="129"/>
  <c r="B52" i="129"/>
  <c r="B51" i="129"/>
  <c r="B50" i="129"/>
  <c r="B49" i="129"/>
  <c r="B48" i="129"/>
  <c r="B47" i="129"/>
  <c r="B46" i="129"/>
  <c r="B45" i="129"/>
  <c r="B44" i="129"/>
  <c r="B43" i="129"/>
  <c r="B42" i="129"/>
  <c r="B41" i="129"/>
  <c r="B40" i="129"/>
  <c r="B39" i="129"/>
  <c r="B38" i="129"/>
  <c r="B37" i="129"/>
  <c r="B36" i="129"/>
  <c r="B35" i="129"/>
  <c r="B34" i="129"/>
  <c r="B33" i="129"/>
  <c r="B32" i="129"/>
  <c r="B31" i="129"/>
  <c r="B30" i="129"/>
  <c r="B29" i="129"/>
  <c r="B28" i="129"/>
  <c r="B27" i="129"/>
  <c r="B26" i="129"/>
  <c r="B25" i="129"/>
  <c r="B24" i="129"/>
  <c r="B23" i="129"/>
  <c r="B22" i="129"/>
  <c r="B21" i="129"/>
  <c r="B20" i="129"/>
  <c r="B19" i="129"/>
  <c r="F22" i="128"/>
  <c r="F27" i="128"/>
  <c r="F30" i="128"/>
  <c r="F33" i="128"/>
  <c r="F38" i="128"/>
  <c r="F41" i="128"/>
  <c r="F44" i="128"/>
  <c r="F45" i="128"/>
  <c r="F50" i="128"/>
  <c r="F51" i="128"/>
  <c r="F52" i="128"/>
  <c r="F53" i="128"/>
  <c r="F54" i="128"/>
  <c r="D20" i="128"/>
  <c r="D21" i="128"/>
  <c r="D23" i="128"/>
  <c r="D24" i="128"/>
  <c r="D25" i="128"/>
  <c r="D26" i="128"/>
  <c r="D28" i="128"/>
  <c r="D29" i="128"/>
  <c r="D31" i="128"/>
  <c r="D32" i="128"/>
  <c r="D34" i="128"/>
  <c r="D35" i="128"/>
  <c r="D36" i="128"/>
  <c r="D37" i="128"/>
  <c r="D39" i="128"/>
  <c r="D40" i="128"/>
  <c r="D42" i="128"/>
  <c r="D43" i="128"/>
  <c r="D45" i="128"/>
  <c r="D46" i="128"/>
  <c r="D47" i="128"/>
  <c r="D48" i="128"/>
  <c r="C20" i="128"/>
  <c r="C21" i="128"/>
  <c r="C23" i="128"/>
  <c r="C24" i="128"/>
  <c r="C25" i="128"/>
  <c r="C26" i="128"/>
  <c r="C28" i="128"/>
  <c r="C29" i="128"/>
  <c r="C31" i="128"/>
  <c r="C32" i="128"/>
  <c r="C34" i="128"/>
  <c r="C35" i="128"/>
  <c r="C36" i="128"/>
  <c r="C37" i="128"/>
  <c r="C39" i="128"/>
  <c r="C40" i="128"/>
  <c r="C42" i="128"/>
  <c r="C43" i="128"/>
  <c r="C44" i="128"/>
  <c r="C46" i="128"/>
  <c r="C47" i="128"/>
  <c r="C48" i="128"/>
  <c r="A22" i="128"/>
  <c r="A27" i="128"/>
  <c r="A30" i="128"/>
  <c r="A33" i="128"/>
  <c r="A38" i="128"/>
  <c r="A41" i="128"/>
  <c r="A44" i="128"/>
  <c r="A45" i="128"/>
  <c r="A49" i="128"/>
  <c r="B54" i="128"/>
  <c r="B53" i="128"/>
  <c r="B52" i="128"/>
  <c r="B51" i="128"/>
  <c r="B50" i="128"/>
  <c r="B49" i="128"/>
  <c r="B48" i="128"/>
  <c r="B47" i="128"/>
  <c r="B46" i="128"/>
  <c r="B45" i="128"/>
  <c r="B44" i="128"/>
  <c r="B43" i="128"/>
  <c r="B42" i="128"/>
  <c r="B41" i="128"/>
  <c r="B40" i="128"/>
  <c r="B39" i="128"/>
  <c r="B38" i="128"/>
  <c r="B37" i="128"/>
  <c r="B36" i="128"/>
  <c r="B35" i="128"/>
  <c r="B34" i="128"/>
  <c r="B33" i="128"/>
  <c r="B32" i="128"/>
  <c r="B31" i="128"/>
  <c r="B30" i="128"/>
  <c r="B29" i="128"/>
  <c r="B28" i="128"/>
  <c r="B27" i="128"/>
  <c r="B26" i="128"/>
  <c r="B25" i="128"/>
  <c r="B24" i="128"/>
  <c r="B23" i="128"/>
  <c r="B22" i="128"/>
  <c r="B21" i="128"/>
  <c r="B20" i="128"/>
  <c r="B19" i="128"/>
  <c r="D10" i="128"/>
  <c r="D11" i="128"/>
  <c r="D12" i="128"/>
  <c r="D14" i="128"/>
  <c r="D15" i="128"/>
  <c r="D16" i="128"/>
  <c r="F9" i="128"/>
  <c r="F13" i="128"/>
  <c r="F22" i="127"/>
  <c r="F27" i="127"/>
  <c r="F30" i="127"/>
  <c r="F33" i="127"/>
  <c r="F38" i="127"/>
  <c r="F41" i="127"/>
  <c r="F44" i="127"/>
  <c r="F45" i="127"/>
  <c r="F50" i="127"/>
  <c r="F51" i="127"/>
  <c r="F52" i="127"/>
  <c r="F53" i="127"/>
  <c r="F54" i="127"/>
  <c r="F9" i="127"/>
  <c r="F13" i="127"/>
  <c r="D20" i="127"/>
  <c r="D21" i="127"/>
  <c r="D23" i="127"/>
  <c r="D24" i="127"/>
  <c r="D25" i="127"/>
  <c r="D26" i="127"/>
  <c r="D28" i="127"/>
  <c r="D29" i="127"/>
  <c r="D31" i="127"/>
  <c r="D32" i="127"/>
  <c r="D34" i="127"/>
  <c r="D35" i="127"/>
  <c r="D36" i="127"/>
  <c r="D37" i="127"/>
  <c r="D39" i="127"/>
  <c r="D40" i="127"/>
  <c r="D42" i="127"/>
  <c r="D43" i="127"/>
  <c r="D45" i="127"/>
  <c r="D46" i="127"/>
  <c r="D47" i="127"/>
  <c r="D48" i="127"/>
  <c r="C20" i="127"/>
  <c r="C21" i="127"/>
  <c r="C23" i="127"/>
  <c r="C24" i="127"/>
  <c r="C25" i="127"/>
  <c r="C26" i="127"/>
  <c r="C28" i="127"/>
  <c r="C29" i="127"/>
  <c r="C31" i="127"/>
  <c r="C32" i="127"/>
  <c r="C34" i="127"/>
  <c r="C35" i="127"/>
  <c r="C36" i="127"/>
  <c r="C37" i="127"/>
  <c r="C39" i="127"/>
  <c r="C40" i="127"/>
  <c r="C42" i="127"/>
  <c r="C43" i="127"/>
  <c r="C44" i="127"/>
  <c r="C46" i="127"/>
  <c r="C47" i="127"/>
  <c r="C48" i="127"/>
  <c r="A22" i="127"/>
  <c r="A27" i="127"/>
  <c r="A30" i="127"/>
  <c r="A33" i="127"/>
  <c r="A38" i="127"/>
  <c r="A41" i="127"/>
  <c r="A44" i="127"/>
  <c r="A45" i="127"/>
  <c r="A49" i="127"/>
  <c r="B54" i="127"/>
  <c r="B53" i="127"/>
  <c r="B52" i="127"/>
  <c r="B51" i="127"/>
  <c r="B50" i="127"/>
  <c r="B49" i="127"/>
  <c r="B48" i="127"/>
  <c r="B47" i="127"/>
  <c r="B46" i="127"/>
  <c r="B45" i="127"/>
  <c r="B44" i="127"/>
  <c r="B43" i="127"/>
  <c r="B42" i="127"/>
  <c r="B41" i="127"/>
  <c r="B40" i="127"/>
  <c r="B39" i="127"/>
  <c r="B38" i="127"/>
  <c r="B36" i="127"/>
  <c r="B35" i="127"/>
  <c r="B34" i="127"/>
  <c r="B33" i="127"/>
  <c r="B32" i="127"/>
  <c r="B31" i="127"/>
  <c r="B30" i="127"/>
  <c r="B29" i="127"/>
  <c r="B28" i="127"/>
  <c r="B27" i="127"/>
  <c r="B26" i="127"/>
  <c r="B25" i="127"/>
  <c r="B24" i="127"/>
  <c r="B23" i="127"/>
  <c r="B22" i="127"/>
  <c r="B21" i="127"/>
  <c r="B20" i="127"/>
  <c r="B19" i="127"/>
  <c r="D10" i="127"/>
  <c r="D11" i="127"/>
  <c r="D12" i="127"/>
  <c r="D14" i="127"/>
  <c r="D15" i="127"/>
  <c r="D16" i="127"/>
  <c r="F23" i="69"/>
  <c r="F28" i="69"/>
  <c r="F31" i="69"/>
  <c r="F34" i="69"/>
  <c r="F39" i="69"/>
  <c r="F42" i="69"/>
  <c r="F45" i="69"/>
  <c r="F46" i="69"/>
  <c r="F51" i="69"/>
  <c r="F52" i="69"/>
  <c r="F53" i="69"/>
  <c r="F54" i="69"/>
  <c r="F55" i="69"/>
  <c r="C21" i="69"/>
  <c r="C22" i="69"/>
  <c r="C24" i="69"/>
  <c r="C25" i="69"/>
  <c r="C26" i="69"/>
  <c r="C27" i="69"/>
  <c r="C29" i="69"/>
  <c r="C30" i="69"/>
  <c r="C32" i="69"/>
  <c r="C33" i="69"/>
  <c r="C35" i="69"/>
  <c r="C36" i="69"/>
  <c r="C37" i="69"/>
  <c r="C38" i="69"/>
  <c r="C40" i="69"/>
  <c r="C41" i="69"/>
  <c r="C43" i="69"/>
  <c r="C44" i="69"/>
  <c r="C45" i="69"/>
  <c r="C47" i="69"/>
  <c r="C48" i="69"/>
  <c r="C49" i="69"/>
  <c r="C10" i="69"/>
  <c r="C11" i="69"/>
  <c r="C12" i="69"/>
  <c r="C14" i="69"/>
  <c r="C16" i="69"/>
  <c r="C17" i="69"/>
  <c r="D20" i="69"/>
  <c r="A31" i="69"/>
  <c r="A34" i="69"/>
  <c r="A39" i="69"/>
  <c r="A42" i="69"/>
  <c r="A45" i="69"/>
  <c r="A46" i="69"/>
  <c r="A50" i="69"/>
  <c r="A23" i="69"/>
  <c r="A28" i="69"/>
  <c r="B55" i="69"/>
  <c r="B54" i="69"/>
  <c r="B53" i="69"/>
  <c r="B52" i="69"/>
  <c r="B51" i="69"/>
  <c r="B50" i="69"/>
  <c r="B49" i="69"/>
  <c r="B48" i="69"/>
  <c r="B47" i="69"/>
  <c r="B46" i="69"/>
  <c r="B45" i="69"/>
  <c r="B44" i="69"/>
  <c r="B43" i="69"/>
  <c r="B42" i="69"/>
  <c r="B41" i="69"/>
  <c r="B40" i="69"/>
  <c r="B39" i="69"/>
  <c r="B38" i="69"/>
  <c r="B37" i="69"/>
  <c r="B36" i="69"/>
  <c r="B35" i="69"/>
  <c r="B34" i="69"/>
  <c r="B33" i="69"/>
  <c r="B32" i="69"/>
  <c r="B31" i="69"/>
  <c r="B30" i="69"/>
  <c r="B29" i="69"/>
  <c r="B28" i="69"/>
  <c r="B27" i="69"/>
  <c r="B26" i="69"/>
  <c r="B25" i="69"/>
  <c r="B24" i="69"/>
  <c r="B23" i="69"/>
  <c r="B22" i="69"/>
  <c r="B21" i="69"/>
  <c r="B20" i="69"/>
  <c r="D57" i="73"/>
  <c r="G10" i="73"/>
  <c r="BW28" i="58" l="1"/>
  <c r="BV28" i="58"/>
  <c r="BU28" i="58"/>
  <c r="BW20" i="135"/>
  <c r="BV20" i="135"/>
  <c r="BU20" i="135"/>
  <c r="BW21" i="73"/>
  <c r="BV21" i="73"/>
  <c r="BU21" i="73"/>
  <c r="BW54" i="58"/>
  <c r="BU54" i="58"/>
  <c r="BV54" i="58"/>
  <c r="BW47" i="73" a="1"/>
  <c r="BW29" i="135"/>
  <c r="BU29" i="135"/>
  <c r="BV29" i="135"/>
  <c r="BU42" i="134"/>
  <c r="BW42" i="134"/>
  <c r="BV42" i="134"/>
  <c r="BW60" i="58"/>
  <c r="BV60" i="58"/>
  <c r="BU60" i="58"/>
  <c r="BW32" i="58"/>
  <c r="BU32" i="58"/>
  <c r="BV32" i="58"/>
  <c r="BW20" i="73"/>
  <c r="BV20" i="73"/>
  <c r="BU20" i="73"/>
  <c r="BW52" i="58"/>
  <c r="BU52" i="58"/>
  <c r="BV52" i="58"/>
  <c r="AZ28" i="58"/>
  <c r="BU26" i="134"/>
  <c r="BV26" i="134"/>
  <c r="BW26" i="134"/>
  <c r="BW48" i="135" a="1"/>
  <c r="BV28" i="135"/>
  <c r="BW28" i="135"/>
  <c r="BU28" i="135"/>
  <c r="BW37" i="134" a="1"/>
  <c r="CB55" i="134" s="1"/>
  <c r="BV24" i="136"/>
  <c r="BW24" i="136"/>
  <c r="BU24" i="136"/>
  <c r="BW24" i="58" a="1"/>
  <c r="BW34" i="136"/>
  <c r="BV34" i="136"/>
  <c r="BU34" i="136"/>
  <c r="BW29" i="58"/>
  <c r="BU29" i="58"/>
  <c r="BV29" i="58"/>
  <c r="BW20" i="134"/>
  <c r="BV20" i="134"/>
  <c r="BU20" i="134"/>
  <c r="BW19" i="73"/>
  <c r="BU19" i="73"/>
  <c r="BV19" i="73"/>
  <c r="BW51" i="58"/>
  <c r="BV51" i="58"/>
  <c r="BU51" i="58"/>
  <c r="BW47" i="135" a="1"/>
  <c r="BU26" i="135"/>
  <c r="BV26" i="135"/>
  <c r="BW26" i="135"/>
  <c r="BV36" i="134"/>
  <c r="BU36" i="134"/>
  <c r="BW36" i="134"/>
  <c r="BW55" i="58"/>
  <c r="BV55" i="58"/>
  <c r="BU55" i="58"/>
  <c r="BV31" i="135"/>
  <c r="BW31" i="135"/>
  <c r="BU31" i="135"/>
  <c r="BW19" i="58"/>
  <c r="BV19" i="58"/>
  <c r="BU19" i="58"/>
  <c r="BW43" i="58"/>
  <c r="BU43" i="58"/>
  <c r="BV43" i="58"/>
  <c r="BW46" i="135" a="1"/>
  <c r="BW25" i="135"/>
  <c r="BU25" i="135"/>
  <c r="BV25" i="135"/>
  <c r="BU35" i="134"/>
  <c r="BV35" i="134"/>
  <c r="BW35" i="134"/>
  <c r="H25" i="69"/>
  <c r="BV25" i="134"/>
  <c r="BU25" i="134"/>
  <c r="BW25" i="134"/>
  <c r="BW41" i="58"/>
  <c r="BU41" i="58"/>
  <c r="BV41" i="58"/>
  <c r="BW62" i="58" a="1"/>
  <c r="BW47" i="137"/>
  <c r="BU47" i="137"/>
  <c r="BV47" i="137"/>
  <c r="BU44" i="135"/>
  <c r="BV44" i="135"/>
  <c r="BW44" i="135"/>
  <c r="BW24" i="135" a="1"/>
  <c r="CD55" i="135" s="1"/>
  <c r="BW34" i="134" a="1"/>
  <c r="BW23" i="134"/>
  <c r="BU23" i="134"/>
  <c r="BV23" i="134"/>
  <c r="BW40" i="58" a="1"/>
  <c r="BW31" i="58"/>
  <c r="BU31" i="58"/>
  <c r="BV31" i="58"/>
  <c r="BW34" i="73" a="1"/>
  <c r="BW42" i="135"/>
  <c r="BV42" i="135"/>
  <c r="BU42" i="135"/>
  <c r="BW23" i="135"/>
  <c r="BU23" i="135"/>
  <c r="BV23" i="135"/>
  <c r="BW32" i="134"/>
  <c r="BV32" i="134"/>
  <c r="BU32" i="134"/>
  <c r="F34" i="35"/>
  <c r="BW39" i="58"/>
  <c r="BU39" i="58"/>
  <c r="BV39" i="58"/>
  <c r="BW26" i="58"/>
  <c r="BV26" i="58"/>
  <c r="BU26" i="58"/>
  <c r="BV40" i="135"/>
  <c r="BU40" i="135"/>
  <c r="BW40" i="135"/>
  <c r="BW21" i="135"/>
  <c r="BU21" i="135"/>
  <c r="BV21" i="135"/>
  <c r="BV31" i="134"/>
  <c r="BW31" i="134"/>
  <c r="BU31" i="134"/>
  <c r="BU44" i="134"/>
  <c r="BV44" i="134"/>
  <c r="BW44" i="134"/>
  <c r="BW38" i="58"/>
  <c r="BV38" i="58"/>
  <c r="BU38" i="58"/>
  <c r="BW20" i="58"/>
  <c r="BU20" i="58"/>
  <c r="BV20" i="58"/>
  <c r="BW24" i="73" a="1"/>
  <c r="BX55" i="73" s="1"/>
  <c r="BW39" i="135"/>
  <c r="BV39" i="135"/>
  <c r="BU39" i="135"/>
  <c r="BU19" i="135"/>
  <c r="BV19" i="135"/>
  <c r="BW19" i="135"/>
  <c r="BW29" i="134"/>
  <c r="BU29" i="134"/>
  <c r="BV29" i="134"/>
  <c r="BU46" i="137"/>
  <c r="BV46" i="137"/>
  <c r="BW46" i="137"/>
  <c r="BW34" i="58"/>
  <c r="BV34" i="58"/>
  <c r="BU34" i="58"/>
  <c r="BW37" i="58"/>
  <c r="BV37" i="58"/>
  <c r="BU37" i="58"/>
  <c r="BW28" i="134"/>
  <c r="BU28" i="134"/>
  <c r="BV28" i="134"/>
  <c r="BW21" i="134"/>
  <c r="BV21" i="134"/>
  <c r="BU21" i="134"/>
  <c r="BU36" i="135"/>
  <c r="BV36" i="135"/>
  <c r="BW36" i="135"/>
  <c r="BW48" i="134" a="1"/>
  <c r="BW24" i="134"/>
  <c r="BV24" i="134"/>
  <c r="BU24" i="134"/>
  <c r="BV37" i="137"/>
  <c r="BU37" i="137"/>
  <c r="BW37" i="137"/>
  <c r="BW59" i="58"/>
  <c r="BU59" i="58"/>
  <c r="BV59" i="58"/>
  <c r="BW36" i="58" a="1"/>
  <c r="BW48" i="73" a="1"/>
  <c r="BW61" i="58" a="1"/>
  <c r="BW34" i="135" a="1"/>
  <c r="BW47" i="134" a="1"/>
  <c r="BW19" i="134"/>
  <c r="BV19" i="134"/>
  <c r="BU19" i="134"/>
  <c r="BU37" i="136"/>
  <c r="BW37" i="136"/>
  <c r="BV37" i="136"/>
  <c r="BW37" i="73" a="1"/>
  <c r="BW56" i="58" a="1"/>
  <c r="BW25" i="58"/>
  <c r="BV25" i="58"/>
  <c r="BU25" i="58"/>
  <c r="BW32" i="135"/>
  <c r="BV32" i="135"/>
  <c r="BU32" i="135"/>
  <c r="BW46" i="134"/>
  <c r="BV46" i="134"/>
  <c r="BU46" i="134"/>
  <c r="BV11" i="134"/>
  <c r="BU11" i="134"/>
  <c r="BW11" i="134"/>
  <c r="BU14" i="135"/>
  <c r="BW14" i="135"/>
  <c r="BV14" i="135"/>
  <c r="BW10" i="134"/>
  <c r="BU10" i="134"/>
  <c r="BV10" i="134"/>
  <c r="BW8" i="134"/>
  <c r="BU8" i="134"/>
  <c r="BV8" i="134"/>
  <c r="BW11" i="135"/>
  <c r="BV11" i="135"/>
  <c r="BU11" i="135"/>
  <c r="BW16" i="73"/>
  <c r="BU16" i="73"/>
  <c r="BV16" i="73"/>
  <c r="BV12" i="135"/>
  <c r="BW12" i="135"/>
  <c r="BU12" i="135"/>
  <c r="BW10" i="135"/>
  <c r="BU10" i="135"/>
  <c r="BV10" i="135"/>
  <c r="BW14" i="73"/>
  <c r="BU14" i="73"/>
  <c r="BV14" i="73"/>
  <c r="BW8" i="135"/>
  <c r="BV8" i="135"/>
  <c r="BY55" i="135"/>
  <c r="BU8" i="135"/>
  <c r="CC55" i="135"/>
  <c r="BW12" i="73"/>
  <c r="BV12" i="73"/>
  <c r="BU12" i="73"/>
  <c r="BW16" i="134"/>
  <c r="BV16" i="134"/>
  <c r="BU16" i="134"/>
  <c r="BW11" i="73"/>
  <c r="BV11" i="73"/>
  <c r="BU11" i="73"/>
  <c r="BW10" i="73"/>
  <c r="BU10" i="73"/>
  <c r="BV10" i="73"/>
  <c r="BW8" i="73"/>
  <c r="BU8" i="73"/>
  <c r="BV8" i="73"/>
  <c r="CF55" i="73"/>
  <c r="BW16" i="135"/>
  <c r="BV16" i="135"/>
  <c r="BU16" i="135"/>
  <c r="BW16" i="58"/>
  <c r="BV16" i="58"/>
  <c r="BU16" i="58"/>
  <c r="BW14" i="58"/>
  <c r="BV14" i="58"/>
  <c r="BU14" i="58"/>
  <c r="BW14" i="134"/>
  <c r="BV14" i="134"/>
  <c r="BU14" i="134"/>
  <c r="BW8" i="58"/>
  <c r="BU8" i="58"/>
  <c r="BV8" i="58"/>
  <c r="BV12" i="134"/>
  <c r="BW12" i="134"/>
  <c r="BU12" i="134"/>
  <c r="AZ23" i="58"/>
  <c r="BW23" i="58" a="1"/>
  <c r="BA39" i="21"/>
  <c r="BC39" i="21" s="1"/>
  <c r="BD39" i="21" s="1"/>
  <c r="G21" i="35"/>
  <c r="G44" i="35"/>
  <c r="I44" i="35" s="1"/>
  <c r="BA23" i="21"/>
  <c r="AP23" i="21"/>
  <c r="AP39" i="21"/>
  <c r="T39" i="21"/>
  <c r="V39" i="21" s="1"/>
  <c r="W39" i="21" s="1"/>
  <c r="I36" i="21"/>
  <c r="I50" i="21"/>
  <c r="T50" i="21"/>
  <c r="AE36" i="21"/>
  <c r="T26" i="21"/>
  <c r="AE49" i="21"/>
  <c r="I33" i="21"/>
  <c r="AE26" i="21"/>
  <c r="AE50" i="21"/>
  <c r="T36" i="21"/>
  <c r="I26" i="21"/>
  <c r="I49" i="21"/>
  <c r="I34" i="21"/>
  <c r="AE39" i="21"/>
  <c r="AG39" i="21" s="1"/>
  <c r="AH39" i="21" s="1"/>
  <c r="I39" i="21"/>
  <c r="T49" i="21"/>
  <c r="G34" i="35"/>
  <c r="BY55" i="134" l="1"/>
  <c r="BW47" i="135"/>
  <c r="BV47" i="135"/>
  <c r="BU47" i="135"/>
  <c r="BV48" i="135"/>
  <c r="BW48" i="135"/>
  <c r="BU48" i="135"/>
  <c r="CE55" i="73"/>
  <c r="BZ55" i="135"/>
  <c r="CH55" i="135"/>
  <c r="CH55" i="134"/>
  <c r="BW40" i="58"/>
  <c r="BV40" i="58"/>
  <c r="BU40" i="58"/>
  <c r="BW62" i="58"/>
  <c r="BV62" i="58"/>
  <c r="BU62" i="58"/>
  <c r="BW24" i="58"/>
  <c r="BV24" i="58"/>
  <c r="BU24" i="58"/>
  <c r="CH55" i="73"/>
  <c r="CF55" i="135"/>
  <c r="CC55" i="134"/>
  <c r="BW46" i="135"/>
  <c r="BV46" i="135"/>
  <c r="BU46" i="135"/>
  <c r="BZ55" i="73"/>
  <c r="BX55" i="135"/>
  <c r="BZ55" i="134"/>
  <c r="BV47" i="134"/>
  <c r="BU47" i="134"/>
  <c r="BW47" i="134"/>
  <c r="BW24" i="73"/>
  <c r="BW55" i="73" s="1"/>
  <c r="BU24" i="73"/>
  <c r="BV24" i="73"/>
  <c r="BY55" i="73"/>
  <c r="CB55" i="73"/>
  <c r="CG55" i="135"/>
  <c r="BW34" i="135"/>
  <c r="BV34" i="135"/>
  <c r="BU34" i="135"/>
  <c r="BW34" i="134"/>
  <c r="BV34" i="134"/>
  <c r="BU34" i="134"/>
  <c r="BW37" i="134"/>
  <c r="BW55" i="134" s="1"/>
  <c r="BV37" i="134"/>
  <c r="BU37" i="134"/>
  <c r="CF55" i="134"/>
  <c r="CD55" i="73"/>
  <c r="BW61" i="58"/>
  <c r="BV61" i="58"/>
  <c r="BU61" i="58"/>
  <c r="BV48" i="134"/>
  <c r="BW48" i="134"/>
  <c r="BU48" i="134"/>
  <c r="BV24" i="135"/>
  <c r="BW24" i="135"/>
  <c r="BW55" i="135" s="1"/>
  <c r="BU24" i="135"/>
  <c r="CG55" i="73"/>
  <c r="CE55" i="135"/>
  <c r="BX55" i="134"/>
  <c r="BW48" i="73"/>
  <c r="BU48" i="73"/>
  <c r="BV48" i="73"/>
  <c r="CD55" i="134"/>
  <c r="CB55" i="135"/>
  <c r="CA55" i="134"/>
  <c r="CC55" i="73"/>
  <c r="CA55" i="135"/>
  <c r="CE55" i="134"/>
  <c r="BW56" i="58"/>
  <c r="BV56" i="58"/>
  <c r="BU56" i="58"/>
  <c r="BW36" i="58"/>
  <c r="BV36" i="58"/>
  <c r="BU36" i="58"/>
  <c r="CA55" i="73"/>
  <c r="CG55" i="134"/>
  <c r="BW37" i="73"/>
  <c r="BV37" i="73"/>
  <c r="BU37" i="73"/>
  <c r="BW34" i="73"/>
  <c r="BV34" i="73"/>
  <c r="BU34" i="73"/>
  <c r="BW47" i="73"/>
  <c r="BU47" i="73"/>
  <c r="BV47" i="73"/>
  <c r="BW23" i="58"/>
  <c r="BV23" i="58"/>
  <c r="BU23" i="58"/>
  <c r="T40" i="131"/>
  <c r="S40" i="131"/>
  <c r="R40" i="131"/>
  <c r="Q40" i="131"/>
  <c r="I40" i="131"/>
  <c r="T40" i="129"/>
  <c r="S40" i="129"/>
  <c r="R40" i="129"/>
  <c r="Q40" i="129"/>
  <c r="I40" i="129"/>
  <c r="T40" i="128"/>
  <c r="S40" i="128"/>
  <c r="R40" i="128"/>
  <c r="Q40" i="128"/>
  <c r="I40" i="128"/>
  <c r="T40" i="127"/>
  <c r="S40" i="127"/>
  <c r="R40" i="127"/>
  <c r="Q40" i="127"/>
  <c r="I40" i="127"/>
  <c r="T41" i="69"/>
  <c r="S41" i="69"/>
  <c r="R41" i="69"/>
  <c r="Q41" i="69"/>
  <c r="T39" i="131"/>
  <c r="S39" i="131"/>
  <c r="R39" i="131"/>
  <c r="Q39" i="131"/>
  <c r="I39" i="131"/>
  <c r="T39" i="129"/>
  <c r="S39" i="129"/>
  <c r="R39" i="129"/>
  <c r="Q39" i="129"/>
  <c r="I39" i="129"/>
  <c r="T39" i="128"/>
  <c r="S39" i="128"/>
  <c r="R39" i="128"/>
  <c r="Q39" i="128"/>
  <c r="I39" i="128"/>
  <c r="T39" i="127"/>
  <c r="S39" i="127"/>
  <c r="R39" i="127"/>
  <c r="Q39" i="127"/>
  <c r="J39" i="127"/>
  <c r="T40" i="69"/>
  <c r="S40" i="69"/>
  <c r="R40" i="69"/>
  <c r="Q40" i="69"/>
  <c r="I20" i="131"/>
  <c r="I19" i="131"/>
  <c r="I20" i="129"/>
  <c r="I19" i="129"/>
  <c r="I20" i="128"/>
  <c r="I19" i="128"/>
  <c r="I20" i="127"/>
  <c r="K48" i="58"/>
  <c r="BC48" i="58" s="1"/>
  <c r="I17" i="69" l="1"/>
  <c r="I21" i="69"/>
  <c r="I20" i="69"/>
  <c r="J40" i="69"/>
  <c r="I40" i="69"/>
  <c r="J41" i="69"/>
  <c r="I41" i="69"/>
  <c r="I39" i="127"/>
  <c r="J40" i="129"/>
  <c r="K41" i="69" l="1"/>
  <c r="K40" i="69"/>
  <c r="J39" i="129"/>
  <c r="J40" i="128"/>
  <c r="J40" i="127"/>
  <c r="J40" i="131"/>
  <c r="J39" i="128"/>
  <c r="K39" i="127"/>
  <c r="J39" i="131"/>
  <c r="I48" i="69"/>
  <c r="L40" i="69" l="1"/>
  <c r="L41" i="69"/>
  <c r="O39" i="127"/>
  <c r="P39" i="127"/>
  <c r="K40" i="129"/>
  <c r="K39" i="129"/>
  <c r="N39" i="127"/>
  <c r="M39" i="127"/>
  <c r="L39" i="127"/>
  <c r="K39" i="128"/>
  <c r="K40" i="131"/>
  <c r="K40" i="127"/>
  <c r="K40" i="128"/>
  <c r="K39" i="131"/>
  <c r="N40" i="69" l="1"/>
  <c r="N39" i="128"/>
  <c r="N39" i="131"/>
  <c r="L39" i="129"/>
  <c r="L40" i="129"/>
  <c r="L40" i="131"/>
  <c r="M39" i="128"/>
  <c r="L39" i="128"/>
  <c r="L40" i="128"/>
  <c r="L40" i="127"/>
  <c r="M39" i="131"/>
  <c r="L39" i="131"/>
  <c r="J47" i="58"/>
  <c r="BB47" i="58" s="1"/>
  <c r="K47" i="58"/>
  <c r="BC47" i="58" s="1"/>
  <c r="L47" i="58"/>
  <c r="BD47" i="58" s="1"/>
  <c r="M47" i="58"/>
  <c r="BE47" i="58" s="1"/>
  <c r="N47" i="58"/>
  <c r="BF47" i="58" s="1"/>
  <c r="AY47" i="58" s="1"/>
  <c r="O47" i="58"/>
  <c r="BG47" i="58" s="1"/>
  <c r="P47" i="58"/>
  <c r="BH47" i="58" s="1"/>
  <c r="Q47" i="58"/>
  <c r="BI47" i="58" s="1"/>
  <c r="R47" i="58"/>
  <c r="BJ47" i="58" s="1"/>
  <c r="S47" i="58"/>
  <c r="BK47" i="58" s="1"/>
  <c r="T47" i="58"/>
  <c r="BL47" i="58" s="1"/>
  <c r="AZ47" i="58" s="1"/>
  <c r="J46" i="58"/>
  <c r="BB46" i="58" s="1"/>
  <c r="M41" i="69" l="1"/>
  <c r="P40" i="69"/>
  <c r="M40" i="69"/>
  <c r="N41" i="69"/>
  <c r="O39" i="131"/>
  <c r="P39" i="131"/>
  <c r="P41" i="69"/>
  <c r="O39" i="128"/>
  <c r="P39" i="128"/>
  <c r="O41" i="69"/>
  <c r="M40" i="129"/>
  <c r="M40" i="128"/>
  <c r="M40" i="131"/>
  <c r="M40" i="127"/>
  <c r="M39" i="129"/>
  <c r="I10" i="58"/>
  <c r="BA10" i="58" s="1"/>
  <c r="J10" i="58"/>
  <c r="BB10" i="58" s="1"/>
  <c r="K10" i="58"/>
  <c r="BC10" i="58" s="1"/>
  <c r="L10" i="58"/>
  <c r="BD10" i="58" s="1"/>
  <c r="M10" i="58"/>
  <c r="BE10" i="58" s="1"/>
  <c r="N10" i="58"/>
  <c r="BF10" i="58" s="1"/>
  <c r="AY10" i="58" s="1"/>
  <c r="I11" i="58"/>
  <c r="BA11" i="58" s="1"/>
  <c r="J11" i="58"/>
  <c r="BB11" i="58" s="1"/>
  <c r="K11" i="58"/>
  <c r="BC11" i="58" s="1"/>
  <c r="L11" i="58"/>
  <c r="BD11" i="58" s="1"/>
  <c r="M11" i="58"/>
  <c r="BE11" i="58" s="1"/>
  <c r="N11" i="58"/>
  <c r="BF11" i="58" s="1"/>
  <c r="AY11" i="58" s="1"/>
  <c r="I12" i="58"/>
  <c r="BA12" i="58" s="1"/>
  <c r="J12" i="58"/>
  <c r="BB12" i="58" s="1"/>
  <c r="K12" i="58"/>
  <c r="BC12" i="58" s="1"/>
  <c r="L12" i="58"/>
  <c r="BD12" i="58" s="1"/>
  <c r="M12" i="58"/>
  <c r="BE12" i="58" s="1"/>
  <c r="N12" i="58"/>
  <c r="BF12" i="58" s="1"/>
  <c r="AY12" i="58" s="1"/>
  <c r="O10" i="58"/>
  <c r="BG10" i="58" s="1"/>
  <c r="O40" i="69" l="1"/>
  <c r="O39" i="129"/>
  <c r="P39" i="129"/>
  <c r="O40" i="127"/>
  <c r="N40" i="131"/>
  <c r="N40" i="128"/>
  <c r="N40" i="129"/>
  <c r="N40" i="127"/>
  <c r="N39" i="129"/>
  <c r="O40" i="131" l="1"/>
  <c r="P40" i="131"/>
  <c r="P40" i="127"/>
  <c r="O40" i="129"/>
  <c r="P40" i="129"/>
  <c r="O40" i="128"/>
  <c r="P40" i="128"/>
  <c r="G4" i="35"/>
  <c r="I8" i="127" l="1"/>
  <c r="J8" i="127" l="1"/>
  <c r="K8" i="127" l="1"/>
  <c r="L8" i="127" l="1"/>
  <c r="M8" i="127" l="1"/>
  <c r="R8" i="127"/>
  <c r="N8" i="127" l="1"/>
  <c r="O8" i="127" l="1"/>
  <c r="P8" i="127" l="1"/>
  <c r="Q8" i="127"/>
  <c r="AK18" i="21" l="1"/>
  <c r="T42" i="131" l="1"/>
  <c r="S42" i="131"/>
  <c r="R42" i="131"/>
  <c r="Q42" i="131"/>
  <c r="P42" i="131"/>
  <c r="O42" i="131"/>
  <c r="N42" i="131"/>
  <c r="M42" i="131"/>
  <c r="L42" i="131"/>
  <c r="K42" i="131"/>
  <c r="J42" i="131"/>
  <c r="I42" i="131"/>
  <c r="T42" i="129"/>
  <c r="S42" i="129"/>
  <c r="R42" i="129"/>
  <c r="Q42" i="129"/>
  <c r="P42" i="129"/>
  <c r="O42" i="129"/>
  <c r="N42" i="129"/>
  <c r="M42" i="129"/>
  <c r="L42" i="129"/>
  <c r="K42" i="129"/>
  <c r="J42" i="129"/>
  <c r="I42" i="129"/>
  <c r="T42" i="128"/>
  <c r="S42" i="128"/>
  <c r="R42" i="128"/>
  <c r="Q42" i="128"/>
  <c r="P42" i="128"/>
  <c r="O42" i="128"/>
  <c r="N42" i="128"/>
  <c r="M42" i="128"/>
  <c r="L42" i="128"/>
  <c r="K42" i="128"/>
  <c r="J42" i="128"/>
  <c r="I42" i="128"/>
  <c r="T42" i="127"/>
  <c r="S42" i="127"/>
  <c r="R42" i="127"/>
  <c r="Q42" i="127"/>
  <c r="P42" i="127"/>
  <c r="O42" i="127"/>
  <c r="N42" i="127"/>
  <c r="M42" i="127"/>
  <c r="L42" i="127"/>
  <c r="K42" i="127"/>
  <c r="J42" i="127"/>
  <c r="I42" i="127"/>
  <c r="T43" i="69"/>
  <c r="S43" i="69"/>
  <c r="R43" i="69"/>
  <c r="Q43" i="69"/>
  <c r="P43" i="69"/>
  <c r="O43" i="69"/>
  <c r="N43" i="69"/>
  <c r="M43" i="69"/>
  <c r="L43" i="69"/>
  <c r="J43" i="69"/>
  <c r="K43" i="69"/>
  <c r="P31" i="131" l="1"/>
  <c r="O32" i="69"/>
  <c r="P32" i="69"/>
  <c r="Q32" i="69"/>
  <c r="R32" i="69"/>
  <c r="S32" i="69"/>
  <c r="T32" i="69"/>
  <c r="O31" i="127"/>
  <c r="P31" i="127"/>
  <c r="Q31" i="127"/>
  <c r="R31" i="127"/>
  <c r="S31" i="127"/>
  <c r="T31" i="127"/>
  <c r="O31" i="128"/>
  <c r="P31" i="128"/>
  <c r="Q31" i="128"/>
  <c r="R31" i="128"/>
  <c r="S31" i="128"/>
  <c r="T31" i="128"/>
  <c r="O31" i="129"/>
  <c r="P31" i="129"/>
  <c r="Q31" i="129"/>
  <c r="R31" i="129"/>
  <c r="S31" i="129"/>
  <c r="T31" i="129"/>
  <c r="O31" i="131"/>
  <c r="Q31" i="131"/>
  <c r="R31" i="131"/>
  <c r="S31" i="131"/>
  <c r="T31" i="131"/>
  <c r="I31" i="131"/>
  <c r="L31" i="129" l="1"/>
  <c r="J31" i="127"/>
  <c r="K31" i="128"/>
  <c r="M31" i="128"/>
  <c r="J31" i="128"/>
  <c r="I31" i="127"/>
  <c r="L31" i="128"/>
  <c r="K31" i="131"/>
  <c r="I31" i="128"/>
  <c r="N31" i="127"/>
  <c r="N31" i="129"/>
  <c r="M31" i="129"/>
  <c r="N31" i="131"/>
  <c r="K31" i="129"/>
  <c r="N32" i="69"/>
  <c r="M31" i="131"/>
  <c r="J31" i="129"/>
  <c r="M32" i="69"/>
  <c r="L31" i="131"/>
  <c r="L32" i="69"/>
  <c r="I31" i="129"/>
  <c r="J31" i="131"/>
  <c r="M31" i="127"/>
  <c r="J32" i="69"/>
  <c r="L31" i="127"/>
  <c r="K32" i="69"/>
  <c r="N31" i="128"/>
  <c r="K31" i="127"/>
  <c r="K23" i="129" l="1"/>
  <c r="O23" i="131"/>
  <c r="K23" i="131"/>
  <c r="T24" i="69"/>
  <c r="L23" i="129"/>
  <c r="J23" i="131"/>
  <c r="P23" i="128"/>
  <c r="K24" i="69"/>
  <c r="N23" i="129"/>
  <c r="M23" i="131"/>
  <c r="Q24" i="69"/>
  <c r="N23" i="127"/>
  <c r="L23" i="128"/>
  <c r="T23" i="131"/>
  <c r="K23" i="128"/>
  <c r="J23" i="129"/>
  <c r="I23" i="131"/>
  <c r="S23" i="129"/>
  <c r="M23" i="127"/>
  <c r="S23" i="131"/>
  <c r="R23" i="131"/>
  <c r="I23" i="129"/>
  <c r="P24" i="69"/>
  <c r="J23" i="128"/>
  <c r="Q23" i="131"/>
  <c r="I23" i="128"/>
  <c r="Q23" i="129"/>
  <c r="R23" i="129"/>
  <c r="P23" i="129"/>
  <c r="O23" i="129"/>
  <c r="L23" i="131"/>
  <c r="P23" i="131"/>
  <c r="N23" i="131"/>
  <c r="T23" i="129"/>
  <c r="M23" i="129"/>
  <c r="N23" i="128"/>
  <c r="R23" i="128"/>
  <c r="O23" i="128"/>
  <c r="M23" i="128"/>
  <c r="T23" i="128"/>
  <c r="S23" i="128"/>
  <c r="Q23" i="128"/>
  <c r="S24" i="69"/>
  <c r="R23" i="127"/>
  <c r="O24" i="69"/>
  <c r="K23" i="127" l="1"/>
  <c r="N24" i="69"/>
  <c r="T23" i="127"/>
  <c r="R24" i="69"/>
  <c r="Q23" i="127"/>
  <c r="M24" i="69"/>
  <c r="S23" i="127"/>
  <c r="J23" i="127"/>
  <c r="J24" i="69"/>
  <c r="L23" i="127"/>
  <c r="L24" i="69"/>
  <c r="P23" i="127"/>
  <c r="O23" i="127"/>
  <c r="AZ37" i="21" l="1"/>
  <c r="AM47" i="21"/>
  <c r="AM37" i="21"/>
  <c r="AM33" i="21"/>
  <c r="AM34" i="21"/>
  <c r="AZ31" i="21"/>
  <c r="AZ30" i="21"/>
  <c r="AO31" i="21"/>
  <c r="AO30" i="21"/>
  <c r="AM30" i="21"/>
  <c r="AM31" i="21"/>
  <c r="AM25" i="21"/>
  <c r="C11" i="21"/>
  <c r="C15" i="21"/>
  <c r="I47" i="69"/>
  <c r="BA37" i="21" l="1"/>
  <c r="K28" i="131"/>
  <c r="L28" i="131"/>
  <c r="M28" i="131"/>
  <c r="N28" i="131"/>
  <c r="O28" i="131"/>
  <c r="P28" i="131"/>
  <c r="Q28" i="131"/>
  <c r="R28" i="131"/>
  <c r="S28" i="131"/>
  <c r="T28" i="131"/>
  <c r="J28" i="131"/>
  <c r="K28" i="129"/>
  <c r="L28" i="129"/>
  <c r="M28" i="129"/>
  <c r="N28" i="129"/>
  <c r="O28" i="129"/>
  <c r="P28" i="129"/>
  <c r="Q28" i="129"/>
  <c r="R28" i="129"/>
  <c r="S28" i="129"/>
  <c r="T28" i="129"/>
  <c r="J28" i="129"/>
  <c r="K28" i="128"/>
  <c r="L28" i="128"/>
  <c r="M28" i="128"/>
  <c r="N28" i="128"/>
  <c r="O28" i="128"/>
  <c r="P28" i="128"/>
  <c r="Q28" i="128"/>
  <c r="R28" i="128"/>
  <c r="S28" i="128"/>
  <c r="T28" i="128"/>
  <c r="J28" i="128"/>
  <c r="K28" i="127"/>
  <c r="L28" i="127"/>
  <c r="M28" i="127"/>
  <c r="N28" i="127"/>
  <c r="O28" i="127"/>
  <c r="P28" i="127"/>
  <c r="Q28" i="127"/>
  <c r="R28" i="127"/>
  <c r="S28" i="127"/>
  <c r="T28" i="127"/>
  <c r="J28" i="127"/>
  <c r="K29" i="69"/>
  <c r="L29" i="69"/>
  <c r="M29" i="69"/>
  <c r="N29" i="69"/>
  <c r="O29" i="69"/>
  <c r="P29" i="69"/>
  <c r="Q29" i="69"/>
  <c r="R29" i="69"/>
  <c r="S29" i="69"/>
  <c r="T29" i="69"/>
  <c r="J29" i="69"/>
  <c r="I43" i="69"/>
  <c r="I24" i="69" l="1"/>
  <c r="I23" i="127"/>
  <c r="G35" i="69" l="1"/>
  <c r="H35" i="69"/>
  <c r="G32" i="137"/>
  <c r="G32" i="131" s="1"/>
  <c r="G29" i="137"/>
  <c r="G29" i="131" s="1"/>
  <c r="H29" i="137"/>
  <c r="H29" i="131" s="1"/>
  <c r="G28" i="137"/>
  <c r="G28" i="131" s="1"/>
  <c r="H28" i="137"/>
  <c r="H28" i="131" s="1"/>
  <c r="G23" i="137"/>
  <c r="G23" i="131" s="1"/>
  <c r="AZ25" i="21"/>
  <c r="G48" i="137"/>
  <c r="AO37" i="21"/>
  <c r="G32" i="136"/>
  <c r="G32" i="129" s="1"/>
  <c r="G29" i="136"/>
  <c r="G29" i="129" s="1"/>
  <c r="H29" i="136"/>
  <c r="H29" i="129" s="1"/>
  <c r="G28" i="136"/>
  <c r="G28" i="129" s="1"/>
  <c r="H28" i="136"/>
  <c r="H28" i="129" s="1"/>
  <c r="G23" i="129"/>
  <c r="AO25" i="21"/>
  <c r="G48" i="128"/>
  <c r="AD37" i="21"/>
  <c r="G32" i="135"/>
  <c r="G32" i="128" s="1"/>
  <c r="G29" i="135"/>
  <c r="G29" i="128" s="1"/>
  <c r="H29" i="135"/>
  <c r="H29" i="128" s="1"/>
  <c r="G28" i="135"/>
  <c r="G28" i="128" s="1"/>
  <c r="H28" i="135"/>
  <c r="H28" i="128" s="1"/>
  <c r="G23" i="135"/>
  <c r="G23" i="128" s="1"/>
  <c r="G45" i="127"/>
  <c r="H45" i="127"/>
  <c r="G35" i="134"/>
  <c r="G35" i="127" s="1"/>
  <c r="S37" i="21"/>
  <c r="H35" i="134"/>
  <c r="H35" i="127" s="1"/>
  <c r="G32" i="134"/>
  <c r="G32" i="127" s="1"/>
  <c r="S34" i="21"/>
  <c r="H32" i="134"/>
  <c r="H32" i="127" s="1"/>
  <c r="G31" i="134"/>
  <c r="G31" i="127" s="1"/>
  <c r="S33" i="21"/>
  <c r="H31" i="134"/>
  <c r="H31" i="127" s="1"/>
  <c r="G29" i="134"/>
  <c r="G29" i="127" s="1"/>
  <c r="S31" i="21"/>
  <c r="H29" i="134"/>
  <c r="H29" i="127" s="1"/>
  <c r="G28" i="134"/>
  <c r="G28" i="127" s="1"/>
  <c r="S30" i="21"/>
  <c r="H28" i="134"/>
  <c r="H28" i="127" s="1"/>
  <c r="G23" i="134"/>
  <c r="G23" i="127" s="1"/>
  <c r="S25" i="21"/>
  <c r="H23" i="134"/>
  <c r="H23" i="127" s="1"/>
  <c r="G49" i="69"/>
  <c r="G36" i="73"/>
  <c r="H36" i="73"/>
  <c r="G32" i="73"/>
  <c r="G33" i="69" s="1"/>
  <c r="H32" i="73"/>
  <c r="G31" i="73"/>
  <c r="G32" i="69" s="1"/>
  <c r="H31" i="73"/>
  <c r="G29" i="73"/>
  <c r="G30" i="69" s="1"/>
  <c r="H29" i="73"/>
  <c r="G28" i="73"/>
  <c r="G29" i="69" s="1"/>
  <c r="H28" i="73"/>
  <c r="G23" i="73"/>
  <c r="G24" i="69" s="1"/>
  <c r="H23" i="73"/>
  <c r="D23" i="35"/>
  <c r="D39" i="35"/>
  <c r="H23" i="137" l="1"/>
  <c r="H23" i="131" s="1"/>
  <c r="BA25" i="21"/>
  <c r="BA33" i="21"/>
  <c r="BA34" i="21"/>
  <c r="I25" i="21"/>
  <c r="I31" i="21"/>
  <c r="K31" i="21" s="1"/>
  <c r="I37" i="21"/>
  <c r="T25" i="21"/>
  <c r="T34" i="21"/>
  <c r="T37" i="21"/>
  <c r="AE25" i="21"/>
  <c r="AE34" i="21"/>
  <c r="AP33" i="21"/>
  <c r="AP34" i="21"/>
  <c r="AP37" i="21"/>
  <c r="I30" i="21"/>
  <c r="T33" i="21"/>
  <c r="AE33" i="21"/>
  <c r="AE37" i="21"/>
  <c r="H23" i="129"/>
  <c r="H32" i="136"/>
  <c r="H32" i="129" s="1"/>
  <c r="AO33" i="21"/>
  <c r="H29" i="69"/>
  <c r="H30" i="21"/>
  <c r="H32" i="69"/>
  <c r="H33" i="21"/>
  <c r="H48" i="137"/>
  <c r="H32" i="137"/>
  <c r="H32" i="131" s="1"/>
  <c r="AZ33" i="21"/>
  <c r="AE30" i="21"/>
  <c r="BA30" i="21"/>
  <c r="AP30" i="21"/>
  <c r="T30" i="21"/>
  <c r="AE31" i="21"/>
  <c r="AG31" i="21" s="1"/>
  <c r="T31" i="21"/>
  <c r="V31" i="21" s="1"/>
  <c r="BA31" i="21"/>
  <c r="BC31" i="21" s="1"/>
  <c r="AP31" i="21"/>
  <c r="AR31" i="21" s="1"/>
  <c r="H49" i="69"/>
  <c r="H23" i="135"/>
  <c r="H23" i="128" s="1"/>
  <c r="AD25" i="21"/>
  <c r="H32" i="135"/>
  <c r="H32" i="128" s="1"/>
  <c r="AD33" i="21"/>
  <c r="H48" i="128"/>
  <c r="H24" i="69"/>
  <c r="H25" i="21"/>
  <c r="H30" i="69"/>
  <c r="H31" i="21"/>
  <c r="H33" i="69"/>
  <c r="H34" i="21"/>
  <c r="D44" i="35" l="1"/>
  <c r="AE39" i="35"/>
  <c r="D57" i="137" l="1"/>
  <c r="AZ48" i="21"/>
  <c r="AZ46" i="21"/>
  <c r="G44" i="137"/>
  <c r="AZ44" i="21"/>
  <c r="G42" i="137"/>
  <c r="G42" i="131" s="1"/>
  <c r="H42" i="137"/>
  <c r="H42" i="131" s="1"/>
  <c r="AZ42" i="21"/>
  <c r="G40" i="137"/>
  <c r="G40" i="131" s="1"/>
  <c r="AZ41" i="21"/>
  <c r="G39" i="137"/>
  <c r="G39" i="131" s="1"/>
  <c r="H36" i="137"/>
  <c r="H36" i="131" s="1"/>
  <c r="G36" i="137"/>
  <c r="G36" i="131" s="1"/>
  <c r="H35" i="137"/>
  <c r="H35" i="131" s="1"/>
  <c r="G35" i="137"/>
  <c r="G35" i="131" s="1"/>
  <c r="H31" i="137"/>
  <c r="H31" i="131" s="1"/>
  <c r="G31" i="137"/>
  <c r="G31" i="131" s="1"/>
  <c r="AZ28" i="21"/>
  <c r="G26" i="137"/>
  <c r="G26" i="131" s="1"/>
  <c r="AZ27" i="21"/>
  <c r="G25" i="137"/>
  <c r="G25" i="131" s="1"/>
  <c r="AZ23" i="21"/>
  <c r="G21" i="137"/>
  <c r="G21" i="131" s="1"/>
  <c r="AZ22" i="21"/>
  <c r="G20" i="137"/>
  <c r="G20" i="131" s="1"/>
  <c r="AZ21" i="21"/>
  <c r="G19" i="137"/>
  <c r="G19" i="131" s="1"/>
  <c r="F17" i="137"/>
  <c r="AZ18" i="21"/>
  <c r="G16" i="137"/>
  <c r="G16" i="131" s="1"/>
  <c r="H16" i="137"/>
  <c r="H16" i="131" s="1"/>
  <c r="AZ17" i="21"/>
  <c r="G15" i="137"/>
  <c r="G15" i="131" s="1"/>
  <c r="H15" i="137"/>
  <c r="H15" i="131" s="1"/>
  <c r="AZ16" i="21"/>
  <c r="G14" i="137"/>
  <c r="G14" i="131" s="1"/>
  <c r="T12" i="137"/>
  <c r="S12" i="137"/>
  <c r="BK12" i="137" s="1"/>
  <c r="R12" i="137"/>
  <c r="BJ12" i="137" s="1"/>
  <c r="Q12" i="137"/>
  <c r="BI12" i="137" s="1"/>
  <c r="P12" i="137"/>
  <c r="BH12" i="137" s="1"/>
  <c r="O12" i="137"/>
  <c r="BG12" i="137" s="1"/>
  <c r="N12" i="137"/>
  <c r="M12" i="137"/>
  <c r="BE12" i="137" s="1"/>
  <c r="L12" i="137"/>
  <c r="BD12" i="137" s="1"/>
  <c r="K12" i="137"/>
  <c r="BC12" i="137" s="1"/>
  <c r="J12" i="137"/>
  <c r="BB12" i="137" s="1"/>
  <c r="I12" i="137"/>
  <c r="BA12" i="137" s="1"/>
  <c r="T11" i="137"/>
  <c r="S11" i="137"/>
  <c r="BK11" i="137" s="1"/>
  <c r="R11" i="137"/>
  <c r="BJ11" i="137" s="1"/>
  <c r="Q11" i="137"/>
  <c r="BI11" i="137" s="1"/>
  <c r="P11" i="137"/>
  <c r="BH11" i="137" s="1"/>
  <c r="O11" i="137"/>
  <c r="BG11" i="137" s="1"/>
  <c r="N11" i="137"/>
  <c r="M11" i="137"/>
  <c r="BE11" i="137" s="1"/>
  <c r="L11" i="137"/>
  <c r="BD11" i="137" s="1"/>
  <c r="K11" i="137"/>
  <c r="BC11" i="137" s="1"/>
  <c r="J11" i="137"/>
  <c r="BB11" i="137" s="1"/>
  <c r="I11" i="137"/>
  <c r="BA11" i="137" s="1"/>
  <c r="AZ12" i="21"/>
  <c r="G10" i="137"/>
  <c r="G10" i="131" s="1"/>
  <c r="H10" i="137"/>
  <c r="H10" i="131" s="1"/>
  <c r="T8" i="137"/>
  <c r="S8" i="137"/>
  <c r="BK8" i="137" s="1"/>
  <c r="R8" i="137"/>
  <c r="BJ8" i="137" s="1"/>
  <c r="Q8" i="137"/>
  <c r="BI8" i="137" s="1"/>
  <c r="P8" i="137"/>
  <c r="BH8" i="137" s="1"/>
  <c r="O8" i="137"/>
  <c r="BG8" i="137" s="1"/>
  <c r="N8" i="137"/>
  <c r="M8" i="137"/>
  <c r="BE8" i="137" s="1"/>
  <c r="L8" i="137"/>
  <c r="BD8" i="137" s="1"/>
  <c r="K8" i="137"/>
  <c r="BC8" i="137" s="1"/>
  <c r="J8" i="137"/>
  <c r="BB8" i="137" s="1"/>
  <c r="I8" i="137"/>
  <c r="BA8" i="137" s="1"/>
  <c r="F7" i="137"/>
  <c r="D57" i="136"/>
  <c r="AO48" i="21"/>
  <c r="AO46" i="21"/>
  <c r="G44" i="136"/>
  <c r="G44" i="129" s="1"/>
  <c r="AO45" i="21"/>
  <c r="G43" i="129"/>
  <c r="AO44" i="21"/>
  <c r="G42" i="136"/>
  <c r="G42" i="129" s="1"/>
  <c r="AO42" i="21"/>
  <c r="G40" i="136"/>
  <c r="G40" i="129" s="1"/>
  <c r="G39" i="136"/>
  <c r="G39" i="129" s="1"/>
  <c r="G36" i="136"/>
  <c r="G36" i="129" s="1"/>
  <c r="H36" i="136"/>
  <c r="H36" i="129" s="1"/>
  <c r="H35" i="136"/>
  <c r="H35" i="129" s="1"/>
  <c r="G35" i="136"/>
  <c r="G35" i="129" s="1"/>
  <c r="H31" i="136"/>
  <c r="H31" i="129" s="1"/>
  <c r="G31" i="136"/>
  <c r="G31" i="129" s="1"/>
  <c r="G26" i="136"/>
  <c r="G26" i="129" s="1"/>
  <c r="AO27" i="21"/>
  <c r="G25" i="136"/>
  <c r="G25" i="129" s="1"/>
  <c r="AO23" i="21"/>
  <c r="G21" i="136"/>
  <c r="G21" i="129" s="1"/>
  <c r="AO22" i="21"/>
  <c r="G20" i="136"/>
  <c r="G20" i="129" s="1"/>
  <c r="AO21" i="21"/>
  <c r="G19" i="136"/>
  <c r="G19" i="129" s="1"/>
  <c r="F17" i="136"/>
  <c r="AO18" i="21"/>
  <c r="G16" i="136"/>
  <c r="G16" i="129" s="1"/>
  <c r="AO17" i="21"/>
  <c r="G15" i="136"/>
  <c r="G15" i="129" s="1"/>
  <c r="H15" i="136"/>
  <c r="H15" i="129" s="1"/>
  <c r="AO16" i="21"/>
  <c r="G14" i="136"/>
  <c r="G14" i="129" s="1"/>
  <c r="T12" i="136"/>
  <c r="S12" i="136"/>
  <c r="BK12" i="136" s="1"/>
  <c r="R12" i="136"/>
  <c r="BJ12" i="136" s="1"/>
  <c r="Q12" i="136"/>
  <c r="BI12" i="136" s="1"/>
  <c r="P12" i="136"/>
  <c r="BH12" i="136" s="1"/>
  <c r="O12" i="136"/>
  <c r="BG12" i="136" s="1"/>
  <c r="N12" i="136"/>
  <c r="M12" i="136"/>
  <c r="BE12" i="136" s="1"/>
  <c r="L12" i="136"/>
  <c r="BD12" i="136" s="1"/>
  <c r="K12" i="136"/>
  <c r="BC12" i="136" s="1"/>
  <c r="J12" i="136"/>
  <c r="BB12" i="136" s="1"/>
  <c r="I12" i="136"/>
  <c r="BA12" i="136" s="1"/>
  <c r="AO13" i="21"/>
  <c r="G11" i="136"/>
  <c r="G11" i="129" s="1"/>
  <c r="G10" i="136"/>
  <c r="G10" i="129" s="1"/>
  <c r="H10" i="136"/>
  <c r="H10" i="129" s="1"/>
  <c r="T8" i="136"/>
  <c r="S8" i="136"/>
  <c r="BK8" i="136" s="1"/>
  <c r="R8" i="136"/>
  <c r="BJ8" i="136" s="1"/>
  <c r="Q8" i="136"/>
  <c r="BI8" i="136" s="1"/>
  <c r="P8" i="136"/>
  <c r="BH8" i="136" s="1"/>
  <c r="O8" i="136"/>
  <c r="BG8" i="136" s="1"/>
  <c r="N8" i="136"/>
  <c r="M8" i="136"/>
  <c r="BE8" i="136" s="1"/>
  <c r="L8" i="136"/>
  <c r="BD8" i="136" s="1"/>
  <c r="K8" i="136"/>
  <c r="BC8" i="136" s="1"/>
  <c r="J8" i="136"/>
  <c r="BB8" i="136" s="1"/>
  <c r="I8" i="136"/>
  <c r="BA8" i="136" s="1"/>
  <c r="F7" i="136"/>
  <c r="D57" i="135"/>
  <c r="H44" i="135"/>
  <c r="H44" i="128" s="1"/>
  <c r="G44" i="135"/>
  <c r="G44" i="128" s="1"/>
  <c r="AD45" i="21"/>
  <c r="G43" i="128"/>
  <c r="AD44" i="21"/>
  <c r="G42" i="135"/>
  <c r="G42" i="128" s="1"/>
  <c r="AD42" i="21"/>
  <c r="G40" i="135"/>
  <c r="G40" i="128" s="1"/>
  <c r="AD41" i="21"/>
  <c r="G39" i="135"/>
  <c r="G39" i="128" s="1"/>
  <c r="G36" i="135"/>
  <c r="G36" i="128" s="1"/>
  <c r="H36" i="135"/>
  <c r="H36" i="128" s="1"/>
  <c r="H35" i="135"/>
  <c r="H35" i="128" s="1"/>
  <c r="G35" i="135"/>
  <c r="G35" i="128" s="1"/>
  <c r="H31" i="135"/>
  <c r="H31" i="128" s="1"/>
  <c r="G31" i="135"/>
  <c r="G31" i="128" s="1"/>
  <c r="AD28" i="21"/>
  <c r="G26" i="135"/>
  <c r="G26" i="128" s="1"/>
  <c r="AD27" i="21"/>
  <c r="G25" i="135"/>
  <c r="G25" i="128" s="1"/>
  <c r="AD23" i="21"/>
  <c r="G21" i="135"/>
  <c r="G21" i="128" s="1"/>
  <c r="AD22" i="21"/>
  <c r="G20" i="135"/>
  <c r="G20" i="128" s="1"/>
  <c r="AD21" i="21"/>
  <c r="G19" i="135"/>
  <c r="G19" i="128" s="1"/>
  <c r="F17" i="135"/>
  <c r="AD18" i="21"/>
  <c r="G16" i="135"/>
  <c r="G16" i="128" s="1"/>
  <c r="AD17" i="21"/>
  <c r="G15" i="135"/>
  <c r="G15" i="128" s="1"/>
  <c r="AD16" i="21"/>
  <c r="G14" i="135"/>
  <c r="G14" i="128" s="1"/>
  <c r="AD14" i="21"/>
  <c r="G12" i="135"/>
  <c r="G12" i="128" s="1"/>
  <c r="AD13" i="21"/>
  <c r="G11" i="135"/>
  <c r="G11" i="128" s="1"/>
  <c r="G10" i="135"/>
  <c r="G10" i="128" s="1"/>
  <c r="H10" i="135"/>
  <c r="H10" i="128" s="1"/>
  <c r="AD10" i="21"/>
  <c r="G8" i="135"/>
  <c r="G8" i="128" s="1"/>
  <c r="F7" i="135"/>
  <c r="D57" i="134"/>
  <c r="H46" i="134"/>
  <c r="H46" i="127" s="1"/>
  <c r="S48" i="21"/>
  <c r="G46" i="134"/>
  <c r="G46" i="127" s="1"/>
  <c r="H44" i="134"/>
  <c r="H44" i="127" s="1"/>
  <c r="S46" i="21"/>
  <c r="G44" i="134"/>
  <c r="G44" i="127" s="1"/>
  <c r="H43" i="127"/>
  <c r="S45" i="21"/>
  <c r="G43" i="127"/>
  <c r="H42" i="134"/>
  <c r="H42" i="127" s="1"/>
  <c r="S44" i="21"/>
  <c r="G42" i="134"/>
  <c r="G42" i="127" s="1"/>
  <c r="H40" i="134"/>
  <c r="H40" i="127" s="1"/>
  <c r="S42" i="21"/>
  <c r="G40" i="134"/>
  <c r="G40" i="127" s="1"/>
  <c r="H39" i="134"/>
  <c r="H39" i="127" s="1"/>
  <c r="G39" i="134"/>
  <c r="G39" i="127" s="1"/>
  <c r="H36" i="134"/>
  <c r="H36" i="127" s="1"/>
  <c r="S38" i="21"/>
  <c r="G36" i="134"/>
  <c r="G36" i="127" s="1"/>
  <c r="H26" i="134"/>
  <c r="H26" i="127" s="1"/>
  <c r="S28" i="21"/>
  <c r="G26" i="134"/>
  <c r="G26" i="127" s="1"/>
  <c r="S27" i="21"/>
  <c r="G25" i="134"/>
  <c r="G25" i="127" s="1"/>
  <c r="H25" i="134"/>
  <c r="H25" i="127" s="1"/>
  <c r="S24" i="21"/>
  <c r="H21" i="134"/>
  <c r="H21" i="127" s="1"/>
  <c r="S23" i="21"/>
  <c r="G21" i="134"/>
  <c r="G21" i="127" s="1"/>
  <c r="H20" i="134"/>
  <c r="H20" i="127" s="1"/>
  <c r="S22" i="21"/>
  <c r="G20" i="134"/>
  <c r="G20" i="127" s="1"/>
  <c r="H19" i="134"/>
  <c r="H19" i="127" s="1"/>
  <c r="S21" i="21"/>
  <c r="G19" i="134"/>
  <c r="G19" i="127" s="1"/>
  <c r="F17" i="134"/>
  <c r="S18" i="21"/>
  <c r="G16" i="134"/>
  <c r="G16" i="127" s="1"/>
  <c r="S17" i="21"/>
  <c r="G15" i="127"/>
  <c r="S16" i="21"/>
  <c r="G14" i="134"/>
  <c r="G14" i="127" s="1"/>
  <c r="S14" i="21"/>
  <c r="G12" i="134"/>
  <c r="G12" i="127" s="1"/>
  <c r="H12" i="134"/>
  <c r="H12" i="127" s="1"/>
  <c r="S13" i="21"/>
  <c r="G11" i="134"/>
  <c r="G11" i="127" s="1"/>
  <c r="S12" i="21"/>
  <c r="G10" i="134"/>
  <c r="G10" i="127" s="1"/>
  <c r="H10" i="134"/>
  <c r="H10" i="127" s="1"/>
  <c r="S10" i="21"/>
  <c r="G8" i="134"/>
  <c r="G8" i="127" s="1"/>
  <c r="F7" i="134"/>
  <c r="H46" i="73"/>
  <c r="H47" i="69" s="1"/>
  <c r="G46" i="73"/>
  <c r="G47" i="69" s="1"/>
  <c r="H44" i="73"/>
  <c r="H45" i="69" s="1"/>
  <c r="G44" i="73"/>
  <c r="H44" i="69"/>
  <c r="G44" i="69"/>
  <c r="H42" i="73"/>
  <c r="G42" i="73"/>
  <c r="G43" i="69" s="1"/>
  <c r="H40" i="73"/>
  <c r="H41" i="69" s="1"/>
  <c r="G40" i="73"/>
  <c r="G41" i="69" s="1"/>
  <c r="H39" i="73"/>
  <c r="H40" i="69" s="1"/>
  <c r="G39" i="73"/>
  <c r="G40" i="69" s="1"/>
  <c r="G37" i="69"/>
  <c r="H35" i="73"/>
  <c r="G35" i="73"/>
  <c r="G36" i="69" s="1"/>
  <c r="G34" i="69"/>
  <c r="H26" i="73"/>
  <c r="H28" i="21" s="1"/>
  <c r="G26" i="73"/>
  <c r="G27" i="69" s="1"/>
  <c r="H25" i="73"/>
  <c r="G25" i="73"/>
  <c r="G26" i="69" s="1"/>
  <c r="H21" i="73"/>
  <c r="G21" i="73"/>
  <c r="G22" i="69" s="1"/>
  <c r="H20" i="73"/>
  <c r="G20" i="73"/>
  <c r="G21" i="69" s="1"/>
  <c r="H19" i="73"/>
  <c r="G19" i="73"/>
  <c r="G20" i="69" s="1"/>
  <c r="F17" i="73"/>
  <c r="H16" i="73"/>
  <c r="H17" i="69" s="1"/>
  <c r="H15" i="73"/>
  <c r="H16" i="69" s="1"/>
  <c r="H15" i="69"/>
  <c r="H14" i="73"/>
  <c r="H14" i="69" s="1"/>
  <c r="H12" i="73"/>
  <c r="H14" i="21" s="1"/>
  <c r="H11" i="73"/>
  <c r="H13" i="21" s="1"/>
  <c r="G10" i="69"/>
  <c r="H10" i="73"/>
  <c r="H12" i="21" s="1"/>
  <c r="H8" i="73"/>
  <c r="H10" i="21" s="1"/>
  <c r="F7" i="73"/>
  <c r="D71" i="58"/>
  <c r="H59" i="58"/>
  <c r="G59" i="58"/>
  <c r="G59" i="36" s="1"/>
  <c r="H57" i="58"/>
  <c r="G57" i="58"/>
  <c r="G57" i="36" s="1"/>
  <c r="H55" i="58"/>
  <c r="H55" i="36" s="1"/>
  <c r="G55" i="58"/>
  <c r="G55" i="36" s="1"/>
  <c r="H54" i="58"/>
  <c r="G54" i="58"/>
  <c r="G54" i="36" s="1"/>
  <c r="H52" i="58"/>
  <c r="H52" i="36" s="1"/>
  <c r="G52" i="58"/>
  <c r="G52" i="36" s="1"/>
  <c r="U51" i="58"/>
  <c r="H51" i="58"/>
  <c r="H51" i="36" s="1"/>
  <c r="G51" i="58"/>
  <c r="G51" i="36" s="1"/>
  <c r="U50" i="58"/>
  <c r="H50" i="58"/>
  <c r="G50" i="58"/>
  <c r="G50" i="36" s="1"/>
  <c r="H47" i="58"/>
  <c r="G47" i="58"/>
  <c r="G47" i="36" s="1"/>
  <c r="H43" i="58"/>
  <c r="G43" i="58"/>
  <c r="G43" i="36" s="1"/>
  <c r="H41" i="58"/>
  <c r="H41" i="36" s="1"/>
  <c r="G41" i="58"/>
  <c r="G41" i="36" s="1"/>
  <c r="H39" i="58"/>
  <c r="G39" i="58"/>
  <c r="G39" i="36" s="1"/>
  <c r="H38" i="58"/>
  <c r="G38" i="58"/>
  <c r="G38" i="36" s="1"/>
  <c r="H37" i="58"/>
  <c r="H37" i="36" s="1"/>
  <c r="G37" i="58"/>
  <c r="G37" i="36" s="1"/>
  <c r="H32" i="58"/>
  <c r="G32" i="58"/>
  <c r="G32" i="36" s="1"/>
  <c r="H31" i="58"/>
  <c r="G31" i="58"/>
  <c r="G31" i="36" s="1"/>
  <c r="H29" i="58"/>
  <c r="H29" i="36" s="1"/>
  <c r="G29" i="58"/>
  <c r="G29" i="36" s="1"/>
  <c r="H28" i="58"/>
  <c r="H28" i="36" s="1"/>
  <c r="G28" i="58"/>
  <c r="G28" i="36" s="1"/>
  <c r="H26" i="58"/>
  <c r="G26" i="58"/>
  <c r="G26" i="36" s="1"/>
  <c r="H25" i="58"/>
  <c r="H25" i="36" s="1"/>
  <c r="G25" i="58"/>
  <c r="G25" i="36" s="1"/>
  <c r="H20" i="58"/>
  <c r="G20" i="58"/>
  <c r="G20" i="36" s="1"/>
  <c r="H19" i="36"/>
  <c r="G19" i="58"/>
  <c r="G19" i="36" s="1"/>
  <c r="F17" i="58"/>
  <c r="H16" i="58"/>
  <c r="G16" i="58"/>
  <c r="G16" i="36" s="1"/>
  <c r="H15" i="58"/>
  <c r="G15" i="58"/>
  <c r="G15" i="36" s="1"/>
  <c r="H14" i="58"/>
  <c r="F14" i="35" s="1"/>
  <c r="G14" i="58"/>
  <c r="G14" i="36" s="1"/>
  <c r="T12" i="58"/>
  <c r="S12" i="58"/>
  <c r="BK12" i="58" s="1"/>
  <c r="R12" i="58"/>
  <c r="BJ12" i="58" s="1"/>
  <c r="Q12" i="58"/>
  <c r="BI12" i="58" s="1"/>
  <c r="P12" i="58"/>
  <c r="BH12" i="58" s="1"/>
  <c r="O12" i="58"/>
  <c r="BG12" i="58" s="1"/>
  <c r="G12" i="58"/>
  <c r="G12" i="36" s="1"/>
  <c r="T11" i="58"/>
  <c r="S11" i="58"/>
  <c r="BK11" i="58" s="1"/>
  <c r="R11" i="58"/>
  <c r="BJ11" i="58" s="1"/>
  <c r="Q11" i="58"/>
  <c r="BI11" i="58" s="1"/>
  <c r="P11" i="58"/>
  <c r="BH11" i="58" s="1"/>
  <c r="O11" i="58"/>
  <c r="BG11" i="58" s="1"/>
  <c r="G11" i="58"/>
  <c r="G11" i="36" s="1"/>
  <c r="T10" i="58"/>
  <c r="BL10" i="58" s="1"/>
  <c r="AZ10" i="58" s="1"/>
  <c r="S10" i="58"/>
  <c r="BK10" i="58" s="1"/>
  <c r="R10" i="58"/>
  <c r="BJ10" i="58" s="1"/>
  <c r="Q10" i="58"/>
  <c r="BI10" i="58" s="1"/>
  <c r="P10" i="58"/>
  <c r="BH10" i="58" s="1"/>
  <c r="BW10" i="58" s="1" a="1"/>
  <c r="G10" i="58"/>
  <c r="G10" i="36" s="1"/>
  <c r="F7" i="58"/>
  <c r="B55" i="131"/>
  <c r="E54" i="131"/>
  <c r="E52" i="131"/>
  <c r="E51" i="131"/>
  <c r="E50" i="131"/>
  <c r="E39" i="131"/>
  <c r="E38" i="131"/>
  <c r="E37" i="131"/>
  <c r="E33" i="131"/>
  <c r="E31" i="131"/>
  <c r="E26" i="131"/>
  <c r="E25" i="131"/>
  <c r="E22" i="131"/>
  <c r="E21" i="131"/>
  <c r="E20" i="131"/>
  <c r="E19" i="131"/>
  <c r="C19" i="131"/>
  <c r="F18" i="131"/>
  <c r="B18" i="131"/>
  <c r="A18" i="131"/>
  <c r="B17" i="131"/>
  <c r="A17" i="131"/>
  <c r="E16" i="131"/>
  <c r="D16" i="131"/>
  <c r="C16" i="131"/>
  <c r="B16" i="131"/>
  <c r="D15" i="131"/>
  <c r="C15" i="131"/>
  <c r="B15" i="131"/>
  <c r="D14" i="131"/>
  <c r="C14" i="131"/>
  <c r="B14" i="131"/>
  <c r="F13" i="131"/>
  <c r="B13" i="131"/>
  <c r="A13" i="131"/>
  <c r="E12" i="131"/>
  <c r="D12" i="131"/>
  <c r="C12" i="131"/>
  <c r="B12" i="131"/>
  <c r="E11" i="131"/>
  <c r="D11" i="131"/>
  <c r="C11" i="131"/>
  <c r="B11" i="131"/>
  <c r="E10" i="131"/>
  <c r="D10" i="131"/>
  <c r="C10" i="131"/>
  <c r="B10" i="131"/>
  <c r="F9" i="131"/>
  <c r="B9" i="131"/>
  <c r="A9" i="131"/>
  <c r="F8" i="131"/>
  <c r="E8" i="131"/>
  <c r="D8" i="131"/>
  <c r="C8" i="131"/>
  <c r="B8" i="131"/>
  <c r="A8" i="131"/>
  <c r="B7" i="131"/>
  <c r="B55" i="129"/>
  <c r="E54" i="129"/>
  <c r="E52" i="129"/>
  <c r="E51" i="129"/>
  <c r="E50" i="129"/>
  <c r="E49" i="129"/>
  <c r="E33" i="129"/>
  <c r="E31" i="129"/>
  <c r="E26" i="129"/>
  <c r="E25" i="129"/>
  <c r="E22" i="129"/>
  <c r="E21" i="129"/>
  <c r="E20" i="129"/>
  <c r="E19" i="129"/>
  <c r="D19" i="129"/>
  <c r="C19" i="129"/>
  <c r="F18" i="129"/>
  <c r="B18" i="129"/>
  <c r="A18" i="129"/>
  <c r="B17" i="129"/>
  <c r="A17" i="129"/>
  <c r="E16" i="129"/>
  <c r="C16" i="129"/>
  <c r="B16" i="129"/>
  <c r="C15" i="129"/>
  <c r="B15" i="129"/>
  <c r="C14" i="129"/>
  <c r="B14" i="129"/>
  <c r="B13" i="129"/>
  <c r="A13" i="129"/>
  <c r="E12" i="129"/>
  <c r="C12" i="129"/>
  <c r="B12" i="129"/>
  <c r="E11" i="129"/>
  <c r="C11" i="129"/>
  <c r="B11" i="129"/>
  <c r="E10" i="129"/>
  <c r="C10" i="129"/>
  <c r="B10" i="129"/>
  <c r="B9" i="129"/>
  <c r="A9" i="129"/>
  <c r="F8" i="129"/>
  <c r="E8" i="129"/>
  <c r="D8" i="129"/>
  <c r="C8" i="129"/>
  <c r="B8" i="129"/>
  <c r="A8" i="129"/>
  <c r="B7" i="129"/>
  <c r="B55" i="128"/>
  <c r="E54" i="128"/>
  <c r="E52" i="128"/>
  <c r="E51" i="128"/>
  <c r="E50" i="128"/>
  <c r="E49" i="128"/>
  <c r="E43" i="128"/>
  <c r="E42" i="128"/>
  <c r="E41" i="128"/>
  <c r="E40" i="128"/>
  <c r="E38" i="128"/>
  <c r="E21" i="128"/>
  <c r="E20" i="128"/>
  <c r="E19" i="128"/>
  <c r="D19" i="128"/>
  <c r="C19" i="128"/>
  <c r="F18" i="128"/>
  <c r="B18" i="128"/>
  <c r="A18" i="128"/>
  <c r="B17" i="128"/>
  <c r="A17" i="128"/>
  <c r="E16" i="128"/>
  <c r="C16" i="128"/>
  <c r="B16" i="128"/>
  <c r="E15" i="128"/>
  <c r="C15" i="128"/>
  <c r="C14" i="128"/>
  <c r="B13" i="128"/>
  <c r="A13" i="128"/>
  <c r="C12" i="128"/>
  <c r="B12" i="128"/>
  <c r="C11" i="128"/>
  <c r="B11" i="128"/>
  <c r="E10" i="128"/>
  <c r="C10" i="128"/>
  <c r="B10" i="128"/>
  <c r="B9" i="128"/>
  <c r="A9" i="128"/>
  <c r="F8" i="128"/>
  <c r="F7" i="128" s="1"/>
  <c r="E8" i="128"/>
  <c r="D8" i="128"/>
  <c r="C8" i="128"/>
  <c r="B8" i="128"/>
  <c r="A8" i="128"/>
  <c r="B7" i="128"/>
  <c r="B55" i="127"/>
  <c r="E54" i="127"/>
  <c r="E52" i="127"/>
  <c r="E51" i="127"/>
  <c r="E50" i="127"/>
  <c r="E39" i="127"/>
  <c r="E38" i="127"/>
  <c r="E37" i="127"/>
  <c r="E33" i="127"/>
  <c r="E30" i="127"/>
  <c r="E26" i="127"/>
  <c r="E25" i="127"/>
  <c r="E22" i="127"/>
  <c r="E21" i="127"/>
  <c r="E20" i="127"/>
  <c r="E19" i="127"/>
  <c r="D19" i="127"/>
  <c r="C19" i="127"/>
  <c r="F18" i="127"/>
  <c r="B18" i="127"/>
  <c r="A18" i="127"/>
  <c r="B17" i="127"/>
  <c r="A17" i="127"/>
  <c r="E16" i="127"/>
  <c r="C16" i="127"/>
  <c r="B16" i="127"/>
  <c r="E15" i="127"/>
  <c r="C15" i="127"/>
  <c r="B15" i="127"/>
  <c r="C14" i="127"/>
  <c r="B14" i="127"/>
  <c r="B13" i="127"/>
  <c r="A13" i="127"/>
  <c r="C12" i="127"/>
  <c r="B12" i="127"/>
  <c r="C11" i="127"/>
  <c r="B11" i="127"/>
  <c r="E10" i="127"/>
  <c r="C10" i="127"/>
  <c r="B10" i="127"/>
  <c r="B9" i="127"/>
  <c r="A9" i="127"/>
  <c r="F8" i="127"/>
  <c r="E8" i="127"/>
  <c r="D8" i="127"/>
  <c r="C8" i="127"/>
  <c r="B8" i="127"/>
  <c r="A8" i="127"/>
  <c r="B7" i="127"/>
  <c r="B56" i="69"/>
  <c r="E55" i="69"/>
  <c r="E53" i="69"/>
  <c r="E52" i="69"/>
  <c r="E51" i="69"/>
  <c r="E50" i="69"/>
  <c r="H37" i="69"/>
  <c r="T34" i="69"/>
  <c r="S34" i="69"/>
  <c r="R34" i="69"/>
  <c r="Q34" i="69"/>
  <c r="P34" i="69"/>
  <c r="O34" i="69"/>
  <c r="N34" i="69"/>
  <c r="M34" i="69"/>
  <c r="L34" i="69"/>
  <c r="K34" i="69"/>
  <c r="J34" i="69"/>
  <c r="I34" i="69"/>
  <c r="E34" i="69"/>
  <c r="E31" i="69"/>
  <c r="E27" i="69"/>
  <c r="E26" i="69"/>
  <c r="E23" i="69"/>
  <c r="E22" i="69"/>
  <c r="E21" i="69"/>
  <c r="E20" i="69"/>
  <c r="C20" i="69"/>
  <c r="F19" i="69"/>
  <c r="B19" i="69"/>
  <c r="A19" i="69"/>
  <c r="B18" i="69"/>
  <c r="A18" i="69"/>
  <c r="F17" i="69"/>
  <c r="E17" i="69"/>
  <c r="D17" i="69"/>
  <c r="B17" i="69"/>
  <c r="D16" i="69"/>
  <c r="B16" i="69"/>
  <c r="D15" i="69"/>
  <c r="B15" i="69"/>
  <c r="D14" i="69"/>
  <c r="B14" i="69"/>
  <c r="F13" i="69"/>
  <c r="B13" i="69"/>
  <c r="A13" i="69"/>
  <c r="E12" i="69"/>
  <c r="D12" i="69"/>
  <c r="B12" i="69"/>
  <c r="E11" i="69"/>
  <c r="D11" i="69"/>
  <c r="B11" i="69"/>
  <c r="E10" i="69"/>
  <c r="D10" i="69"/>
  <c r="B10" i="69"/>
  <c r="F9" i="69"/>
  <c r="B9" i="69"/>
  <c r="A9" i="69"/>
  <c r="F8" i="69"/>
  <c r="E8" i="69"/>
  <c r="D8" i="69"/>
  <c r="C8" i="69"/>
  <c r="B8" i="69"/>
  <c r="A8" i="69"/>
  <c r="B7" i="69"/>
  <c r="U58" i="36"/>
  <c r="U56" i="36"/>
  <c r="U55" i="36"/>
  <c r="U54" i="36"/>
  <c r="U53" i="36"/>
  <c r="AM45" i="21"/>
  <c r="AM44" i="21"/>
  <c r="AM42" i="21"/>
  <c r="AM41" i="21"/>
  <c r="AO38" i="21"/>
  <c r="AM38" i="21"/>
  <c r="AP38" i="21"/>
  <c r="AD38" i="21"/>
  <c r="H38" i="21"/>
  <c r="AM28" i="21"/>
  <c r="AM27" i="21"/>
  <c r="AM23" i="21"/>
  <c r="AM22" i="21"/>
  <c r="AX21" i="21"/>
  <c r="AM21" i="21"/>
  <c r="AL21" i="21"/>
  <c r="AB21" i="21"/>
  <c r="AA21" i="21"/>
  <c r="Q21" i="21"/>
  <c r="F21" i="21"/>
  <c r="E21" i="21"/>
  <c r="AY20" i="21"/>
  <c r="AV20" i="21"/>
  <c r="AU20" i="21"/>
  <c r="AN20" i="21"/>
  <c r="AK20" i="21"/>
  <c r="AJ20" i="21"/>
  <c r="AC20" i="21"/>
  <c r="Z20" i="21"/>
  <c r="Y20" i="21"/>
  <c r="R20" i="21"/>
  <c r="N20" i="21"/>
  <c r="D20" i="21"/>
  <c r="C20" i="21"/>
  <c r="D19" i="21"/>
  <c r="Z19" i="21" s="1"/>
  <c r="C19" i="21"/>
  <c r="AJ19" i="21" s="1"/>
  <c r="AX18" i="21"/>
  <c r="AV18" i="21"/>
  <c r="AM18" i="21"/>
  <c r="AL18" i="21"/>
  <c r="AB18" i="21"/>
  <c r="AA18" i="21"/>
  <c r="Z18" i="21"/>
  <c r="O18" i="21"/>
  <c r="E18" i="21"/>
  <c r="D18" i="21"/>
  <c r="AX17" i="21"/>
  <c r="AV17" i="21"/>
  <c r="AM17" i="21"/>
  <c r="AL17" i="21"/>
  <c r="AK17" i="21"/>
  <c r="AB17" i="21"/>
  <c r="AA17" i="21"/>
  <c r="Z17" i="21"/>
  <c r="O17" i="21"/>
  <c r="D17" i="21"/>
  <c r="AX16" i="21"/>
  <c r="AV16" i="21"/>
  <c r="AM16" i="21"/>
  <c r="AL16" i="21"/>
  <c r="AK16" i="21"/>
  <c r="AB16" i="21"/>
  <c r="AA16" i="21"/>
  <c r="Z16" i="21"/>
  <c r="O16" i="21"/>
  <c r="D16" i="21"/>
  <c r="AY15" i="21"/>
  <c r="AV15" i="21"/>
  <c r="AU15" i="21"/>
  <c r="AN15" i="21"/>
  <c r="AK15" i="21"/>
  <c r="AJ15" i="21"/>
  <c r="AC15" i="21"/>
  <c r="Z15" i="21"/>
  <c r="Y15" i="21"/>
  <c r="R15" i="21"/>
  <c r="O15" i="21"/>
  <c r="N15" i="21"/>
  <c r="D15" i="21"/>
  <c r="AX14" i="21"/>
  <c r="AV14" i="21"/>
  <c r="AM14" i="21"/>
  <c r="AL14" i="21"/>
  <c r="AK14" i="21"/>
  <c r="AB14" i="21"/>
  <c r="AA14" i="21"/>
  <c r="Z14" i="21"/>
  <c r="O14" i="21"/>
  <c r="E14" i="21"/>
  <c r="D14" i="21"/>
  <c r="AX13" i="21"/>
  <c r="AV13" i="21"/>
  <c r="AM13" i="21"/>
  <c r="AL13" i="21"/>
  <c r="AK13" i="21"/>
  <c r="AB13" i="21"/>
  <c r="AA13" i="21"/>
  <c r="Z13" i="21"/>
  <c r="O13" i="21"/>
  <c r="E13" i="21"/>
  <c r="D13" i="21"/>
  <c r="AX12" i="21"/>
  <c r="AV12" i="21"/>
  <c r="AO12" i="21"/>
  <c r="AM12" i="21"/>
  <c r="AL12" i="21"/>
  <c r="AK12" i="21"/>
  <c r="AD12" i="21"/>
  <c r="AB12" i="21"/>
  <c r="AA12" i="21"/>
  <c r="Z12" i="21"/>
  <c r="AE12" i="21" s="1"/>
  <c r="O12" i="21"/>
  <c r="E12" i="21"/>
  <c r="D12" i="21"/>
  <c r="AV11" i="21"/>
  <c r="AU11" i="21"/>
  <c r="AK11" i="21"/>
  <c r="AJ11" i="21"/>
  <c r="Z11" i="21"/>
  <c r="Y11" i="21"/>
  <c r="O11" i="21"/>
  <c r="N11" i="21"/>
  <c r="D11" i="21"/>
  <c r="AX10" i="21"/>
  <c r="AW10" i="21"/>
  <c r="AV10" i="21"/>
  <c r="AU10" i="21"/>
  <c r="AM10" i="21"/>
  <c r="AL10" i="21"/>
  <c r="AK10" i="21"/>
  <c r="AJ10" i="21"/>
  <c r="AB10" i="21"/>
  <c r="AA10" i="21"/>
  <c r="Z10" i="21"/>
  <c r="Y10" i="21"/>
  <c r="O10" i="21"/>
  <c r="N10" i="21"/>
  <c r="F10" i="21"/>
  <c r="E10" i="21"/>
  <c r="D10" i="21"/>
  <c r="C10" i="21"/>
  <c r="AJ9" i="21"/>
  <c r="Y9" i="21"/>
  <c r="N9" i="21"/>
  <c r="D9" i="21"/>
  <c r="AK9" i="21" s="1"/>
  <c r="BA6" i="21"/>
  <c r="AP6" i="21"/>
  <c r="AE6" i="21"/>
  <c r="T6" i="21"/>
  <c r="I6" i="21"/>
  <c r="AV3" i="21"/>
  <c r="AK3" i="21"/>
  <c r="Z3" i="21"/>
  <c r="O3" i="21"/>
  <c r="D49" i="133"/>
  <c r="B49" i="133"/>
  <c r="A49" i="133"/>
  <c r="D48" i="133"/>
  <c r="B48" i="133"/>
  <c r="A48" i="133"/>
  <c r="D47" i="133"/>
  <c r="B47" i="133"/>
  <c r="A47" i="133"/>
  <c r="D46" i="133"/>
  <c r="B46" i="133"/>
  <c r="A46" i="133"/>
  <c r="B45" i="133"/>
  <c r="A45" i="133"/>
  <c r="I44" i="133"/>
  <c r="J44" i="133" s="1"/>
  <c r="D44" i="133"/>
  <c r="C44" i="133"/>
  <c r="B44" i="133"/>
  <c r="A44" i="133"/>
  <c r="D43" i="133"/>
  <c r="C43" i="133"/>
  <c r="B43" i="133"/>
  <c r="A43" i="133"/>
  <c r="T42" i="133"/>
  <c r="B42" i="133"/>
  <c r="A42" i="133"/>
  <c r="T41" i="133"/>
  <c r="I41" i="133"/>
  <c r="E41" i="133"/>
  <c r="D41" i="133"/>
  <c r="C41" i="133"/>
  <c r="B41" i="133"/>
  <c r="A41" i="133"/>
  <c r="D40" i="133"/>
  <c r="C40" i="133"/>
  <c r="B40" i="133"/>
  <c r="A40" i="133"/>
  <c r="T39" i="133"/>
  <c r="F39" i="133"/>
  <c r="D39" i="133"/>
  <c r="C39" i="133"/>
  <c r="B39" i="133"/>
  <c r="A39" i="133"/>
  <c r="T38" i="133"/>
  <c r="D38" i="133"/>
  <c r="C38" i="133"/>
  <c r="B38" i="133"/>
  <c r="G38" i="133" s="1"/>
  <c r="A38" i="133"/>
  <c r="T37" i="133"/>
  <c r="F37" i="133"/>
  <c r="D37" i="133"/>
  <c r="C37" i="133"/>
  <c r="B37" i="133"/>
  <c r="A37" i="133"/>
  <c r="T36" i="133"/>
  <c r="F36" i="133"/>
  <c r="D36" i="133"/>
  <c r="C36" i="133"/>
  <c r="B36" i="133"/>
  <c r="A36" i="133"/>
  <c r="T35" i="133"/>
  <c r="F35" i="133"/>
  <c r="D35" i="133"/>
  <c r="C35" i="133"/>
  <c r="B35" i="133"/>
  <c r="A35" i="133"/>
  <c r="T34" i="133"/>
  <c r="I34" i="133"/>
  <c r="E34" i="133"/>
  <c r="B34" i="133"/>
  <c r="A34" i="133"/>
  <c r="D33" i="133"/>
  <c r="C33" i="133"/>
  <c r="B33" i="133"/>
  <c r="G33" i="133" s="1"/>
  <c r="A33" i="133"/>
  <c r="T32" i="133"/>
  <c r="F32" i="133"/>
  <c r="D32" i="133"/>
  <c r="C32" i="133"/>
  <c r="B32" i="133"/>
  <c r="A32" i="133"/>
  <c r="D31" i="133"/>
  <c r="C31" i="133"/>
  <c r="B31" i="133"/>
  <c r="A31" i="133"/>
  <c r="T30" i="133"/>
  <c r="D30" i="133"/>
  <c r="C30" i="133"/>
  <c r="B30" i="133"/>
  <c r="G30" i="133" s="1"/>
  <c r="A30" i="133"/>
  <c r="T29" i="133"/>
  <c r="D29" i="133"/>
  <c r="C29" i="133"/>
  <c r="B29" i="133"/>
  <c r="A29" i="133"/>
  <c r="T28" i="133"/>
  <c r="E28" i="133"/>
  <c r="B28" i="133"/>
  <c r="A28" i="133"/>
  <c r="T27" i="133"/>
  <c r="D27" i="133"/>
  <c r="C27" i="133"/>
  <c r="B27" i="133"/>
  <c r="A27" i="133"/>
  <c r="T26" i="133"/>
  <c r="F26" i="133"/>
  <c r="D26" i="133"/>
  <c r="C26" i="133"/>
  <c r="B26" i="133"/>
  <c r="G26" i="133" s="1"/>
  <c r="A26" i="133"/>
  <c r="T25" i="133"/>
  <c r="D25" i="133"/>
  <c r="C25" i="133"/>
  <c r="B25" i="133"/>
  <c r="A25" i="133"/>
  <c r="F24" i="133"/>
  <c r="D24" i="133"/>
  <c r="C24" i="133"/>
  <c r="B24" i="133"/>
  <c r="A24" i="133"/>
  <c r="T23" i="133"/>
  <c r="D23" i="133"/>
  <c r="C23" i="133"/>
  <c r="B23" i="133"/>
  <c r="G23" i="133" s="1"/>
  <c r="A23" i="133"/>
  <c r="T22" i="133"/>
  <c r="E22" i="133"/>
  <c r="B22" i="133"/>
  <c r="A22" i="133"/>
  <c r="T21" i="133"/>
  <c r="D21" i="133"/>
  <c r="C21" i="133"/>
  <c r="B21" i="133"/>
  <c r="A21" i="133"/>
  <c r="D20" i="133"/>
  <c r="C20" i="133"/>
  <c r="B20" i="133"/>
  <c r="A20" i="133"/>
  <c r="T19" i="133"/>
  <c r="D19" i="133"/>
  <c r="C19" i="133"/>
  <c r="B19" i="133"/>
  <c r="A19" i="133"/>
  <c r="T18" i="133"/>
  <c r="D18" i="133"/>
  <c r="C18" i="133"/>
  <c r="B18" i="133"/>
  <c r="A18" i="133"/>
  <c r="T17" i="133"/>
  <c r="I17" i="133"/>
  <c r="E17" i="133"/>
  <c r="B17" i="133"/>
  <c r="A17" i="133"/>
  <c r="S16" i="133"/>
  <c r="R16" i="133"/>
  <c r="B16" i="133"/>
  <c r="A16" i="133"/>
  <c r="F15" i="133"/>
  <c r="D15" i="133"/>
  <c r="C15" i="133"/>
  <c r="B15" i="133"/>
  <c r="H15" i="133" s="1"/>
  <c r="D14" i="133"/>
  <c r="C14" i="133"/>
  <c r="B14" i="133"/>
  <c r="E13" i="133"/>
  <c r="B13" i="133"/>
  <c r="A13" i="133"/>
  <c r="D12" i="133"/>
  <c r="C12" i="133"/>
  <c r="B12" i="133"/>
  <c r="D11" i="133"/>
  <c r="C11" i="133"/>
  <c r="B11" i="133"/>
  <c r="T10" i="133"/>
  <c r="D10" i="133"/>
  <c r="C10" i="133"/>
  <c r="B10" i="133"/>
  <c r="T9" i="133"/>
  <c r="I9" i="133"/>
  <c r="E9" i="133"/>
  <c r="B9" i="133"/>
  <c r="A9" i="133"/>
  <c r="T8" i="133"/>
  <c r="D8" i="133"/>
  <c r="C8" i="133"/>
  <c r="B8" i="133"/>
  <c r="A8" i="133"/>
  <c r="S7" i="133"/>
  <c r="R7" i="133"/>
  <c r="B7" i="133"/>
  <c r="A7" i="133"/>
  <c r="G4" i="133"/>
  <c r="B30" i="71"/>
  <c r="B29" i="71"/>
  <c r="B28" i="71"/>
  <c r="T64" i="35"/>
  <c r="T63" i="35"/>
  <c r="T58" i="35"/>
  <c r="B24" i="71"/>
  <c r="T57" i="35"/>
  <c r="D55" i="35"/>
  <c r="B23" i="71"/>
  <c r="D54" i="35"/>
  <c r="T55" i="35"/>
  <c r="T54" i="35"/>
  <c r="D52" i="35"/>
  <c r="T53" i="35"/>
  <c r="D51" i="35"/>
  <c r="T52" i="35"/>
  <c r="D50" i="35"/>
  <c r="D48" i="35"/>
  <c r="D47" i="35"/>
  <c r="T45" i="35"/>
  <c r="D43" i="35"/>
  <c r="T43" i="35"/>
  <c r="D41" i="35"/>
  <c r="T42" i="35"/>
  <c r="T40" i="35"/>
  <c r="D38" i="35"/>
  <c r="D37" i="35"/>
  <c r="T34" i="35"/>
  <c r="D32" i="35"/>
  <c r="D31" i="35"/>
  <c r="D29" i="35"/>
  <c r="D28" i="35"/>
  <c r="D26" i="35"/>
  <c r="T26" i="35"/>
  <c r="D25" i="35"/>
  <c r="T25" i="35"/>
  <c r="T23" i="35"/>
  <c r="T22" i="35"/>
  <c r="D21" i="35"/>
  <c r="D20" i="35"/>
  <c r="T20" i="35"/>
  <c r="D19" i="35"/>
  <c r="T19" i="35"/>
  <c r="E18" i="35"/>
  <c r="B18" i="35"/>
  <c r="A18" i="35"/>
  <c r="S18" i="35"/>
  <c r="R18" i="35"/>
  <c r="B17" i="35"/>
  <c r="A17" i="35"/>
  <c r="C16" i="35"/>
  <c r="B16" i="35"/>
  <c r="C15" i="35"/>
  <c r="B15" i="35"/>
  <c r="C14" i="35"/>
  <c r="B14" i="35"/>
  <c r="E13" i="35"/>
  <c r="B13" i="35"/>
  <c r="A13" i="35"/>
  <c r="C12" i="35"/>
  <c r="B12" i="35"/>
  <c r="C11" i="35"/>
  <c r="B11" i="35"/>
  <c r="T10" i="35"/>
  <c r="C10" i="35"/>
  <c r="B10" i="35"/>
  <c r="T9" i="35"/>
  <c r="E9" i="35"/>
  <c r="B9" i="35"/>
  <c r="A9" i="35"/>
  <c r="T8" i="35"/>
  <c r="D8" i="35"/>
  <c r="C8" i="35"/>
  <c r="B8" i="35"/>
  <c r="G8" i="35" s="1"/>
  <c r="A8" i="35"/>
  <c r="S7" i="35"/>
  <c r="R7" i="35"/>
  <c r="B7" i="35"/>
  <c r="A7" i="35"/>
  <c r="E42" i="121"/>
  <c r="B42" i="121"/>
  <c r="E41" i="121"/>
  <c r="B41" i="121"/>
  <c r="E40" i="121"/>
  <c r="B40" i="121"/>
  <c r="E39" i="121"/>
  <c r="B39" i="121"/>
  <c r="B38" i="121"/>
  <c r="A38" i="121"/>
  <c r="D37" i="121"/>
  <c r="C37" i="121"/>
  <c r="B37" i="121"/>
  <c r="D36" i="121"/>
  <c r="C36" i="121"/>
  <c r="B36" i="121"/>
  <c r="B35" i="121"/>
  <c r="A35" i="121"/>
  <c r="F34" i="121"/>
  <c r="D34" i="121"/>
  <c r="C34" i="121"/>
  <c r="B34" i="121"/>
  <c r="G34" i="121" s="1"/>
  <c r="I34" i="121" s="1"/>
  <c r="J34" i="121" s="1"/>
  <c r="D33" i="121"/>
  <c r="C33" i="121"/>
  <c r="B33" i="121"/>
  <c r="F32" i="121"/>
  <c r="D32" i="121"/>
  <c r="C32" i="121"/>
  <c r="B32" i="121"/>
  <c r="H32" i="121" s="1"/>
  <c r="F31" i="121"/>
  <c r="D31" i="121"/>
  <c r="C31" i="121"/>
  <c r="B31" i="121"/>
  <c r="H31" i="121" s="1"/>
  <c r="F30" i="121"/>
  <c r="D30" i="121"/>
  <c r="C30" i="121"/>
  <c r="B30" i="121"/>
  <c r="G30" i="121" s="1"/>
  <c r="D29" i="121"/>
  <c r="C29" i="121"/>
  <c r="B29" i="121"/>
  <c r="B28" i="121"/>
  <c r="F27" i="121"/>
  <c r="D27" i="121"/>
  <c r="C27" i="121"/>
  <c r="B27" i="121"/>
  <c r="G27" i="121" s="1"/>
  <c r="B26" i="121"/>
  <c r="A26" i="121"/>
  <c r="D25" i="121"/>
  <c r="C25" i="121"/>
  <c r="B25" i="121"/>
  <c r="A25" i="121"/>
  <c r="I24" i="121"/>
  <c r="E24" i="121"/>
  <c r="D24" i="121"/>
  <c r="C24" i="121"/>
  <c r="B24" i="121"/>
  <c r="A24" i="121"/>
  <c r="F23" i="121"/>
  <c r="D23" i="121"/>
  <c r="C23" i="121"/>
  <c r="B23" i="121"/>
  <c r="G23" i="121" s="1"/>
  <c r="A23" i="121"/>
  <c r="D22" i="121"/>
  <c r="C22" i="121"/>
  <c r="B22" i="121"/>
  <c r="A22" i="121"/>
  <c r="F21" i="121"/>
  <c r="D21" i="121"/>
  <c r="C21" i="121"/>
  <c r="B21" i="121"/>
  <c r="G21" i="121" s="1"/>
  <c r="D20" i="121"/>
  <c r="C20" i="121"/>
  <c r="B20" i="121"/>
  <c r="B19" i="121"/>
  <c r="A19" i="121"/>
  <c r="D18" i="121"/>
  <c r="C18" i="121"/>
  <c r="B18" i="121"/>
  <c r="A18" i="121"/>
  <c r="F17" i="121"/>
  <c r="D17" i="121"/>
  <c r="C17" i="121"/>
  <c r="B17" i="121"/>
  <c r="G17" i="121" s="1"/>
  <c r="D16" i="121"/>
  <c r="C16" i="121"/>
  <c r="B16" i="121"/>
  <c r="B15" i="121"/>
  <c r="A15" i="121"/>
  <c r="D14" i="121"/>
  <c r="C14" i="121"/>
  <c r="B14" i="121"/>
  <c r="A14" i="121"/>
  <c r="D13" i="121"/>
  <c r="C13" i="121"/>
  <c r="B13" i="121"/>
  <c r="A13" i="121"/>
  <c r="F12" i="121"/>
  <c r="D12" i="121"/>
  <c r="C12" i="121"/>
  <c r="B12" i="121"/>
  <c r="A12" i="121"/>
  <c r="B11" i="121"/>
  <c r="A11" i="121"/>
  <c r="D10" i="121"/>
  <c r="C10" i="121"/>
  <c r="B10" i="121"/>
  <c r="A10" i="121"/>
  <c r="F9" i="121"/>
  <c r="D9" i="121"/>
  <c r="C9" i="121"/>
  <c r="B9" i="121"/>
  <c r="G9" i="121" s="1"/>
  <c r="A9" i="121"/>
  <c r="D8" i="121"/>
  <c r="C8" i="121"/>
  <c r="B8" i="121"/>
  <c r="A8" i="121"/>
  <c r="B7" i="121"/>
  <c r="A7" i="121"/>
  <c r="G4" i="121"/>
  <c r="T48" i="58"/>
  <c r="S48" i="58"/>
  <c r="BK48" i="58" s="1"/>
  <c r="R48" i="58"/>
  <c r="BJ48" i="58" s="1"/>
  <c r="Q48" i="58"/>
  <c r="BI48" i="58" s="1"/>
  <c r="P48" i="58"/>
  <c r="BH48" i="58" s="1"/>
  <c r="O48" i="58"/>
  <c r="BG48" i="58" s="1"/>
  <c r="N48" i="58"/>
  <c r="M48" i="58"/>
  <c r="BE48" i="58" s="1"/>
  <c r="L48" i="58"/>
  <c r="BD48" i="58" s="1"/>
  <c r="J48" i="58"/>
  <c r="BB48" i="58" s="1"/>
  <c r="I48" i="58"/>
  <c r="BA48" i="58" s="1"/>
  <c r="T48" i="131"/>
  <c r="S48" i="131"/>
  <c r="R48" i="131"/>
  <c r="Q48" i="131"/>
  <c r="P48" i="131"/>
  <c r="O48" i="131"/>
  <c r="N48" i="131"/>
  <c r="M48" i="131"/>
  <c r="L48" i="131"/>
  <c r="K48" i="131"/>
  <c r="J48" i="131"/>
  <c r="I48" i="131"/>
  <c r="T48" i="129"/>
  <c r="S48" i="129"/>
  <c r="R48" i="129"/>
  <c r="Q48" i="129"/>
  <c r="P48" i="129"/>
  <c r="O48" i="129"/>
  <c r="N48" i="129"/>
  <c r="M48" i="129"/>
  <c r="L48" i="129"/>
  <c r="K48" i="129"/>
  <c r="J48" i="129"/>
  <c r="I48" i="129"/>
  <c r="T48" i="128"/>
  <c r="S48" i="128"/>
  <c r="R48" i="128"/>
  <c r="Q48" i="128"/>
  <c r="P48" i="128"/>
  <c r="O48" i="128"/>
  <c r="N48" i="128"/>
  <c r="M48" i="128"/>
  <c r="L48" i="128"/>
  <c r="K48" i="128"/>
  <c r="J48" i="128"/>
  <c r="I48" i="128"/>
  <c r="T48" i="127"/>
  <c r="S48" i="127"/>
  <c r="R48" i="127"/>
  <c r="Q48" i="127"/>
  <c r="P48" i="127"/>
  <c r="O48" i="127"/>
  <c r="N48" i="127"/>
  <c r="M48" i="127"/>
  <c r="L48" i="127"/>
  <c r="K48" i="127"/>
  <c r="J48" i="127"/>
  <c r="I48" i="127"/>
  <c r="T49" i="69"/>
  <c r="S49" i="69"/>
  <c r="R49" i="69"/>
  <c r="Q49" i="69"/>
  <c r="P49" i="69"/>
  <c r="O49" i="69"/>
  <c r="N49" i="69"/>
  <c r="M49" i="69"/>
  <c r="L49" i="69"/>
  <c r="K49" i="69"/>
  <c r="J49" i="69"/>
  <c r="I49" i="69"/>
  <c r="I47" i="58"/>
  <c r="BA47" i="58" s="1"/>
  <c r="BW47" i="58" s="1" a="1"/>
  <c r="T47" i="131"/>
  <c r="S47" i="131"/>
  <c r="R47" i="131"/>
  <c r="Q47" i="131"/>
  <c r="P47" i="131"/>
  <c r="O47" i="131"/>
  <c r="N47" i="131"/>
  <c r="M47" i="131"/>
  <c r="L47" i="131"/>
  <c r="K47" i="131"/>
  <c r="J47" i="131"/>
  <c r="I47" i="131"/>
  <c r="T47" i="129"/>
  <c r="S47" i="129"/>
  <c r="R47" i="129"/>
  <c r="Q47" i="129"/>
  <c r="P47" i="129"/>
  <c r="O47" i="129"/>
  <c r="N47" i="129"/>
  <c r="M47" i="129"/>
  <c r="L47" i="129"/>
  <c r="K47" i="129"/>
  <c r="J47" i="129"/>
  <c r="I47" i="129"/>
  <c r="T47" i="128"/>
  <c r="S47" i="128"/>
  <c r="R47" i="128"/>
  <c r="Q47" i="128"/>
  <c r="P47" i="128"/>
  <c r="O47" i="128"/>
  <c r="N47" i="128"/>
  <c r="M47" i="128"/>
  <c r="L47" i="128"/>
  <c r="K47" i="128"/>
  <c r="J47" i="128"/>
  <c r="I47" i="128"/>
  <c r="T47" i="127"/>
  <c r="S47" i="127"/>
  <c r="R47" i="127"/>
  <c r="Q47" i="127"/>
  <c r="P47" i="127"/>
  <c r="O47" i="127"/>
  <c r="N47" i="127"/>
  <c r="M47" i="127"/>
  <c r="L47" i="127"/>
  <c r="K47" i="127"/>
  <c r="J47" i="127"/>
  <c r="I47" i="127"/>
  <c r="T48" i="69"/>
  <c r="S48" i="69"/>
  <c r="R48" i="69"/>
  <c r="Q48" i="69"/>
  <c r="P48" i="69"/>
  <c r="O48" i="69"/>
  <c r="N48" i="69"/>
  <c r="M48" i="69"/>
  <c r="L48" i="69"/>
  <c r="K48" i="69"/>
  <c r="J48" i="69"/>
  <c r="L46" i="58"/>
  <c r="BD46" i="58" s="1"/>
  <c r="K46" i="58"/>
  <c r="BC46" i="58" s="1"/>
  <c r="I46" i="58"/>
  <c r="BA46" i="58" s="1"/>
  <c r="T46" i="131"/>
  <c r="S46" i="131"/>
  <c r="R46" i="131"/>
  <c r="Q46" i="131"/>
  <c r="P46" i="131"/>
  <c r="O46" i="131"/>
  <c r="N46" i="131"/>
  <c r="M46" i="131"/>
  <c r="L46" i="131"/>
  <c r="K46" i="131"/>
  <c r="J46" i="131"/>
  <c r="I46" i="131"/>
  <c r="T46" i="129"/>
  <c r="S46" i="129"/>
  <c r="R46" i="129"/>
  <c r="Q46" i="129"/>
  <c r="P46" i="129"/>
  <c r="O46" i="129"/>
  <c r="N46" i="129"/>
  <c r="M46" i="129"/>
  <c r="L46" i="129"/>
  <c r="K46" i="129"/>
  <c r="J46" i="129"/>
  <c r="I46" i="129"/>
  <c r="T46" i="128"/>
  <c r="S46" i="128"/>
  <c r="R46" i="128"/>
  <c r="Q46" i="128"/>
  <c r="P46" i="128"/>
  <c r="O46" i="128"/>
  <c r="N46" i="128"/>
  <c r="M46" i="128"/>
  <c r="L46" i="128"/>
  <c r="K46" i="128"/>
  <c r="J46" i="128"/>
  <c r="I46" i="128"/>
  <c r="T46" i="127"/>
  <c r="S46" i="127"/>
  <c r="R46" i="127"/>
  <c r="Q46" i="127"/>
  <c r="P46" i="127"/>
  <c r="O46" i="127"/>
  <c r="N46" i="127"/>
  <c r="M46" i="127"/>
  <c r="L46" i="127"/>
  <c r="K46" i="127"/>
  <c r="J46" i="127"/>
  <c r="I46" i="127"/>
  <c r="T47" i="69"/>
  <c r="S47" i="69"/>
  <c r="R47" i="69"/>
  <c r="Q47" i="69"/>
  <c r="P47" i="69"/>
  <c r="O47" i="69"/>
  <c r="N47" i="69"/>
  <c r="M47" i="69"/>
  <c r="L47" i="69"/>
  <c r="K47" i="69"/>
  <c r="J47" i="69"/>
  <c r="I34" i="131"/>
  <c r="I34" i="127"/>
  <c r="I32" i="69"/>
  <c r="I28" i="131"/>
  <c r="I28" i="129"/>
  <c r="I28" i="128"/>
  <c r="I28" i="127"/>
  <c r="I29" i="69"/>
  <c r="T26" i="131"/>
  <c r="I26" i="131"/>
  <c r="T26" i="129"/>
  <c r="T26" i="128"/>
  <c r="T26" i="127"/>
  <c r="T27" i="69"/>
  <c r="H21" i="58"/>
  <c r="H21" i="36" s="1"/>
  <c r="S14" i="129"/>
  <c r="T12" i="131"/>
  <c r="S12" i="131"/>
  <c r="T12" i="129"/>
  <c r="S12" i="129"/>
  <c r="I12" i="129"/>
  <c r="T12" i="128"/>
  <c r="S12" i="128"/>
  <c r="I12" i="128"/>
  <c r="T12" i="127"/>
  <c r="S12" i="127"/>
  <c r="T12" i="69"/>
  <c r="S12" i="69"/>
  <c r="I12" i="69"/>
  <c r="S11" i="127"/>
  <c r="T10" i="131"/>
  <c r="S10" i="131"/>
  <c r="T10" i="129"/>
  <c r="S10" i="129"/>
  <c r="S10" i="128"/>
  <c r="T10" i="127"/>
  <c r="S10" i="127"/>
  <c r="T10" i="69"/>
  <c r="S10" i="69"/>
  <c r="H8" i="58"/>
  <c r="T8" i="131"/>
  <c r="S8" i="131"/>
  <c r="T8" i="128"/>
  <c r="S8" i="128"/>
  <c r="L8" i="128"/>
  <c r="T8" i="127"/>
  <c r="S8" i="127"/>
  <c r="T8" i="69"/>
  <c r="S8" i="69"/>
  <c r="AD41" i="119"/>
  <c r="X41" i="119"/>
  <c r="R41" i="119"/>
  <c r="L41" i="119"/>
  <c r="F41" i="119"/>
  <c r="B41" i="119"/>
  <c r="AD40" i="119"/>
  <c r="X40" i="119"/>
  <c r="R40" i="119"/>
  <c r="L40" i="119"/>
  <c r="F40" i="119"/>
  <c r="B40" i="119"/>
  <c r="AD39" i="119"/>
  <c r="X39" i="119"/>
  <c r="R39" i="119"/>
  <c r="L39" i="119"/>
  <c r="F39" i="119"/>
  <c r="B39" i="119"/>
  <c r="AD38" i="119"/>
  <c r="X38" i="119"/>
  <c r="R38" i="119"/>
  <c r="L38" i="119"/>
  <c r="F38" i="119"/>
  <c r="B38" i="119"/>
  <c r="B37" i="119"/>
  <c r="A37" i="119"/>
  <c r="D36" i="119"/>
  <c r="C36" i="119"/>
  <c r="B36" i="119"/>
  <c r="D35" i="119"/>
  <c r="C35" i="119"/>
  <c r="B35" i="119"/>
  <c r="B34" i="119"/>
  <c r="A34" i="119"/>
  <c r="D33" i="119"/>
  <c r="C33" i="119"/>
  <c r="B33" i="119"/>
  <c r="AF33" i="119" s="1"/>
  <c r="AD33" i="119" s="1"/>
  <c r="D32" i="119"/>
  <c r="C32" i="119"/>
  <c r="B32" i="119"/>
  <c r="D31" i="119"/>
  <c r="C31" i="119"/>
  <c r="B31" i="119"/>
  <c r="AF31" i="119" s="1"/>
  <c r="AD31" i="119" s="1"/>
  <c r="D30" i="119"/>
  <c r="C30" i="119"/>
  <c r="B30" i="119"/>
  <c r="AF30" i="119" s="1"/>
  <c r="AD30" i="119" s="1"/>
  <c r="D29" i="119"/>
  <c r="C29" i="119"/>
  <c r="B29" i="119"/>
  <c r="T29" i="119" s="1"/>
  <c r="R29" i="119" s="1"/>
  <c r="D28" i="119"/>
  <c r="C28" i="119"/>
  <c r="B28" i="119"/>
  <c r="B27" i="119"/>
  <c r="D26" i="119"/>
  <c r="C26" i="119"/>
  <c r="B26" i="119"/>
  <c r="AE26" i="119" s="1"/>
  <c r="B25" i="119"/>
  <c r="A25" i="119"/>
  <c r="D24" i="119"/>
  <c r="C24" i="119"/>
  <c r="B24" i="119"/>
  <c r="A24" i="119"/>
  <c r="D23" i="119"/>
  <c r="C23" i="119"/>
  <c r="B23" i="119"/>
  <c r="Y23" i="119" s="1"/>
  <c r="A23" i="119"/>
  <c r="D22" i="119"/>
  <c r="C22" i="119"/>
  <c r="B22" i="119"/>
  <c r="A22" i="119"/>
  <c r="D21" i="119"/>
  <c r="C21" i="119"/>
  <c r="B21" i="119"/>
  <c r="N21" i="119" s="1"/>
  <c r="L21" i="119" s="1"/>
  <c r="D20" i="119"/>
  <c r="C20" i="119"/>
  <c r="B20" i="119"/>
  <c r="B19" i="119"/>
  <c r="A19" i="119"/>
  <c r="D18" i="119"/>
  <c r="C18" i="119"/>
  <c r="B18" i="119"/>
  <c r="A18" i="119"/>
  <c r="D17" i="119"/>
  <c r="C17" i="119"/>
  <c r="B17" i="119"/>
  <c r="D16" i="119"/>
  <c r="C16" i="119"/>
  <c r="B16" i="119"/>
  <c r="B15" i="119"/>
  <c r="A15" i="119"/>
  <c r="D14" i="119"/>
  <c r="C14" i="119"/>
  <c r="B14" i="119"/>
  <c r="A14" i="119"/>
  <c r="D13" i="119"/>
  <c r="C13" i="119"/>
  <c r="B13" i="119"/>
  <c r="A13" i="119"/>
  <c r="D12" i="119"/>
  <c r="C12" i="119"/>
  <c r="B12" i="119"/>
  <c r="S12" i="119" s="1"/>
  <c r="A12" i="119"/>
  <c r="B11" i="119"/>
  <c r="A11" i="119"/>
  <c r="D10" i="119"/>
  <c r="C10" i="119"/>
  <c r="B10" i="119"/>
  <c r="A10" i="119"/>
  <c r="D9" i="119"/>
  <c r="C9" i="119"/>
  <c r="B9" i="119"/>
  <c r="A9" i="119"/>
  <c r="D8" i="119"/>
  <c r="C8" i="119"/>
  <c r="B8" i="119"/>
  <c r="A8" i="119"/>
  <c r="B7" i="119"/>
  <c r="A7" i="119"/>
  <c r="G43" i="71"/>
  <c r="D43" i="71"/>
  <c r="C43" i="71"/>
  <c r="D41" i="71"/>
  <c r="C41" i="71"/>
  <c r="F30" i="71"/>
  <c r="G30" i="71" s="1"/>
  <c r="D30" i="71"/>
  <c r="C30" i="71"/>
  <c r="F29" i="71"/>
  <c r="G29" i="71" s="1"/>
  <c r="D29" i="71"/>
  <c r="C29" i="71"/>
  <c r="D28" i="71"/>
  <c r="C28" i="71"/>
  <c r="F25" i="71"/>
  <c r="G25" i="71" s="1"/>
  <c r="F24" i="71"/>
  <c r="G24" i="71" s="1"/>
  <c r="C24" i="71"/>
  <c r="AO23" i="71"/>
  <c r="G14" i="71"/>
  <c r="D14" i="71"/>
  <c r="C14" i="71"/>
  <c r="C12" i="71"/>
  <c r="D8" i="71"/>
  <c r="C8" i="71"/>
  <c r="D7" i="71"/>
  <c r="C7" i="71"/>
  <c r="D6" i="71"/>
  <c r="C6" i="71"/>
  <c r="D4" i="71"/>
  <c r="C4" i="71"/>
  <c r="H30" i="68"/>
  <c r="G30" i="68"/>
  <c r="F30" i="68"/>
  <c r="E30" i="68"/>
  <c r="D30" i="68"/>
  <c r="H29" i="68"/>
  <c r="G29" i="68"/>
  <c r="F29" i="68"/>
  <c r="E29" i="68"/>
  <c r="D29" i="68"/>
  <c r="H27" i="68"/>
  <c r="G27" i="68"/>
  <c r="F27" i="68"/>
  <c r="E27" i="68"/>
  <c r="D27" i="68"/>
  <c r="H9" i="68"/>
  <c r="G9" i="68"/>
  <c r="F9" i="68"/>
  <c r="E9" i="68"/>
  <c r="D9" i="68"/>
  <c r="H8" i="68"/>
  <c r="G8" i="68"/>
  <c r="F8" i="68"/>
  <c r="E8" i="68"/>
  <c r="D8" i="68"/>
  <c r="D4" i="24"/>
  <c r="B2" i="24"/>
  <c r="H48" i="58" l="1"/>
  <c r="BL48" i="58"/>
  <c r="AZ48" i="58" s="1"/>
  <c r="BW47" i="58"/>
  <c r="BV47" i="58"/>
  <c r="BU47" i="58"/>
  <c r="G48" i="58"/>
  <c r="G48" i="36" s="1"/>
  <c r="BF48" i="58"/>
  <c r="AY48" i="58" s="1"/>
  <c r="G12" i="136"/>
  <c r="G12" i="129" s="1"/>
  <c r="BF12" i="136"/>
  <c r="AY12" i="136" s="1"/>
  <c r="AO10" i="21"/>
  <c r="BL8" i="136"/>
  <c r="AZ8" i="136" s="1"/>
  <c r="G11" i="137"/>
  <c r="G11" i="131" s="1"/>
  <c r="BF11" i="137"/>
  <c r="AY11" i="137" s="1"/>
  <c r="G12" i="137"/>
  <c r="G12" i="131" s="1"/>
  <c r="BF12" i="137"/>
  <c r="AY12" i="137" s="1"/>
  <c r="BW8" i="136" a="1"/>
  <c r="BW10" i="58"/>
  <c r="BU10" i="58"/>
  <c r="BV10" i="58"/>
  <c r="AZ10" i="21"/>
  <c r="BL8" i="137"/>
  <c r="AZ8" i="137" s="1"/>
  <c r="BW11" i="58" a="1"/>
  <c r="AO14" i="21"/>
  <c r="BL12" i="136"/>
  <c r="AZ12" i="136" s="1"/>
  <c r="BW12" i="136" a="1"/>
  <c r="G8" i="137"/>
  <c r="G8" i="131" s="1"/>
  <c r="BF8" i="137"/>
  <c r="AY8" i="137" s="1"/>
  <c r="G8" i="136"/>
  <c r="G8" i="129" s="1"/>
  <c r="BF8" i="136"/>
  <c r="AY8" i="136" s="1"/>
  <c r="AZ13" i="21"/>
  <c r="BL11" i="137"/>
  <c r="AZ11" i="137" s="1"/>
  <c r="AZ14" i="21"/>
  <c r="BL12" i="137"/>
  <c r="AZ12" i="137" s="1"/>
  <c r="A205" i="138" a="1"/>
  <c r="A250" i="138" a="1"/>
  <c r="A115" i="138" a="1"/>
  <c r="A160" i="138" a="1"/>
  <c r="A67" i="138" a="1"/>
  <c r="H12" i="58"/>
  <c r="F12" i="35" s="1"/>
  <c r="BL12" i="58"/>
  <c r="AZ12" i="58" s="1"/>
  <c r="H11" i="58"/>
  <c r="BL11" i="58"/>
  <c r="AZ11" i="58" s="1"/>
  <c r="A4" i="138" a="1"/>
  <c r="H10" i="58"/>
  <c r="F10" i="35" s="1"/>
  <c r="J41" i="133"/>
  <c r="AF49" i="21"/>
  <c r="AG49" i="21" s="1"/>
  <c r="F26" i="68" s="1"/>
  <c r="AF50" i="21"/>
  <c r="AG50" i="21" s="1"/>
  <c r="I8" i="129"/>
  <c r="F55" i="134"/>
  <c r="AF39" i="21"/>
  <c r="U39" i="21"/>
  <c r="J49" i="21"/>
  <c r="K49" i="21" s="1"/>
  <c r="D26" i="68" s="1"/>
  <c r="AQ50" i="21"/>
  <c r="AR50" i="21" s="1"/>
  <c r="H21" i="35"/>
  <c r="I21" i="35" s="1"/>
  <c r="H44" i="35"/>
  <c r="H60" i="35"/>
  <c r="H25" i="35"/>
  <c r="H57" i="35"/>
  <c r="I57" i="35" s="1"/>
  <c r="J57" i="35" s="1"/>
  <c r="H55" i="35"/>
  <c r="I55" i="35" s="1"/>
  <c r="J55" i="35" s="1"/>
  <c r="H40" i="35"/>
  <c r="I40" i="35" s="1"/>
  <c r="J40" i="35" s="1"/>
  <c r="H34" i="35"/>
  <c r="I34" i="35" s="1"/>
  <c r="H59" i="35"/>
  <c r="I59" i="35" s="1"/>
  <c r="J39" i="21"/>
  <c r="K39" i="21" s="1"/>
  <c r="L39" i="21" s="1"/>
  <c r="J34" i="21"/>
  <c r="K34" i="21" s="1"/>
  <c r="J33" i="21"/>
  <c r="K33" i="21" s="1"/>
  <c r="BB39" i="21"/>
  <c r="BB23" i="21"/>
  <c r="BC23" i="21" s="1"/>
  <c r="F55" i="135"/>
  <c r="AP10" i="21"/>
  <c r="AQ23" i="21"/>
  <c r="AR23" i="21" s="1"/>
  <c r="AQ39" i="21"/>
  <c r="AR39" i="21" s="1"/>
  <c r="AS39" i="21" s="1"/>
  <c r="AQ42" i="21"/>
  <c r="AQ25" i="21"/>
  <c r="AR25" i="21" s="1"/>
  <c r="J17" i="21"/>
  <c r="J18" i="21"/>
  <c r="U49" i="21"/>
  <c r="V49" i="21" s="1"/>
  <c r="E26" i="68" s="1"/>
  <c r="BB49" i="21"/>
  <c r="BC49" i="21" s="1"/>
  <c r="H26" i="68" s="1"/>
  <c r="J50" i="21"/>
  <c r="K50" i="21" s="1"/>
  <c r="BB50" i="21"/>
  <c r="BC50" i="21" s="1"/>
  <c r="AQ49" i="21"/>
  <c r="AR49" i="21" s="1"/>
  <c r="G26" i="68" s="1"/>
  <c r="U50" i="21"/>
  <c r="V50" i="21" s="1"/>
  <c r="I27" i="69"/>
  <c r="J26" i="128"/>
  <c r="I26" i="128"/>
  <c r="J34" i="129"/>
  <c r="I34" i="129"/>
  <c r="I26" i="129"/>
  <c r="J34" i="128"/>
  <c r="I34" i="128"/>
  <c r="I26" i="127"/>
  <c r="G47" i="131"/>
  <c r="G44" i="131"/>
  <c r="H59" i="36"/>
  <c r="F59" i="35"/>
  <c r="G48" i="69"/>
  <c r="G45" i="69"/>
  <c r="J34" i="127"/>
  <c r="T46" i="58"/>
  <c r="M46" i="58"/>
  <c r="BE46" i="58" s="1"/>
  <c r="N46" i="58"/>
  <c r="BF46" i="58" s="1"/>
  <c r="AY46" i="58" s="1"/>
  <c r="O46" i="58"/>
  <c r="BG46" i="58" s="1"/>
  <c r="P46" i="58"/>
  <c r="Q46" i="58"/>
  <c r="BI46" i="58" s="1"/>
  <c r="J34" i="131"/>
  <c r="R46" i="58"/>
  <c r="BJ46" i="58" s="1"/>
  <c r="H22" i="119"/>
  <c r="F22" i="119" s="1"/>
  <c r="S46" i="58"/>
  <c r="BK46" i="58" s="1"/>
  <c r="H57" i="36"/>
  <c r="F57" i="35"/>
  <c r="F47" i="35"/>
  <c r="H47" i="36"/>
  <c r="F48" i="35"/>
  <c r="H48" i="36"/>
  <c r="F43" i="35"/>
  <c r="H43" i="36"/>
  <c r="F54" i="35"/>
  <c r="H54" i="36"/>
  <c r="F31" i="35"/>
  <c r="H31" i="36"/>
  <c r="F19" i="133"/>
  <c r="H20" i="36"/>
  <c r="F26" i="35"/>
  <c r="H26" i="36"/>
  <c r="F38" i="35"/>
  <c r="H38" i="36"/>
  <c r="F29" i="121"/>
  <c r="H50" i="36"/>
  <c r="F32" i="35"/>
  <c r="H32" i="36"/>
  <c r="F39" i="35"/>
  <c r="H39" i="36"/>
  <c r="H16" i="36"/>
  <c r="F16" i="35"/>
  <c r="H11" i="36"/>
  <c r="F11" i="35"/>
  <c r="H15" i="36"/>
  <c r="F15" i="35"/>
  <c r="F7" i="131"/>
  <c r="F17" i="128"/>
  <c r="F55" i="128" s="1"/>
  <c r="F7" i="127"/>
  <c r="F55" i="73"/>
  <c r="G11" i="73"/>
  <c r="G11" i="69" s="1"/>
  <c r="G14" i="73"/>
  <c r="G14" i="69" s="1"/>
  <c r="G15" i="73"/>
  <c r="G16" i="69" s="1"/>
  <c r="G8" i="73"/>
  <c r="G8" i="69" s="1"/>
  <c r="G12" i="73"/>
  <c r="G12" i="69" s="1"/>
  <c r="G15" i="69"/>
  <c r="G16" i="73"/>
  <c r="G17" i="69" s="1"/>
  <c r="F7" i="69"/>
  <c r="J31" i="21"/>
  <c r="G32" i="133"/>
  <c r="N30" i="119"/>
  <c r="L30" i="119" s="1"/>
  <c r="S30" i="119"/>
  <c r="G23" i="119"/>
  <c r="M23" i="119"/>
  <c r="Z30" i="119"/>
  <c r="X30" i="119" s="1"/>
  <c r="S23" i="119"/>
  <c r="H28" i="35"/>
  <c r="T30" i="119"/>
  <c r="R30" i="119" s="1"/>
  <c r="H39" i="137"/>
  <c r="H39" i="131" s="1"/>
  <c r="H8" i="137"/>
  <c r="H8" i="131" s="1"/>
  <c r="AY40" i="21"/>
  <c r="BB33" i="21"/>
  <c r="BC33" i="21" s="1"/>
  <c r="H11" i="137"/>
  <c r="H11" i="131" s="1"/>
  <c r="H12" i="136"/>
  <c r="H12" i="129" s="1"/>
  <c r="H8" i="134"/>
  <c r="H8" i="127" s="1"/>
  <c r="BB41" i="21"/>
  <c r="H14" i="136"/>
  <c r="H14" i="129" s="1"/>
  <c r="H52" i="35"/>
  <c r="H15" i="127"/>
  <c r="H12" i="137"/>
  <c r="H12" i="131" s="1"/>
  <c r="H11" i="135"/>
  <c r="H11" i="128" s="1"/>
  <c r="H15" i="135"/>
  <c r="H15" i="128" s="1"/>
  <c r="H11" i="134"/>
  <c r="H11" i="127" s="1"/>
  <c r="H14" i="137"/>
  <c r="H14" i="131" s="1"/>
  <c r="H16" i="136"/>
  <c r="H16" i="129" s="1"/>
  <c r="H8" i="135"/>
  <c r="H8" i="128" s="1"/>
  <c r="H8" i="136"/>
  <c r="H8" i="129" s="1"/>
  <c r="H12" i="135"/>
  <c r="H12" i="128" s="1"/>
  <c r="S11" i="131"/>
  <c r="T11" i="131"/>
  <c r="S11" i="129"/>
  <c r="T11" i="129"/>
  <c r="S11" i="128"/>
  <c r="T11" i="127"/>
  <c r="S11" i="69"/>
  <c r="T11" i="69"/>
  <c r="G21" i="58"/>
  <c r="G21" i="36" s="1"/>
  <c r="T10" i="128"/>
  <c r="T14" i="131"/>
  <c r="T14" i="129"/>
  <c r="T14" i="128"/>
  <c r="H51" i="35"/>
  <c r="S14" i="131"/>
  <c r="S14" i="128"/>
  <c r="S41" i="21"/>
  <c r="T41" i="21"/>
  <c r="R14" i="131"/>
  <c r="R14" i="129"/>
  <c r="R14" i="128"/>
  <c r="H14" i="135"/>
  <c r="H14" i="128" s="1"/>
  <c r="H17" i="21"/>
  <c r="J11" i="129"/>
  <c r="H14" i="134"/>
  <c r="H14" i="127" s="1"/>
  <c r="T17" i="21"/>
  <c r="T14" i="21"/>
  <c r="I11" i="128"/>
  <c r="I10" i="127"/>
  <c r="J11" i="127"/>
  <c r="I10" i="131"/>
  <c r="J14" i="129"/>
  <c r="I11" i="129"/>
  <c r="AP18" i="21"/>
  <c r="AE17" i="21"/>
  <c r="I45" i="127"/>
  <c r="H16" i="135"/>
  <c r="H16" i="128" s="1"/>
  <c r="I14" i="129"/>
  <c r="AP16" i="21"/>
  <c r="BA14" i="21"/>
  <c r="H14" i="36"/>
  <c r="H21" i="136"/>
  <c r="H21" i="129" s="1"/>
  <c r="T16" i="21"/>
  <c r="G10" i="119"/>
  <c r="G11" i="133"/>
  <c r="BA13" i="21"/>
  <c r="H18" i="21"/>
  <c r="BA16" i="21"/>
  <c r="J12" i="127"/>
  <c r="I12" i="127"/>
  <c r="M8" i="131"/>
  <c r="J12" i="131"/>
  <c r="I12" i="131"/>
  <c r="F8" i="133"/>
  <c r="F8" i="35"/>
  <c r="H8" i="36"/>
  <c r="U34" i="21"/>
  <c r="V34" i="21" s="1"/>
  <c r="U33" i="21"/>
  <c r="V33" i="21" s="1"/>
  <c r="AQ33" i="21"/>
  <c r="AR33" i="21" s="1"/>
  <c r="L8" i="131"/>
  <c r="F55" i="136"/>
  <c r="K8" i="131"/>
  <c r="H16" i="134"/>
  <c r="H16" i="127" s="1"/>
  <c r="T13" i="21"/>
  <c r="I8" i="128"/>
  <c r="BB30" i="21"/>
  <c r="BC30" i="21" s="1"/>
  <c r="BC29" i="21" s="1"/>
  <c r="BD29" i="21" s="1"/>
  <c r="BB34" i="21"/>
  <c r="BC34" i="21" s="1"/>
  <c r="BA45" i="21"/>
  <c r="BC45" i="21" s="1"/>
  <c r="H8" i="69"/>
  <c r="F7" i="129"/>
  <c r="J10" i="69"/>
  <c r="I11" i="131"/>
  <c r="F18" i="69"/>
  <c r="F17" i="127"/>
  <c r="J8" i="128"/>
  <c r="G24" i="119"/>
  <c r="I14" i="127"/>
  <c r="U46" i="21"/>
  <c r="R46" i="21" s="1"/>
  <c r="H12" i="69"/>
  <c r="K8" i="128"/>
  <c r="M24" i="119"/>
  <c r="M30" i="119"/>
  <c r="J38" i="21"/>
  <c r="D57" i="127"/>
  <c r="AF30" i="21"/>
  <c r="AG30" i="21" s="1"/>
  <c r="AG29" i="21" s="1"/>
  <c r="AF31" i="21"/>
  <c r="AF34" i="21"/>
  <c r="AG34" i="21" s="1"/>
  <c r="AF33" i="21"/>
  <c r="AG33" i="21" s="1"/>
  <c r="F17" i="129"/>
  <c r="AE20" i="119"/>
  <c r="B22" i="71"/>
  <c r="D57" i="131"/>
  <c r="D57" i="129"/>
  <c r="F17" i="131"/>
  <c r="Y30" i="119"/>
  <c r="D58" i="69"/>
  <c r="D57" i="128"/>
  <c r="I8" i="131"/>
  <c r="AQ30" i="21"/>
  <c r="AR30" i="21" s="1"/>
  <c r="AR29" i="21" s="1"/>
  <c r="AQ34" i="21"/>
  <c r="AR34" i="21" s="1"/>
  <c r="J8" i="131"/>
  <c r="H10" i="69"/>
  <c r="H39" i="136"/>
  <c r="H39" i="129" s="1"/>
  <c r="H42" i="136"/>
  <c r="H42" i="129" s="1"/>
  <c r="H20" i="137"/>
  <c r="H20" i="131" s="1"/>
  <c r="H19" i="137"/>
  <c r="H19" i="131" s="1"/>
  <c r="H26" i="137"/>
  <c r="H26" i="131" s="1"/>
  <c r="AF41" i="21"/>
  <c r="H39" i="135"/>
  <c r="H39" i="128" s="1"/>
  <c r="H21" i="137"/>
  <c r="H21" i="131" s="1"/>
  <c r="H44" i="137"/>
  <c r="I44" i="21"/>
  <c r="G39" i="35"/>
  <c r="H25" i="137"/>
  <c r="H25" i="131" s="1"/>
  <c r="G23" i="35"/>
  <c r="BA38" i="21"/>
  <c r="H25" i="135"/>
  <c r="H25" i="128" s="1"/>
  <c r="BA46" i="21"/>
  <c r="H40" i="137"/>
  <c r="H40" i="131" s="1"/>
  <c r="H44" i="136"/>
  <c r="H44" i="129" s="1"/>
  <c r="H40" i="135"/>
  <c r="H40" i="128" s="1"/>
  <c r="H42" i="135"/>
  <c r="H42" i="128" s="1"/>
  <c r="H27" i="69"/>
  <c r="H19" i="136"/>
  <c r="H19" i="129" s="1"/>
  <c r="H39" i="133"/>
  <c r="H19" i="135"/>
  <c r="H19" i="128" s="1"/>
  <c r="G36" i="133"/>
  <c r="G36" i="121"/>
  <c r="E36" i="121" s="1"/>
  <c r="P24" i="128"/>
  <c r="Q24" i="128"/>
  <c r="I24" i="128"/>
  <c r="R24" i="128"/>
  <c r="S24" i="128"/>
  <c r="T24" i="128"/>
  <c r="J24" i="128"/>
  <c r="K24" i="128"/>
  <c r="L24" i="128"/>
  <c r="M24" i="128"/>
  <c r="N24" i="128"/>
  <c r="O24" i="128"/>
  <c r="AE41" i="21"/>
  <c r="N24" i="131"/>
  <c r="O24" i="131"/>
  <c r="P24" i="131"/>
  <c r="Q24" i="131"/>
  <c r="R24" i="131"/>
  <c r="S24" i="131"/>
  <c r="T24" i="131"/>
  <c r="J24" i="131"/>
  <c r="I24" i="131"/>
  <c r="K24" i="131"/>
  <c r="L24" i="131"/>
  <c r="M24" i="131"/>
  <c r="AD48" i="21"/>
  <c r="BA41" i="21"/>
  <c r="P24" i="129"/>
  <c r="Q24" i="129"/>
  <c r="R24" i="129"/>
  <c r="S24" i="129"/>
  <c r="T24" i="129"/>
  <c r="J24" i="129"/>
  <c r="I24" i="129"/>
  <c r="K24" i="129"/>
  <c r="L24" i="129"/>
  <c r="M24" i="129"/>
  <c r="N24" i="129"/>
  <c r="O24" i="129"/>
  <c r="H25" i="136"/>
  <c r="H25" i="129" s="1"/>
  <c r="H27" i="21"/>
  <c r="H26" i="69"/>
  <c r="H43" i="129"/>
  <c r="AE45" i="21"/>
  <c r="AG45" i="21" s="1"/>
  <c r="AF22" i="119"/>
  <c r="AD22" i="119" s="1"/>
  <c r="T42" i="21"/>
  <c r="H26" i="135"/>
  <c r="H26" i="128" s="1"/>
  <c r="Y28" i="119"/>
  <c r="H20" i="135"/>
  <c r="H20" i="128" s="1"/>
  <c r="AZ34" i="21"/>
  <c r="AO34" i="21"/>
  <c r="H21" i="135"/>
  <c r="H21" i="128" s="1"/>
  <c r="T27" i="21"/>
  <c r="G27" i="133"/>
  <c r="H36" i="69"/>
  <c r="H37" i="21"/>
  <c r="AD46" i="21"/>
  <c r="H48" i="21"/>
  <c r="AE22" i="21"/>
  <c r="AD34" i="21"/>
  <c r="I21" i="21"/>
  <c r="AE23" i="21"/>
  <c r="T24" i="21"/>
  <c r="AP22" i="21"/>
  <c r="BA44" i="21"/>
  <c r="AP12" i="21"/>
  <c r="AP21" i="21"/>
  <c r="I18" i="21"/>
  <c r="BB46" i="21"/>
  <c r="O9" i="21"/>
  <c r="AV9" i="21" s="1"/>
  <c r="AU19" i="21"/>
  <c r="AE21" i="21"/>
  <c r="BA27" i="21"/>
  <c r="BA48" i="21"/>
  <c r="AE10" i="21"/>
  <c r="Z9" i="21"/>
  <c r="I38" i="21"/>
  <c r="AP48" i="21"/>
  <c r="T18" i="21"/>
  <c r="T28" i="21"/>
  <c r="AE44" i="21"/>
  <c r="AE42" i="21"/>
  <c r="AE18" i="21"/>
  <c r="N19" i="21"/>
  <c r="T22" i="21"/>
  <c r="AP17" i="21"/>
  <c r="O19" i="21"/>
  <c r="T45" i="21"/>
  <c r="V45" i="21" s="1"/>
  <c r="BA10" i="21"/>
  <c r="BA21" i="21"/>
  <c r="AP45" i="21"/>
  <c r="AR45" i="21" s="1"/>
  <c r="AP46" i="21"/>
  <c r="Y19" i="21"/>
  <c r="T46" i="21"/>
  <c r="BA12" i="21"/>
  <c r="AK19" i="21"/>
  <c r="I41" i="21"/>
  <c r="BA22" i="21"/>
  <c r="BA42" i="21"/>
  <c r="H43" i="128"/>
  <c r="F16" i="121"/>
  <c r="H21" i="69"/>
  <c r="H22" i="21"/>
  <c r="F24" i="121"/>
  <c r="F41" i="35"/>
  <c r="F25" i="35"/>
  <c r="AZ45" i="21"/>
  <c r="AE14" i="119"/>
  <c r="H38" i="35"/>
  <c r="H20" i="136"/>
  <c r="H20" i="129" s="1"/>
  <c r="J26" i="131"/>
  <c r="F29" i="133"/>
  <c r="G14" i="121"/>
  <c r="G40" i="133"/>
  <c r="E40" i="133" s="1"/>
  <c r="H20" i="69"/>
  <c r="H21" i="21"/>
  <c r="F29" i="35"/>
  <c r="AZ38" i="21"/>
  <c r="G20" i="133"/>
  <c r="G54" i="35"/>
  <c r="F23" i="35"/>
  <c r="H40" i="136"/>
  <c r="H40" i="129" s="1"/>
  <c r="H41" i="21"/>
  <c r="H26" i="136"/>
  <c r="H26" i="129" s="1"/>
  <c r="H29" i="35"/>
  <c r="F55" i="137"/>
  <c r="F10" i="133"/>
  <c r="H10" i="36"/>
  <c r="F10" i="121"/>
  <c r="F62" i="35"/>
  <c r="Y13" i="119"/>
  <c r="AE13" i="119"/>
  <c r="H27" i="121"/>
  <c r="I27" i="121" s="1"/>
  <c r="J27" i="121" s="1"/>
  <c r="G28" i="119"/>
  <c r="F69" i="58"/>
  <c r="Y33" i="119"/>
  <c r="Z33" i="119"/>
  <c r="X33" i="119" s="1"/>
  <c r="AE24" i="119"/>
  <c r="F14" i="121"/>
  <c r="S10" i="119"/>
  <c r="J24" i="121"/>
  <c r="G31" i="121"/>
  <c r="E31" i="121" s="1"/>
  <c r="J31" i="121" s="1"/>
  <c r="G15" i="133"/>
  <c r="F27" i="133"/>
  <c r="AE10" i="119"/>
  <c r="F8" i="121"/>
  <c r="F20" i="35"/>
  <c r="F11" i="133"/>
  <c r="M10" i="119"/>
  <c r="G18" i="121"/>
  <c r="E18" i="121" s="1"/>
  <c r="Z9" i="119"/>
  <c r="X9" i="119" s="1"/>
  <c r="G39" i="133"/>
  <c r="F43" i="133"/>
  <c r="F60" i="35"/>
  <c r="J17" i="133"/>
  <c r="G25" i="121"/>
  <c r="E25" i="121" s="1"/>
  <c r="G14" i="35"/>
  <c r="E34" i="121"/>
  <c r="I38" i="133"/>
  <c r="J38" i="133" s="1"/>
  <c r="E38" i="133"/>
  <c r="F33" i="121"/>
  <c r="F51" i="35"/>
  <c r="F40" i="133"/>
  <c r="F52" i="35"/>
  <c r="G26" i="119"/>
  <c r="G14" i="119"/>
  <c r="H26" i="119"/>
  <c r="F26" i="119" s="1"/>
  <c r="H33" i="133"/>
  <c r="I33" i="133" s="1"/>
  <c r="F31" i="133"/>
  <c r="G19" i="35"/>
  <c r="Y9" i="119"/>
  <c r="Y14" i="119"/>
  <c r="Y26" i="119"/>
  <c r="H33" i="119"/>
  <c r="F33" i="119" s="1"/>
  <c r="AE36" i="119"/>
  <c r="G11" i="35"/>
  <c r="F23" i="133"/>
  <c r="S18" i="119"/>
  <c r="G35" i="119"/>
  <c r="J9" i="133"/>
  <c r="H18" i="133"/>
  <c r="G29" i="35"/>
  <c r="I29" i="35" s="1"/>
  <c r="F44" i="35"/>
  <c r="G9" i="119"/>
  <c r="M14" i="119"/>
  <c r="M26" i="119"/>
  <c r="F21" i="35"/>
  <c r="H27" i="133"/>
  <c r="H9" i="119"/>
  <c r="F9" i="119" s="1"/>
  <c r="S14" i="119"/>
  <c r="Z29" i="119"/>
  <c r="X29" i="119" s="1"/>
  <c r="G25" i="35"/>
  <c r="G31" i="119"/>
  <c r="N33" i="119"/>
  <c r="L33" i="119" s="1"/>
  <c r="F18" i="121"/>
  <c r="H21" i="121"/>
  <c r="E21" i="121" s="1"/>
  <c r="J21" i="121" s="1"/>
  <c r="G38" i="35"/>
  <c r="G61" i="35"/>
  <c r="F21" i="133"/>
  <c r="J34" i="133"/>
  <c r="Z26" i="119"/>
  <c r="X26" i="119" s="1"/>
  <c r="G30" i="119"/>
  <c r="H31" i="119"/>
  <c r="F31" i="119" s="1"/>
  <c r="S33" i="119"/>
  <c r="Y36" i="119"/>
  <c r="G37" i="121"/>
  <c r="I37" i="121" s="1"/>
  <c r="F14" i="133"/>
  <c r="G16" i="35"/>
  <c r="T26" i="119"/>
  <c r="R26" i="119" s="1"/>
  <c r="G33" i="119"/>
  <c r="M33" i="119"/>
  <c r="G19" i="133"/>
  <c r="H30" i="119"/>
  <c r="F30" i="119" s="1"/>
  <c r="Y31" i="119"/>
  <c r="T33" i="119"/>
  <c r="R33" i="119" s="1"/>
  <c r="G22" i="121"/>
  <c r="E22" i="121" s="1"/>
  <c r="E6" i="71"/>
  <c r="F6" i="71" s="1"/>
  <c r="G6" i="71" s="1"/>
  <c r="B26" i="71"/>
  <c r="G12" i="35"/>
  <c r="E7" i="71"/>
  <c r="F7" i="71" s="1"/>
  <c r="G7" i="71" s="1"/>
  <c r="E41" i="71"/>
  <c r="F41" i="71" s="1"/>
  <c r="G41" i="71" s="1"/>
  <c r="E43" i="71"/>
  <c r="E28" i="71"/>
  <c r="F28" i="71" s="1"/>
  <c r="G28" i="71" s="1"/>
  <c r="E8" i="71"/>
  <c r="F8" i="71" s="1"/>
  <c r="G8" i="71" s="1"/>
  <c r="G10" i="35"/>
  <c r="E14" i="71"/>
  <c r="G31" i="35"/>
  <c r="E4" i="71"/>
  <c r="F4" i="71" s="1"/>
  <c r="G4" i="71" s="1"/>
  <c r="BA28" i="21"/>
  <c r="H11" i="136"/>
  <c r="H11" i="129" s="1"/>
  <c r="AE13" i="21"/>
  <c r="H22" i="69"/>
  <c r="H23" i="21"/>
  <c r="H43" i="69"/>
  <c r="H44" i="21"/>
  <c r="H46" i="21"/>
  <c r="H48" i="69"/>
  <c r="H34" i="69"/>
  <c r="H16" i="21"/>
  <c r="H42" i="21"/>
  <c r="H11" i="69"/>
  <c r="H45" i="21"/>
  <c r="F25" i="121"/>
  <c r="F30" i="133"/>
  <c r="H12" i="36"/>
  <c r="F12" i="133"/>
  <c r="G8" i="121"/>
  <c r="G8" i="58"/>
  <c r="G8" i="36" s="1"/>
  <c r="F20" i="121"/>
  <c r="F36" i="121"/>
  <c r="F41" i="133"/>
  <c r="F55" i="35"/>
  <c r="F37" i="121"/>
  <c r="G16" i="121"/>
  <c r="F25" i="133"/>
  <c r="F18" i="133"/>
  <c r="F13" i="121"/>
  <c r="F19" i="35"/>
  <c r="F44" i="133"/>
  <c r="F61" i="35"/>
  <c r="G10" i="121"/>
  <c r="Y35" i="119"/>
  <c r="F28" i="35"/>
  <c r="F50" i="35"/>
  <c r="F38" i="133"/>
  <c r="F37" i="35"/>
  <c r="F20" i="133"/>
  <c r="F22" i="121"/>
  <c r="G62" i="35"/>
  <c r="BB27" i="21"/>
  <c r="BB38" i="21"/>
  <c r="AQ38" i="21"/>
  <c r="AR38" i="21" s="1"/>
  <c r="AS38" i="21" s="1"/>
  <c r="AQ46" i="21"/>
  <c r="AN46" i="21" s="1"/>
  <c r="AQ27" i="21"/>
  <c r="AN40" i="21"/>
  <c r="AF38" i="21"/>
  <c r="AF23" i="21"/>
  <c r="U23" i="21"/>
  <c r="U27" i="21"/>
  <c r="H12" i="121"/>
  <c r="H21" i="133"/>
  <c r="H29" i="133"/>
  <c r="H32" i="133"/>
  <c r="T12" i="119"/>
  <c r="R12" i="119" s="1"/>
  <c r="AF23" i="119"/>
  <c r="AD23" i="119" s="1"/>
  <c r="AF36" i="119"/>
  <c r="AD36" i="119" s="1"/>
  <c r="H36" i="133"/>
  <c r="H23" i="119"/>
  <c r="F23" i="119" s="1"/>
  <c r="H24" i="133"/>
  <c r="N23" i="119"/>
  <c r="L23" i="119" s="1"/>
  <c r="H54" i="35"/>
  <c r="T23" i="119"/>
  <c r="R23" i="119" s="1"/>
  <c r="H31" i="35"/>
  <c r="H43" i="133"/>
  <c r="H36" i="119"/>
  <c r="F36" i="119" s="1"/>
  <c r="H43" i="35"/>
  <c r="H26" i="133"/>
  <c r="Z23" i="119"/>
  <c r="X23" i="119" s="1"/>
  <c r="H33" i="121"/>
  <c r="H62" i="35"/>
  <c r="Z36" i="119"/>
  <c r="X36" i="119" s="1"/>
  <c r="H9" i="121"/>
  <c r="E9" i="121" s="1"/>
  <c r="J9" i="121" s="1"/>
  <c r="AE28" i="21"/>
  <c r="I45" i="21"/>
  <c r="K45" i="21" s="1"/>
  <c r="I22" i="21"/>
  <c r="AP44" i="21"/>
  <c r="I12" i="21"/>
  <c r="AE14" i="21"/>
  <c r="I48" i="21"/>
  <c r="I14" i="21"/>
  <c r="AP13" i="21"/>
  <c r="AE16" i="21"/>
  <c r="BA17" i="21"/>
  <c r="AP27" i="21"/>
  <c r="AE38" i="21"/>
  <c r="U38" i="21"/>
  <c r="T38" i="21"/>
  <c r="AF46" i="21"/>
  <c r="AC46" i="21" s="1"/>
  <c r="AE46" i="21"/>
  <c r="AE48" i="21"/>
  <c r="I16" i="21"/>
  <c r="I17" i="21"/>
  <c r="T23" i="21"/>
  <c r="I28" i="21"/>
  <c r="I42" i="21"/>
  <c r="J46" i="21"/>
  <c r="G46" i="21" s="1"/>
  <c r="I46" i="21"/>
  <c r="T48" i="21"/>
  <c r="I13" i="21"/>
  <c r="AF27" i="21"/>
  <c r="AE27" i="21"/>
  <c r="AQ41" i="21"/>
  <c r="T44" i="21"/>
  <c r="T21" i="21"/>
  <c r="J27" i="21"/>
  <c r="I27" i="21"/>
  <c r="I10" i="21"/>
  <c r="T10" i="21"/>
  <c r="T12" i="21"/>
  <c r="AP14" i="21"/>
  <c r="AV19" i="21"/>
  <c r="BA18" i="21"/>
  <c r="J23" i="21"/>
  <c r="I23" i="21"/>
  <c r="U41" i="21"/>
  <c r="G29" i="133"/>
  <c r="G10" i="133"/>
  <c r="G14" i="133"/>
  <c r="G31" i="133"/>
  <c r="G43" i="133"/>
  <c r="G12" i="133"/>
  <c r="G21" i="133"/>
  <c r="G24" i="133"/>
  <c r="G18" i="133"/>
  <c r="G35" i="133"/>
  <c r="G8" i="133"/>
  <c r="G25" i="133"/>
  <c r="E17" i="35"/>
  <c r="G48" i="35"/>
  <c r="G52" i="35"/>
  <c r="G60" i="35"/>
  <c r="B25" i="71"/>
  <c r="G41" i="35"/>
  <c r="G15" i="35"/>
  <c r="B27" i="71"/>
  <c r="G51" i="35"/>
  <c r="I51" i="35" s="1"/>
  <c r="G20" i="35"/>
  <c r="G28" i="35"/>
  <c r="G26" i="35"/>
  <c r="G37" i="35"/>
  <c r="G43" i="35"/>
  <c r="G50" i="35"/>
  <c r="G47" i="35"/>
  <c r="I23" i="121"/>
  <c r="E23" i="121"/>
  <c r="G20" i="121"/>
  <c r="H30" i="121"/>
  <c r="E30" i="121" s="1"/>
  <c r="J30" i="121" s="1"/>
  <c r="G33" i="121"/>
  <c r="G13" i="121"/>
  <c r="G12" i="121"/>
  <c r="G29" i="121"/>
  <c r="G32" i="121"/>
  <c r="I32" i="121" s="1"/>
  <c r="J32" i="121" s="1"/>
  <c r="I35" i="69"/>
  <c r="H47" i="35"/>
  <c r="J14" i="131"/>
  <c r="I10" i="129"/>
  <c r="J14" i="69"/>
  <c r="I11" i="127"/>
  <c r="J11" i="131"/>
  <c r="I11" i="69"/>
  <c r="T11" i="128"/>
  <c r="I14" i="128"/>
  <c r="I14" i="131"/>
  <c r="J12" i="129"/>
  <c r="I14" i="69"/>
  <c r="M18" i="119"/>
  <c r="AF18" i="119"/>
  <c r="AD18" i="119" s="1"/>
  <c r="AE18" i="119"/>
  <c r="Y18" i="119"/>
  <c r="G18" i="119"/>
  <c r="N12" i="119"/>
  <c r="L12" i="119" s="1"/>
  <c r="AF12" i="119"/>
  <c r="AD12" i="119" s="1"/>
  <c r="AE12" i="119"/>
  <c r="M12" i="119"/>
  <c r="Z12" i="119"/>
  <c r="X12" i="119" s="1"/>
  <c r="Y12" i="119"/>
  <c r="H12" i="119"/>
  <c r="F12" i="119" s="1"/>
  <c r="G12" i="119"/>
  <c r="S17" i="119"/>
  <c r="AE17" i="119"/>
  <c r="M17" i="119"/>
  <c r="Y17" i="119"/>
  <c r="G17" i="119"/>
  <c r="S21" i="119"/>
  <c r="S20" i="119"/>
  <c r="T21" i="119"/>
  <c r="R21" i="119" s="1"/>
  <c r="S22" i="119"/>
  <c r="M29" i="119"/>
  <c r="M32" i="119"/>
  <c r="M9" i="119"/>
  <c r="Y10" i="119"/>
  <c r="S13" i="119"/>
  <c r="AE28" i="119"/>
  <c r="N29" i="119"/>
  <c r="L29" i="119" s="1"/>
  <c r="AE29" i="119"/>
  <c r="N31" i="119"/>
  <c r="L31" i="119" s="1"/>
  <c r="AE31" i="119"/>
  <c r="AG31" i="119" s="1"/>
  <c r="AH31" i="119" s="1"/>
  <c r="AE32" i="119"/>
  <c r="N9" i="119"/>
  <c r="L9" i="119" s="1"/>
  <c r="Y24" i="119"/>
  <c r="S24" i="119"/>
  <c r="N26" i="119"/>
  <c r="L26" i="119" s="1"/>
  <c r="AF29" i="119"/>
  <c r="AD29" i="119" s="1"/>
  <c r="M35" i="119"/>
  <c r="AE9" i="119"/>
  <c r="G20" i="119"/>
  <c r="G21" i="119"/>
  <c r="Y22" i="119"/>
  <c r="AE35" i="119"/>
  <c r="M36" i="119"/>
  <c r="AF9" i="119"/>
  <c r="AD9" i="119" s="1"/>
  <c r="G13" i="119"/>
  <c r="Y20" i="119"/>
  <c r="H21" i="119"/>
  <c r="F21" i="119" s="1"/>
  <c r="Y21" i="119"/>
  <c r="G22" i="119"/>
  <c r="S26" i="119"/>
  <c r="AF26" i="119"/>
  <c r="AD26" i="119" s="1"/>
  <c r="N36" i="119"/>
  <c r="L36" i="119" s="1"/>
  <c r="M28" i="119"/>
  <c r="M31" i="119"/>
  <c r="Z31" i="119"/>
  <c r="X31" i="119" s="1"/>
  <c r="S31" i="119"/>
  <c r="S32" i="119"/>
  <c r="S9" i="119"/>
  <c r="T31" i="119"/>
  <c r="R31" i="119" s="1"/>
  <c r="H29" i="119"/>
  <c r="F29" i="119" s="1"/>
  <c r="G29" i="119"/>
  <c r="G32" i="119"/>
  <c r="T9" i="119"/>
  <c r="R9" i="119" s="1"/>
  <c r="AE21" i="119"/>
  <c r="M22" i="119"/>
  <c r="S35" i="119"/>
  <c r="T36" i="119"/>
  <c r="R36" i="119" s="1"/>
  <c r="S36" i="119"/>
  <c r="Z21" i="119"/>
  <c r="X21" i="119" s="1"/>
  <c r="S28" i="119"/>
  <c r="S29" i="119"/>
  <c r="U29" i="119" s="1"/>
  <c r="V29" i="119" s="1"/>
  <c r="M13" i="119"/>
  <c r="M20" i="119"/>
  <c r="M21" i="119"/>
  <c r="O21" i="119" s="1"/>
  <c r="P21" i="119" s="1"/>
  <c r="AF21" i="119"/>
  <c r="AD21" i="119" s="1"/>
  <c r="AE22" i="119"/>
  <c r="Y29" i="119"/>
  <c r="Y32" i="119"/>
  <c r="AE23" i="119"/>
  <c r="AE30" i="119"/>
  <c r="AG30" i="119" s="1"/>
  <c r="AH30" i="119" s="1"/>
  <c r="AE33" i="119"/>
  <c r="AG33" i="119" s="1"/>
  <c r="AH33" i="119" s="1"/>
  <c r="G37" i="133" l="1"/>
  <c r="BH46" i="58"/>
  <c r="BW46" i="58" s="1" a="1"/>
  <c r="BW48" i="58" a="1"/>
  <c r="H46" i="58"/>
  <c r="BL46" i="58"/>
  <c r="AZ46" i="58" s="1"/>
  <c r="BV8" i="136"/>
  <c r="CA55" i="136"/>
  <c r="BY55" i="136"/>
  <c r="BZ55" i="136"/>
  <c r="BW8" i="136"/>
  <c r="CB55" i="136"/>
  <c r="CH55" i="136"/>
  <c r="CC55" i="136"/>
  <c r="CF55" i="136"/>
  <c r="CD55" i="136"/>
  <c r="CG55" i="136"/>
  <c r="BX55" i="136"/>
  <c r="BU8" i="136"/>
  <c r="CE55" i="136"/>
  <c r="BU12" i="136"/>
  <c r="BW12" i="136"/>
  <c r="BV12" i="136"/>
  <c r="BW8" i="137" a="1"/>
  <c r="BW11" i="58"/>
  <c r="BU11" i="58"/>
  <c r="BV11" i="58"/>
  <c r="BW11" i="137" a="1"/>
  <c r="BW12" i="58" a="1"/>
  <c r="BW12" i="137" a="1"/>
  <c r="A205" i="138"/>
  <c r="V205" i="138" s="1" a="1"/>
  <c r="O205" i="138" a="1"/>
  <c r="O205" i="138" s="1"/>
  <c r="J205" i="138" a="1"/>
  <c r="J205" i="138" s="1"/>
  <c r="G205" i="138" a="1"/>
  <c r="G205" i="138" s="1"/>
  <c r="B205" i="138" a="1"/>
  <c r="B205" i="138" s="1"/>
  <c r="C205" i="138" s="1" a="1"/>
  <c r="K205" i="138" a="1"/>
  <c r="K205" i="138" s="1"/>
  <c r="I205" i="138" a="1"/>
  <c r="I205" i="138" s="1"/>
  <c r="Q205" i="138" a="1"/>
  <c r="Q205" i="138" s="1"/>
  <c r="N205" i="138" a="1"/>
  <c r="N205" i="138" s="1"/>
  <c r="P205" i="138" a="1"/>
  <c r="P205" i="138" s="1"/>
  <c r="M205" i="138" a="1"/>
  <c r="M205" i="138" s="1"/>
  <c r="L205" i="138" a="1"/>
  <c r="L205" i="138" s="1"/>
  <c r="R205" i="138" a="1"/>
  <c r="R205" i="138" s="1"/>
  <c r="H205" i="138" a="1"/>
  <c r="H205" i="138" s="1"/>
  <c r="A250" i="138"/>
  <c r="P250" i="138" a="1"/>
  <c r="P250" i="138" s="1"/>
  <c r="O250" i="138" a="1"/>
  <c r="O250" i="138" s="1"/>
  <c r="H250" i="138" a="1"/>
  <c r="H250" i="138" s="1"/>
  <c r="G250" i="138" a="1"/>
  <c r="G250" i="138" s="1"/>
  <c r="B250" i="138" a="1"/>
  <c r="B250" i="138" s="1"/>
  <c r="C250" i="138" s="1" a="1"/>
  <c r="M250" i="138" a="1"/>
  <c r="M250" i="138" s="1"/>
  <c r="N250" i="138" a="1"/>
  <c r="N250" i="138" s="1"/>
  <c r="A115" i="138"/>
  <c r="P115" i="138" a="1"/>
  <c r="P115" i="138" s="1"/>
  <c r="G115" i="138" a="1"/>
  <c r="G115" i="138" s="1"/>
  <c r="J115" i="138" a="1"/>
  <c r="J115" i="138" s="1"/>
  <c r="M115" i="138" a="1"/>
  <c r="M115" i="138" s="1"/>
  <c r="K115" i="138" a="1"/>
  <c r="K115" i="138" s="1"/>
  <c r="O115" i="138" a="1"/>
  <c r="O115" i="138" s="1"/>
  <c r="N115" i="138" a="1"/>
  <c r="N115" i="138" s="1"/>
  <c r="R115" i="138" a="1"/>
  <c r="R115" i="138" s="1"/>
  <c r="I115" i="138" a="1"/>
  <c r="I115" i="138" s="1"/>
  <c r="L115" i="138" a="1"/>
  <c r="L115" i="138" s="1"/>
  <c r="H115" i="138" a="1"/>
  <c r="H115" i="138" s="1"/>
  <c r="Q115" i="138" a="1"/>
  <c r="Q115" i="138" s="1"/>
  <c r="B115" i="138" a="1"/>
  <c r="B115" i="138" s="1"/>
  <c r="C115" i="138" s="1" a="1"/>
  <c r="A160" i="138"/>
  <c r="H160" i="138" s="1" a="1"/>
  <c r="H160" i="138" s="1"/>
  <c r="P160" i="138" a="1"/>
  <c r="P160" i="138" s="1"/>
  <c r="O160" i="138" a="1"/>
  <c r="O160" i="138" s="1"/>
  <c r="G160" i="138" a="1"/>
  <c r="G160" i="138" s="1"/>
  <c r="M160" i="138" a="1"/>
  <c r="M160" i="138" s="1"/>
  <c r="L160" i="138" a="1"/>
  <c r="L160" i="138" s="1"/>
  <c r="K160" i="138" a="1"/>
  <c r="K160" i="138" s="1"/>
  <c r="J160" i="138" a="1"/>
  <c r="J160" i="138" s="1"/>
  <c r="I160" i="138" a="1"/>
  <c r="I160" i="138" s="1"/>
  <c r="N160" i="138" a="1"/>
  <c r="N160" i="138" s="1"/>
  <c r="R160" i="138" a="1"/>
  <c r="R160" i="138" s="1"/>
  <c r="B160" i="138" a="1"/>
  <c r="B160" i="138" s="1"/>
  <c r="C160" i="138" s="1" a="1"/>
  <c r="Q160" i="138" a="1"/>
  <c r="Q160" i="138" s="1"/>
  <c r="A67" i="138"/>
  <c r="O67" i="138" a="1"/>
  <c r="H67" i="138" a="1"/>
  <c r="Q67" i="138" a="1"/>
  <c r="R67" i="138" a="1"/>
  <c r="I67" i="138" a="1"/>
  <c r="B67" i="138" a="1"/>
  <c r="B67" i="138" s="1"/>
  <c r="C67" i="138" s="1" a="1"/>
  <c r="A4" i="138"/>
  <c r="R4" i="138" s="1" a="1"/>
  <c r="Z4" i="138" a="1"/>
  <c r="H4" i="138" a="1"/>
  <c r="K4" i="138" a="1"/>
  <c r="J4" i="138" a="1"/>
  <c r="AD4" i="138" a="1"/>
  <c r="V4" i="138" a="1"/>
  <c r="X4" i="138" a="1"/>
  <c r="AB4" i="138" a="1"/>
  <c r="O4" i="138" a="1"/>
  <c r="AC4" i="138" a="1"/>
  <c r="N4" i="138" a="1"/>
  <c r="AA4" i="138" a="1"/>
  <c r="Q4" i="138" a="1"/>
  <c r="AF4" i="138" a="1"/>
  <c r="M4" i="138" a="1"/>
  <c r="W4" i="138" a="1"/>
  <c r="L4" i="138" a="1"/>
  <c r="G4" i="138" a="1"/>
  <c r="P4" i="138" a="1"/>
  <c r="B4" i="138" a="1"/>
  <c r="B4" i="138" s="1"/>
  <c r="C4" i="138" s="1" a="1"/>
  <c r="Y4" i="138" a="1"/>
  <c r="I52" i="35"/>
  <c r="I60" i="35"/>
  <c r="G46" i="58"/>
  <c r="G46" i="36" s="1"/>
  <c r="I38" i="35"/>
  <c r="J38" i="35" s="1"/>
  <c r="I33" i="35"/>
  <c r="J33" i="35" s="1"/>
  <c r="K17" i="21"/>
  <c r="F55" i="131"/>
  <c r="K18" i="21"/>
  <c r="F55" i="127"/>
  <c r="J8" i="69"/>
  <c r="I25" i="35"/>
  <c r="J8" i="129"/>
  <c r="K23" i="21"/>
  <c r="BC41" i="21"/>
  <c r="K38" i="21"/>
  <c r="L38" i="21" s="1"/>
  <c r="AQ26" i="21"/>
  <c r="AR26" i="21" s="1"/>
  <c r="G46" i="35"/>
  <c r="C19" i="71" s="1"/>
  <c r="AF26" i="21"/>
  <c r="AG26" i="21" s="1"/>
  <c r="BB26" i="21"/>
  <c r="BC26" i="21" s="1"/>
  <c r="K26" i="128"/>
  <c r="I62" i="35"/>
  <c r="AG23" i="21"/>
  <c r="I54" i="35"/>
  <c r="J54" i="35" s="1"/>
  <c r="H46" i="35"/>
  <c r="I24" i="127"/>
  <c r="I25" i="69"/>
  <c r="L24" i="127"/>
  <c r="L25" i="69"/>
  <c r="J24" i="127"/>
  <c r="J25" i="69"/>
  <c r="K24" i="127"/>
  <c r="K25" i="69"/>
  <c r="J26" i="127"/>
  <c r="J26" i="129"/>
  <c r="J27" i="69"/>
  <c r="BC38" i="21"/>
  <c r="BD38" i="21" s="1"/>
  <c r="BC27" i="21"/>
  <c r="N17" i="119"/>
  <c r="L17" i="119" s="1"/>
  <c r="H17" i="119"/>
  <c r="F17" i="119" s="1"/>
  <c r="T17" i="119"/>
  <c r="R17" i="119" s="1"/>
  <c r="AF17" i="119"/>
  <c r="AD17" i="119" s="1"/>
  <c r="H47" i="131"/>
  <c r="H44" i="131"/>
  <c r="M24" i="127"/>
  <c r="M25" i="69"/>
  <c r="S24" i="127"/>
  <c r="S25" i="69"/>
  <c r="R24" i="127"/>
  <c r="R25" i="69"/>
  <c r="Q24" i="127"/>
  <c r="Q25" i="69"/>
  <c r="P24" i="127"/>
  <c r="P25" i="69"/>
  <c r="O24" i="127"/>
  <c r="O25" i="69"/>
  <c r="T24" i="127"/>
  <c r="T25" i="69"/>
  <c r="N24" i="127"/>
  <c r="N25" i="69"/>
  <c r="V23" i="21"/>
  <c r="BC32" i="21"/>
  <c r="BD32" i="21" s="1"/>
  <c r="AY46" i="21"/>
  <c r="BC46" i="21"/>
  <c r="AR32" i="21"/>
  <c r="AS32" i="21" s="1"/>
  <c r="AG38" i="21"/>
  <c r="AH38" i="21" s="1"/>
  <c r="I28" i="35"/>
  <c r="I27" i="35" s="1"/>
  <c r="AR27" i="21"/>
  <c r="AR46" i="21"/>
  <c r="AS46" i="21" s="1"/>
  <c r="V27" i="21"/>
  <c r="AG41" i="21"/>
  <c r="V38" i="21"/>
  <c r="W38" i="21" s="1"/>
  <c r="AG32" i="21"/>
  <c r="AH32" i="21" s="1"/>
  <c r="V46" i="21"/>
  <c r="W46" i="21" s="1"/>
  <c r="AH29" i="21"/>
  <c r="AG27" i="21"/>
  <c r="AG46" i="21"/>
  <c r="AH46" i="21" s="1"/>
  <c r="V32" i="21"/>
  <c r="W32" i="21" s="1"/>
  <c r="V41" i="21"/>
  <c r="K27" i="21"/>
  <c r="I31" i="35"/>
  <c r="H46" i="36"/>
  <c r="F46" i="35"/>
  <c r="F33" i="133"/>
  <c r="I47" i="35"/>
  <c r="BB42" i="21"/>
  <c r="BC42" i="21" s="1"/>
  <c r="H61" i="35"/>
  <c r="I61" i="35" s="1"/>
  <c r="H56" i="35"/>
  <c r="H48" i="35"/>
  <c r="I48" i="35" s="1"/>
  <c r="U42" i="21"/>
  <c r="V42" i="21" s="1"/>
  <c r="AR40" i="21"/>
  <c r="AS40" i="21" s="1"/>
  <c r="J23" i="121"/>
  <c r="I32" i="133"/>
  <c r="I28" i="133" s="1"/>
  <c r="J28" i="133" s="1"/>
  <c r="L28" i="133" s="1"/>
  <c r="F56" i="69"/>
  <c r="U30" i="119"/>
  <c r="V30" i="119" s="1"/>
  <c r="AA30" i="119"/>
  <c r="AB30" i="119" s="1"/>
  <c r="O30" i="119"/>
  <c r="P30" i="119" s="1"/>
  <c r="K10" i="69"/>
  <c r="J12" i="69"/>
  <c r="K12" i="69"/>
  <c r="AF42" i="21"/>
  <c r="AG42" i="21" s="1"/>
  <c r="J10" i="127"/>
  <c r="J10" i="129"/>
  <c r="J10" i="131"/>
  <c r="W205" i="138" s="1" a="1"/>
  <c r="K12" i="129"/>
  <c r="J45" i="127"/>
  <c r="I43" i="35"/>
  <c r="I42" i="35" s="1"/>
  <c r="N8" i="131"/>
  <c r="I10" i="69"/>
  <c r="AF25" i="21"/>
  <c r="AG25" i="21" s="1"/>
  <c r="AQ21" i="21"/>
  <c r="AR21" i="21" s="1"/>
  <c r="J12" i="128"/>
  <c r="F55" i="129"/>
  <c r="K32" i="21"/>
  <c r="L32" i="21" s="1"/>
  <c r="M8" i="128"/>
  <c r="K14" i="129"/>
  <c r="J42" i="21"/>
  <c r="K42" i="21" s="1"/>
  <c r="J21" i="21"/>
  <c r="K21" i="21" s="1"/>
  <c r="BB21" i="21"/>
  <c r="BC21" i="21" s="1"/>
  <c r="I40" i="133"/>
  <c r="J40" i="133" s="1"/>
  <c r="O20" i="129"/>
  <c r="P20" i="129"/>
  <c r="Q20" i="129"/>
  <c r="R20" i="129"/>
  <c r="S20" i="129"/>
  <c r="T20" i="129"/>
  <c r="J20" i="129"/>
  <c r="K20" i="129"/>
  <c r="L20" i="129"/>
  <c r="M20" i="129"/>
  <c r="N20" i="129"/>
  <c r="J25" i="21"/>
  <c r="K25" i="21" s="1"/>
  <c r="U25" i="21"/>
  <c r="V25" i="21" s="1"/>
  <c r="BB25" i="21"/>
  <c r="BC25" i="21" s="1"/>
  <c r="I25" i="121"/>
  <c r="J25" i="121" s="1"/>
  <c r="I36" i="121"/>
  <c r="J36" i="121" s="1"/>
  <c r="K46" i="21"/>
  <c r="L46" i="21" s="1"/>
  <c r="K34" i="131"/>
  <c r="I27" i="133"/>
  <c r="AQ31" i="21"/>
  <c r="AS29" i="21" s="1"/>
  <c r="BB31" i="21"/>
  <c r="U31" i="21"/>
  <c r="K26" i="131"/>
  <c r="J35" i="69"/>
  <c r="N22" i="119"/>
  <c r="L22" i="119" s="1"/>
  <c r="K34" i="128"/>
  <c r="K34" i="129"/>
  <c r="I33" i="119"/>
  <c r="J33" i="119" s="1"/>
  <c r="AA26" i="119"/>
  <c r="AB26" i="119" s="1"/>
  <c r="AA33" i="119"/>
  <c r="AB33" i="119" s="1"/>
  <c r="I30" i="119"/>
  <c r="J30" i="119" s="1"/>
  <c r="U33" i="119"/>
  <c r="V33" i="119" s="1"/>
  <c r="I18" i="121"/>
  <c r="J18" i="121" s="1"/>
  <c r="I31" i="119"/>
  <c r="J31" i="119" s="1"/>
  <c r="E27" i="133"/>
  <c r="E33" i="133"/>
  <c r="I26" i="119"/>
  <c r="J26" i="119" s="1"/>
  <c r="E27" i="121"/>
  <c r="AA9" i="119"/>
  <c r="AB9" i="119" s="1"/>
  <c r="E39" i="133"/>
  <c r="J39" i="133" s="1"/>
  <c r="U26" i="119"/>
  <c r="V26" i="119" s="1"/>
  <c r="I22" i="121"/>
  <c r="J22" i="121" s="1"/>
  <c r="O33" i="119"/>
  <c r="P33" i="119" s="1"/>
  <c r="E37" i="121"/>
  <c r="J37" i="121" s="1"/>
  <c r="E32" i="121"/>
  <c r="I24" i="133"/>
  <c r="AA36" i="119"/>
  <c r="AB36" i="119" s="1"/>
  <c r="AA29" i="119"/>
  <c r="AB29" i="119" s="1"/>
  <c r="I9" i="119"/>
  <c r="J9" i="119" s="1"/>
  <c r="I29" i="119"/>
  <c r="J29" i="119" s="1"/>
  <c r="AG9" i="119"/>
  <c r="AH9" i="119" s="1"/>
  <c r="AA12" i="119"/>
  <c r="AB12" i="119" s="1"/>
  <c r="I22" i="119"/>
  <c r="J22" i="119" s="1"/>
  <c r="O12" i="119"/>
  <c r="P12" i="119" s="1"/>
  <c r="AG36" i="119"/>
  <c r="AH36" i="119" s="1"/>
  <c r="AG12" i="119"/>
  <c r="AH12" i="119" s="1"/>
  <c r="U36" i="119"/>
  <c r="V36" i="119" s="1"/>
  <c r="AA23" i="119"/>
  <c r="AB23" i="119" s="1"/>
  <c r="O23" i="119"/>
  <c r="P23" i="119" s="1"/>
  <c r="I23" i="119"/>
  <c r="J23" i="119" s="1"/>
  <c r="I43" i="133"/>
  <c r="J43" i="133" s="1"/>
  <c r="U12" i="119"/>
  <c r="V12" i="119" s="1"/>
  <c r="E33" i="121"/>
  <c r="J33" i="121" s="1"/>
  <c r="U23" i="119"/>
  <c r="V23" i="119" s="1"/>
  <c r="AG23" i="119"/>
  <c r="AH23" i="119" s="1"/>
  <c r="AG22" i="119"/>
  <c r="AH22" i="119" s="1"/>
  <c r="I12" i="121"/>
  <c r="E12" i="121"/>
  <c r="U31" i="119"/>
  <c r="V31" i="119" s="1"/>
  <c r="J37" i="21"/>
  <c r="O31" i="119"/>
  <c r="P31" i="119" s="1"/>
  <c r="K11" i="127"/>
  <c r="J14" i="128"/>
  <c r="O9" i="119"/>
  <c r="P9" i="119" s="1"/>
  <c r="J11" i="69"/>
  <c r="I10" i="128"/>
  <c r="U21" i="119"/>
  <c r="V21" i="119" s="1"/>
  <c r="K14" i="128"/>
  <c r="J11" i="128"/>
  <c r="K14" i="69"/>
  <c r="K11" i="129"/>
  <c r="O29" i="119"/>
  <c r="P29" i="119" s="1"/>
  <c r="K14" i="131"/>
  <c r="I12" i="119"/>
  <c r="J12" i="119" s="1"/>
  <c r="J14" i="127"/>
  <c r="K11" i="131"/>
  <c r="O36" i="119"/>
  <c r="P36" i="119" s="1"/>
  <c r="AG29" i="119"/>
  <c r="AH29" i="119" s="1"/>
  <c r="AG26" i="119"/>
  <c r="AH26" i="119" s="1"/>
  <c r="O26" i="119"/>
  <c r="P26" i="119" s="1"/>
  <c r="AA31" i="119"/>
  <c r="AB31" i="119" s="1"/>
  <c r="U9" i="119"/>
  <c r="V9" i="119" s="1"/>
  <c r="AA21" i="119"/>
  <c r="AB21" i="119" s="1"/>
  <c r="I21" i="119"/>
  <c r="J21" i="119" s="1"/>
  <c r="AG18" i="119"/>
  <c r="AH18" i="119" s="1"/>
  <c r="AG21" i="119"/>
  <c r="AH21" i="119" s="1"/>
  <c r="BW46" i="58" l="1"/>
  <c r="BV46" i="58"/>
  <c r="BU46" i="58"/>
  <c r="CA69" i="58"/>
  <c r="CC69" i="58"/>
  <c r="BW48" i="58"/>
  <c r="BV48" i="58"/>
  <c r="BU48" i="58"/>
  <c r="BW8" i="137"/>
  <c r="CH55" i="137"/>
  <c r="CG55" i="137"/>
  <c r="BZ55" i="137"/>
  <c r="BY55" i="137"/>
  <c r="CB55" i="137"/>
  <c r="CA55" i="137"/>
  <c r="CE55" i="137"/>
  <c r="BX55" i="137"/>
  <c r="BV8" i="137"/>
  <c r="CD55" i="137"/>
  <c r="BU8" i="137"/>
  <c r="CC55" i="137"/>
  <c r="CF55" i="137"/>
  <c r="BV12" i="137"/>
  <c r="BW12" i="137"/>
  <c r="BU12" i="137"/>
  <c r="BW55" i="136"/>
  <c r="CE69" i="58"/>
  <c r="BW12" i="58"/>
  <c r="BW69" i="58" s="1"/>
  <c r="BU12" i="58"/>
  <c r="BV12" i="58"/>
  <c r="CF69" i="58"/>
  <c r="BY69" i="58"/>
  <c r="CD69" i="58"/>
  <c r="CG69" i="58"/>
  <c r="BX69" i="58"/>
  <c r="CB69" i="58"/>
  <c r="CH69" i="58"/>
  <c r="BV11" i="137"/>
  <c r="BW11" i="137"/>
  <c r="BU11" i="137"/>
  <c r="BZ69" i="58"/>
  <c r="AK234" i="138"/>
  <c r="BA234" i="138" s="1"/>
  <c r="AK214" i="138"/>
  <c r="BA214" i="138" s="1"/>
  <c r="AK229" i="138"/>
  <c r="BA229" i="138" s="1"/>
  <c r="AK212" i="138"/>
  <c r="BA212" i="138" s="1"/>
  <c r="AK227" i="138"/>
  <c r="BA227" i="138" s="1"/>
  <c r="AK228" i="138"/>
  <c r="BA228" i="138" s="1"/>
  <c r="AK232" i="138"/>
  <c r="BA232" i="138" s="1"/>
  <c r="AK216" i="138"/>
  <c r="BA216" i="138" s="1"/>
  <c r="AK224" i="138"/>
  <c r="BA224" i="138" s="1"/>
  <c r="AK206" i="138"/>
  <c r="BA206" i="138" s="1"/>
  <c r="AK221" i="138"/>
  <c r="BA221" i="138" s="1"/>
  <c r="V205" i="138"/>
  <c r="AK205" i="138" s="1"/>
  <c r="BA205" i="138" s="1"/>
  <c r="AK222" i="138"/>
  <c r="BA222" i="138" s="1"/>
  <c r="AK211" i="138"/>
  <c r="AK210" i="138"/>
  <c r="BA210" i="138" s="1"/>
  <c r="AK219" i="138"/>
  <c r="BA219" i="138" s="1"/>
  <c r="AK217" i="138"/>
  <c r="BA217" i="138" s="1"/>
  <c r="AK233" i="138"/>
  <c r="BA233" i="138" s="1"/>
  <c r="AK226" i="138"/>
  <c r="BA226" i="138" s="1"/>
  <c r="AK207" i="138"/>
  <c r="BA207" i="138" s="1"/>
  <c r="AK230" i="138"/>
  <c r="BA230" i="138" s="1"/>
  <c r="AK220" i="138"/>
  <c r="BA220" i="138" s="1"/>
  <c r="AK215" i="138"/>
  <c r="BA215" i="138" s="1"/>
  <c r="AK213" i="138"/>
  <c r="BA213" i="138" s="1"/>
  <c r="AK209" i="138"/>
  <c r="BA209" i="138" s="1"/>
  <c r="AK223" i="138"/>
  <c r="BA223" i="138" s="1"/>
  <c r="AK231" i="138"/>
  <c r="BA231" i="138" s="1"/>
  <c r="AK218" i="138"/>
  <c r="BA218" i="138" s="1"/>
  <c r="AK225" i="138"/>
  <c r="BA225" i="138" s="1"/>
  <c r="C205" i="138"/>
  <c r="E205" i="138" s="1" a="1"/>
  <c r="E205" i="138" s="1"/>
  <c r="AK208" i="138"/>
  <c r="BA208" i="138" s="1"/>
  <c r="AL208" i="138"/>
  <c r="BB208" i="138" s="1"/>
  <c r="AL223" i="138"/>
  <c r="BB223" i="138" s="1"/>
  <c r="AL209" i="138"/>
  <c r="BB209" i="138" s="1"/>
  <c r="AL229" i="138"/>
  <c r="BB229" i="138" s="1"/>
  <c r="AL213" i="138"/>
  <c r="BB213" i="138" s="1"/>
  <c r="AL230" i="138"/>
  <c r="BB230" i="138" s="1"/>
  <c r="AL224" i="138"/>
  <c r="BB224" i="138" s="1"/>
  <c r="AL227" i="138"/>
  <c r="BB227" i="138" s="1"/>
  <c r="AL228" i="138"/>
  <c r="BB228" i="138" s="1"/>
  <c r="AL217" i="138"/>
  <c r="BB217" i="138" s="1"/>
  <c r="AL218" i="138"/>
  <c r="BB218" i="138" s="1"/>
  <c r="AL221" i="138"/>
  <c r="BB221" i="138" s="1"/>
  <c r="AL212" i="138"/>
  <c r="BB212" i="138" s="1"/>
  <c r="AL231" i="138"/>
  <c r="BB231" i="138" s="1"/>
  <c r="AL215" i="138"/>
  <c r="BB215" i="138" s="1"/>
  <c r="AL233" i="138"/>
  <c r="BB233" i="138" s="1"/>
  <c r="W205" i="138"/>
  <c r="AL205" i="138" s="1"/>
  <c r="BB205" i="138" s="1"/>
  <c r="AL211" i="138"/>
  <c r="BB211" i="138" s="1"/>
  <c r="AL219" i="138"/>
  <c r="BB219" i="138" s="1"/>
  <c r="AL210" i="138"/>
  <c r="BB210" i="138" s="1"/>
  <c r="AL220" i="138"/>
  <c r="BB220" i="138" s="1"/>
  <c r="AL207" i="138"/>
  <c r="BB207" i="138" s="1"/>
  <c r="AL206" i="138"/>
  <c r="BB206" i="138" s="1"/>
  <c r="AL216" i="138"/>
  <c r="BB216" i="138" s="1"/>
  <c r="AL214" i="138"/>
  <c r="BB214" i="138" s="1"/>
  <c r="AL226" i="138"/>
  <c r="BB226" i="138" s="1"/>
  <c r="AL222" i="138"/>
  <c r="BB222" i="138" s="1"/>
  <c r="AL234" i="138"/>
  <c r="BB234" i="138" s="1"/>
  <c r="AL232" i="138"/>
  <c r="BB232" i="138" s="1"/>
  <c r="AL225" i="138"/>
  <c r="BB225" i="138" s="1"/>
  <c r="R250" i="138" a="1"/>
  <c r="C250" i="138"/>
  <c r="T250" i="138" s="1" a="1"/>
  <c r="T250" i="138" s="1"/>
  <c r="AX250" i="138" a="1"/>
  <c r="AX250" i="138" s="1"/>
  <c r="AI250" i="138" a="1"/>
  <c r="AI250" i="138" s="1"/>
  <c r="E250" i="138" a="1"/>
  <c r="E250" i="138" s="1"/>
  <c r="W250" i="138" a="1"/>
  <c r="AL257" i="138" s="1"/>
  <c r="BB257" i="138" s="1"/>
  <c r="V250" i="138" a="1"/>
  <c r="AK253" i="138" s="1"/>
  <c r="BA253" i="138" s="1"/>
  <c r="K250" i="138" a="1"/>
  <c r="I250" i="138" a="1"/>
  <c r="Q250" i="138" a="1"/>
  <c r="J250" i="138" a="1"/>
  <c r="L250" i="138" a="1"/>
  <c r="C115" i="138"/>
  <c r="T115" i="138" s="1" a="1"/>
  <c r="T115" i="138" s="1"/>
  <c r="E115" i="138" a="1"/>
  <c r="E115" i="138" s="1"/>
  <c r="AI115" i="138" a="1"/>
  <c r="AI115" i="138" s="1"/>
  <c r="V115" i="138" a="1"/>
  <c r="C160" i="138"/>
  <c r="E160" i="138" s="1" a="1"/>
  <c r="E160" i="138" s="1"/>
  <c r="AX160" i="138" a="1"/>
  <c r="AX160" i="138" s="1"/>
  <c r="AI160" i="138" a="1"/>
  <c r="AI160" i="138" s="1"/>
  <c r="T160" i="138" a="1"/>
  <c r="T160" i="138" s="1"/>
  <c r="V160" i="138" a="1"/>
  <c r="W160" i="138" a="1"/>
  <c r="K67" i="138" a="1"/>
  <c r="W67" i="138" a="1"/>
  <c r="AL85" i="138" s="1"/>
  <c r="BB85" i="138" s="1"/>
  <c r="L67" i="138" a="1"/>
  <c r="L67" i="138" s="1"/>
  <c r="P67" i="138" a="1"/>
  <c r="G67" i="138" a="1"/>
  <c r="V67" i="138" a="1"/>
  <c r="AK88" i="138" s="1"/>
  <c r="BA88" i="138" s="1"/>
  <c r="M67" i="138" a="1"/>
  <c r="M67" i="138" s="1"/>
  <c r="N67" i="138" a="1"/>
  <c r="J67" i="138" a="1"/>
  <c r="AL73" i="138"/>
  <c r="BB73" i="138" s="1"/>
  <c r="AL81" i="138"/>
  <c r="BB81" i="138" s="1"/>
  <c r="AL88" i="138"/>
  <c r="BB88" i="138" s="1"/>
  <c r="AL77" i="138"/>
  <c r="BB77" i="138" s="1"/>
  <c r="AL80" i="138"/>
  <c r="BB80" i="138" s="1"/>
  <c r="AL78" i="138"/>
  <c r="BB78" i="138" s="1"/>
  <c r="AL69" i="138"/>
  <c r="BB69" i="138" s="1"/>
  <c r="AL93" i="138"/>
  <c r="BB93" i="138" s="1"/>
  <c r="AL83" i="138"/>
  <c r="BB83" i="138" s="1"/>
  <c r="AL91" i="138"/>
  <c r="BB91" i="138" s="1"/>
  <c r="AL68" i="138"/>
  <c r="BB68" i="138" s="1"/>
  <c r="AL76" i="138"/>
  <c r="BB76" i="138" s="1"/>
  <c r="AL72" i="138"/>
  <c r="BB72" i="138" s="1"/>
  <c r="AL79" i="138"/>
  <c r="BB79" i="138" s="1"/>
  <c r="AL75" i="138"/>
  <c r="BB75" i="138" s="1"/>
  <c r="AL71" i="138"/>
  <c r="BB71" i="138" s="1"/>
  <c r="AL95" i="138"/>
  <c r="BB95" i="138" s="1"/>
  <c r="AL96" i="138"/>
  <c r="BB96" i="138" s="1"/>
  <c r="AL82" i="138"/>
  <c r="BB82" i="138" s="1"/>
  <c r="AL89" i="138"/>
  <c r="BB89" i="138" s="1"/>
  <c r="BA211" i="138"/>
  <c r="J67" i="138"/>
  <c r="C67" i="138"/>
  <c r="E67" i="138" s="1" a="1"/>
  <c r="E67" i="138" s="1"/>
  <c r="Q67" i="138"/>
  <c r="I67" i="138"/>
  <c r="AL86" i="138"/>
  <c r="BB86" i="138" s="1"/>
  <c r="H67" i="138"/>
  <c r="AL70" i="138"/>
  <c r="BB70" i="138" s="1"/>
  <c r="O67" i="138"/>
  <c r="R67" i="138"/>
  <c r="AG4" i="138" a="1"/>
  <c r="AV16" i="138" s="1"/>
  <c r="BL16" i="138" s="1"/>
  <c r="AE4" i="138" a="1"/>
  <c r="AT11" i="138" s="1"/>
  <c r="BJ11" i="138" s="1"/>
  <c r="I4" i="138" a="1"/>
  <c r="AM37" i="138" s="1"/>
  <c r="BC37" i="138" s="1"/>
  <c r="P4" i="138"/>
  <c r="X4" i="138"/>
  <c r="AM34" i="138"/>
  <c r="BC34" i="138" s="1"/>
  <c r="G4" i="138"/>
  <c r="AK7" i="138"/>
  <c r="BA7" i="138" s="1"/>
  <c r="AK11" i="138"/>
  <c r="BA11" i="138" s="1"/>
  <c r="AK44" i="138"/>
  <c r="BA44" i="138" s="1"/>
  <c r="AK20" i="138"/>
  <c r="BA20" i="138" s="1"/>
  <c r="AK21" i="138"/>
  <c r="BA21" i="138" s="1"/>
  <c r="AK37" i="138"/>
  <c r="BA37" i="138" s="1"/>
  <c r="AK15" i="138"/>
  <c r="BA15" i="138" s="1"/>
  <c r="AK26" i="138"/>
  <c r="BA26" i="138" s="1"/>
  <c r="AK13" i="138"/>
  <c r="BA13" i="138" s="1"/>
  <c r="AK18" i="138"/>
  <c r="BA18" i="138" s="1"/>
  <c r="AK33" i="138"/>
  <c r="BA33" i="138" s="1"/>
  <c r="AK30" i="138"/>
  <c r="BA30" i="138" s="1"/>
  <c r="AK27" i="138"/>
  <c r="BA27" i="138" s="1"/>
  <c r="AK19" i="138"/>
  <c r="BA19" i="138" s="1"/>
  <c r="BA36" i="138"/>
  <c r="AK17" i="138"/>
  <c r="BA17" i="138" s="1"/>
  <c r="AK25" i="138"/>
  <c r="BA25" i="138" s="1"/>
  <c r="AK8" i="138"/>
  <c r="BA8" i="138" s="1"/>
  <c r="AK5" i="138"/>
  <c r="BA5" i="138" s="1"/>
  <c r="AK6" i="138"/>
  <c r="BA6" i="138" s="1"/>
  <c r="AK43" i="138"/>
  <c r="BA43" i="138" s="1"/>
  <c r="AK35" i="138"/>
  <c r="BA35" i="138" s="1"/>
  <c r="AK38" i="138"/>
  <c r="BA38" i="138" s="1"/>
  <c r="AK28" i="138"/>
  <c r="BA28" i="138" s="1"/>
  <c r="V4" i="138"/>
  <c r="AK41" i="138"/>
  <c r="BA41" i="138" s="1"/>
  <c r="AK9" i="138"/>
  <c r="BA9" i="138" s="1"/>
  <c r="AK23" i="138"/>
  <c r="BA23" i="138" s="1"/>
  <c r="AK10" i="138"/>
  <c r="BA10" i="138" s="1"/>
  <c r="AK34" i="138"/>
  <c r="BA34" i="138" s="1"/>
  <c r="AK22" i="138"/>
  <c r="BA22" i="138" s="1"/>
  <c r="AK24" i="138"/>
  <c r="BA24" i="138" s="1"/>
  <c r="AK16" i="138"/>
  <c r="BA16" i="138" s="1"/>
  <c r="AK14" i="138"/>
  <c r="BA14" i="138" s="1"/>
  <c r="AK32" i="138"/>
  <c r="BA32" i="138" s="1"/>
  <c r="AK31" i="138"/>
  <c r="BA31" i="138" s="1"/>
  <c r="AK40" i="138"/>
  <c r="BA40" i="138" s="1"/>
  <c r="AK42" i="138"/>
  <c r="BA42" i="138" s="1"/>
  <c r="AK39" i="138"/>
  <c r="BA39" i="138" s="1"/>
  <c r="AK29" i="138"/>
  <c r="BA29" i="138" s="1"/>
  <c r="AK12" i="138"/>
  <c r="BA12" i="138" s="1"/>
  <c r="L4" i="138"/>
  <c r="AP11" i="138"/>
  <c r="BF11" i="138" s="1"/>
  <c r="AP7" i="138"/>
  <c r="BF7" i="138" s="1"/>
  <c r="AS22" i="138"/>
  <c r="BI22" i="138" s="1"/>
  <c r="AS15" i="138"/>
  <c r="BI15" i="138" s="1"/>
  <c r="AS10" i="138"/>
  <c r="BI10" i="138" s="1"/>
  <c r="AS5" i="138"/>
  <c r="BI5" i="138" s="1"/>
  <c r="AS13" i="138"/>
  <c r="BI13" i="138" s="1"/>
  <c r="AS17" i="138"/>
  <c r="BI17" i="138" s="1"/>
  <c r="AS9" i="138"/>
  <c r="BI9" i="138" s="1"/>
  <c r="AS6" i="138"/>
  <c r="BI6" i="138" s="1"/>
  <c r="AS42" i="138"/>
  <c r="BI42" i="138" s="1"/>
  <c r="AS24" i="138"/>
  <c r="BI24" i="138" s="1"/>
  <c r="AS31" i="138"/>
  <c r="BI31" i="138" s="1"/>
  <c r="AS25" i="138"/>
  <c r="BI25" i="138" s="1"/>
  <c r="AS18" i="138"/>
  <c r="BI18" i="138" s="1"/>
  <c r="AS35" i="138"/>
  <c r="BI35" i="138" s="1"/>
  <c r="AS39" i="138"/>
  <c r="BI39" i="138" s="1"/>
  <c r="AS12" i="138"/>
  <c r="BI12" i="138" s="1"/>
  <c r="AS38" i="138"/>
  <c r="BI38" i="138" s="1"/>
  <c r="AS26" i="138"/>
  <c r="BI26" i="138" s="1"/>
  <c r="AS8" i="138"/>
  <c r="BI8" i="138" s="1"/>
  <c r="AS44" i="138"/>
  <c r="BI44" i="138" s="1"/>
  <c r="AS29" i="138"/>
  <c r="BI29" i="138" s="1"/>
  <c r="AS32" i="138"/>
  <c r="BI32" i="138" s="1"/>
  <c r="AS40" i="138"/>
  <c r="BI40" i="138" s="1"/>
  <c r="AS33" i="138"/>
  <c r="BI33" i="138" s="1"/>
  <c r="AS30" i="138"/>
  <c r="BI30" i="138" s="1"/>
  <c r="AS21" i="138"/>
  <c r="BI21" i="138" s="1"/>
  <c r="AS41" i="138"/>
  <c r="BI41" i="138" s="1"/>
  <c r="AS19" i="138"/>
  <c r="BI19" i="138" s="1"/>
  <c r="AS14" i="138"/>
  <c r="BI14" i="138" s="1"/>
  <c r="AS27" i="138"/>
  <c r="BI27" i="138" s="1"/>
  <c r="AS43" i="138"/>
  <c r="BI43" i="138" s="1"/>
  <c r="AD4" i="138"/>
  <c r="AS23" i="138"/>
  <c r="BI23" i="138" s="1"/>
  <c r="AS37" i="138"/>
  <c r="BI37" i="138" s="1"/>
  <c r="BI36" i="138"/>
  <c r="AS16" i="138"/>
  <c r="BI16" i="138" s="1"/>
  <c r="AS28" i="138"/>
  <c r="BI28" i="138" s="1"/>
  <c r="AS20" i="138"/>
  <c r="BI20" i="138" s="1"/>
  <c r="AS34" i="138"/>
  <c r="BI34" i="138" s="1"/>
  <c r="AI29" i="138"/>
  <c r="AX26" i="138"/>
  <c r="AI12" i="138"/>
  <c r="AI17" i="138"/>
  <c r="AI39" i="138"/>
  <c r="AI43" i="138"/>
  <c r="AX34" i="138"/>
  <c r="AI44" i="138"/>
  <c r="AI5" i="138"/>
  <c r="AX12" i="138"/>
  <c r="AI18" i="138"/>
  <c r="AI32" i="138"/>
  <c r="AI35" i="138"/>
  <c r="AX36" i="138"/>
  <c r="AX21" i="138"/>
  <c r="AX37" i="138"/>
  <c r="AX7" i="138"/>
  <c r="AX28" i="138"/>
  <c r="AX13" i="138"/>
  <c r="AI30" i="138"/>
  <c r="AX20" i="138"/>
  <c r="AI7" i="138"/>
  <c r="AI26" i="138"/>
  <c r="AI27" i="138"/>
  <c r="AX24" i="138"/>
  <c r="AI40" i="138"/>
  <c r="AI9" i="138"/>
  <c r="AX17" i="138"/>
  <c r="AI24" i="138"/>
  <c r="AI41" i="138"/>
  <c r="AI11" i="138"/>
  <c r="AI42" i="138"/>
  <c r="AI23" i="138"/>
  <c r="AI15" i="138"/>
  <c r="AX31" i="138"/>
  <c r="AI6" i="138"/>
  <c r="AX9" i="138"/>
  <c r="AI36" i="138"/>
  <c r="AX43" i="138"/>
  <c r="AX41" i="138"/>
  <c r="AI14" i="138"/>
  <c r="AX35" i="138"/>
  <c r="AI16" i="138"/>
  <c r="AI19" i="138"/>
  <c r="AX10" i="138"/>
  <c r="AX14" i="138"/>
  <c r="AI28" i="138"/>
  <c r="AX29" i="138"/>
  <c r="AX6" i="138"/>
  <c r="AI8" i="138"/>
  <c r="AI38" i="138"/>
  <c r="AI10" i="138"/>
  <c r="AX38" i="138"/>
  <c r="AI25" i="138"/>
  <c r="AX25" i="138"/>
  <c r="AX30" i="138"/>
  <c r="AX15" i="138"/>
  <c r="AI34" i="138"/>
  <c r="AX32" i="138"/>
  <c r="AI31" i="138"/>
  <c r="AX27" i="138"/>
  <c r="AX18" i="138"/>
  <c r="AI21" i="138"/>
  <c r="AX16" i="138"/>
  <c r="AI13" i="138"/>
  <c r="AX11" i="138"/>
  <c r="AX19" i="138"/>
  <c r="C4" i="138"/>
  <c r="BR4" i="138" s="1" a="1"/>
  <c r="BR4" i="138" s="1"/>
  <c r="AX5" i="138"/>
  <c r="AI20" i="138"/>
  <c r="AI22" i="138"/>
  <c r="AX42" i="138"/>
  <c r="AX23" i="138"/>
  <c r="AX33" i="138"/>
  <c r="AX39" i="138"/>
  <c r="AX40" i="138"/>
  <c r="AX44" i="138"/>
  <c r="AI33" i="138"/>
  <c r="AX22" i="138"/>
  <c r="AI37" i="138"/>
  <c r="AX8" i="138"/>
  <c r="AL34" i="138"/>
  <c r="BB34" i="138" s="1"/>
  <c r="AL19" i="138"/>
  <c r="BB19" i="138" s="1"/>
  <c r="AL5" i="138"/>
  <c r="BB5" i="138" s="1"/>
  <c r="AL35" i="138"/>
  <c r="BB35" i="138" s="1"/>
  <c r="AL9" i="138"/>
  <c r="BB9" i="138" s="1"/>
  <c r="AL39" i="138"/>
  <c r="BB39" i="138" s="1"/>
  <c r="AL26" i="138"/>
  <c r="BB26" i="138" s="1"/>
  <c r="AL41" i="138"/>
  <c r="BB41" i="138" s="1"/>
  <c r="AL31" i="138"/>
  <c r="BB31" i="138" s="1"/>
  <c r="AL27" i="138"/>
  <c r="BB27" i="138" s="1"/>
  <c r="AL14" i="138"/>
  <c r="BB14" i="138" s="1"/>
  <c r="AL30" i="138"/>
  <c r="BB30" i="138" s="1"/>
  <c r="AL10" i="138"/>
  <c r="BB10" i="138" s="1"/>
  <c r="AL32" i="138"/>
  <c r="BB32" i="138" s="1"/>
  <c r="AL15" i="138"/>
  <c r="BB15" i="138" s="1"/>
  <c r="AL6" i="138"/>
  <c r="BB6" i="138" s="1"/>
  <c r="AL33" i="138"/>
  <c r="BB33" i="138" s="1"/>
  <c r="AL25" i="138"/>
  <c r="BB25" i="138" s="1"/>
  <c r="AL28" i="138"/>
  <c r="BB28" i="138" s="1"/>
  <c r="AL24" i="138"/>
  <c r="BB24" i="138" s="1"/>
  <c r="AL23" i="138"/>
  <c r="BB23" i="138" s="1"/>
  <c r="AL13" i="138"/>
  <c r="BB13" i="138" s="1"/>
  <c r="AL40" i="138"/>
  <c r="BB40" i="138" s="1"/>
  <c r="AL12" i="138"/>
  <c r="BB12" i="138" s="1"/>
  <c r="AL29" i="138"/>
  <c r="BB29" i="138" s="1"/>
  <c r="AL20" i="138"/>
  <c r="BB20" i="138" s="1"/>
  <c r="AL43" i="138"/>
  <c r="BB43" i="138" s="1"/>
  <c r="AL42" i="138"/>
  <c r="BB42" i="138" s="1"/>
  <c r="AL37" i="138"/>
  <c r="BB37" i="138" s="1"/>
  <c r="AL44" i="138"/>
  <c r="BB44" i="138" s="1"/>
  <c r="AL21" i="138"/>
  <c r="BB21" i="138" s="1"/>
  <c r="AL38" i="138"/>
  <c r="BB38" i="138" s="1"/>
  <c r="BB36" i="138"/>
  <c r="AL8" i="138"/>
  <c r="BB8" i="138" s="1"/>
  <c r="W4" i="138"/>
  <c r="AL18" i="138"/>
  <c r="BB18" i="138" s="1"/>
  <c r="AL16" i="138"/>
  <c r="BB16" i="138" s="1"/>
  <c r="AL17" i="138"/>
  <c r="BB17" i="138" s="1"/>
  <c r="AL22" i="138"/>
  <c r="BB22" i="138" s="1"/>
  <c r="AN7" i="138"/>
  <c r="BD7" i="138" s="1"/>
  <c r="J4" i="138"/>
  <c r="AN11" i="138"/>
  <c r="BD11" i="138" s="1"/>
  <c r="AO7" i="138"/>
  <c r="BE7" i="138" s="1"/>
  <c r="AO11" i="138"/>
  <c r="BE11" i="138" s="1"/>
  <c r="K4" i="138"/>
  <c r="AU27" i="138"/>
  <c r="BK27" i="138" s="1"/>
  <c r="AU30" i="138"/>
  <c r="BK30" i="138" s="1"/>
  <c r="AU17" i="138"/>
  <c r="BK17" i="138" s="1"/>
  <c r="AU32" i="138"/>
  <c r="BK32" i="138" s="1"/>
  <c r="AU22" i="138"/>
  <c r="BK22" i="138" s="1"/>
  <c r="AU37" i="138"/>
  <c r="BK37" i="138" s="1"/>
  <c r="AU44" i="138"/>
  <c r="BK44" i="138" s="1"/>
  <c r="AU40" i="138"/>
  <c r="BK40" i="138" s="1"/>
  <c r="AU6" i="138"/>
  <c r="BK6" i="138" s="1"/>
  <c r="AU25" i="138"/>
  <c r="BK25" i="138" s="1"/>
  <c r="AU29" i="138"/>
  <c r="BK29" i="138" s="1"/>
  <c r="AU24" i="138"/>
  <c r="BK24" i="138" s="1"/>
  <c r="AU31" i="138"/>
  <c r="BK31" i="138" s="1"/>
  <c r="AU21" i="138"/>
  <c r="BK21" i="138" s="1"/>
  <c r="AU18" i="138"/>
  <c r="BK18" i="138" s="1"/>
  <c r="AU13" i="138"/>
  <c r="BK13" i="138" s="1"/>
  <c r="AU33" i="138"/>
  <c r="BK33" i="138" s="1"/>
  <c r="AU28" i="138"/>
  <c r="BK28" i="138" s="1"/>
  <c r="AU35" i="138"/>
  <c r="BK35" i="138" s="1"/>
  <c r="AF4" i="138"/>
  <c r="AU43" i="138"/>
  <c r="BK43" i="138" s="1"/>
  <c r="AU41" i="138"/>
  <c r="BK41" i="138" s="1"/>
  <c r="AU20" i="138"/>
  <c r="BK20" i="138" s="1"/>
  <c r="AU15" i="138"/>
  <c r="BK15" i="138" s="1"/>
  <c r="AU19" i="138"/>
  <c r="BK19" i="138" s="1"/>
  <c r="AU34" i="138"/>
  <c r="BK34" i="138" s="1"/>
  <c r="AU23" i="138"/>
  <c r="BK23" i="138" s="1"/>
  <c r="AU16" i="138"/>
  <c r="BK16" i="138" s="1"/>
  <c r="AU38" i="138"/>
  <c r="BK38" i="138" s="1"/>
  <c r="AU5" i="138"/>
  <c r="BK5" i="138" s="1"/>
  <c r="AU10" i="138"/>
  <c r="BK10" i="138" s="1"/>
  <c r="AU8" i="138"/>
  <c r="BK8" i="138" s="1"/>
  <c r="AU26" i="138"/>
  <c r="BK26" i="138" s="1"/>
  <c r="AU14" i="138"/>
  <c r="BK14" i="138" s="1"/>
  <c r="AU12" i="138"/>
  <c r="BK12" i="138" s="1"/>
  <c r="AU42" i="138"/>
  <c r="BK42" i="138" s="1"/>
  <c r="AU9" i="138"/>
  <c r="BK9" i="138" s="1"/>
  <c r="BK36" i="138"/>
  <c r="AU39" i="138"/>
  <c r="BK39" i="138" s="1"/>
  <c r="AL11" i="138"/>
  <c r="BB11" i="138" s="1"/>
  <c r="AL7" i="138"/>
  <c r="BB7" i="138" s="1"/>
  <c r="H4" i="138"/>
  <c r="AQ40" i="138"/>
  <c r="BG40" i="138" s="1"/>
  <c r="AQ27" i="138"/>
  <c r="BG27" i="138" s="1"/>
  <c r="AQ39" i="138"/>
  <c r="BG39" i="138" s="1"/>
  <c r="AQ35" i="138"/>
  <c r="BG35" i="138" s="1"/>
  <c r="AQ10" i="138"/>
  <c r="BG10" i="138" s="1"/>
  <c r="AQ8" i="138"/>
  <c r="BG8" i="138" s="1"/>
  <c r="AQ31" i="138"/>
  <c r="BG31" i="138" s="1"/>
  <c r="AQ22" i="138"/>
  <c r="BG22" i="138" s="1"/>
  <c r="AQ33" i="138"/>
  <c r="BG33" i="138" s="1"/>
  <c r="AQ13" i="138"/>
  <c r="BG13" i="138" s="1"/>
  <c r="AB4" i="138"/>
  <c r="AQ34" i="138"/>
  <c r="BG34" i="138" s="1"/>
  <c r="AQ43" i="138"/>
  <c r="BG43" i="138" s="1"/>
  <c r="AQ12" i="138"/>
  <c r="BG12" i="138" s="1"/>
  <c r="AQ18" i="138"/>
  <c r="BG18" i="138" s="1"/>
  <c r="AQ5" i="138"/>
  <c r="BG5" i="138" s="1"/>
  <c r="AQ6" i="138"/>
  <c r="BG6" i="138" s="1"/>
  <c r="AQ37" i="138"/>
  <c r="BG37" i="138" s="1"/>
  <c r="AQ17" i="138"/>
  <c r="BG17" i="138" s="1"/>
  <c r="AQ21" i="138"/>
  <c r="BG21" i="138" s="1"/>
  <c r="AQ23" i="138"/>
  <c r="BG23" i="138" s="1"/>
  <c r="AQ19" i="138"/>
  <c r="BG19" i="138" s="1"/>
  <c r="AQ29" i="138"/>
  <c r="BG29" i="138" s="1"/>
  <c r="AQ20" i="138"/>
  <c r="BG20" i="138" s="1"/>
  <c r="AQ9" i="138"/>
  <c r="BG9" i="138" s="1"/>
  <c r="AQ32" i="138"/>
  <c r="BG32" i="138" s="1"/>
  <c r="AQ15" i="138"/>
  <c r="BG15" i="138" s="1"/>
  <c r="AQ38" i="138"/>
  <c r="BG38" i="138" s="1"/>
  <c r="AQ25" i="138"/>
  <c r="BG25" i="138" s="1"/>
  <c r="AQ30" i="138"/>
  <c r="BG30" i="138" s="1"/>
  <c r="AQ14" i="138"/>
  <c r="BG14" i="138" s="1"/>
  <c r="AQ42" i="138"/>
  <c r="BG42" i="138" s="1"/>
  <c r="AQ16" i="138"/>
  <c r="BG16" i="138" s="1"/>
  <c r="AQ44" i="138"/>
  <c r="BG44" i="138" s="1"/>
  <c r="AQ26" i="138"/>
  <c r="BG26" i="138" s="1"/>
  <c r="AQ41" i="138"/>
  <c r="BG41" i="138" s="1"/>
  <c r="AQ28" i="138"/>
  <c r="BG28" i="138" s="1"/>
  <c r="AQ24" i="138"/>
  <c r="BG24" i="138" s="1"/>
  <c r="BG36" i="138"/>
  <c r="AU7" i="138"/>
  <c r="BK7" i="138" s="1"/>
  <c r="AU11" i="138"/>
  <c r="BK11" i="138" s="1"/>
  <c r="Q4" i="138"/>
  <c r="AO20" i="138"/>
  <c r="BE20" i="138" s="1"/>
  <c r="AO5" i="138"/>
  <c r="BE5" i="138" s="1"/>
  <c r="AO42" i="138"/>
  <c r="BE42" i="138" s="1"/>
  <c r="AO19" i="138"/>
  <c r="BE19" i="138" s="1"/>
  <c r="AO30" i="138"/>
  <c r="BE30" i="138" s="1"/>
  <c r="AO44" i="138"/>
  <c r="BE44" i="138" s="1"/>
  <c r="AO9" i="138"/>
  <c r="BE9" i="138" s="1"/>
  <c r="Z4" i="138"/>
  <c r="AO43" i="138"/>
  <c r="BE43" i="138" s="1"/>
  <c r="AO14" i="138"/>
  <c r="BE14" i="138" s="1"/>
  <c r="AO13" i="138"/>
  <c r="BE13" i="138" s="1"/>
  <c r="AO32" i="138"/>
  <c r="BE32" i="138" s="1"/>
  <c r="AO8" i="138"/>
  <c r="BE8" i="138" s="1"/>
  <c r="BE36" i="138"/>
  <c r="AO23" i="138"/>
  <c r="BE23" i="138" s="1"/>
  <c r="AO38" i="138"/>
  <c r="BE38" i="138" s="1"/>
  <c r="AO10" i="138"/>
  <c r="BE10" i="138" s="1"/>
  <c r="AO33" i="138"/>
  <c r="BE33" i="138" s="1"/>
  <c r="AO15" i="138"/>
  <c r="BE15" i="138" s="1"/>
  <c r="AO25" i="138"/>
  <c r="BE25" i="138" s="1"/>
  <c r="AO17" i="138"/>
  <c r="BE17" i="138" s="1"/>
  <c r="AO21" i="138"/>
  <c r="BE21" i="138" s="1"/>
  <c r="AO27" i="138"/>
  <c r="BE27" i="138" s="1"/>
  <c r="AO29" i="138"/>
  <c r="BE29" i="138" s="1"/>
  <c r="AO22" i="138"/>
  <c r="BE22" i="138" s="1"/>
  <c r="AO40" i="138"/>
  <c r="BE40" i="138" s="1"/>
  <c r="AO28" i="138"/>
  <c r="BE28" i="138" s="1"/>
  <c r="AO31" i="138"/>
  <c r="BE31" i="138" s="1"/>
  <c r="AO16" i="138"/>
  <c r="BE16" i="138" s="1"/>
  <c r="AO18" i="138"/>
  <c r="BE18" i="138" s="1"/>
  <c r="AO35" i="138"/>
  <c r="BE35" i="138" s="1"/>
  <c r="AO6" i="138"/>
  <c r="BE6" i="138" s="1"/>
  <c r="AO37" i="138"/>
  <c r="BE37" i="138" s="1"/>
  <c r="AO34" i="138"/>
  <c r="BE34" i="138" s="1"/>
  <c r="AO39" i="138"/>
  <c r="BE39" i="138" s="1"/>
  <c r="AO26" i="138"/>
  <c r="BE26" i="138" s="1"/>
  <c r="AO12" i="138"/>
  <c r="BE12" i="138" s="1"/>
  <c r="AO41" i="138"/>
  <c r="BE41" i="138" s="1"/>
  <c r="AO24" i="138"/>
  <c r="BE24" i="138" s="1"/>
  <c r="AP40" i="138"/>
  <c r="BF40" i="138" s="1"/>
  <c r="AP10" i="138"/>
  <c r="BF10" i="138" s="1"/>
  <c r="AP32" i="138"/>
  <c r="BF32" i="138" s="1"/>
  <c r="AP12" i="138"/>
  <c r="BF12" i="138" s="1"/>
  <c r="AP26" i="138"/>
  <c r="BF26" i="138" s="1"/>
  <c r="AP17" i="138"/>
  <c r="BF17" i="138" s="1"/>
  <c r="AP38" i="138"/>
  <c r="BF38" i="138" s="1"/>
  <c r="AP6" i="138"/>
  <c r="BF6" i="138" s="1"/>
  <c r="AP42" i="138"/>
  <c r="BF42" i="138" s="1"/>
  <c r="AA4" i="138"/>
  <c r="AP4" i="138" s="1"/>
  <c r="BF4" i="138" s="1"/>
  <c r="AP9" i="138"/>
  <c r="BF9" i="138" s="1"/>
  <c r="AP41" i="138"/>
  <c r="BF41" i="138" s="1"/>
  <c r="BF36" i="138"/>
  <c r="AP19" i="138"/>
  <c r="BF19" i="138" s="1"/>
  <c r="AP22" i="138"/>
  <c r="BF22" i="138" s="1"/>
  <c r="AP31" i="138"/>
  <c r="BF31" i="138" s="1"/>
  <c r="AP39" i="138"/>
  <c r="BF39" i="138" s="1"/>
  <c r="AP24" i="138"/>
  <c r="BF24" i="138" s="1"/>
  <c r="AP30" i="138"/>
  <c r="BF30" i="138" s="1"/>
  <c r="AP27" i="138"/>
  <c r="BF27" i="138" s="1"/>
  <c r="AP14" i="138"/>
  <c r="BF14" i="138" s="1"/>
  <c r="AP35" i="138"/>
  <c r="BF35" i="138" s="1"/>
  <c r="AP21" i="138"/>
  <c r="BF21" i="138" s="1"/>
  <c r="AP16" i="138"/>
  <c r="BF16" i="138" s="1"/>
  <c r="AP5" i="138"/>
  <c r="BF5" i="138" s="1"/>
  <c r="AP15" i="138"/>
  <c r="BF15" i="138" s="1"/>
  <c r="AP33" i="138"/>
  <c r="BF33" i="138" s="1"/>
  <c r="AP8" i="138"/>
  <c r="BF8" i="138" s="1"/>
  <c r="AP43" i="138"/>
  <c r="BF43" i="138" s="1"/>
  <c r="AP20" i="138"/>
  <c r="BF20" i="138" s="1"/>
  <c r="AP25" i="138"/>
  <c r="BF25" i="138" s="1"/>
  <c r="AP23" i="138"/>
  <c r="BF23" i="138" s="1"/>
  <c r="AP34" i="138"/>
  <c r="BF34" i="138" s="1"/>
  <c r="AP29" i="138"/>
  <c r="BF29" i="138" s="1"/>
  <c r="AP13" i="138"/>
  <c r="BF13" i="138" s="1"/>
  <c r="AP44" i="138"/>
  <c r="BF44" i="138" s="1"/>
  <c r="AP18" i="138"/>
  <c r="BF18" i="138" s="1"/>
  <c r="AP37" i="138"/>
  <c r="BF37" i="138" s="1"/>
  <c r="AP28" i="138"/>
  <c r="BF28" i="138" s="1"/>
  <c r="AR7" i="138"/>
  <c r="AR11" i="138"/>
  <c r="N4" i="138"/>
  <c r="AQ11" i="138"/>
  <c r="BG11" i="138" s="1"/>
  <c r="AQ7" i="138"/>
  <c r="BG7" i="138" s="1"/>
  <c r="M4" i="138"/>
  <c r="AR26" i="138"/>
  <c r="AR28" i="138"/>
  <c r="AR23" i="138"/>
  <c r="AR43" i="138"/>
  <c r="AR22" i="138"/>
  <c r="AR16" i="138"/>
  <c r="AR38" i="138"/>
  <c r="AR8" i="138"/>
  <c r="AR31" i="138"/>
  <c r="AR9" i="138"/>
  <c r="AR21" i="138"/>
  <c r="AR30" i="138"/>
  <c r="AR29" i="138"/>
  <c r="AR42" i="138"/>
  <c r="AR10" i="138"/>
  <c r="AR12" i="138"/>
  <c r="AR33" i="138"/>
  <c r="AR6" i="138"/>
  <c r="AR32" i="138"/>
  <c r="AR25" i="138"/>
  <c r="AR27" i="138"/>
  <c r="AR17" i="138"/>
  <c r="AR44" i="138"/>
  <c r="AR19" i="138"/>
  <c r="AR18" i="138"/>
  <c r="AR14" i="138"/>
  <c r="AR5" i="138"/>
  <c r="AC4" i="138"/>
  <c r="AR34" i="138"/>
  <c r="AR41" i="138"/>
  <c r="AR40" i="138"/>
  <c r="AR39" i="138"/>
  <c r="AR15" i="138"/>
  <c r="AR24" i="138"/>
  <c r="AR37" i="138"/>
  <c r="AR35" i="138"/>
  <c r="AR20" i="138"/>
  <c r="AR13" i="138"/>
  <c r="AN20" i="138"/>
  <c r="BD20" i="138" s="1"/>
  <c r="AN24" i="138"/>
  <c r="BD24" i="138" s="1"/>
  <c r="Y4" i="138"/>
  <c r="AN32" i="138"/>
  <c r="BD32" i="138" s="1"/>
  <c r="BD36" i="138"/>
  <c r="AN28" i="138"/>
  <c r="BD28" i="138" s="1"/>
  <c r="AN33" i="138"/>
  <c r="BD33" i="138" s="1"/>
  <c r="AN19" i="138"/>
  <c r="BD19" i="138" s="1"/>
  <c r="AN17" i="138"/>
  <c r="BD17" i="138" s="1"/>
  <c r="AN39" i="138"/>
  <c r="BD39" i="138" s="1"/>
  <c r="AN8" i="138"/>
  <c r="BD8" i="138" s="1"/>
  <c r="AN41" i="138"/>
  <c r="BD41" i="138" s="1"/>
  <c r="AN14" i="138"/>
  <c r="BD14" i="138" s="1"/>
  <c r="AN9" i="138"/>
  <c r="BD9" i="138" s="1"/>
  <c r="AN44" i="138"/>
  <c r="BD44" i="138" s="1"/>
  <c r="AN43" i="138"/>
  <c r="BD43" i="138" s="1"/>
  <c r="AN21" i="138"/>
  <c r="BD21" i="138" s="1"/>
  <c r="AN35" i="138"/>
  <c r="BD35" i="138" s="1"/>
  <c r="AN16" i="138"/>
  <c r="BD16" i="138" s="1"/>
  <c r="AN22" i="138"/>
  <c r="BD22" i="138" s="1"/>
  <c r="AN6" i="138"/>
  <c r="BD6" i="138" s="1"/>
  <c r="AN40" i="138"/>
  <c r="BD40" i="138" s="1"/>
  <c r="AN18" i="138"/>
  <c r="BD18" i="138" s="1"/>
  <c r="AN12" i="138"/>
  <c r="BD12" i="138" s="1"/>
  <c r="AN38" i="138"/>
  <c r="BD38" i="138" s="1"/>
  <c r="AN10" i="138"/>
  <c r="BD10" i="138" s="1"/>
  <c r="AN5" i="138"/>
  <c r="BD5" i="138" s="1"/>
  <c r="AN29" i="138"/>
  <c r="BD29" i="138" s="1"/>
  <c r="AN27" i="138"/>
  <c r="BD27" i="138" s="1"/>
  <c r="AN30" i="138"/>
  <c r="BD30" i="138" s="1"/>
  <c r="AN23" i="138"/>
  <c r="BD23" i="138" s="1"/>
  <c r="AN34" i="138"/>
  <c r="BD34" i="138" s="1"/>
  <c r="AN13" i="138"/>
  <c r="BD13" i="138" s="1"/>
  <c r="AN25" i="138"/>
  <c r="BD25" i="138" s="1"/>
  <c r="AN42" i="138"/>
  <c r="BD42" i="138" s="1"/>
  <c r="AN37" i="138"/>
  <c r="BD37" i="138" s="1"/>
  <c r="AN15" i="138"/>
  <c r="BD15" i="138" s="1"/>
  <c r="AN26" i="138"/>
  <c r="BD26" i="138" s="1"/>
  <c r="AN31" i="138"/>
  <c r="BD31" i="138" s="1"/>
  <c r="AS11" i="138"/>
  <c r="BI11" i="138" s="1"/>
  <c r="O4" i="138"/>
  <c r="AS7" i="138"/>
  <c r="BI7" i="138" s="1"/>
  <c r="R4" i="138"/>
  <c r="AV7" i="138"/>
  <c r="BL7" i="138" s="1"/>
  <c r="I46" i="35"/>
  <c r="I45" i="35" s="1"/>
  <c r="J45" i="35" s="1"/>
  <c r="K8" i="129"/>
  <c r="X250" i="138" s="1" a="1"/>
  <c r="K8" i="69"/>
  <c r="X67" i="138" s="1" a="1"/>
  <c r="AM82" i="138" s="1"/>
  <c r="BC82" i="138" s="1"/>
  <c r="L26" i="128"/>
  <c r="J26" i="21"/>
  <c r="K26" i="21" s="1"/>
  <c r="AQ22" i="21"/>
  <c r="AR22" i="21" s="1"/>
  <c r="AR20" i="21" s="1"/>
  <c r="AS20" i="21" s="1"/>
  <c r="U26" i="21"/>
  <c r="V26" i="21" s="1"/>
  <c r="I56" i="35"/>
  <c r="J56" i="35" s="1"/>
  <c r="J53" i="35" s="1"/>
  <c r="D24" i="71"/>
  <c r="D19" i="71"/>
  <c r="E19" i="71" s="1"/>
  <c r="F19" i="71" s="1"/>
  <c r="G19" i="71" s="1"/>
  <c r="K26" i="129"/>
  <c r="K26" i="127"/>
  <c r="L34" i="127"/>
  <c r="K34" i="127"/>
  <c r="K27" i="69"/>
  <c r="BD46" i="21"/>
  <c r="BC40" i="21"/>
  <c r="BD40" i="21" s="1"/>
  <c r="AG40" i="21"/>
  <c r="AH40" i="21" s="1"/>
  <c r="V40" i="21"/>
  <c r="W40" i="21" s="1"/>
  <c r="G24" i="21"/>
  <c r="J42" i="35"/>
  <c r="I58" i="35"/>
  <c r="J58" i="35" s="1"/>
  <c r="O22" i="119"/>
  <c r="P22" i="119" s="1"/>
  <c r="O17" i="119"/>
  <c r="P17" i="119" s="1"/>
  <c r="I17" i="119"/>
  <c r="J17" i="119" s="1"/>
  <c r="U17" i="119"/>
  <c r="V17" i="119" s="1"/>
  <c r="AG17" i="119"/>
  <c r="AH17" i="119" s="1"/>
  <c r="Z17" i="119"/>
  <c r="X17" i="119" s="1"/>
  <c r="H20" i="133"/>
  <c r="H23" i="133"/>
  <c r="I23" i="133" s="1"/>
  <c r="H19" i="133"/>
  <c r="H14" i="121"/>
  <c r="E14" i="121" s="1"/>
  <c r="J14" i="121" s="1"/>
  <c r="H17" i="121"/>
  <c r="E17" i="121" s="1"/>
  <c r="J17" i="121" s="1"/>
  <c r="H13" i="121"/>
  <c r="I13" i="121" s="1"/>
  <c r="M10" i="69"/>
  <c r="K10" i="127"/>
  <c r="U21" i="21"/>
  <c r="V21" i="21" s="1"/>
  <c r="K10" i="129"/>
  <c r="K10" i="131"/>
  <c r="AF21" i="21"/>
  <c r="AG21" i="21" s="1"/>
  <c r="L12" i="69"/>
  <c r="L12" i="129"/>
  <c r="K45" i="127"/>
  <c r="O8" i="131"/>
  <c r="K12" i="127"/>
  <c r="N8" i="128"/>
  <c r="H29" i="121"/>
  <c r="E29" i="121" s="1"/>
  <c r="J29" i="121" s="1"/>
  <c r="AF28" i="119"/>
  <c r="L11" i="129"/>
  <c r="L11" i="127"/>
  <c r="K12" i="128"/>
  <c r="L14" i="128"/>
  <c r="L14" i="131"/>
  <c r="L11" i="131"/>
  <c r="K12" i="131"/>
  <c r="L14" i="69"/>
  <c r="L14" i="129"/>
  <c r="L12" i="131"/>
  <c r="L12" i="127"/>
  <c r="L34" i="131"/>
  <c r="AF22" i="21"/>
  <c r="AG22" i="21" s="1"/>
  <c r="J22" i="21"/>
  <c r="K22" i="21" s="1"/>
  <c r="K20" i="21" s="1"/>
  <c r="H32" i="35"/>
  <c r="I32" i="35" s="1"/>
  <c r="BB22" i="21"/>
  <c r="BC22" i="21" s="1"/>
  <c r="BC20" i="21" s="1"/>
  <c r="BD20" i="21" s="1"/>
  <c r="AF13" i="119"/>
  <c r="K35" i="69"/>
  <c r="AF14" i="119"/>
  <c r="J27" i="133"/>
  <c r="T22" i="119"/>
  <c r="L34" i="129"/>
  <c r="H19" i="35"/>
  <c r="BB37" i="21"/>
  <c r="BC37" i="21" s="1"/>
  <c r="BD37" i="21" s="1"/>
  <c r="L26" i="131"/>
  <c r="L34" i="128"/>
  <c r="E16" i="133"/>
  <c r="J33" i="133"/>
  <c r="J12" i="121"/>
  <c r="H20" i="35"/>
  <c r="K11" i="69"/>
  <c r="K14" i="127"/>
  <c r="J10" i="128"/>
  <c r="W115" i="138" s="1" a="1"/>
  <c r="AL118" i="138" s="1"/>
  <c r="BB118" i="138" s="1"/>
  <c r="K11" i="128"/>
  <c r="AK84" i="138" l="1"/>
  <c r="BA84" i="138" s="1"/>
  <c r="V67" i="138"/>
  <c r="AL94" i="138"/>
  <c r="BB94" i="138" s="1"/>
  <c r="AL90" i="138"/>
  <c r="BB90" i="138" s="1"/>
  <c r="X160" i="138" a="1"/>
  <c r="AM184" i="138" s="1"/>
  <c r="BC184" i="138" s="1"/>
  <c r="AK86" i="138"/>
  <c r="BA86" i="138" s="1"/>
  <c r="AK81" i="138"/>
  <c r="BA81" i="138" s="1"/>
  <c r="AV20" i="138"/>
  <c r="BL20" i="138" s="1"/>
  <c r="AL74" i="138"/>
  <c r="BB74" i="138" s="1"/>
  <c r="AL84" i="138"/>
  <c r="BB84" i="138" s="1"/>
  <c r="AL92" i="138"/>
  <c r="BB92" i="138" s="1"/>
  <c r="W67" i="138"/>
  <c r="AL67" i="138" s="1"/>
  <c r="BB67" i="138" s="1"/>
  <c r="BB64" i="138" s="1"/>
  <c r="AV14" i="138"/>
  <c r="BL14" i="138" s="1"/>
  <c r="AV11" i="138"/>
  <c r="BL11" i="138" s="1"/>
  <c r="AT30" i="138"/>
  <c r="BJ30" i="138" s="1"/>
  <c r="AV30" i="138"/>
  <c r="BL30" i="138" s="1"/>
  <c r="AK71" i="138"/>
  <c r="BA71" i="138" s="1"/>
  <c r="AK89" i="138"/>
  <c r="BA89" i="138" s="1"/>
  <c r="AT33" i="138"/>
  <c r="BJ33" i="138" s="1"/>
  <c r="G67" i="138"/>
  <c r="AT26" i="138"/>
  <c r="BJ26" i="138" s="1"/>
  <c r="AV25" i="138"/>
  <c r="BL25" i="138" s="1"/>
  <c r="K67" i="138"/>
  <c r="AK82" i="138"/>
  <c r="BA82" i="138" s="1"/>
  <c r="AK95" i="138"/>
  <c r="BA95" i="138" s="1"/>
  <c r="AK70" i="138"/>
  <c r="BA70" i="138" s="1"/>
  <c r="AK69" i="138"/>
  <c r="BA69" i="138" s="1"/>
  <c r="AT17" i="138"/>
  <c r="BJ17" i="138" s="1"/>
  <c r="AV8" i="138"/>
  <c r="BL8" i="138" s="1"/>
  <c r="AK90" i="138"/>
  <c r="BA90" i="138" s="1"/>
  <c r="AK73" i="138"/>
  <c r="BA73" i="138" s="1"/>
  <c r="AK74" i="138"/>
  <c r="BA74" i="138" s="1"/>
  <c r="X205" i="138" a="1"/>
  <c r="AM229" i="138" s="1"/>
  <c r="BC229" i="138" s="1"/>
  <c r="AT32" i="138"/>
  <c r="BJ32" i="138" s="1"/>
  <c r="AT12" i="138"/>
  <c r="BJ12" i="138" s="1"/>
  <c r="AV29" i="138"/>
  <c r="BL29" i="138" s="1"/>
  <c r="AK91" i="138"/>
  <c r="BA91" i="138" s="1"/>
  <c r="AK76" i="138"/>
  <c r="BA76" i="138" s="1"/>
  <c r="AT19" i="138"/>
  <c r="BJ19" i="138" s="1"/>
  <c r="AV34" i="138"/>
  <c r="BL34" i="138" s="1"/>
  <c r="AK92" i="138"/>
  <c r="BA92" i="138" s="1"/>
  <c r="AK77" i="138"/>
  <c r="BA77" i="138" s="1"/>
  <c r="AK85" i="138"/>
  <c r="BA85" i="138" s="1"/>
  <c r="AT13" i="138"/>
  <c r="BJ13" i="138" s="1"/>
  <c r="AV10" i="138"/>
  <c r="BL10" i="138" s="1"/>
  <c r="AK68" i="138"/>
  <c r="BA68" i="138" s="1"/>
  <c r="AK78" i="138"/>
  <c r="BA78" i="138" s="1"/>
  <c r="AT6" i="138"/>
  <c r="BJ6" i="138" s="1"/>
  <c r="AK93" i="138"/>
  <c r="BA93" i="138" s="1"/>
  <c r="AK87" i="138"/>
  <c r="BA87" i="138" s="1"/>
  <c r="BJ36" i="138"/>
  <c r="BJ49" i="138" s="1"/>
  <c r="AV31" i="138"/>
  <c r="BL31" i="138" s="1"/>
  <c r="AM11" i="138"/>
  <c r="BC11" i="138" s="1"/>
  <c r="AT37" i="138"/>
  <c r="BJ37" i="138" s="1"/>
  <c r="AV24" i="138"/>
  <c r="BL24" i="138" s="1"/>
  <c r="AK94" i="138"/>
  <c r="BA94" i="138" s="1"/>
  <c r="AK80" i="138"/>
  <c r="BA80" i="138" s="1"/>
  <c r="AM7" i="138"/>
  <c r="BC7" i="138" s="1"/>
  <c r="AT38" i="138"/>
  <c r="BJ38" i="138" s="1"/>
  <c r="AV21" i="138"/>
  <c r="BL21" i="138" s="1"/>
  <c r="N67" i="138"/>
  <c r="AK83" i="138"/>
  <c r="BA83" i="138" s="1"/>
  <c r="BW55" i="137"/>
  <c r="AT29" i="138"/>
  <c r="BJ29" i="138" s="1"/>
  <c r="AK79" i="138"/>
  <c r="BA79" i="138" s="1"/>
  <c r="AK96" i="138"/>
  <c r="BA96" i="138" s="1"/>
  <c r="AI205" i="138" a="1"/>
  <c r="AI205" i="138" s="1"/>
  <c r="T205" i="138" a="1"/>
  <c r="T205" i="138" s="1"/>
  <c r="AX205" i="138" a="1"/>
  <c r="AX205" i="138" s="1"/>
  <c r="BA202" i="138"/>
  <c r="BB202" i="138"/>
  <c r="AM209" i="138"/>
  <c r="BC209" i="138" s="1"/>
  <c r="CI16" i="138"/>
  <c r="AK257" i="138"/>
  <c r="BA257" i="138" s="1"/>
  <c r="Q250" i="138"/>
  <c r="I250" i="138"/>
  <c r="AM253" i="138"/>
  <c r="BC253" i="138" s="1"/>
  <c r="AM257" i="138"/>
  <c r="BC257" i="138" s="1"/>
  <c r="K250" i="138"/>
  <c r="AM255" i="138"/>
  <c r="BC255" i="138" s="1"/>
  <c r="AM258" i="138"/>
  <c r="BC258" i="138" s="1"/>
  <c r="AM265" i="138"/>
  <c r="BC265" i="138" s="1"/>
  <c r="AM267" i="138"/>
  <c r="BC267" i="138" s="1"/>
  <c r="AM274" i="138"/>
  <c r="BC274" i="138" s="1"/>
  <c r="AM270" i="138"/>
  <c r="BC270" i="138" s="1"/>
  <c r="AM269" i="138"/>
  <c r="BC269" i="138" s="1"/>
  <c r="AM251" i="138"/>
  <c r="BC251" i="138" s="1"/>
  <c r="AM254" i="138"/>
  <c r="BC254" i="138" s="1"/>
  <c r="AM279" i="138"/>
  <c r="BC279" i="138" s="1"/>
  <c r="AM276" i="138"/>
  <c r="BC276" i="138" s="1"/>
  <c r="AM252" i="138"/>
  <c r="BC252" i="138" s="1"/>
  <c r="AM278" i="138"/>
  <c r="BC278" i="138" s="1"/>
  <c r="AM277" i="138"/>
  <c r="BC277" i="138" s="1"/>
  <c r="AM262" i="138"/>
  <c r="BC262" i="138" s="1"/>
  <c r="AM261" i="138"/>
  <c r="BC261" i="138" s="1"/>
  <c r="AM259" i="138"/>
  <c r="BC259" i="138" s="1"/>
  <c r="X250" i="138"/>
  <c r="CJ18" i="138" s="1"/>
  <c r="AM275" i="138"/>
  <c r="BC275" i="138" s="1"/>
  <c r="AM260" i="138"/>
  <c r="BC260" i="138" s="1"/>
  <c r="AM264" i="138"/>
  <c r="BC264" i="138" s="1"/>
  <c r="AM272" i="138"/>
  <c r="BC272" i="138" s="1"/>
  <c r="AM271" i="138"/>
  <c r="BC271" i="138" s="1"/>
  <c r="AM256" i="138"/>
  <c r="BC256" i="138" s="1"/>
  <c r="AM268" i="138"/>
  <c r="BC268" i="138" s="1"/>
  <c r="AM266" i="138"/>
  <c r="BC266" i="138" s="1"/>
  <c r="AM263" i="138"/>
  <c r="BC263" i="138" s="1"/>
  <c r="AM273" i="138"/>
  <c r="BC273" i="138" s="1"/>
  <c r="L250" i="138"/>
  <c r="AK271" i="138"/>
  <c r="BA271" i="138" s="1"/>
  <c r="AK269" i="138"/>
  <c r="BA269" i="138" s="1"/>
  <c r="AK276" i="138"/>
  <c r="BA276" i="138" s="1"/>
  <c r="AK254" i="138"/>
  <c r="BA254" i="138" s="1"/>
  <c r="AK264" i="138"/>
  <c r="BA264" i="138" s="1"/>
  <c r="AK260" i="138"/>
  <c r="BA260" i="138" s="1"/>
  <c r="AK270" i="138"/>
  <c r="BA270" i="138" s="1"/>
  <c r="AK266" i="138"/>
  <c r="BA266" i="138" s="1"/>
  <c r="AK252" i="138"/>
  <c r="BA252" i="138" s="1"/>
  <c r="AK265" i="138"/>
  <c r="BA265" i="138" s="1"/>
  <c r="AK275" i="138"/>
  <c r="BA275" i="138" s="1"/>
  <c r="AK268" i="138"/>
  <c r="BA268" i="138" s="1"/>
  <c r="AK273" i="138"/>
  <c r="BA273" i="138" s="1"/>
  <c r="AK259" i="138"/>
  <c r="BA259" i="138" s="1"/>
  <c r="AK267" i="138"/>
  <c r="BA267" i="138" s="1"/>
  <c r="AK274" i="138"/>
  <c r="BA274" i="138" s="1"/>
  <c r="AK263" i="138"/>
  <c r="BA263" i="138" s="1"/>
  <c r="AK258" i="138"/>
  <c r="BA258" i="138" s="1"/>
  <c r="AK262" i="138"/>
  <c r="BA262" i="138" s="1"/>
  <c r="AK251" i="138"/>
  <c r="BA251" i="138" s="1"/>
  <c r="AK256" i="138"/>
  <c r="BA256" i="138" s="1"/>
  <c r="V250" i="138"/>
  <c r="AK250" i="138" s="1"/>
  <c r="AK277" i="138"/>
  <c r="BA277" i="138" s="1"/>
  <c r="AK272" i="138"/>
  <c r="BA272" i="138" s="1"/>
  <c r="AK279" i="138"/>
  <c r="BA279" i="138" s="1"/>
  <c r="AK261" i="138"/>
  <c r="BA261" i="138" s="1"/>
  <c r="AK255" i="138"/>
  <c r="BA255" i="138" s="1"/>
  <c r="AK278" i="138"/>
  <c r="BA278" i="138" s="1"/>
  <c r="J250" i="138"/>
  <c r="AL264" i="138"/>
  <c r="BB264" i="138" s="1"/>
  <c r="AL261" i="138"/>
  <c r="BB261" i="138" s="1"/>
  <c r="AL279" i="138"/>
  <c r="BB279" i="138" s="1"/>
  <c r="AL256" i="138"/>
  <c r="BB256" i="138" s="1"/>
  <c r="AL263" i="138"/>
  <c r="BB263" i="138" s="1"/>
  <c r="AL255" i="138"/>
  <c r="BB255" i="138" s="1"/>
  <c r="AL278" i="138"/>
  <c r="BB278" i="138" s="1"/>
  <c r="AL254" i="138"/>
  <c r="BB254" i="138" s="1"/>
  <c r="AL267" i="138"/>
  <c r="BB267" i="138" s="1"/>
  <c r="AL262" i="138"/>
  <c r="BB262" i="138" s="1"/>
  <c r="AL270" i="138"/>
  <c r="BB270" i="138" s="1"/>
  <c r="AL275" i="138"/>
  <c r="BB275" i="138" s="1"/>
  <c r="AL271" i="138"/>
  <c r="BB271" i="138" s="1"/>
  <c r="AL269" i="138"/>
  <c r="BB269" i="138" s="1"/>
  <c r="AL276" i="138"/>
  <c r="BB276" i="138" s="1"/>
  <c r="AL252" i="138"/>
  <c r="BB252" i="138" s="1"/>
  <c r="AL251" i="138"/>
  <c r="BB251" i="138" s="1"/>
  <c r="AL260" i="138"/>
  <c r="BB260" i="138" s="1"/>
  <c r="AL277" i="138"/>
  <c r="BB277" i="138" s="1"/>
  <c r="AL268" i="138"/>
  <c r="BB268" i="138" s="1"/>
  <c r="AL274" i="138"/>
  <c r="BB274" i="138" s="1"/>
  <c r="AL266" i="138"/>
  <c r="BB266" i="138" s="1"/>
  <c r="AL259" i="138"/>
  <c r="BB259" i="138" s="1"/>
  <c r="AL273" i="138"/>
  <c r="BB273" i="138" s="1"/>
  <c r="AL265" i="138"/>
  <c r="BB265" i="138" s="1"/>
  <c r="AL272" i="138"/>
  <c r="BB272" i="138" s="1"/>
  <c r="W250" i="138"/>
  <c r="AL250" i="138" s="1"/>
  <c r="AL258" i="138"/>
  <c r="BB258" i="138" s="1"/>
  <c r="R250" i="138"/>
  <c r="AL253" i="138"/>
  <c r="BB253" i="138" s="1"/>
  <c r="AK144" i="138"/>
  <c r="BA144" i="138" s="1"/>
  <c r="AK138" i="138"/>
  <c r="BA138" i="138" s="1"/>
  <c r="V115" i="138"/>
  <c r="AK115" i="138" s="1"/>
  <c r="BA115" i="138" s="1"/>
  <c r="AK137" i="138"/>
  <c r="BA137" i="138" s="1"/>
  <c r="AK129" i="138"/>
  <c r="BA129" i="138" s="1"/>
  <c r="AK140" i="138"/>
  <c r="BA140" i="138" s="1"/>
  <c r="AK118" i="138"/>
  <c r="BA118" i="138" s="1"/>
  <c r="AK128" i="138"/>
  <c r="BA128" i="138" s="1"/>
  <c r="AK120" i="138"/>
  <c r="BA120" i="138" s="1"/>
  <c r="AK136" i="138"/>
  <c r="BA136" i="138" s="1"/>
  <c r="AK143" i="138"/>
  <c r="BA143" i="138" s="1"/>
  <c r="AK119" i="138"/>
  <c r="BA119" i="138" s="1"/>
  <c r="AK127" i="138"/>
  <c r="BA127" i="138" s="1"/>
  <c r="AK135" i="138"/>
  <c r="BA135" i="138" s="1"/>
  <c r="AK126" i="138"/>
  <c r="BA126" i="138" s="1"/>
  <c r="AK130" i="138"/>
  <c r="BA130" i="138" s="1"/>
  <c r="AK117" i="138"/>
  <c r="BA117" i="138" s="1"/>
  <c r="AK139" i="138"/>
  <c r="BA139" i="138" s="1"/>
  <c r="AK116" i="138"/>
  <c r="BA116" i="138" s="1"/>
  <c r="AK123" i="138"/>
  <c r="BA123" i="138" s="1"/>
  <c r="AK142" i="138"/>
  <c r="BA142" i="138" s="1"/>
  <c r="AK134" i="138"/>
  <c r="BA134" i="138" s="1"/>
  <c r="AK133" i="138"/>
  <c r="BA133" i="138" s="1"/>
  <c r="AK121" i="138"/>
  <c r="BA121" i="138" s="1"/>
  <c r="AK122" i="138"/>
  <c r="BA122" i="138" s="1"/>
  <c r="AK132" i="138"/>
  <c r="BA132" i="138" s="1"/>
  <c r="AK125" i="138"/>
  <c r="BA125" i="138" s="1"/>
  <c r="AK131" i="138"/>
  <c r="BA131" i="138" s="1"/>
  <c r="AK124" i="138"/>
  <c r="BA124" i="138" s="1"/>
  <c r="AK141" i="138"/>
  <c r="BA141" i="138" s="1"/>
  <c r="AL117" i="138"/>
  <c r="BB117" i="138" s="1"/>
  <c r="AL141" i="138"/>
  <c r="BB141" i="138" s="1"/>
  <c r="AL135" i="138"/>
  <c r="BB135" i="138" s="1"/>
  <c r="AL137" i="138"/>
  <c r="BB137" i="138" s="1"/>
  <c r="AL128" i="138"/>
  <c r="BB128" i="138" s="1"/>
  <c r="AL121" i="138"/>
  <c r="BB121" i="138" s="1"/>
  <c r="AL136" i="138"/>
  <c r="BB136" i="138" s="1"/>
  <c r="AL134" i="138"/>
  <c r="BB134" i="138" s="1"/>
  <c r="AL126" i="138"/>
  <c r="BB126" i="138" s="1"/>
  <c r="AL116" i="138"/>
  <c r="BB116" i="138" s="1"/>
  <c r="AL129" i="138"/>
  <c r="BB129" i="138" s="1"/>
  <c r="AL132" i="138"/>
  <c r="BB132" i="138" s="1"/>
  <c r="AL125" i="138"/>
  <c r="BB125" i="138" s="1"/>
  <c r="AL122" i="138"/>
  <c r="BB122" i="138" s="1"/>
  <c r="AL119" i="138"/>
  <c r="BB119" i="138" s="1"/>
  <c r="AL133" i="138"/>
  <c r="BB133" i="138" s="1"/>
  <c r="AL138" i="138"/>
  <c r="BB138" i="138" s="1"/>
  <c r="AL120" i="138"/>
  <c r="BB120" i="138" s="1"/>
  <c r="AL140" i="138"/>
  <c r="BB140" i="138" s="1"/>
  <c r="AL131" i="138"/>
  <c r="BB131" i="138" s="1"/>
  <c r="W115" i="138"/>
  <c r="AL142" i="138"/>
  <c r="BB142" i="138" s="1"/>
  <c r="AL124" i="138"/>
  <c r="BB124" i="138" s="1"/>
  <c r="AL130" i="138"/>
  <c r="BB130" i="138" s="1"/>
  <c r="AL139" i="138"/>
  <c r="BB139" i="138" s="1"/>
  <c r="AL143" i="138"/>
  <c r="BB143" i="138" s="1"/>
  <c r="AL123" i="138"/>
  <c r="BB123" i="138" s="1"/>
  <c r="AL127" i="138"/>
  <c r="BB127" i="138" s="1"/>
  <c r="AL144" i="138"/>
  <c r="BB144" i="138" s="1"/>
  <c r="CH15" i="138"/>
  <c r="AK170" i="138"/>
  <c r="BA170" i="138" s="1"/>
  <c r="AK187" i="138"/>
  <c r="BA187" i="138" s="1"/>
  <c r="AK188" i="138"/>
  <c r="BA188" i="138" s="1"/>
  <c r="AK178" i="138"/>
  <c r="BA178" i="138" s="1"/>
  <c r="AK185" i="138"/>
  <c r="BA185" i="138" s="1"/>
  <c r="AK173" i="138"/>
  <c r="BA173" i="138" s="1"/>
  <c r="AK179" i="138"/>
  <c r="BA179" i="138" s="1"/>
  <c r="AK189" i="138"/>
  <c r="BA189" i="138" s="1"/>
  <c r="AK169" i="138"/>
  <c r="BA169" i="138" s="1"/>
  <c r="AK172" i="138"/>
  <c r="BA172" i="138" s="1"/>
  <c r="AK183" i="138"/>
  <c r="BA183" i="138" s="1"/>
  <c r="AK166" i="138"/>
  <c r="BA166" i="138" s="1"/>
  <c r="V160" i="138"/>
  <c r="AK160" i="138" s="1"/>
  <c r="AK165" i="138"/>
  <c r="BA165" i="138" s="1"/>
  <c r="AK181" i="138"/>
  <c r="BA181" i="138" s="1"/>
  <c r="AK182" i="138"/>
  <c r="BA182" i="138" s="1"/>
  <c r="AK168" i="138"/>
  <c r="BA168" i="138" s="1"/>
  <c r="AK180" i="138"/>
  <c r="BA180" i="138" s="1"/>
  <c r="AK175" i="138"/>
  <c r="BA175" i="138" s="1"/>
  <c r="AK161" i="138"/>
  <c r="BA161" i="138" s="1"/>
  <c r="AK186" i="138"/>
  <c r="BA186" i="138" s="1"/>
  <c r="AK177" i="138"/>
  <c r="BA177" i="138" s="1"/>
  <c r="AK171" i="138"/>
  <c r="BA171" i="138" s="1"/>
  <c r="AK184" i="138"/>
  <c r="BA184" i="138" s="1"/>
  <c r="AK174" i="138"/>
  <c r="BA174" i="138" s="1"/>
  <c r="AK176" i="138"/>
  <c r="BA176" i="138" s="1"/>
  <c r="AK164" i="138"/>
  <c r="BA164" i="138" s="1"/>
  <c r="AK162" i="138"/>
  <c r="BA162" i="138" s="1"/>
  <c r="AK163" i="138"/>
  <c r="BA163" i="138" s="1"/>
  <c r="AM175" i="138"/>
  <c r="BC175" i="138" s="1"/>
  <c r="AM169" i="138"/>
  <c r="BC169" i="138" s="1"/>
  <c r="X160" i="138"/>
  <c r="AM160" i="138" s="1"/>
  <c r="AM161" i="138"/>
  <c r="BC161" i="138" s="1"/>
  <c r="AM168" i="138"/>
  <c r="BC168" i="138" s="1"/>
  <c r="AM181" i="138"/>
  <c r="BC181" i="138" s="1"/>
  <c r="AM165" i="138"/>
  <c r="BC165" i="138" s="1"/>
  <c r="AM173" i="138"/>
  <c r="BC173" i="138" s="1"/>
  <c r="AM164" i="138"/>
  <c r="BC164" i="138" s="1"/>
  <c r="AM183" i="138"/>
  <c r="BC183" i="138" s="1"/>
  <c r="AM162" i="138"/>
  <c r="BC162" i="138" s="1"/>
  <c r="AM177" i="138"/>
  <c r="BC177" i="138" s="1"/>
  <c r="AL180" i="138"/>
  <c r="BB180" i="138" s="1"/>
  <c r="AL174" i="138"/>
  <c r="BB174" i="138" s="1"/>
  <c r="AL168" i="138"/>
  <c r="BB168" i="138" s="1"/>
  <c r="AL164" i="138"/>
  <c r="BB164" i="138" s="1"/>
  <c r="AL169" i="138"/>
  <c r="BB169" i="138" s="1"/>
  <c r="AL178" i="138"/>
  <c r="BB178" i="138" s="1"/>
  <c r="AL182" i="138"/>
  <c r="BB182" i="138" s="1"/>
  <c r="AL181" i="138"/>
  <c r="BB181" i="138" s="1"/>
  <c r="AL176" i="138"/>
  <c r="BB176" i="138" s="1"/>
  <c r="AL179" i="138"/>
  <c r="BB179" i="138" s="1"/>
  <c r="AL173" i="138"/>
  <c r="BB173" i="138" s="1"/>
  <c r="AL189" i="138"/>
  <c r="BB189" i="138" s="1"/>
  <c r="AL172" i="138"/>
  <c r="BB172" i="138" s="1"/>
  <c r="AL165" i="138"/>
  <c r="BB165" i="138" s="1"/>
  <c r="AL166" i="138"/>
  <c r="BB166" i="138" s="1"/>
  <c r="AL177" i="138"/>
  <c r="BB177" i="138" s="1"/>
  <c r="AL161" i="138"/>
  <c r="BB161" i="138" s="1"/>
  <c r="AL175" i="138"/>
  <c r="BB175" i="138" s="1"/>
  <c r="AL162" i="138"/>
  <c r="BB162" i="138" s="1"/>
  <c r="AL183" i="138"/>
  <c r="BB183" i="138" s="1"/>
  <c r="AL187" i="138"/>
  <c r="BB187" i="138" s="1"/>
  <c r="AL186" i="138"/>
  <c r="BB186" i="138" s="1"/>
  <c r="W160" i="138"/>
  <c r="AL160" i="138" s="1"/>
  <c r="AL185" i="138"/>
  <c r="BB185" i="138" s="1"/>
  <c r="AL184" i="138"/>
  <c r="BB184" i="138" s="1"/>
  <c r="AL171" i="138"/>
  <c r="BB171" i="138" s="1"/>
  <c r="AL167" i="138"/>
  <c r="BB167" i="138" s="1"/>
  <c r="AL188" i="138"/>
  <c r="BB188" i="138" s="1"/>
  <c r="AL170" i="138"/>
  <c r="BB170" i="138" s="1"/>
  <c r="AL163" i="138"/>
  <c r="BB163" i="138" s="1"/>
  <c r="AK167" i="138"/>
  <c r="BA167" i="138" s="1"/>
  <c r="AM90" i="138"/>
  <c r="BC90" i="138" s="1"/>
  <c r="AM68" i="138"/>
  <c r="BC68" i="138" s="1"/>
  <c r="AK72" i="138"/>
  <c r="BA72" i="138" s="1"/>
  <c r="AM72" i="138"/>
  <c r="BC72" i="138" s="1"/>
  <c r="AM96" i="138"/>
  <c r="BC96" i="138" s="1"/>
  <c r="AL87" i="138"/>
  <c r="BB87" i="138" s="1"/>
  <c r="AM94" i="138"/>
  <c r="BC94" i="138" s="1"/>
  <c r="AM88" i="138"/>
  <c r="BC88" i="138" s="1"/>
  <c r="AM83" i="138"/>
  <c r="BC83" i="138" s="1"/>
  <c r="AM91" i="138"/>
  <c r="BC91" i="138" s="1"/>
  <c r="AM69" i="138"/>
  <c r="BC69" i="138" s="1"/>
  <c r="AM84" i="138"/>
  <c r="BC84" i="138" s="1"/>
  <c r="AK75" i="138"/>
  <c r="BA75" i="138" s="1"/>
  <c r="AM73" i="138"/>
  <c r="BC73" i="138" s="1"/>
  <c r="AM95" i="138"/>
  <c r="BC95" i="138" s="1"/>
  <c r="AM81" i="138"/>
  <c r="BC81" i="138" s="1"/>
  <c r="AM77" i="138"/>
  <c r="BC77" i="138" s="1"/>
  <c r="AM89" i="138"/>
  <c r="BC89" i="138" s="1"/>
  <c r="AM86" i="138"/>
  <c r="BC86" i="138" s="1"/>
  <c r="AM79" i="138"/>
  <c r="BC79" i="138" s="1"/>
  <c r="AM75" i="138"/>
  <c r="BC75" i="138" s="1"/>
  <c r="AM87" i="138"/>
  <c r="BC87" i="138" s="1"/>
  <c r="AM93" i="138"/>
  <c r="BC93" i="138" s="1"/>
  <c r="AM92" i="138"/>
  <c r="BC92" i="138" s="1"/>
  <c r="X67" i="138"/>
  <c r="AM67" i="138" s="1"/>
  <c r="BC67" i="138" s="1"/>
  <c r="P67" i="138"/>
  <c r="AM78" i="138"/>
  <c r="BC78" i="138" s="1"/>
  <c r="AM70" i="138"/>
  <c r="BC70" i="138" s="1"/>
  <c r="AM76" i="138"/>
  <c r="BC76" i="138" s="1"/>
  <c r="AM74" i="138"/>
  <c r="BC74" i="138" s="1"/>
  <c r="AM85" i="138"/>
  <c r="BC85" i="138" s="1"/>
  <c r="AM80" i="138"/>
  <c r="BC80" i="138" s="1"/>
  <c r="AM71" i="138"/>
  <c r="BC71" i="138" s="1"/>
  <c r="AK67" i="138"/>
  <c r="BA67" i="138" s="1"/>
  <c r="AX67" i="138" a="1"/>
  <c r="AX67" i="138" s="1"/>
  <c r="T67" i="138" a="1"/>
  <c r="T67" i="138" s="1"/>
  <c r="AI67" i="138" a="1"/>
  <c r="AI67" i="138" s="1"/>
  <c r="AX115" i="138" a="1"/>
  <c r="AX115" i="138" s="1"/>
  <c r="AT44" i="138"/>
  <c r="BJ44" i="138" s="1"/>
  <c r="AT9" i="138"/>
  <c r="BJ9" i="138" s="1"/>
  <c r="AV43" i="138"/>
  <c r="BL43" i="138" s="1"/>
  <c r="AV42" i="138"/>
  <c r="BL42" i="138" s="1"/>
  <c r="AM24" i="138"/>
  <c r="BC24" i="138" s="1"/>
  <c r="AT28" i="138"/>
  <c r="BJ28" i="138" s="1"/>
  <c r="AE4" i="138"/>
  <c r="AT4" i="138" s="1"/>
  <c r="BJ4" i="138" s="1"/>
  <c r="AV15" i="138"/>
  <c r="BL15" i="138" s="1"/>
  <c r="AV33" i="138"/>
  <c r="BL33" i="138" s="1"/>
  <c r="AM41" i="138"/>
  <c r="BC41" i="138" s="1"/>
  <c r="AT22" i="138"/>
  <c r="BJ22" i="138" s="1"/>
  <c r="AT21" i="138"/>
  <c r="BJ21" i="138" s="1"/>
  <c r="AV6" i="138"/>
  <c r="BL6" i="138" s="1"/>
  <c r="AV5" i="138"/>
  <c r="BL5" i="138" s="1"/>
  <c r="AV18" i="138"/>
  <c r="BL18" i="138" s="1"/>
  <c r="AM6" i="138"/>
  <c r="BC6" i="138" s="1"/>
  <c r="AT39" i="138"/>
  <c r="BJ39" i="138" s="1"/>
  <c r="AT25" i="138"/>
  <c r="BJ25" i="138" s="1"/>
  <c r="AV28" i="138"/>
  <c r="BL28" i="138" s="1"/>
  <c r="AV38" i="138"/>
  <c r="BL38" i="138" s="1"/>
  <c r="AV22" i="138"/>
  <c r="BL22" i="138" s="1"/>
  <c r="AM14" i="138"/>
  <c r="BC14" i="138" s="1"/>
  <c r="AT5" i="138"/>
  <c r="BJ5" i="138" s="1"/>
  <c r="AT43" i="138"/>
  <c r="BJ43" i="138" s="1"/>
  <c r="BL36" i="138"/>
  <c r="AV19" i="138"/>
  <c r="BL19" i="138" s="1"/>
  <c r="AV40" i="138"/>
  <c r="BL40" i="138" s="1"/>
  <c r="AM38" i="138"/>
  <c r="BC38" i="138" s="1"/>
  <c r="AT24" i="138"/>
  <c r="BJ24" i="138" s="1"/>
  <c r="AT42" i="138"/>
  <c r="BJ42" i="138" s="1"/>
  <c r="AV35" i="138"/>
  <c r="BL35" i="138" s="1"/>
  <c r="AV17" i="138"/>
  <c r="BL17" i="138" s="1"/>
  <c r="AV27" i="138"/>
  <c r="BL27" i="138" s="1"/>
  <c r="AM30" i="138"/>
  <c r="BC30" i="138" s="1"/>
  <c r="AM13" i="138"/>
  <c r="BC13" i="138" s="1"/>
  <c r="AT18" i="138"/>
  <c r="BJ18" i="138" s="1"/>
  <c r="AT14" i="138"/>
  <c r="BJ14" i="138" s="1"/>
  <c r="AV23" i="138"/>
  <c r="BL23" i="138" s="1"/>
  <c r="AV9" i="138"/>
  <c r="BL9" i="138" s="1"/>
  <c r="AV26" i="138"/>
  <c r="BL26" i="138" s="1"/>
  <c r="AM28" i="138"/>
  <c r="BC28" i="138" s="1"/>
  <c r="AT15" i="138"/>
  <c r="BJ15" i="138" s="1"/>
  <c r="AT20" i="138"/>
  <c r="BJ20" i="138" s="1"/>
  <c r="AT34" i="138"/>
  <c r="BJ34" i="138" s="1"/>
  <c r="AV32" i="138"/>
  <c r="BL32" i="138" s="1"/>
  <c r="AV44" i="138"/>
  <c r="BL44" i="138" s="1"/>
  <c r="AV13" i="138"/>
  <c r="BL13" i="138" s="1"/>
  <c r="E4" i="138" a="1"/>
  <c r="E4" i="138" s="1"/>
  <c r="CS6" i="138" s="1"/>
  <c r="AM25" i="138"/>
  <c r="BC25" i="138" s="1"/>
  <c r="AT35" i="138"/>
  <c r="BJ35" i="138" s="1"/>
  <c r="AT31" i="138"/>
  <c r="BJ31" i="138" s="1"/>
  <c r="AT23" i="138"/>
  <c r="BJ23" i="138" s="1"/>
  <c r="AV41" i="138"/>
  <c r="BL41" i="138" s="1"/>
  <c r="AV39" i="138"/>
  <c r="BL39" i="138" s="1"/>
  <c r="AM27" i="138"/>
  <c r="BC27" i="138" s="1"/>
  <c r="AT40" i="138"/>
  <c r="BJ40" i="138" s="1"/>
  <c r="AT41" i="138"/>
  <c r="BJ41" i="138" s="1"/>
  <c r="AT27" i="138"/>
  <c r="BJ27" i="138" s="1"/>
  <c r="AV12" i="138"/>
  <c r="BL12" i="138" s="1"/>
  <c r="AV37" i="138"/>
  <c r="BL37" i="138" s="1"/>
  <c r="I4" i="138"/>
  <c r="AM4" i="138" s="1"/>
  <c r="BC4" i="138" s="1"/>
  <c r="AT16" i="138"/>
  <c r="BJ16" i="138" s="1"/>
  <c r="AT8" i="138"/>
  <c r="BJ8" i="138" s="1"/>
  <c r="AT10" i="138"/>
  <c r="BJ10" i="138" s="1"/>
  <c r="AG4" i="138"/>
  <c r="AV4" i="138" s="1"/>
  <c r="BL4" i="138" s="1"/>
  <c r="AM16" i="138"/>
  <c r="BC16" i="138" s="1"/>
  <c r="BC36" i="138"/>
  <c r="AM10" i="138"/>
  <c r="BC10" i="138" s="1"/>
  <c r="AO4" i="138"/>
  <c r="BE4" i="138" s="1"/>
  <c r="AM19" i="138"/>
  <c r="BC19" i="138" s="1"/>
  <c r="AM44" i="138"/>
  <c r="BC44" i="138" s="1"/>
  <c r="AM18" i="138"/>
  <c r="BC18" i="138" s="1"/>
  <c r="AM42" i="138"/>
  <c r="BC42" i="138" s="1"/>
  <c r="AM43" i="138"/>
  <c r="BC43" i="138" s="1"/>
  <c r="AM20" i="138"/>
  <c r="BC20" i="138" s="1"/>
  <c r="AM32" i="138"/>
  <c r="BC32" i="138" s="1"/>
  <c r="AM9" i="138"/>
  <c r="BC9" i="138" s="1"/>
  <c r="AM31" i="138"/>
  <c r="BC31" i="138" s="1"/>
  <c r="AM22" i="138"/>
  <c r="BC22" i="138" s="1"/>
  <c r="AM33" i="138"/>
  <c r="BC33" i="138" s="1"/>
  <c r="AM26" i="138"/>
  <c r="BC26" i="138" s="1"/>
  <c r="AM15" i="138"/>
  <c r="BC15" i="138" s="1"/>
  <c r="AM17" i="138"/>
  <c r="BC17" i="138" s="1"/>
  <c r="AM40" i="138"/>
  <c r="BC40" i="138" s="1"/>
  <c r="AM23" i="138"/>
  <c r="BC23" i="138" s="1"/>
  <c r="AM5" i="138"/>
  <c r="BC5" i="138" s="1"/>
  <c r="AM35" i="138"/>
  <c r="BC35" i="138" s="1"/>
  <c r="AM8" i="138"/>
  <c r="BC8" i="138" s="1"/>
  <c r="AT7" i="138"/>
  <c r="BJ7" i="138" s="1"/>
  <c r="AM12" i="138"/>
  <c r="BC12" i="138" s="1"/>
  <c r="AM39" i="138"/>
  <c r="BC39" i="138" s="1"/>
  <c r="AU4" i="138"/>
  <c r="BK4" i="138" s="1"/>
  <c r="AM29" i="138"/>
  <c r="BC29" i="138" s="1"/>
  <c r="AM21" i="138"/>
  <c r="BC21" i="138" s="1"/>
  <c r="AK4" i="138"/>
  <c r="BA4" i="138" s="1"/>
  <c r="BA49" i="138" s="1"/>
  <c r="AN4" i="138"/>
  <c r="BD4" i="138" s="1"/>
  <c r="BD49" i="138" s="1"/>
  <c r="AL4" i="138"/>
  <c r="BB4" i="138" s="1"/>
  <c r="BB49" i="138" s="1"/>
  <c r="AR4" i="138"/>
  <c r="BQ4" i="138" s="1" a="1"/>
  <c r="BQ4" i="138" s="1"/>
  <c r="AQ4" i="138"/>
  <c r="BG4" i="138" s="1"/>
  <c r="BH27" i="138"/>
  <c r="BQ27" i="138" a="1"/>
  <c r="BQ27" i="138" s="1"/>
  <c r="BH31" i="138"/>
  <c r="BQ31" i="138" a="1"/>
  <c r="BQ31" i="138" s="1"/>
  <c r="BY37" i="138"/>
  <c r="BY41" i="138"/>
  <c r="BY38" i="138"/>
  <c r="BY39" i="138"/>
  <c r="BY40" i="138"/>
  <c r="BY36" i="138"/>
  <c r="BY22" i="138"/>
  <c r="BY23" i="138"/>
  <c r="BY24" i="138"/>
  <c r="BY25" i="138"/>
  <c r="BY26" i="138"/>
  <c r="BY27" i="138"/>
  <c r="BY28" i="138"/>
  <c r="BY20" i="138"/>
  <c r="BY29" i="138"/>
  <c r="BY21" i="138"/>
  <c r="BY31" i="138"/>
  <c r="BY30" i="138"/>
  <c r="BY32" i="138"/>
  <c r="BY33" i="138"/>
  <c r="BY34" i="138"/>
  <c r="BY35" i="138"/>
  <c r="BH39" i="138"/>
  <c r="BQ39" i="138" a="1"/>
  <c r="BQ39" i="138" s="1"/>
  <c r="BE49" i="138"/>
  <c r="BH41" i="138"/>
  <c r="BQ41" i="138" a="1"/>
  <c r="BQ41" i="138" s="1"/>
  <c r="BH6" i="138"/>
  <c r="BQ6" i="138" a="1"/>
  <c r="BQ6" i="138" s="1"/>
  <c r="BH38" i="138"/>
  <c r="BQ38" i="138" a="1"/>
  <c r="BQ38" i="138" s="1"/>
  <c r="BH34" i="138"/>
  <c r="BQ34" i="138" a="1"/>
  <c r="BQ34" i="138" s="1"/>
  <c r="BH33" i="138"/>
  <c r="BQ33" i="138" a="1"/>
  <c r="BQ33" i="138" s="1"/>
  <c r="BH16" i="138"/>
  <c r="BQ16" i="138" a="1"/>
  <c r="BQ16" i="138" s="1"/>
  <c r="T4" i="138" a="1"/>
  <c r="AI4" i="138"/>
  <c r="AX4" i="138"/>
  <c r="BH9" i="138"/>
  <c r="BQ9" i="138" a="1"/>
  <c r="BQ9" i="138" s="1"/>
  <c r="BH4" i="138"/>
  <c r="BH12" i="138"/>
  <c r="BQ12" i="138" a="1"/>
  <c r="BQ12" i="138" s="1"/>
  <c r="BH22" i="138"/>
  <c r="BQ22" i="138" a="1"/>
  <c r="BQ22" i="138" s="1"/>
  <c r="CP6" i="138"/>
  <c r="BH5" i="138"/>
  <c r="BQ5" i="138" a="1"/>
  <c r="BQ5" i="138" s="1"/>
  <c r="BH10" i="138"/>
  <c r="BQ10" i="138" a="1"/>
  <c r="BQ10" i="138" s="1"/>
  <c r="BH43" i="138"/>
  <c r="BQ43" i="138" a="1"/>
  <c r="BQ43" i="138" s="1"/>
  <c r="BT43" i="138" s="1"/>
  <c r="BH15" i="138"/>
  <c r="BQ15" i="138" a="1"/>
  <c r="BQ15" i="138" s="1"/>
  <c r="BH25" i="138"/>
  <c r="BQ25" i="138" a="1"/>
  <c r="BQ25" i="138" s="1"/>
  <c r="BH13" i="138"/>
  <c r="BQ13" i="138" a="1"/>
  <c r="BQ13" i="138" s="1"/>
  <c r="BH14" i="138"/>
  <c r="BQ14" i="138" a="1"/>
  <c r="BQ14" i="138" s="1"/>
  <c r="BH23" i="138"/>
  <c r="BQ23" i="138" a="1"/>
  <c r="BQ23" i="138" s="1"/>
  <c r="BH11" i="138"/>
  <c r="BQ11" i="138" a="1"/>
  <c r="BQ11" i="138" s="1"/>
  <c r="BF49" i="138"/>
  <c r="BH32" i="138"/>
  <c r="BQ32" i="138" a="1"/>
  <c r="BQ32" i="138" s="1"/>
  <c r="BH42" i="138"/>
  <c r="BQ42" i="138" a="1"/>
  <c r="BQ42" i="138" s="1"/>
  <c r="BH20" i="138"/>
  <c r="BQ20" i="138" a="1"/>
  <c r="BQ20" i="138" s="1"/>
  <c r="BH18" i="138"/>
  <c r="BQ18" i="138" a="1"/>
  <c r="BQ18" i="138" s="1"/>
  <c r="BH36" i="138"/>
  <c r="BQ36" i="138" a="1"/>
  <c r="BQ36" i="138" s="1"/>
  <c r="BH28" i="138"/>
  <c r="BQ28" i="138" a="1"/>
  <c r="BQ28" i="138" s="1"/>
  <c r="BH7" i="138"/>
  <c r="BQ7" i="138" a="1"/>
  <c r="BQ7" i="138" s="1"/>
  <c r="AS4" i="138"/>
  <c r="BI4" i="138" s="1"/>
  <c r="BI49" i="138" s="1"/>
  <c r="BH35" i="138"/>
  <c r="BQ35" i="138" a="1"/>
  <c r="BQ35" i="138" s="1"/>
  <c r="BH19" i="138"/>
  <c r="BQ19" i="138" a="1"/>
  <c r="BQ19" i="138" s="1"/>
  <c r="BH29" i="138"/>
  <c r="BQ29" i="138" a="1"/>
  <c r="BQ29" i="138" s="1"/>
  <c r="BH26" i="138"/>
  <c r="BQ26" i="138" a="1"/>
  <c r="BQ26" i="138" s="1"/>
  <c r="CR6" i="138"/>
  <c r="CL6" i="138"/>
  <c r="BH40" i="138"/>
  <c r="BQ40" i="138" a="1"/>
  <c r="BQ40" i="138" s="1"/>
  <c r="BH8" i="138"/>
  <c r="BQ8" i="138" a="1"/>
  <c r="BQ8" i="138" s="1"/>
  <c r="BH37" i="138"/>
  <c r="BQ37" i="138" a="1"/>
  <c r="BQ37" i="138" s="1"/>
  <c r="BH44" i="138"/>
  <c r="BQ44" i="138" a="1"/>
  <c r="BQ44" i="138" s="1"/>
  <c r="BT44" i="138" s="1"/>
  <c r="BH30" i="138"/>
  <c r="BQ30" i="138" a="1"/>
  <c r="BQ30" i="138" s="1"/>
  <c r="CN6" i="138"/>
  <c r="CH6" i="138"/>
  <c r="BH24" i="138"/>
  <c r="BQ24" i="138" a="1"/>
  <c r="BQ24" i="138" s="1"/>
  <c r="BH17" i="138"/>
  <c r="BQ17" i="138" a="1"/>
  <c r="BQ17" i="138" s="1"/>
  <c r="BH21" i="138"/>
  <c r="BQ21" i="138" a="1"/>
  <c r="BQ21" i="138" s="1"/>
  <c r="BG49" i="138"/>
  <c r="I20" i="35"/>
  <c r="I19" i="35"/>
  <c r="P10" i="69"/>
  <c r="L10" i="69"/>
  <c r="L10" i="127"/>
  <c r="M12" i="69"/>
  <c r="L8" i="129"/>
  <c r="L8" i="69"/>
  <c r="M26" i="128"/>
  <c r="M34" i="127"/>
  <c r="AF20" i="119"/>
  <c r="AD20" i="119" s="1"/>
  <c r="H24" i="35"/>
  <c r="D12" i="71" s="1"/>
  <c r="E12" i="71" s="1"/>
  <c r="F12" i="71" s="1"/>
  <c r="G12" i="71" s="1"/>
  <c r="I53" i="35"/>
  <c r="L26" i="127"/>
  <c r="L27" i="69"/>
  <c r="L26" i="129"/>
  <c r="AG20" i="21"/>
  <c r="AH20" i="21" s="1"/>
  <c r="H35" i="133"/>
  <c r="H31" i="133"/>
  <c r="R22" i="119"/>
  <c r="U22" i="119"/>
  <c r="AA17" i="119"/>
  <c r="AB17" i="119" s="1"/>
  <c r="E13" i="121"/>
  <c r="J13" i="121" s="1"/>
  <c r="L10" i="131"/>
  <c r="Y205" i="138" s="1" a="1"/>
  <c r="AY47" i="21"/>
  <c r="U22" i="21"/>
  <c r="V22" i="21" s="1"/>
  <c r="V20" i="21" s="1"/>
  <c r="W20" i="21" s="1"/>
  <c r="G12" i="68"/>
  <c r="Q26" i="127"/>
  <c r="M12" i="129"/>
  <c r="P8" i="131"/>
  <c r="L45" i="127"/>
  <c r="O8" i="128"/>
  <c r="M14" i="129"/>
  <c r="M11" i="127"/>
  <c r="M14" i="69"/>
  <c r="L12" i="128"/>
  <c r="L14" i="127"/>
  <c r="L11" i="128"/>
  <c r="M11" i="131"/>
  <c r="M11" i="129"/>
  <c r="M14" i="128"/>
  <c r="L11" i="69"/>
  <c r="M14" i="131"/>
  <c r="M12" i="131"/>
  <c r="M12" i="127"/>
  <c r="AD28" i="119"/>
  <c r="AG28" i="119"/>
  <c r="M34" i="128"/>
  <c r="AD14" i="119"/>
  <c r="AG14" i="119"/>
  <c r="AD13" i="119"/>
  <c r="AG13" i="119"/>
  <c r="M34" i="129"/>
  <c r="J30" i="21"/>
  <c r="J45" i="21"/>
  <c r="M26" i="131"/>
  <c r="K10" i="128"/>
  <c r="X115" i="138" s="1" a="1"/>
  <c r="AM125" i="138" s="1"/>
  <c r="BC125" i="138" s="1"/>
  <c r="AM187" i="138" l="1"/>
  <c r="BC187" i="138" s="1"/>
  <c r="AM186" i="138"/>
  <c r="BC186" i="138" s="1"/>
  <c r="AM185" i="138"/>
  <c r="BC185" i="138" s="1"/>
  <c r="AM171" i="138"/>
  <c r="BC171" i="138" s="1"/>
  <c r="AM182" i="138"/>
  <c r="BC182" i="138" s="1"/>
  <c r="AM176" i="138"/>
  <c r="BC176" i="138" s="1"/>
  <c r="AM163" i="138"/>
  <c r="BC163" i="138" s="1"/>
  <c r="AM178" i="138"/>
  <c r="BC178" i="138" s="1"/>
  <c r="AM174" i="138"/>
  <c r="BC174" i="138" s="1"/>
  <c r="AM170" i="138"/>
  <c r="BC170" i="138" s="1"/>
  <c r="BA64" i="138"/>
  <c r="AM180" i="138"/>
  <c r="BC180" i="138" s="1"/>
  <c r="AM179" i="138"/>
  <c r="BC179" i="138" s="1"/>
  <c r="Y160" i="138" a="1"/>
  <c r="AN185" i="138" s="1"/>
  <c r="BD185" i="138" s="1"/>
  <c r="AM166" i="138"/>
  <c r="BC166" i="138" s="1"/>
  <c r="AM172" i="138"/>
  <c r="BC172" i="138" s="1"/>
  <c r="AM188" i="138"/>
  <c r="BC188" i="138" s="1"/>
  <c r="AM189" i="138"/>
  <c r="BC189" i="138" s="1"/>
  <c r="CI17" i="138"/>
  <c r="AM167" i="138"/>
  <c r="BC167" i="138" s="1"/>
  <c r="X205" i="138"/>
  <c r="AM205" i="138" s="1"/>
  <c r="AM231" i="138"/>
  <c r="BC231" i="138" s="1"/>
  <c r="AM228" i="138"/>
  <c r="BC228" i="138" s="1"/>
  <c r="AM214" i="138"/>
  <c r="BC214" i="138" s="1"/>
  <c r="AM227" i="138"/>
  <c r="BC227" i="138" s="1"/>
  <c r="AM219" i="138"/>
  <c r="BC219" i="138" s="1"/>
  <c r="AM226" i="138"/>
  <c r="BC226" i="138" s="1"/>
  <c r="AM232" i="138"/>
  <c r="BC232" i="138" s="1"/>
  <c r="AM220" i="138"/>
  <c r="BC220" i="138" s="1"/>
  <c r="AM234" i="138"/>
  <c r="BC234" i="138" s="1"/>
  <c r="AM225" i="138"/>
  <c r="BC225" i="138" s="1"/>
  <c r="AM211" i="138"/>
  <c r="BC211" i="138" s="1"/>
  <c r="AM213" i="138"/>
  <c r="BC213" i="138" s="1"/>
  <c r="AM233" i="138"/>
  <c r="BC233" i="138" s="1"/>
  <c r="AM207" i="138"/>
  <c r="BC207" i="138" s="1"/>
  <c r="AM221" i="138"/>
  <c r="BC221" i="138" s="1"/>
  <c r="AM217" i="138"/>
  <c r="BC217" i="138" s="1"/>
  <c r="AM215" i="138"/>
  <c r="BC215" i="138" s="1"/>
  <c r="AM208" i="138"/>
  <c r="BC208" i="138" s="1"/>
  <c r="AM206" i="138"/>
  <c r="BC206" i="138" s="1"/>
  <c r="AM212" i="138"/>
  <c r="BC212" i="138" s="1"/>
  <c r="AM218" i="138"/>
  <c r="BC218" i="138" s="1"/>
  <c r="AM224" i="138"/>
  <c r="BC224" i="138" s="1"/>
  <c r="AM223" i="138"/>
  <c r="BC223" i="138" s="1"/>
  <c r="AM210" i="138"/>
  <c r="BC210" i="138" s="1"/>
  <c r="AM216" i="138"/>
  <c r="BC216" i="138" s="1"/>
  <c r="AM222" i="138"/>
  <c r="BC222" i="138" s="1"/>
  <c r="CI18" i="138"/>
  <c r="AM230" i="138"/>
  <c r="BC230" i="138" s="1"/>
  <c r="CI11" i="138"/>
  <c r="CH11" i="138"/>
  <c r="CH16" i="138"/>
  <c r="BC205" i="138"/>
  <c r="CJ11" i="138"/>
  <c r="AN222" i="138"/>
  <c r="BD222" i="138" s="1"/>
  <c r="AN221" i="138"/>
  <c r="BD221" i="138" s="1"/>
  <c r="AN228" i="138"/>
  <c r="BD228" i="138" s="1"/>
  <c r="AN229" i="138"/>
  <c r="BD229" i="138" s="1"/>
  <c r="AN216" i="138"/>
  <c r="BD216" i="138" s="1"/>
  <c r="AN232" i="138"/>
  <c r="BD232" i="138" s="1"/>
  <c r="AN224" i="138"/>
  <c r="BD224" i="138" s="1"/>
  <c r="Y205" i="138"/>
  <c r="AN205" i="138" s="1"/>
  <c r="AN212" i="138"/>
  <c r="BD212" i="138" s="1"/>
  <c r="AN206" i="138"/>
  <c r="BD206" i="138" s="1"/>
  <c r="AN220" i="138"/>
  <c r="BD220" i="138" s="1"/>
  <c r="AN208" i="138"/>
  <c r="BD208" i="138" s="1"/>
  <c r="AN209" i="138"/>
  <c r="BD209" i="138" s="1"/>
  <c r="AN211" i="138"/>
  <c r="BD211" i="138" s="1"/>
  <c r="AN207" i="138"/>
  <c r="BD207" i="138" s="1"/>
  <c r="AN234" i="138"/>
  <c r="BD234" i="138" s="1"/>
  <c r="AN215" i="138"/>
  <c r="BD215" i="138" s="1"/>
  <c r="AN210" i="138"/>
  <c r="BD210" i="138" s="1"/>
  <c r="AN223" i="138"/>
  <c r="BD223" i="138" s="1"/>
  <c r="AN225" i="138"/>
  <c r="BD225" i="138" s="1"/>
  <c r="AN233" i="138"/>
  <c r="BD233" i="138" s="1"/>
  <c r="AN226" i="138"/>
  <c r="BD226" i="138" s="1"/>
  <c r="AN219" i="138"/>
  <c r="BD219" i="138" s="1"/>
  <c r="AN231" i="138"/>
  <c r="BD231" i="138" s="1"/>
  <c r="AN214" i="138"/>
  <c r="BD214" i="138" s="1"/>
  <c r="AN218" i="138"/>
  <c r="BD218" i="138" s="1"/>
  <c r="AN213" i="138"/>
  <c r="BD213" i="138" s="1"/>
  <c r="AN227" i="138"/>
  <c r="BD227" i="138" s="1"/>
  <c r="AN230" i="138"/>
  <c r="BD230" i="138" s="1"/>
  <c r="AN217" i="138"/>
  <c r="BD217" i="138" s="1"/>
  <c r="Y250" i="138" a="1"/>
  <c r="CH18" i="138"/>
  <c r="AM250" i="138"/>
  <c r="BB250" i="138"/>
  <c r="BB247" i="138" s="1"/>
  <c r="CI13" i="138"/>
  <c r="BA250" i="138"/>
  <c r="BA247" i="138" s="1"/>
  <c r="CH13" i="138"/>
  <c r="AM120" i="138"/>
  <c r="BC120" i="138" s="1"/>
  <c r="AM127" i="138"/>
  <c r="BC127" i="138" s="1"/>
  <c r="AM136" i="138"/>
  <c r="BC136" i="138" s="1"/>
  <c r="AM131" i="138"/>
  <c r="BC131" i="138" s="1"/>
  <c r="AM118" i="138"/>
  <c r="BC118" i="138" s="1"/>
  <c r="AM126" i="138"/>
  <c r="BC126" i="138" s="1"/>
  <c r="AM121" i="138"/>
  <c r="BC121" i="138" s="1"/>
  <c r="X115" i="138"/>
  <c r="AM115" i="138" s="1"/>
  <c r="AM130" i="138"/>
  <c r="BC130" i="138" s="1"/>
  <c r="AM143" i="138"/>
  <c r="BC143" i="138" s="1"/>
  <c r="AM138" i="138"/>
  <c r="BC138" i="138" s="1"/>
  <c r="AM137" i="138"/>
  <c r="BC137" i="138" s="1"/>
  <c r="AM117" i="138"/>
  <c r="BC117" i="138" s="1"/>
  <c r="AM141" i="138"/>
  <c r="BC141" i="138" s="1"/>
  <c r="AM128" i="138"/>
  <c r="BC128" i="138" s="1"/>
  <c r="AM123" i="138"/>
  <c r="BC123" i="138" s="1"/>
  <c r="AM133" i="138"/>
  <c r="BC133" i="138" s="1"/>
  <c r="AM135" i="138"/>
  <c r="BC135" i="138" s="1"/>
  <c r="AM132" i="138"/>
  <c r="BC132" i="138" s="1"/>
  <c r="AM124" i="138"/>
  <c r="BC124" i="138" s="1"/>
  <c r="AM144" i="138"/>
  <c r="BC144" i="138" s="1"/>
  <c r="AM139" i="138"/>
  <c r="BC139" i="138" s="1"/>
  <c r="AM129" i="138"/>
  <c r="BC129" i="138" s="1"/>
  <c r="AM140" i="138"/>
  <c r="BC140" i="138" s="1"/>
  <c r="AM119" i="138"/>
  <c r="BC119" i="138" s="1"/>
  <c r="AM142" i="138"/>
  <c r="BC142" i="138" s="1"/>
  <c r="AM122" i="138"/>
  <c r="BC122" i="138" s="1"/>
  <c r="AM116" i="138"/>
  <c r="BC116" i="138" s="1"/>
  <c r="AM134" i="138"/>
  <c r="BC134" i="138" s="1"/>
  <c r="BA112" i="138"/>
  <c r="AL115" i="138"/>
  <c r="CI15" i="138"/>
  <c r="CH10" i="138"/>
  <c r="AN176" i="138"/>
  <c r="BD176" i="138" s="1"/>
  <c r="Y160" i="138"/>
  <c r="CK17" i="138" s="1"/>
  <c r="AN183" i="138"/>
  <c r="BD183" i="138" s="1"/>
  <c r="AN170" i="138"/>
  <c r="BD170" i="138" s="1"/>
  <c r="AN178" i="138"/>
  <c r="BD178" i="138" s="1"/>
  <c r="AN187" i="138"/>
  <c r="BD187" i="138" s="1"/>
  <c r="AN188" i="138"/>
  <c r="BD188" i="138" s="1"/>
  <c r="AN175" i="138"/>
  <c r="BD175" i="138" s="1"/>
  <c r="AN189" i="138"/>
  <c r="BD189" i="138" s="1"/>
  <c r="AN164" i="138"/>
  <c r="BD164" i="138" s="1"/>
  <c r="AN181" i="138"/>
  <c r="BD181" i="138" s="1"/>
  <c r="AN184" i="138"/>
  <c r="BD184" i="138" s="1"/>
  <c r="AN182" i="138"/>
  <c r="BD182" i="138" s="1"/>
  <c r="AN180" i="138"/>
  <c r="BD180" i="138" s="1"/>
  <c r="AN171" i="138"/>
  <c r="BD171" i="138" s="1"/>
  <c r="BA160" i="138"/>
  <c r="BA157" i="138" s="1"/>
  <c r="CH12" i="138"/>
  <c r="CH17" i="138"/>
  <c r="BB160" i="138"/>
  <c r="BB157" i="138" s="1"/>
  <c r="CI12" i="138"/>
  <c r="BC160" i="138"/>
  <c r="BC157" i="138" s="1"/>
  <c r="CJ12" i="138"/>
  <c r="CJ17" i="138"/>
  <c r="BC64" i="138"/>
  <c r="CJ14" i="138"/>
  <c r="CI14" i="138"/>
  <c r="CH14" i="138"/>
  <c r="CI9" i="138"/>
  <c r="CH9" i="138"/>
  <c r="CJ9" i="138"/>
  <c r="CK6" i="138"/>
  <c r="CI6" i="138"/>
  <c r="CO6" i="138"/>
  <c r="CJ6" i="138"/>
  <c r="CQ6" i="138"/>
  <c r="BC49" i="138"/>
  <c r="CM6" i="138"/>
  <c r="BV26" i="138"/>
  <c r="BT26" i="138"/>
  <c r="CI8" i="138"/>
  <c r="CS8" i="138"/>
  <c r="CR8" i="138"/>
  <c r="CJ8" i="138"/>
  <c r="CK8" i="138"/>
  <c r="CP8" i="138"/>
  <c r="CH8" i="138"/>
  <c r="CQ8" i="138"/>
  <c r="CN8" i="138"/>
  <c r="CM8" i="138"/>
  <c r="CU8" i="138" s="1" a="1"/>
  <c r="CU8" i="138" s="1"/>
  <c r="CL8" i="138"/>
  <c r="CO8" i="138"/>
  <c r="BV41" i="138"/>
  <c r="BT41" i="138"/>
  <c r="BV6" i="138"/>
  <c r="BT6" i="138"/>
  <c r="BT15" i="138"/>
  <c r="BV15" i="138"/>
  <c r="BV22" i="138"/>
  <c r="BT22" i="138"/>
  <c r="T4" i="138"/>
  <c r="CQ7" i="138" s="1"/>
  <c r="BV25" i="138"/>
  <c r="BT25" i="138"/>
  <c r="BT21" i="138"/>
  <c r="BV21" i="138"/>
  <c r="BV11" i="138"/>
  <c r="BT11" i="138"/>
  <c r="BT16" i="138"/>
  <c r="BV16" i="138"/>
  <c r="BV18" i="138"/>
  <c r="BT18" i="138"/>
  <c r="BV12" i="138"/>
  <c r="BT12" i="138"/>
  <c r="BT7" i="138"/>
  <c r="BV7" i="138"/>
  <c r="BV30" i="138"/>
  <c r="BT30" i="138"/>
  <c r="CC38" i="138"/>
  <c r="CC31" i="138"/>
  <c r="CC28" i="138"/>
  <c r="CC40" i="138"/>
  <c r="CC27" i="138"/>
  <c r="CC39" i="138"/>
  <c r="CC25" i="138"/>
  <c r="CC29" i="138"/>
  <c r="CC41" i="138"/>
  <c r="CC36" i="138"/>
  <c r="CC24" i="138"/>
  <c r="CC35" i="138"/>
  <c r="CC26" i="138"/>
  <c r="CC32" i="138"/>
  <c r="CC37" i="138"/>
  <c r="CC23" i="138"/>
  <c r="CC30" i="138"/>
  <c r="CC33" i="138"/>
  <c r="CC34" i="138"/>
  <c r="CC20" i="138"/>
  <c r="CC22" i="138"/>
  <c r="CC21" i="138"/>
  <c r="BT19" i="138"/>
  <c r="BV19" i="138"/>
  <c r="BV17" i="138"/>
  <c r="BT17" i="138"/>
  <c r="BT23" i="138"/>
  <c r="BV23" i="138"/>
  <c r="BV33" i="138"/>
  <c r="BT33" i="138"/>
  <c r="BV39" i="138"/>
  <c r="BT39" i="138"/>
  <c r="BT28" i="138"/>
  <c r="BV28" i="138"/>
  <c r="BT8" i="138"/>
  <c r="BV8" i="138"/>
  <c r="BT4" i="138"/>
  <c r="BV4" i="138"/>
  <c r="BS4" i="138" a="1"/>
  <c r="BX13" i="138" a="1"/>
  <c r="BU4" i="138" a="1"/>
  <c r="BV31" i="138"/>
  <c r="BT31" i="138"/>
  <c r="BV36" i="138"/>
  <c r="BT36" i="138"/>
  <c r="BV35" i="138"/>
  <c r="BT35" i="138"/>
  <c r="BV20" i="138"/>
  <c r="BT20" i="138"/>
  <c r="BV10" i="138"/>
  <c r="BT10" i="138"/>
  <c r="BT24" i="138"/>
  <c r="BV24" i="138"/>
  <c r="BT14" i="138"/>
  <c r="BV14" i="138"/>
  <c r="BH49" i="138"/>
  <c r="BR47" i="138" s="1" a="1"/>
  <c r="BR47" i="138" s="1"/>
  <c r="BV34" i="138"/>
  <c r="BT34" i="138"/>
  <c r="BV29" i="138"/>
  <c r="BT29" i="138"/>
  <c r="BT40" i="138"/>
  <c r="BV40" i="138"/>
  <c r="BV42" i="138"/>
  <c r="BT42" i="138"/>
  <c r="BV5" i="138"/>
  <c r="BT5" i="138"/>
  <c r="BT27" i="138"/>
  <c r="BV27" i="138"/>
  <c r="BV32" i="138"/>
  <c r="BT32" i="138"/>
  <c r="BV37" i="138"/>
  <c r="BT37" i="138"/>
  <c r="BT13" i="138"/>
  <c r="BV13" i="138"/>
  <c r="BV9" i="138"/>
  <c r="BT9" i="138"/>
  <c r="BT38" i="138"/>
  <c r="BV38" i="138"/>
  <c r="I18" i="35"/>
  <c r="I23" i="35"/>
  <c r="M10" i="127"/>
  <c r="Z160" i="138" s="1" a="1"/>
  <c r="N10" i="69"/>
  <c r="O10" i="69"/>
  <c r="L10" i="129"/>
  <c r="N12" i="69"/>
  <c r="H20" i="121"/>
  <c r="E20" i="121" s="1"/>
  <c r="J20" i="121" s="1"/>
  <c r="N34" i="127"/>
  <c r="M8" i="69"/>
  <c r="N26" i="128"/>
  <c r="M8" i="129"/>
  <c r="AG20" i="119"/>
  <c r="AH20" i="119" s="1"/>
  <c r="I24" i="35"/>
  <c r="M26" i="127"/>
  <c r="M26" i="129"/>
  <c r="M27" i="69"/>
  <c r="L35" i="69"/>
  <c r="Y67" i="138" s="1" a="1"/>
  <c r="N34" i="131"/>
  <c r="M34" i="131"/>
  <c r="V22" i="119"/>
  <c r="Z22" i="119"/>
  <c r="H37" i="35"/>
  <c r="I37" i="35" s="1"/>
  <c r="J37" i="35" s="1"/>
  <c r="K30" i="21"/>
  <c r="K29" i="21" s="1"/>
  <c r="AF17" i="21"/>
  <c r="AG17" i="21" s="1"/>
  <c r="AF45" i="21"/>
  <c r="BB45" i="21"/>
  <c r="Q27" i="69"/>
  <c r="Q26" i="129"/>
  <c r="Q35" i="69"/>
  <c r="AQ45" i="21"/>
  <c r="R26" i="127"/>
  <c r="R10" i="69"/>
  <c r="Q8" i="131"/>
  <c r="R8" i="131"/>
  <c r="P8" i="128"/>
  <c r="N12" i="129"/>
  <c r="Q10" i="69"/>
  <c r="M45" i="127"/>
  <c r="N11" i="131"/>
  <c r="N14" i="128"/>
  <c r="N14" i="69"/>
  <c r="N11" i="129"/>
  <c r="N12" i="131"/>
  <c r="N14" i="129"/>
  <c r="N14" i="131"/>
  <c r="N12" i="127"/>
  <c r="N11" i="127"/>
  <c r="O34" i="131"/>
  <c r="H16" i="121"/>
  <c r="E16" i="121" s="1"/>
  <c r="J16" i="121" s="1"/>
  <c r="M12" i="128"/>
  <c r="M14" i="127"/>
  <c r="M10" i="129"/>
  <c r="M10" i="128"/>
  <c r="Z115" i="138" s="1" a="1"/>
  <c r="M11" i="69"/>
  <c r="M11" i="128"/>
  <c r="N34" i="129"/>
  <c r="N26" i="131"/>
  <c r="N34" i="128"/>
  <c r="AH13" i="119"/>
  <c r="AH14" i="119"/>
  <c r="AH28" i="119"/>
  <c r="J27" i="35"/>
  <c r="U30" i="21"/>
  <c r="L10" i="128"/>
  <c r="Y115" i="138" s="1" a="1"/>
  <c r="AN71" i="138" l="1"/>
  <c r="BD71" i="138" s="1"/>
  <c r="AN78" i="138"/>
  <c r="BD78" i="138" s="1"/>
  <c r="Y67" i="138"/>
  <c r="AN67" i="138" s="1"/>
  <c r="AN68" i="138"/>
  <c r="BD68" i="138" s="1"/>
  <c r="AN87" i="138"/>
  <c r="BD87" i="138" s="1"/>
  <c r="AN75" i="138"/>
  <c r="BD75" i="138" s="1"/>
  <c r="AN83" i="138"/>
  <c r="BD83" i="138" s="1"/>
  <c r="AN69" i="138"/>
  <c r="BD69" i="138" s="1"/>
  <c r="AN86" i="138"/>
  <c r="BD86" i="138" s="1"/>
  <c r="AN74" i="138"/>
  <c r="BD74" i="138" s="1"/>
  <c r="AN73" i="138"/>
  <c r="BD73" i="138" s="1"/>
  <c r="AN79" i="138"/>
  <c r="BD79" i="138" s="1"/>
  <c r="AN90" i="138"/>
  <c r="BD90" i="138" s="1"/>
  <c r="CK14" i="138"/>
  <c r="AN91" i="138"/>
  <c r="BD91" i="138" s="1"/>
  <c r="AN89" i="138"/>
  <c r="BD89" i="138" s="1"/>
  <c r="AN80" i="138"/>
  <c r="BD80" i="138" s="1"/>
  <c r="AN85" i="138"/>
  <c r="BD85" i="138" s="1"/>
  <c r="AN76" i="138"/>
  <c r="BD76" i="138" s="1"/>
  <c r="AN88" i="138"/>
  <c r="BD88" i="138" s="1"/>
  <c r="AN84" i="138"/>
  <c r="BD84" i="138" s="1"/>
  <c r="AN96" i="138"/>
  <c r="BD96" i="138" s="1"/>
  <c r="AN82" i="138"/>
  <c r="BD82" i="138" s="1"/>
  <c r="AN94" i="138"/>
  <c r="BD94" i="138" s="1"/>
  <c r="AN72" i="138"/>
  <c r="BD72" i="138" s="1"/>
  <c r="AN93" i="138"/>
  <c r="BD93" i="138" s="1"/>
  <c r="AN95" i="138"/>
  <c r="BD95" i="138" s="1"/>
  <c r="AN70" i="138"/>
  <c r="BD70" i="138" s="1"/>
  <c r="AN81" i="138"/>
  <c r="BD81" i="138" s="1"/>
  <c r="AN92" i="138"/>
  <c r="BD92" i="138" s="1"/>
  <c r="AN77" i="138"/>
  <c r="BD77" i="138" s="1"/>
  <c r="AN166" i="138"/>
  <c r="BD166" i="138" s="1"/>
  <c r="AN167" i="138"/>
  <c r="BD167" i="138" s="1"/>
  <c r="Z67" i="138" a="1"/>
  <c r="AO73" i="138" s="1"/>
  <c r="BE73" i="138" s="1"/>
  <c r="AN177" i="138"/>
  <c r="BD177" i="138" s="1"/>
  <c r="AN179" i="138"/>
  <c r="BD179" i="138" s="1"/>
  <c r="AN173" i="138"/>
  <c r="BD173" i="138" s="1"/>
  <c r="AN169" i="138"/>
  <c r="BD169" i="138" s="1"/>
  <c r="AN172" i="138"/>
  <c r="BD172" i="138" s="1"/>
  <c r="AN186" i="138"/>
  <c r="BD186" i="138" s="1"/>
  <c r="AN163" i="138"/>
  <c r="BD163" i="138" s="1"/>
  <c r="AN168" i="138"/>
  <c r="BD168" i="138" s="1"/>
  <c r="AN161" i="138"/>
  <c r="BD161" i="138" s="1"/>
  <c r="AN174" i="138"/>
  <c r="BD174" i="138" s="1"/>
  <c r="AN162" i="138"/>
  <c r="BD162" i="138" s="1"/>
  <c r="AN165" i="138"/>
  <c r="BD165" i="138" s="1"/>
  <c r="CJ16" i="138"/>
  <c r="AN160" i="138"/>
  <c r="BD160" i="138" s="1"/>
  <c r="BD157" i="138" s="1"/>
  <c r="AO75" i="138"/>
  <c r="BE75" i="138" s="1"/>
  <c r="AO94" i="138"/>
  <c r="BE94" i="138" s="1"/>
  <c r="BC202" i="138"/>
  <c r="Z250" i="138" a="1"/>
  <c r="AO254" i="138" s="1"/>
  <c r="BE254" i="138" s="1"/>
  <c r="CJ15" i="138"/>
  <c r="BD205" i="138"/>
  <c r="BD202" i="138" s="1"/>
  <c r="CK11" i="138"/>
  <c r="CK16" i="138"/>
  <c r="AN251" i="138"/>
  <c r="BD251" i="138" s="1"/>
  <c r="AN276" i="138"/>
  <c r="BD276" i="138" s="1"/>
  <c r="AN265" i="138"/>
  <c r="BD265" i="138" s="1"/>
  <c r="AN275" i="138"/>
  <c r="BD275" i="138" s="1"/>
  <c r="AN259" i="138"/>
  <c r="BD259" i="138" s="1"/>
  <c r="AN277" i="138"/>
  <c r="BD277" i="138" s="1"/>
  <c r="AN267" i="138"/>
  <c r="BD267" i="138" s="1"/>
  <c r="AN264" i="138"/>
  <c r="BD264" i="138" s="1"/>
  <c r="AN270" i="138"/>
  <c r="BD270" i="138" s="1"/>
  <c r="AN269" i="138"/>
  <c r="BD269" i="138" s="1"/>
  <c r="AN262" i="138"/>
  <c r="BD262" i="138" s="1"/>
  <c r="AN263" i="138"/>
  <c r="BD263" i="138" s="1"/>
  <c r="AN252" i="138"/>
  <c r="BD252" i="138" s="1"/>
  <c r="AN272" i="138"/>
  <c r="BD272" i="138" s="1"/>
  <c r="AN255" i="138"/>
  <c r="BD255" i="138" s="1"/>
  <c r="AN274" i="138"/>
  <c r="BD274" i="138" s="1"/>
  <c r="AN257" i="138"/>
  <c r="BD257" i="138" s="1"/>
  <c r="AN266" i="138"/>
  <c r="BD266" i="138" s="1"/>
  <c r="Y250" i="138"/>
  <c r="AN250" i="138" s="1"/>
  <c r="AN256" i="138"/>
  <c r="BD256" i="138" s="1"/>
  <c r="AN253" i="138"/>
  <c r="BD253" i="138" s="1"/>
  <c r="AN279" i="138"/>
  <c r="BD279" i="138" s="1"/>
  <c r="AN258" i="138"/>
  <c r="BD258" i="138" s="1"/>
  <c r="AN273" i="138"/>
  <c r="BD273" i="138" s="1"/>
  <c r="AN254" i="138"/>
  <c r="BD254" i="138" s="1"/>
  <c r="AN268" i="138"/>
  <c r="BD268" i="138" s="1"/>
  <c r="AN261" i="138"/>
  <c r="BD261" i="138" s="1"/>
  <c r="AN278" i="138"/>
  <c r="BD278" i="138" s="1"/>
  <c r="AN271" i="138"/>
  <c r="BD271" i="138" s="1"/>
  <c r="AN260" i="138"/>
  <c r="BD260" i="138" s="1"/>
  <c r="BD250" i="138"/>
  <c r="CK13" i="138"/>
  <c r="BC250" i="138"/>
  <c r="BC247" i="138" s="1"/>
  <c r="CJ13" i="138"/>
  <c r="AO118" i="138"/>
  <c r="BE118" i="138" s="1"/>
  <c r="AO133" i="138"/>
  <c r="BE133" i="138" s="1"/>
  <c r="AO127" i="138"/>
  <c r="BE127" i="138" s="1"/>
  <c r="AO141" i="138"/>
  <c r="BE141" i="138" s="1"/>
  <c r="AO124" i="138"/>
  <c r="BE124" i="138" s="1"/>
  <c r="AO136" i="138"/>
  <c r="BE136" i="138" s="1"/>
  <c r="Z115" i="138"/>
  <c r="AO115" i="138" s="1"/>
  <c r="AO128" i="138"/>
  <c r="BE128" i="138" s="1"/>
  <c r="AO135" i="138"/>
  <c r="BE135" i="138" s="1"/>
  <c r="AO120" i="138"/>
  <c r="BE120" i="138" s="1"/>
  <c r="AO140" i="138"/>
  <c r="BE140" i="138" s="1"/>
  <c r="AO116" i="138"/>
  <c r="BE116" i="138" s="1"/>
  <c r="AO143" i="138"/>
  <c r="BE143" i="138" s="1"/>
  <c r="AO126" i="138"/>
  <c r="BE126" i="138" s="1"/>
  <c r="AO139" i="138"/>
  <c r="BE139" i="138" s="1"/>
  <c r="AO117" i="138"/>
  <c r="BE117" i="138" s="1"/>
  <c r="AO132" i="138"/>
  <c r="BE132" i="138" s="1"/>
  <c r="AO131" i="138"/>
  <c r="BE131" i="138" s="1"/>
  <c r="AO123" i="138"/>
  <c r="BE123" i="138" s="1"/>
  <c r="AO142" i="138"/>
  <c r="BE142" i="138" s="1"/>
  <c r="AO122" i="138"/>
  <c r="BE122" i="138" s="1"/>
  <c r="AO125" i="138"/>
  <c r="BE125" i="138" s="1"/>
  <c r="AO137" i="138"/>
  <c r="BE137" i="138" s="1"/>
  <c r="AO129" i="138"/>
  <c r="BE129" i="138" s="1"/>
  <c r="AO138" i="138"/>
  <c r="BE138" i="138" s="1"/>
  <c r="AO130" i="138"/>
  <c r="BE130" i="138" s="1"/>
  <c r="AO119" i="138"/>
  <c r="BE119" i="138" s="1"/>
  <c r="AO121" i="138"/>
  <c r="BE121" i="138" s="1"/>
  <c r="AO134" i="138"/>
  <c r="BE134" i="138" s="1"/>
  <c r="AO144" i="138"/>
  <c r="BE144" i="138" s="1"/>
  <c r="AN124" i="138"/>
  <c r="BD124" i="138" s="1"/>
  <c r="AN125" i="138"/>
  <c r="BD125" i="138" s="1"/>
  <c r="AN138" i="138"/>
  <c r="BD138" i="138" s="1"/>
  <c r="AN141" i="138"/>
  <c r="BD141" i="138" s="1"/>
  <c r="AN119" i="138"/>
  <c r="BD119" i="138" s="1"/>
  <c r="AN139" i="138"/>
  <c r="BD139" i="138" s="1"/>
  <c r="AN132" i="138"/>
  <c r="BD132" i="138" s="1"/>
  <c r="AN142" i="138"/>
  <c r="BD142" i="138" s="1"/>
  <c r="AN122" i="138"/>
  <c r="BD122" i="138" s="1"/>
  <c r="AN117" i="138"/>
  <c r="BD117" i="138" s="1"/>
  <c r="AN128" i="138"/>
  <c r="BD128" i="138" s="1"/>
  <c r="AN133" i="138"/>
  <c r="BD133" i="138" s="1"/>
  <c r="AN136" i="138"/>
  <c r="BD136" i="138" s="1"/>
  <c r="AN123" i="138"/>
  <c r="BD123" i="138" s="1"/>
  <c r="AN129" i="138"/>
  <c r="BD129" i="138" s="1"/>
  <c r="AN120" i="138"/>
  <c r="BD120" i="138" s="1"/>
  <c r="AN137" i="138"/>
  <c r="BD137" i="138" s="1"/>
  <c r="AN116" i="138"/>
  <c r="BD116" i="138" s="1"/>
  <c r="AN118" i="138"/>
  <c r="BD118" i="138" s="1"/>
  <c r="AN130" i="138"/>
  <c r="BD130" i="138" s="1"/>
  <c r="AN143" i="138"/>
  <c r="BD143" i="138" s="1"/>
  <c r="AN127" i="138"/>
  <c r="BD127" i="138" s="1"/>
  <c r="AN131" i="138"/>
  <c r="BD131" i="138" s="1"/>
  <c r="AN134" i="138"/>
  <c r="BD134" i="138" s="1"/>
  <c r="AN121" i="138"/>
  <c r="BD121" i="138" s="1"/>
  <c r="AN135" i="138"/>
  <c r="BD135" i="138" s="1"/>
  <c r="AN126" i="138"/>
  <c r="BD126" i="138" s="1"/>
  <c r="AN140" i="138"/>
  <c r="BD140" i="138" s="1"/>
  <c r="AN144" i="138"/>
  <c r="BD144" i="138" s="1"/>
  <c r="Y115" i="138"/>
  <c r="AN115" i="138" s="1"/>
  <c r="BB115" i="138"/>
  <c r="BB112" i="138" s="1"/>
  <c r="CI10" i="138"/>
  <c r="BC115" i="138"/>
  <c r="BC112" i="138" s="1"/>
  <c r="CJ10" i="138"/>
  <c r="AO173" i="138"/>
  <c r="BE173" i="138" s="1"/>
  <c r="AO163" i="138"/>
  <c r="BE163" i="138" s="1"/>
  <c r="AO183" i="138"/>
  <c r="BE183" i="138" s="1"/>
  <c r="AO167" i="138"/>
  <c r="BE167" i="138" s="1"/>
  <c r="AO166" i="138"/>
  <c r="BE166" i="138" s="1"/>
  <c r="AO172" i="138"/>
  <c r="BE172" i="138" s="1"/>
  <c r="AO176" i="138"/>
  <c r="BE176" i="138" s="1"/>
  <c r="AO161" i="138"/>
  <c r="BE161" i="138" s="1"/>
  <c r="AO177" i="138"/>
  <c r="BE177" i="138" s="1"/>
  <c r="AO165" i="138"/>
  <c r="BE165" i="138" s="1"/>
  <c r="AO170" i="138"/>
  <c r="BE170" i="138" s="1"/>
  <c r="AO175" i="138"/>
  <c r="BE175" i="138" s="1"/>
  <c r="AO168" i="138"/>
  <c r="BE168" i="138" s="1"/>
  <c r="AO182" i="138"/>
  <c r="BE182" i="138" s="1"/>
  <c r="AO169" i="138"/>
  <c r="BE169" i="138" s="1"/>
  <c r="AO189" i="138"/>
  <c r="BE189" i="138" s="1"/>
  <c r="AO171" i="138"/>
  <c r="BE171" i="138" s="1"/>
  <c r="AO181" i="138"/>
  <c r="BE181" i="138" s="1"/>
  <c r="AO186" i="138"/>
  <c r="BE186" i="138" s="1"/>
  <c r="AO184" i="138"/>
  <c r="BE184" i="138" s="1"/>
  <c r="AO164" i="138"/>
  <c r="BE164" i="138" s="1"/>
  <c r="AO188" i="138"/>
  <c r="BE188" i="138" s="1"/>
  <c r="AO174" i="138"/>
  <c r="BE174" i="138" s="1"/>
  <c r="AO178" i="138"/>
  <c r="BE178" i="138" s="1"/>
  <c r="AO179" i="138"/>
  <c r="BE179" i="138" s="1"/>
  <c r="AO187" i="138"/>
  <c r="BE187" i="138" s="1"/>
  <c r="Z160" i="138"/>
  <c r="AO160" i="138" s="1"/>
  <c r="BE160" i="138" s="1"/>
  <c r="AO185" i="138"/>
  <c r="BE185" i="138" s="1"/>
  <c r="AO180" i="138"/>
  <c r="BE180" i="138" s="1"/>
  <c r="AO162" i="138"/>
  <c r="BE162" i="138" s="1"/>
  <c r="CK12" i="138"/>
  <c r="CN7" i="138"/>
  <c r="CJ7" i="138"/>
  <c r="CM7" i="138"/>
  <c r="CL7" i="138"/>
  <c r="BZ8" i="138"/>
  <c r="S25" i="140" s="1"/>
  <c r="BU4" i="138"/>
  <c r="BZ7" i="138" s="1"/>
  <c r="BZ38" i="138"/>
  <c r="CA38" i="138" s="1"/>
  <c r="BZ33" i="138"/>
  <c r="CA33" i="138" s="1"/>
  <c r="BZ24" i="138"/>
  <c r="CA24" i="138" s="1"/>
  <c r="BZ17" i="138"/>
  <c r="BZ26" i="138"/>
  <c r="CA26" i="138" s="1"/>
  <c r="BZ37" i="138"/>
  <c r="CA37" i="138" s="1"/>
  <c r="BZ16" i="138"/>
  <c r="BZ23" i="138"/>
  <c r="CA23" i="138" s="1"/>
  <c r="BZ36" i="138"/>
  <c r="CA36" i="138" s="1"/>
  <c r="BZ22" i="138"/>
  <c r="CA22" i="138" s="1"/>
  <c r="BZ27" i="138"/>
  <c r="CA27" i="138" s="1"/>
  <c r="BZ21" i="138"/>
  <c r="CA21" i="138" s="1"/>
  <c r="BZ15" i="138"/>
  <c r="BZ40" i="138"/>
  <c r="CA40" i="138" s="1"/>
  <c r="BZ30" i="138"/>
  <c r="CA30" i="138" s="1"/>
  <c r="BZ29" i="138"/>
  <c r="CA29" i="138" s="1"/>
  <c r="BZ18" i="138"/>
  <c r="BZ28" i="138"/>
  <c r="CA28" i="138" s="1"/>
  <c r="BZ41" i="138"/>
  <c r="CA41" i="138" s="1"/>
  <c r="BZ32" i="138"/>
  <c r="CA32" i="138" s="1"/>
  <c r="BZ39" i="138"/>
  <c r="CA39" i="138" s="1"/>
  <c r="BZ31" i="138"/>
  <c r="CA31" i="138" s="1"/>
  <c r="BZ25" i="138"/>
  <c r="CA25" i="138" s="1"/>
  <c r="BZ35" i="138"/>
  <c r="CA35" i="138" s="1"/>
  <c r="BZ14" i="138"/>
  <c r="BZ19" i="138"/>
  <c r="BZ34" i="138"/>
  <c r="CA34" i="138" s="1"/>
  <c r="BZ20" i="138"/>
  <c r="CA20" i="138" s="1"/>
  <c r="CO7" i="138"/>
  <c r="CC18" i="138"/>
  <c r="CC15" i="138"/>
  <c r="CC19" i="138"/>
  <c r="BX13" i="138"/>
  <c r="CC14" i="138"/>
  <c r="CC16" i="138"/>
  <c r="CC17" i="138"/>
  <c r="BY14" i="138"/>
  <c r="BY15" i="138"/>
  <c r="BY16" i="138"/>
  <c r="BY17" i="138"/>
  <c r="BY18" i="138"/>
  <c r="BY19" i="138"/>
  <c r="CP7" i="138"/>
  <c r="CH7" i="138"/>
  <c r="CS7" i="138"/>
  <c r="CX8" i="138"/>
  <c r="CV8" i="138"/>
  <c r="BZ5" i="138"/>
  <c r="CR7" i="138"/>
  <c r="BZ6" i="138"/>
  <c r="S21" i="140" s="1"/>
  <c r="CI7" i="138"/>
  <c r="BS4" i="138"/>
  <c r="BZ3" i="138" s="1"/>
  <c r="BZ4" i="138"/>
  <c r="S17" i="140" s="1"/>
  <c r="CK7" i="138"/>
  <c r="P10" i="127"/>
  <c r="N10" i="131"/>
  <c r="AA205" i="138" s="1" a="1"/>
  <c r="M10" i="131"/>
  <c r="Z205" i="138" s="1" a="1"/>
  <c r="J12" i="21"/>
  <c r="K12" i="21" s="1"/>
  <c r="L12" i="21" s="1"/>
  <c r="O26" i="128"/>
  <c r="J11" i="121"/>
  <c r="O34" i="127"/>
  <c r="N8" i="129"/>
  <c r="AA250" i="138" s="1" a="1"/>
  <c r="N8" i="69"/>
  <c r="M35" i="69"/>
  <c r="N35" i="69"/>
  <c r="N27" i="69"/>
  <c r="N26" i="127"/>
  <c r="N26" i="129"/>
  <c r="V30" i="21"/>
  <c r="V29" i="21" s="1"/>
  <c r="W29" i="21" s="1"/>
  <c r="L29" i="21"/>
  <c r="X22" i="119"/>
  <c r="AA22" i="119"/>
  <c r="T8" i="129"/>
  <c r="U45" i="21"/>
  <c r="P34" i="131"/>
  <c r="BB36" i="21" s="1"/>
  <c r="BC36" i="21" s="1"/>
  <c r="R26" i="129"/>
  <c r="R27" i="69"/>
  <c r="R35" i="69"/>
  <c r="BB10" i="21"/>
  <c r="BC10" i="21" s="1"/>
  <c r="U10" i="21"/>
  <c r="Q8" i="128"/>
  <c r="R8" i="128"/>
  <c r="H12" i="133"/>
  <c r="O14" i="128"/>
  <c r="Q8" i="69"/>
  <c r="O11" i="129"/>
  <c r="O14" i="129"/>
  <c r="O12" i="129"/>
  <c r="O14" i="131"/>
  <c r="O11" i="131"/>
  <c r="O11" i="127"/>
  <c r="O12" i="131"/>
  <c r="O12" i="127"/>
  <c r="O14" i="69"/>
  <c r="N45" i="127"/>
  <c r="N14" i="127"/>
  <c r="N12" i="128"/>
  <c r="N11" i="69"/>
  <c r="N10" i="129"/>
  <c r="N10" i="128"/>
  <c r="AA115" i="138" s="1" a="1"/>
  <c r="N11" i="128"/>
  <c r="O34" i="128"/>
  <c r="O34" i="129"/>
  <c r="E11" i="121"/>
  <c r="O26" i="131"/>
  <c r="CW8" i="138" l="1"/>
  <c r="CY8" i="138" s="1"/>
  <c r="BZ13" i="138"/>
  <c r="AA67" i="138" a="1"/>
  <c r="AP88" i="138" s="1"/>
  <c r="BF88" i="138" s="1"/>
  <c r="AO90" i="138"/>
  <c r="BE90" i="138" s="1"/>
  <c r="AO95" i="138"/>
  <c r="BE95" i="138" s="1"/>
  <c r="AO88" i="138"/>
  <c r="BE88" i="138" s="1"/>
  <c r="AO87" i="138"/>
  <c r="BE87" i="138" s="1"/>
  <c r="AO79" i="138"/>
  <c r="BE79" i="138" s="1"/>
  <c r="AO68" i="138"/>
  <c r="BE68" i="138" s="1"/>
  <c r="AO74" i="138"/>
  <c r="BE74" i="138" s="1"/>
  <c r="Z67" i="138"/>
  <c r="AO67" i="138" s="1"/>
  <c r="BE67" i="138" s="1"/>
  <c r="BE64" i="138" s="1"/>
  <c r="AO81" i="138"/>
  <c r="BE81" i="138" s="1"/>
  <c r="AO70" i="138"/>
  <c r="BE70" i="138" s="1"/>
  <c r="AO77" i="138"/>
  <c r="BE77" i="138" s="1"/>
  <c r="AO92" i="138"/>
  <c r="BE92" i="138" s="1"/>
  <c r="AO86" i="138"/>
  <c r="BE86" i="138" s="1"/>
  <c r="AO82" i="138"/>
  <c r="BE82" i="138" s="1"/>
  <c r="AO72" i="138"/>
  <c r="BE72" i="138" s="1"/>
  <c r="AO96" i="138"/>
  <c r="BE96" i="138" s="1"/>
  <c r="AO80" i="138"/>
  <c r="BE80" i="138" s="1"/>
  <c r="AO83" i="138"/>
  <c r="BE83" i="138" s="1"/>
  <c r="AO84" i="138"/>
  <c r="BE84" i="138" s="1"/>
  <c r="AO85" i="138"/>
  <c r="BE85" i="138" s="1"/>
  <c r="AO91" i="138"/>
  <c r="BE91" i="138" s="1"/>
  <c r="AO89" i="138"/>
  <c r="BE89" i="138" s="1"/>
  <c r="BD67" i="138"/>
  <c r="BD64" i="138" s="1"/>
  <c r="CK9" i="138"/>
  <c r="AO263" i="138"/>
  <c r="BE263" i="138" s="1"/>
  <c r="AO71" i="138"/>
  <c r="BE71" i="138" s="1"/>
  <c r="AO76" i="138"/>
  <c r="BE76" i="138" s="1"/>
  <c r="AO78" i="138"/>
  <c r="BE78" i="138" s="1"/>
  <c r="AO275" i="138"/>
  <c r="BE275" i="138" s="1"/>
  <c r="AO69" i="138"/>
  <c r="BE69" i="138" s="1"/>
  <c r="AO93" i="138"/>
  <c r="BE93" i="138" s="1"/>
  <c r="AO271" i="138"/>
  <c r="BE271" i="138" s="1"/>
  <c r="AO261" i="138"/>
  <c r="BE261" i="138" s="1"/>
  <c r="AO251" i="138"/>
  <c r="BE251" i="138" s="1"/>
  <c r="AO256" i="138"/>
  <c r="BE256" i="138" s="1"/>
  <c r="AO262" i="138"/>
  <c r="BE262" i="138" s="1"/>
  <c r="AO272" i="138"/>
  <c r="BE272" i="138" s="1"/>
  <c r="AO260" i="138"/>
  <c r="BE260" i="138" s="1"/>
  <c r="AO273" i="138"/>
  <c r="BE273" i="138" s="1"/>
  <c r="AP70" i="138"/>
  <c r="BF70" i="138" s="1"/>
  <c r="AP71" i="138"/>
  <c r="BF71" i="138" s="1"/>
  <c r="AA67" i="138"/>
  <c r="AP67" i="138" s="1"/>
  <c r="AP90" i="138"/>
  <c r="BF90" i="138" s="1"/>
  <c r="AP86" i="138"/>
  <c r="BF86" i="138" s="1"/>
  <c r="AP84" i="138"/>
  <c r="BF84" i="138" s="1"/>
  <c r="AP77" i="138"/>
  <c r="BF77" i="138" s="1"/>
  <c r="AP91" i="138"/>
  <c r="BF91" i="138" s="1"/>
  <c r="AP87" i="138"/>
  <c r="BF87" i="138" s="1"/>
  <c r="AO258" i="138"/>
  <c r="BE258" i="138" s="1"/>
  <c r="AO268" i="138"/>
  <c r="BE268" i="138" s="1"/>
  <c r="AO264" i="138"/>
  <c r="BE264" i="138" s="1"/>
  <c r="AO257" i="138"/>
  <c r="BE257" i="138" s="1"/>
  <c r="AO274" i="138"/>
  <c r="BE274" i="138" s="1"/>
  <c r="AO267" i="138"/>
  <c r="BE267" i="138" s="1"/>
  <c r="CL17" i="138"/>
  <c r="AO279" i="138"/>
  <c r="BE279" i="138" s="1"/>
  <c r="AO265" i="138"/>
  <c r="BE265" i="138" s="1"/>
  <c r="AO270" i="138"/>
  <c r="BE270" i="138" s="1"/>
  <c r="AO266" i="138"/>
  <c r="BE266" i="138" s="1"/>
  <c r="Z250" i="138"/>
  <c r="CL18" i="138" s="1"/>
  <c r="AO269" i="138"/>
  <c r="BE269" i="138" s="1"/>
  <c r="AO276" i="138"/>
  <c r="BE276" i="138" s="1"/>
  <c r="AO253" i="138"/>
  <c r="BE253" i="138" s="1"/>
  <c r="AO252" i="138"/>
  <c r="BE252" i="138" s="1"/>
  <c r="AO277" i="138"/>
  <c r="BE277" i="138" s="1"/>
  <c r="AO278" i="138"/>
  <c r="BE278" i="138" s="1"/>
  <c r="AO255" i="138"/>
  <c r="BE255" i="138" s="1"/>
  <c r="AO259" i="138"/>
  <c r="BE259" i="138" s="1"/>
  <c r="CL14" i="138"/>
  <c r="AO232" i="138"/>
  <c r="BE232" i="138" s="1"/>
  <c r="AO219" i="138"/>
  <c r="BE219" i="138" s="1"/>
  <c r="AO214" i="138"/>
  <c r="BE214" i="138" s="1"/>
  <c r="AO226" i="138"/>
  <c r="BE226" i="138" s="1"/>
  <c r="AO228" i="138"/>
  <c r="BE228" i="138" s="1"/>
  <c r="AO234" i="138"/>
  <c r="BE234" i="138" s="1"/>
  <c r="AO221" i="138"/>
  <c r="BE221" i="138" s="1"/>
  <c r="AO213" i="138"/>
  <c r="BE213" i="138" s="1"/>
  <c r="AO218" i="138"/>
  <c r="BE218" i="138" s="1"/>
  <c r="AO217" i="138"/>
  <c r="BE217" i="138" s="1"/>
  <c r="AO222" i="138"/>
  <c r="BE222" i="138" s="1"/>
  <c r="AO233" i="138"/>
  <c r="BE233" i="138" s="1"/>
  <c r="AO231" i="138"/>
  <c r="BE231" i="138" s="1"/>
  <c r="AO209" i="138"/>
  <c r="BE209" i="138" s="1"/>
  <c r="AO206" i="138"/>
  <c r="BE206" i="138" s="1"/>
  <c r="AO211" i="138"/>
  <c r="BE211" i="138" s="1"/>
  <c r="AO216" i="138"/>
  <c r="BE216" i="138" s="1"/>
  <c r="AO224" i="138"/>
  <c r="BE224" i="138" s="1"/>
  <c r="Z205" i="138"/>
  <c r="AO205" i="138" s="1"/>
  <c r="AO215" i="138"/>
  <c r="BE215" i="138" s="1"/>
  <c r="AO223" i="138"/>
  <c r="BE223" i="138" s="1"/>
  <c r="AO210" i="138"/>
  <c r="BE210" i="138" s="1"/>
  <c r="AO230" i="138"/>
  <c r="BE230" i="138" s="1"/>
  <c r="AO212" i="138"/>
  <c r="BE212" i="138" s="1"/>
  <c r="AO225" i="138"/>
  <c r="BE225" i="138" s="1"/>
  <c r="AO220" i="138"/>
  <c r="BE220" i="138" s="1"/>
  <c r="AO207" i="138"/>
  <c r="BE207" i="138" s="1"/>
  <c r="AO208" i="138"/>
  <c r="BE208" i="138" s="1"/>
  <c r="AO227" i="138"/>
  <c r="BE227" i="138" s="1"/>
  <c r="AO229" i="138"/>
  <c r="BE229" i="138" s="1"/>
  <c r="AP234" i="138"/>
  <c r="BF234" i="138" s="1"/>
  <c r="AP209" i="138"/>
  <c r="BF209" i="138" s="1"/>
  <c r="AP226" i="138"/>
  <c r="BF226" i="138" s="1"/>
  <c r="AP233" i="138"/>
  <c r="BF233" i="138" s="1"/>
  <c r="AP207" i="138"/>
  <c r="BF207" i="138" s="1"/>
  <c r="AP211" i="138"/>
  <c r="BF211" i="138" s="1"/>
  <c r="AP215" i="138"/>
  <c r="BF215" i="138" s="1"/>
  <c r="AP232" i="138"/>
  <c r="BF232" i="138" s="1"/>
  <c r="AP206" i="138"/>
  <c r="BF206" i="138" s="1"/>
  <c r="AP212" i="138"/>
  <c r="BF212" i="138" s="1"/>
  <c r="AP210" i="138"/>
  <c r="BF210" i="138" s="1"/>
  <c r="AP221" i="138"/>
  <c r="BF221" i="138" s="1"/>
  <c r="AP228" i="138"/>
  <c r="BF228" i="138" s="1"/>
  <c r="AP231" i="138"/>
  <c r="BF231" i="138" s="1"/>
  <c r="AP217" i="138"/>
  <c r="BF217" i="138" s="1"/>
  <c r="AP223" i="138"/>
  <c r="BF223" i="138" s="1"/>
  <c r="AP208" i="138"/>
  <c r="BF208" i="138" s="1"/>
  <c r="AP222" i="138"/>
  <c r="BF222" i="138" s="1"/>
  <c r="AA205" i="138"/>
  <c r="AP205" i="138" s="1"/>
  <c r="AP218" i="138"/>
  <c r="BF218" i="138" s="1"/>
  <c r="AP219" i="138"/>
  <c r="BF219" i="138" s="1"/>
  <c r="AP216" i="138"/>
  <c r="BF216" i="138" s="1"/>
  <c r="AP230" i="138"/>
  <c r="BF230" i="138" s="1"/>
  <c r="AP214" i="138"/>
  <c r="BF214" i="138" s="1"/>
  <c r="AP227" i="138"/>
  <c r="BF227" i="138" s="1"/>
  <c r="AP220" i="138"/>
  <c r="BF220" i="138" s="1"/>
  <c r="AP225" i="138"/>
  <c r="BF225" i="138" s="1"/>
  <c r="AP224" i="138"/>
  <c r="BF224" i="138" s="1"/>
  <c r="AP213" i="138"/>
  <c r="BF213" i="138" s="1"/>
  <c r="AP229" i="138"/>
  <c r="BF229" i="138" s="1"/>
  <c r="CM16" i="138"/>
  <c r="CU16" i="138" s="1" a="1"/>
  <c r="CU16" i="138" s="1"/>
  <c r="AO250" i="138"/>
  <c r="BD247" i="138"/>
  <c r="AP271" i="138"/>
  <c r="BF271" i="138" s="1"/>
  <c r="AP267" i="138"/>
  <c r="BF267" i="138" s="1"/>
  <c r="AP262" i="138"/>
  <c r="BF262" i="138" s="1"/>
  <c r="AP260" i="138"/>
  <c r="BF260" i="138" s="1"/>
  <c r="AP251" i="138"/>
  <c r="BF251" i="138" s="1"/>
  <c r="AP276" i="138"/>
  <c r="BF276" i="138" s="1"/>
  <c r="AP277" i="138"/>
  <c r="BF277" i="138" s="1"/>
  <c r="AP261" i="138"/>
  <c r="BF261" i="138" s="1"/>
  <c r="AP252" i="138"/>
  <c r="BF252" i="138" s="1"/>
  <c r="AP274" i="138"/>
  <c r="BF274" i="138" s="1"/>
  <c r="AP255" i="138"/>
  <c r="BF255" i="138" s="1"/>
  <c r="AP272" i="138"/>
  <c r="BF272" i="138" s="1"/>
  <c r="AP263" i="138"/>
  <c r="BF263" i="138" s="1"/>
  <c r="AP279" i="138"/>
  <c r="BF279" i="138" s="1"/>
  <c r="AP264" i="138"/>
  <c r="BF264" i="138" s="1"/>
  <c r="AP273" i="138"/>
  <c r="BF273" i="138" s="1"/>
  <c r="AP275" i="138"/>
  <c r="BF275" i="138" s="1"/>
  <c r="AP253" i="138"/>
  <c r="BF253" i="138" s="1"/>
  <c r="AP268" i="138"/>
  <c r="BF268" i="138" s="1"/>
  <c r="AP257" i="138"/>
  <c r="BF257" i="138" s="1"/>
  <c r="AP259" i="138"/>
  <c r="BF259" i="138" s="1"/>
  <c r="AP256" i="138"/>
  <c r="BF256" i="138" s="1"/>
  <c r="AP266" i="138"/>
  <c r="BF266" i="138" s="1"/>
  <c r="AP278" i="138"/>
  <c r="BF278" i="138" s="1"/>
  <c r="AP254" i="138"/>
  <c r="BF254" i="138" s="1"/>
  <c r="AP270" i="138"/>
  <c r="BF270" i="138" s="1"/>
  <c r="AP269" i="138"/>
  <c r="BF269" i="138" s="1"/>
  <c r="AA250" i="138"/>
  <c r="AP250" i="138" s="1"/>
  <c r="AP258" i="138"/>
  <c r="BF258" i="138" s="1"/>
  <c r="AP265" i="138"/>
  <c r="BF265" i="138" s="1"/>
  <c r="CK18" i="138"/>
  <c r="BD115" i="138"/>
  <c r="BD112" i="138" s="1"/>
  <c r="CK10" i="138"/>
  <c r="BE115" i="138"/>
  <c r="BE112" i="138" s="1"/>
  <c r="CL10" i="138"/>
  <c r="AP118" i="138"/>
  <c r="BF118" i="138" s="1"/>
  <c r="AP134" i="138"/>
  <c r="BF134" i="138" s="1"/>
  <c r="AP128" i="138"/>
  <c r="BF128" i="138" s="1"/>
  <c r="AP125" i="138"/>
  <c r="BF125" i="138" s="1"/>
  <c r="AP119" i="138"/>
  <c r="BF119" i="138" s="1"/>
  <c r="AP137" i="138"/>
  <c r="BF137" i="138" s="1"/>
  <c r="AA115" i="138"/>
  <c r="AP115" i="138" s="1"/>
  <c r="AP132" i="138"/>
  <c r="BF132" i="138" s="1"/>
  <c r="AP133" i="138"/>
  <c r="BF133" i="138" s="1"/>
  <c r="AP144" i="138"/>
  <c r="BF144" i="138" s="1"/>
  <c r="AP135" i="138"/>
  <c r="BF135" i="138" s="1"/>
  <c r="AP123" i="138"/>
  <c r="BF123" i="138" s="1"/>
  <c r="AP138" i="138"/>
  <c r="BF138" i="138" s="1"/>
  <c r="AP140" i="138"/>
  <c r="BF140" i="138" s="1"/>
  <c r="AP122" i="138"/>
  <c r="BF122" i="138" s="1"/>
  <c r="AP139" i="138"/>
  <c r="BF139" i="138" s="1"/>
  <c r="AP129" i="138"/>
  <c r="BF129" i="138" s="1"/>
  <c r="AP117" i="138"/>
  <c r="BF117" i="138" s="1"/>
  <c r="AP120" i="138"/>
  <c r="BF120" i="138" s="1"/>
  <c r="AP124" i="138"/>
  <c r="BF124" i="138" s="1"/>
  <c r="AP142" i="138"/>
  <c r="BF142" i="138" s="1"/>
  <c r="AP141" i="138"/>
  <c r="BF141" i="138" s="1"/>
  <c r="AP126" i="138"/>
  <c r="BF126" i="138" s="1"/>
  <c r="AP136" i="138"/>
  <c r="BF136" i="138" s="1"/>
  <c r="AP116" i="138"/>
  <c r="BF116" i="138" s="1"/>
  <c r="AP131" i="138"/>
  <c r="BF131" i="138" s="1"/>
  <c r="AP121" i="138"/>
  <c r="BF121" i="138" s="1"/>
  <c r="AP143" i="138"/>
  <c r="BF143" i="138" s="1"/>
  <c r="AP130" i="138"/>
  <c r="BF130" i="138" s="1"/>
  <c r="AP127" i="138"/>
  <c r="BF127" i="138" s="1"/>
  <c r="CK15" i="138"/>
  <c r="CL15" i="138"/>
  <c r="BE157" i="138"/>
  <c r="CL12" i="138"/>
  <c r="CA16" i="138"/>
  <c r="CD16" i="138" s="1"/>
  <c r="CA18" i="138"/>
  <c r="CD18" i="138" s="1"/>
  <c r="CA17" i="138"/>
  <c r="CD24" i="138"/>
  <c r="CB24" i="138"/>
  <c r="CD29" i="138"/>
  <c r="CB29" i="138"/>
  <c r="CD41" i="138"/>
  <c r="CB41" i="138"/>
  <c r="CB26" i="138"/>
  <c r="CD26" i="138"/>
  <c r="CA15" i="138"/>
  <c r="CD38" i="138"/>
  <c r="CB38" i="138"/>
  <c r="CB34" i="138"/>
  <c r="CD34" i="138"/>
  <c r="CD28" i="138"/>
  <c r="CB28" i="138"/>
  <c r="S15" i="140"/>
  <c r="CC3" i="138"/>
  <c r="CB40" i="138"/>
  <c r="CD40" i="138"/>
  <c r="CD27" i="138"/>
  <c r="CB27" i="138"/>
  <c r="CD20" i="138"/>
  <c r="CB20" i="138"/>
  <c r="CA19" i="138"/>
  <c r="CD21" i="138"/>
  <c r="CB21" i="138"/>
  <c r="CD31" i="138"/>
  <c r="CB31" i="138"/>
  <c r="CD22" i="138"/>
  <c r="CB22" i="138"/>
  <c r="CD33" i="138"/>
  <c r="CB33" i="138"/>
  <c r="S19" i="140"/>
  <c r="CC4" i="138"/>
  <c r="S23" i="140"/>
  <c r="CC5" i="138"/>
  <c r="CB39" i="138"/>
  <c r="CD39" i="138"/>
  <c r="CD36" i="138"/>
  <c r="CB36" i="138"/>
  <c r="CD37" i="138"/>
  <c r="CB37" i="138"/>
  <c r="CD30" i="138"/>
  <c r="CB30" i="138"/>
  <c r="CA14" i="138"/>
  <c r="CB35" i="138"/>
  <c r="CD35" i="138"/>
  <c r="CB25" i="138"/>
  <c r="CD25" i="138"/>
  <c r="CC13" i="138"/>
  <c r="BY13" i="138"/>
  <c r="CA13" i="138" s="1"/>
  <c r="CD32" i="138"/>
  <c r="CB32" i="138"/>
  <c r="CB23" i="138"/>
  <c r="CD23" i="138"/>
  <c r="N10" i="127"/>
  <c r="AA160" i="138" s="1" a="1"/>
  <c r="O10" i="127"/>
  <c r="AB160" i="138" s="1" a="1"/>
  <c r="O12" i="69"/>
  <c r="H10" i="121"/>
  <c r="E10" i="121" s="1"/>
  <c r="O10" i="131"/>
  <c r="AB205" i="138" s="1" a="1"/>
  <c r="H25" i="133"/>
  <c r="I25" i="133" s="1"/>
  <c r="I22" i="133" s="1"/>
  <c r="J22" i="133" s="1"/>
  <c r="L22" i="133" s="1"/>
  <c r="P35" i="69"/>
  <c r="P26" i="128"/>
  <c r="AF28" i="21" s="1"/>
  <c r="AG28" i="21" s="1"/>
  <c r="AG24" i="21" s="1"/>
  <c r="P34" i="127"/>
  <c r="U36" i="21" s="1"/>
  <c r="V36" i="21" s="1"/>
  <c r="W36" i="21" s="1"/>
  <c r="O26" i="127"/>
  <c r="P26" i="127"/>
  <c r="O8" i="69"/>
  <c r="O8" i="129"/>
  <c r="AB250" i="138" s="1" a="1"/>
  <c r="O27" i="69"/>
  <c r="P27" i="69"/>
  <c r="O26" i="129"/>
  <c r="P26" i="129"/>
  <c r="H12" i="35"/>
  <c r="BC35" i="21"/>
  <c r="BD36" i="21"/>
  <c r="BD35" i="21" s="1"/>
  <c r="U24" i="21"/>
  <c r="R24" i="21" s="1"/>
  <c r="S26" i="127"/>
  <c r="Q8" i="129"/>
  <c r="R10" i="21"/>
  <c r="V10" i="21"/>
  <c r="AB22" i="119"/>
  <c r="Q26" i="128"/>
  <c r="P34" i="129"/>
  <c r="AQ36" i="21" s="1"/>
  <c r="AR36" i="21" s="1"/>
  <c r="AS36" i="21" s="1"/>
  <c r="P34" i="128"/>
  <c r="AF36" i="21" s="1"/>
  <c r="AG36" i="21" s="1"/>
  <c r="AH36" i="21" s="1"/>
  <c r="P26" i="131"/>
  <c r="BB28" i="21" s="1"/>
  <c r="BC28" i="21" s="1"/>
  <c r="BC24" i="21" s="1"/>
  <c r="Q34" i="127"/>
  <c r="Q34" i="131"/>
  <c r="AY10" i="21"/>
  <c r="BD10" i="21" s="1"/>
  <c r="AF10" i="21"/>
  <c r="AG10" i="21" s="1"/>
  <c r="R8" i="69"/>
  <c r="R10" i="127"/>
  <c r="P12" i="131"/>
  <c r="P11" i="129"/>
  <c r="P11" i="131"/>
  <c r="Q14" i="131"/>
  <c r="O11" i="128"/>
  <c r="P14" i="69"/>
  <c r="J16" i="21" s="1"/>
  <c r="K16" i="21" s="1"/>
  <c r="K15" i="21" s="1"/>
  <c r="P12" i="129"/>
  <c r="P12" i="127"/>
  <c r="O10" i="128"/>
  <c r="AB115" i="138" s="1" a="1"/>
  <c r="Q10" i="127"/>
  <c r="O14" i="127"/>
  <c r="O12" i="128"/>
  <c r="P14" i="128"/>
  <c r="Q14" i="128"/>
  <c r="P11" i="127"/>
  <c r="Q14" i="129"/>
  <c r="P12" i="69"/>
  <c r="J14" i="21" s="1"/>
  <c r="O11" i="69"/>
  <c r="O10" i="129"/>
  <c r="O45" i="127"/>
  <c r="G47" i="21"/>
  <c r="G19" i="21" s="1"/>
  <c r="AP78" i="138" l="1"/>
  <c r="BF78" i="138" s="1"/>
  <c r="AP94" i="138"/>
  <c r="BF94" i="138" s="1"/>
  <c r="AP92" i="138"/>
  <c r="BF92" i="138" s="1"/>
  <c r="AP75" i="138"/>
  <c r="BF75" i="138" s="1"/>
  <c r="AP89" i="138"/>
  <c r="BF89" i="138" s="1"/>
  <c r="AP80" i="138"/>
  <c r="BF80" i="138" s="1"/>
  <c r="AP95" i="138"/>
  <c r="BF95" i="138" s="1"/>
  <c r="AP72" i="138"/>
  <c r="BF72" i="138" s="1"/>
  <c r="AP83" i="138"/>
  <c r="BF83" i="138" s="1"/>
  <c r="AP93" i="138"/>
  <c r="BF93" i="138" s="1"/>
  <c r="AP76" i="138"/>
  <c r="BF76" i="138" s="1"/>
  <c r="CL9" i="138"/>
  <c r="AP79" i="138"/>
  <c r="BF79" i="138" s="1"/>
  <c r="AP96" i="138"/>
  <c r="BF96" i="138" s="1"/>
  <c r="AP73" i="138"/>
  <c r="BF73" i="138" s="1"/>
  <c r="AP68" i="138"/>
  <c r="BF68" i="138" s="1"/>
  <c r="AP82" i="138"/>
  <c r="BF82" i="138" s="1"/>
  <c r="AP74" i="138"/>
  <c r="BF74" i="138" s="1"/>
  <c r="CB16" i="138"/>
  <c r="AP85" i="138"/>
  <c r="BF85" i="138" s="1"/>
  <c r="AP81" i="138"/>
  <c r="BF81" i="138" s="1"/>
  <c r="CM14" i="138"/>
  <c r="CU14" i="138" s="1" a="1"/>
  <c r="CU14" i="138" s="1"/>
  <c r="AP69" i="138"/>
  <c r="BF69" i="138" s="1"/>
  <c r="CB18" i="138"/>
  <c r="BF67" i="138"/>
  <c r="CM9" i="138"/>
  <c r="CU9" i="138" s="1" a="1"/>
  <c r="CU9" i="138" s="1"/>
  <c r="CM18" i="138"/>
  <c r="CU18" i="138" s="1" a="1"/>
  <c r="CU18" i="138" s="1"/>
  <c r="AQ211" i="138"/>
  <c r="BG211" i="138" s="1"/>
  <c r="AQ218" i="138"/>
  <c r="BG218" i="138" s="1"/>
  <c r="AQ206" i="138"/>
  <c r="BG206" i="138" s="1"/>
  <c r="AQ228" i="138"/>
  <c r="BG228" i="138" s="1"/>
  <c r="AQ230" i="138"/>
  <c r="BG230" i="138" s="1"/>
  <c r="AQ217" i="138"/>
  <c r="BG217" i="138" s="1"/>
  <c r="AQ223" i="138"/>
  <c r="BG223" i="138" s="1"/>
  <c r="AQ220" i="138"/>
  <c r="BG220" i="138" s="1"/>
  <c r="AQ215" i="138"/>
  <c r="BG215" i="138" s="1"/>
  <c r="AQ222" i="138"/>
  <c r="BG222" i="138" s="1"/>
  <c r="AQ224" i="138"/>
  <c r="BG224" i="138" s="1"/>
  <c r="AQ231" i="138"/>
  <c r="BG231" i="138" s="1"/>
  <c r="AQ225" i="138"/>
  <c r="BG225" i="138" s="1"/>
  <c r="AQ227" i="138"/>
  <c r="BG227" i="138" s="1"/>
  <c r="AQ219" i="138"/>
  <c r="BG219" i="138" s="1"/>
  <c r="AQ212" i="138"/>
  <c r="BG212" i="138" s="1"/>
  <c r="AQ207" i="138"/>
  <c r="BG207" i="138" s="1"/>
  <c r="AQ229" i="138"/>
  <c r="BG229" i="138" s="1"/>
  <c r="AQ216" i="138"/>
  <c r="BG216" i="138" s="1"/>
  <c r="AB205" i="138"/>
  <c r="AQ205" i="138" s="1"/>
  <c r="AQ210" i="138"/>
  <c r="BG210" i="138" s="1"/>
  <c r="AQ234" i="138"/>
  <c r="BG234" i="138" s="1"/>
  <c r="AQ209" i="138"/>
  <c r="BG209" i="138" s="1"/>
  <c r="AQ213" i="138"/>
  <c r="BG213" i="138" s="1"/>
  <c r="AQ233" i="138"/>
  <c r="BG233" i="138" s="1"/>
  <c r="AQ221" i="138"/>
  <c r="BG221" i="138" s="1"/>
  <c r="AQ226" i="138"/>
  <c r="BG226" i="138" s="1"/>
  <c r="AQ208" i="138"/>
  <c r="BG208" i="138" s="1"/>
  <c r="AQ214" i="138"/>
  <c r="BG214" i="138" s="1"/>
  <c r="AQ232" i="138"/>
  <c r="BG232" i="138" s="1"/>
  <c r="CL16" i="138"/>
  <c r="BE205" i="138"/>
  <c r="BE202" i="138" s="1"/>
  <c r="CL11" i="138"/>
  <c r="BF205" i="138"/>
  <c r="BF202" i="138" s="1"/>
  <c r="CM11" i="138"/>
  <c r="CU11" i="138" s="1" a="1"/>
  <c r="CU11" i="138" s="1"/>
  <c r="BF250" i="138"/>
  <c r="BF247" i="138" s="1"/>
  <c r="CM13" i="138"/>
  <c r="CU13" i="138" s="1" a="1"/>
  <c r="CU13" i="138" s="1"/>
  <c r="BE250" i="138"/>
  <c r="BE247" i="138" s="1"/>
  <c r="CL13" i="138"/>
  <c r="AQ267" i="138"/>
  <c r="BG267" i="138" s="1"/>
  <c r="AQ268" i="138"/>
  <c r="BG268" i="138" s="1"/>
  <c r="AQ279" i="138"/>
  <c r="BG279" i="138" s="1"/>
  <c r="AQ271" i="138"/>
  <c r="BG271" i="138" s="1"/>
  <c r="AQ277" i="138"/>
  <c r="BG277" i="138" s="1"/>
  <c r="AQ253" i="138"/>
  <c r="BG253" i="138" s="1"/>
  <c r="AQ255" i="138"/>
  <c r="BG255" i="138" s="1"/>
  <c r="AQ251" i="138"/>
  <c r="BG251" i="138" s="1"/>
  <c r="AQ264" i="138"/>
  <c r="BG264" i="138" s="1"/>
  <c r="AQ252" i="138"/>
  <c r="BG252" i="138" s="1"/>
  <c r="AQ261" i="138"/>
  <c r="BG261" i="138" s="1"/>
  <c r="AQ265" i="138"/>
  <c r="BG265" i="138" s="1"/>
  <c r="AQ269" i="138"/>
  <c r="BG269" i="138" s="1"/>
  <c r="AQ278" i="138"/>
  <c r="BG278" i="138" s="1"/>
  <c r="AQ260" i="138"/>
  <c r="BG260" i="138" s="1"/>
  <c r="AQ257" i="138"/>
  <c r="BG257" i="138" s="1"/>
  <c r="AQ270" i="138"/>
  <c r="BG270" i="138" s="1"/>
  <c r="AQ259" i="138"/>
  <c r="BG259" i="138" s="1"/>
  <c r="AQ256" i="138"/>
  <c r="BG256" i="138" s="1"/>
  <c r="AQ274" i="138"/>
  <c r="BG274" i="138" s="1"/>
  <c r="AB250" i="138"/>
  <c r="AQ250" i="138" s="1"/>
  <c r="AQ263" i="138"/>
  <c r="BG263" i="138" s="1"/>
  <c r="AQ275" i="138"/>
  <c r="BG275" i="138" s="1"/>
  <c r="AQ276" i="138"/>
  <c r="BG276" i="138" s="1"/>
  <c r="AQ254" i="138"/>
  <c r="BG254" i="138" s="1"/>
  <c r="AQ262" i="138"/>
  <c r="BG262" i="138" s="1"/>
  <c r="AQ266" i="138"/>
  <c r="BG266" i="138" s="1"/>
  <c r="AQ272" i="138"/>
  <c r="BG272" i="138" s="1"/>
  <c r="AQ258" i="138"/>
  <c r="BG258" i="138" s="1"/>
  <c r="AQ273" i="138"/>
  <c r="BG273" i="138" s="1"/>
  <c r="AQ118" i="138"/>
  <c r="BG118" i="138" s="1"/>
  <c r="AQ134" i="138"/>
  <c r="BG134" i="138" s="1"/>
  <c r="AQ143" i="138"/>
  <c r="BG143" i="138" s="1"/>
  <c r="AQ138" i="138"/>
  <c r="BG138" i="138" s="1"/>
  <c r="AQ144" i="138"/>
  <c r="BG144" i="138" s="1"/>
  <c r="AQ129" i="138"/>
  <c r="BG129" i="138" s="1"/>
  <c r="AQ131" i="138"/>
  <c r="BG131" i="138" s="1"/>
  <c r="AQ132" i="138"/>
  <c r="BG132" i="138" s="1"/>
  <c r="AQ141" i="138"/>
  <c r="BG141" i="138" s="1"/>
  <c r="AQ135" i="138"/>
  <c r="BG135" i="138" s="1"/>
  <c r="AQ139" i="138"/>
  <c r="BG139" i="138" s="1"/>
  <c r="AQ117" i="138"/>
  <c r="BG117" i="138" s="1"/>
  <c r="AQ125" i="138"/>
  <c r="BG125" i="138" s="1"/>
  <c r="AQ140" i="138"/>
  <c r="BG140" i="138" s="1"/>
  <c r="AQ122" i="138"/>
  <c r="BG122" i="138" s="1"/>
  <c r="AQ127" i="138"/>
  <c r="BG127" i="138" s="1"/>
  <c r="AQ123" i="138"/>
  <c r="BG123" i="138" s="1"/>
  <c r="AQ133" i="138"/>
  <c r="BG133" i="138" s="1"/>
  <c r="AQ136" i="138"/>
  <c r="BG136" i="138" s="1"/>
  <c r="AQ126" i="138"/>
  <c r="BG126" i="138" s="1"/>
  <c r="AQ124" i="138"/>
  <c r="BG124" i="138" s="1"/>
  <c r="AQ142" i="138"/>
  <c r="BG142" i="138" s="1"/>
  <c r="AQ128" i="138"/>
  <c r="BG128" i="138" s="1"/>
  <c r="AQ137" i="138"/>
  <c r="BG137" i="138" s="1"/>
  <c r="AQ120" i="138"/>
  <c r="BG120" i="138" s="1"/>
  <c r="AQ121" i="138"/>
  <c r="BG121" i="138" s="1"/>
  <c r="AB115" i="138"/>
  <c r="AQ115" i="138" s="1"/>
  <c r="AQ119" i="138"/>
  <c r="BG119" i="138" s="1"/>
  <c r="AQ130" i="138"/>
  <c r="BG130" i="138" s="1"/>
  <c r="AQ116" i="138"/>
  <c r="BG116" i="138" s="1"/>
  <c r="CM10" i="138"/>
  <c r="CU10" i="138" s="1" a="1"/>
  <c r="CU10" i="138" s="1"/>
  <c r="BF115" i="138"/>
  <c r="BF112" i="138" s="1"/>
  <c r="CM15" i="138"/>
  <c r="CU15" i="138" s="1" a="1"/>
  <c r="CU15" i="138" s="1"/>
  <c r="U12" i="21"/>
  <c r="V12" i="21" s="1"/>
  <c r="W12" i="21" s="1"/>
  <c r="AQ174" i="138"/>
  <c r="BG174" i="138" s="1"/>
  <c r="AQ185" i="138"/>
  <c r="BG185" i="138" s="1"/>
  <c r="AQ163" i="138"/>
  <c r="BG163" i="138" s="1"/>
  <c r="AQ177" i="138"/>
  <c r="BG177" i="138" s="1"/>
  <c r="AQ186" i="138"/>
  <c r="BG186" i="138" s="1"/>
  <c r="AQ165" i="138"/>
  <c r="BG165" i="138" s="1"/>
  <c r="AQ170" i="138"/>
  <c r="BG170" i="138" s="1"/>
  <c r="AQ188" i="138"/>
  <c r="BG188" i="138" s="1"/>
  <c r="AQ169" i="138"/>
  <c r="BG169" i="138" s="1"/>
  <c r="AQ180" i="138"/>
  <c r="BG180" i="138" s="1"/>
  <c r="AQ181" i="138"/>
  <c r="BG181" i="138" s="1"/>
  <c r="AQ173" i="138"/>
  <c r="BG173" i="138" s="1"/>
  <c r="AQ184" i="138"/>
  <c r="BG184" i="138" s="1"/>
  <c r="AQ162" i="138"/>
  <c r="BG162" i="138" s="1"/>
  <c r="AQ178" i="138"/>
  <c r="BG178" i="138" s="1"/>
  <c r="AQ161" i="138"/>
  <c r="BG161" i="138" s="1"/>
  <c r="AQ168" i="138"/>
  <c r="BG168" i="138" s="1"/>
  <c r="AQ189" i="138"/>
  <c r="BG189" i="138" s="1"/>
  <c r="AQ176" i="138"/>
  <c r="BG176" i="138" s="1"/>
  <c r="AB160" i="138"/>
  <c r="AQ160" i="138" s="1"/>
  <c r="AQ167" i="138"/>
  <c r="BG167" i="138" s="1"/>
  <c r="AQ183" i="138"/>
  <c r="BG183" i="138" s="1"/>
  <c r="AQ172" i="138"/>
  <c r="BG172" i="138" s="1"/>
  <c r="AQ175" i="138"/>
  <c r="BG175" i="138" s="1"/>
  <c r="AQ187" i="138"/>
  <c r="BG187" i="138" s="1"/>
  <c r="AQ166" i="138"/>
  <c r="BG166" i="138" s="1"/>
  <c r="AQ171" i="138"/>
  <c r="BG171" i="138" s="1"/>
  <c r="AQ164" i="138"/>
  <c r="BG164" i="138" s="1"/>
  <c r="AQ179" i="138"/>
  <c r="BG179" i="138" s="1"/>
  <c r="AQ182" i="138"/>
  <c r="BG182" i="138" s="1"/>
  <c r="AP174" i="138"/>
  <c r="BF174" i="138" s="1"/>
  <c r="AP161" i="138"/>
  <c r="BF161" i="138" s="1"/>
  <c r="AP181" i="138"/>
  <c r="BF181" i="138" s="1"/>
  <c r="AP170" i="138"/>
  <c r="BF170" i="138" s="1"/>
  <c r="AP172" i="138"/>
  <c r="BF172" i="138" s="1"/>
  <c r="AP188" i="138"/>
  <c r="BF188" i="138" s="1"/>
  <c r="AP177" i="138"/>
  <c r="BF177" i="138" s="1"/>
  <c r="AP164" i="138"/>
  <c r="BF164" i="138" s="1"/>
  <c r="AP186" i="138"/>
  <c r="BF186" i="138" s="1"/>
  <c r="AP187" i="138"/>
  <c r="BF187" i="138" s="1"/>
  <c r="AP183" i="138"/>
  <c r="BF183" i="138" s="1"/>
  <c r="AP189" i="138"/>
  <c r="BF189" i="138" s="1"/>
  <c r="AP163" i="138"/>
  <c r="BF163" i="138" s="1"/>
  <c r="AP185" i="138"/>
  <c r="BF185" i="138" s="1"/>
  <c r="AP167" i="138"/>
  <c r="BF167" i="138" s="1"/>
  <c r="AP176" i="138"/>
  <c r="BF176" i="138" s="1"/>
  <c r="AP178" i="138"/>
  <c r="BF178" i="138" s="1"/>
  <c r="AP165" i="138"/>
  <c r="BF165" i="138" s="1"/>
  <c r="AP180" i="138"/>
  <c r="BF180" i="138" s="1"/>
  <c r="AP175" i="138"/>
  <c r="BF175" i="138" s="1"/>
  <c r="AP182" i="138"/>
  <c r="BF182" i="138" s="1"/>
  <c r="AP179" i="138"/>
  <c r="BF179" i="138" s="1"/>
  <c r="AP184" i="138"/>
  <c r="BF184" i="138" s="1"/>
  <c r="AP169" i="138"/>
  <c r="BF169" i="138" s="1"/>
  <c r="AP171" i="138"/>
  <c r="BF171" i="138" s="1"/>
  <c r="AP162" i="138"/>
  <c r="BF162" i="138" s="1"/>
  <c r="AP168" i="138"/>
  <c r="BF168" i="138" s="1"/>
  <c r="AP173" i="138"/>
  <c r="BF173" i="138" s="1"/>
  <c r="AA160" i="138"/>
  <c r="AP160" i="138" s="1"/>
  <c r="AP166" i="138"/>
  <c r="BF166" i="138" s="1"/>
  <c r="CB13" i="138"/>
  <c r="CD13" i="138"/>
  <c r="CB15" i="138"/>
  <c r="CD15" i="138"/>
  <c r="CB19" i="138"/>
  <c r="CD19" i="138"/>
  <c r="AB26" i="140"/>
  <c r="CD14" i="138"/>
  <c r="CB14" i="138"/>
  <c r="CB17" i="138"/>
  <c r="CD17" i="138"/>
  <c r="H8" i="121"/>
  <c r="E8" i="121" s="1"/>
  <c r="J8" i="121" s="1"/>
  <c r="P10" i="131"/>
  <c r="AC205" i="138" s="1" a="1"/>
  <c r="H26" i="35"/>
  <c r="I26" i="35" s="1"/>
  <c r="I22" i="35" s="1"/>
  <c r="J22" i="35" s="1"/>
  <c r="J16" i="133"/>
  <c r="O35" i="69"/>
  <c r="J36" i="21" s="1"/>
  <c r="K36" i="21" s="1"/>
  <c r="L36" i="21" s="1"/>
  <c r="U28" i="21"/>
  <c r="V28" i="21" s="1"/>
  <c r="V24" i="21" s="1"/>
  <c r="W24" i="21" s="1"/>
  <c r="I12" i="35"/>
  <c r="J28" i="21"/>
  <c r="K28" i="21" s="1"/>
  <c r="K24" i="21" s="1"/>
  <c r="L24" i="21" s="1"/>
  <c r="AQ28" i="21"/>
  <c r="AR28" i="21" s="1"/>
  <c r="AR24" i="21" s="1"/>
  <c r="P8" i="129"/>
  <c r="P8" i="69"/>
  <c r="BB18" i="21"/>
  <c r="BC18" i="21" s="1"/>
  <c r="P14" i="131"/>
  <c r="BB16" i="21" s="1"/>
  <c r="BC16" i="21" s="1"/>
  <c r="AQ18" i="21"/>
  <c r="AR18" i="21" s="1"/>
  <c r="P14" i="129"/>
  <c r="AN24" i="21"/>
  <c r="S26" i="129"/>
  <c r="L20" i="21"/>
  <c r="S27" i="69"/>
  <c r="T35" i="69"/>
  <c r="S35" i="69"/>
  <c r="S8" i="129"/>
  <c r="R8" i="129"/>
  <c r="W10" i="21"/>
  <c r="H30" i="133"/>
  <c r="Q14" i="69"/>
  <c r="AQ17" i="21"/>
  <c r="AR17" i="21" s="1"/>
  <c r="Q26" i="131"/>
  <c r="Q34" i="128"/>
  <c r="Q34" i="129"/>
  <c r="R26" i="128"/>
  <c r="J44" i="21"/>
  <c r="R34" i="127"/>
  <c r="R34" i="131"/>
  <c r="AC10" i="21"/>
  <c r="AH10" i="21" s="1"/>
  <c r="AF18" i="21"/>
  <c r="AG18" i="21" s="1"/>
  <c r="Q11" i="127"/>
  <c r="U13" i="21" s="1"/>
  <c r="V13" i="21" s="1"/>
  <c r="W13" i="21" s="1"/>
  <c r="R11" i="127"/>
  <c r="R11" i="129"/>
  <c r="Q10" i="129"/>
  <c r="R10" i="129"/>
  <c r="Q12" i="127"/>
  <c r="U14" i="21" s="1"/>
  <c r="V14" i="21" s="1"/>
  <c r="W14" i="21" s="1"/>
  <c r="R12" i="127"/>
  <c r="Q12" i="131"/>
  <c r="BB14" i="21" s="1"/>
  <c r="BC14" i="21" s="1"/>
  <c r="BD14" i="21" s="1"/>
  <c r="R12" i="131"/>
  <c r="U17" i="21"/>
  <c r="V17" i="21" s="1"/>
  <c r="Q12" i="69"/>
  <c r="K14" i="21" s="1"/>
  <c r="L14" i="21" s="1"/>
  <c r="R12" i="69"/>
  <c r="Q11" i="131"/>
  <c r="BB13" i="21" s="1"/>
  <c r="BC13" i="21" s="1"/>
  <c r="BD13" i="21" s="1"/>
  <c r="R11" i="131"/>
  <c r="Q12" i="129"/>
  <c r="H11" i="133"/>
  <c r="P11" i="128"/>
  <c r="P10" i="128"/>
  <c r="AC115" i="138" s="1" a="1"/>
  <c r="P11" i="69"/>
  <c r="J13" i="21" s="1"/>
  <c r="P12" i="128"/>
  <c r="P14" i="127"/>
  <c r="AC160" i="138" s="1" a="1"/>
  <c r="P10" i="129"/>
  <c r="AN47" i="21"/>
  <c r="P45" i="127"/>
  <c r="J10" i="121"/>
  <c r="CM17" i="138" l="1"/>
  <c r="CU17" i="138" s="1" a="1"/>
  <c r="CU17" i="138" s="1"/>
  <c r="AB67" i="138" a="1"/>
  <c r="BF64" i="138"/>
  <c r="CN17" i="138"/>
  <c r="J10" i="21"/>
  <c r="K10" i="21" s="1"/>
  <c r="AC67" i="138" a="1"/>
  <c r="CN15" i="138"/>
  <c r="CX9" i="138"/>
  <c r="CV9" i="138"/>
  <c r="CN18" i="138"/>
  <c r="CN16" i="138"/>
  <c r="BG205" i="138"/>
  <c r="BG202" i="138" s="1"/>
  <c r="CN11" i="138"/>
  <c r="AR207" i="138"/>
  <c r="BH207" i="138" s="1"/>
  <c r="AR217" i="138"/>
  <c r="BH217" i="138" s="1"/>
  <c r="AR226" i="138"/>
  <c r="BH226" i="138" s="1"/>
  <c r="AR215" i="138"/>
  <c r="BH215" i="138" s="1"/>
  <c r="CO16" i="138"/>
  <c r="AR214" i="138"/>
  <c r="BH214" i="138" s="1"/>
  <c r="AR232" i="138"/>
  <c r="BH232" i="138" s="1"/>
  <c r="AR230" i="138"/>
  <c r="BH230" i="138" s="1"/>
  <c r="AR225" i="138"/>
  <c r="BH225" i="138" s="1"/>
  <c r="AR219" i="138"/>
  <c r="BH219" i="138" s="1"/>
  <c r="AR213" i="138"/>
  <c r="BH213" i="138" s="1"/>
  <c r="AR216" i="138"/>
  <c r="BH216" i="138" s="1"/>
  <c r="AC205" i="138"/>
  <c r="AR205" i="138" s="1"/>
  <c r="AR229" i="138"/>
  <c r="BH229" i="138" s="1"/>
  <c r="AR224" i="138"/>
  <c r="BH224" i="138" s="1"/>
  <c r="AR222" i="138"/>
  <c r="BH222" i="138" s="1"/>
  <c r="AR227" i="138"/>
  <c r="BH227" i="138" s="1"/>
  <c r="AR211" i="138"/>
  <c r="BH211" i="138" s="1"/>
  <c r="AR218" i="138"/>
  <c r="BH218" i="138" s="1"/>
  <c r="AR234" i="138"/>
  <c r="BH234" i="138" s="1"/>
  <c r="AR208" i="138"/>
  <c r="BH208" i="138" s="1"/>
  <c r="AR223" i="138"/>
  <c r="BH223" i="138" s="1"/>
  <c r="AR231" i="138"/>
  <c r="BH231" i="138" s="1"/>
  <c r="AR228" i="138"/>
  <c r="BH228" i="138" s="1"/>
  <c r="AR221" i="138"/>
  <c r="BH221" i="138" s="1"/>
  <c r="AR233" i="138"/>
  <c r="BH233" i="138" s="1"/>
  <c r="AR206" i="138"/>
  <c r="BH206" i="138" s="1"/>
  <c r="AR209" i="138"/>
  <c r="BH209" i="138" s="1"/>
  <c r="AR220" i="138"/>
  <c r="BH220" i="138" s="1"/>
  <c r="AR212" i="138"/>
  <c r="BH212" i="138" s="1"/>
  <c r="AR210" i="138"/>
  <c r="BH210" i="138" s="1"/>
  <c r="CX11" i="138"/>
  <c r="CV11" i="138"/>
  <c r="CV13" i="138"/>
  <c r="CX13" i="138"/>
  <c r="BG250" i="138"/>
  <c r="BG247" i="138" s="1"/>
  <c r="CN13" i="138"/>
  <c r="AQ10" i="21"/>
  <c r="AR10" i="21" s="1"/>
  <c r="AC250" i="138" a="1"/>
  <c r="BG115" i="138"/>
  <c r="BG112" i="138" s="1"/>
  <c r="CN10" i="138"/>
  <c r="CX10" i="138"/>
  <c r="CV10" i="138"/>
  <c r="CW10" i="138" s="1"/>
  <c r="CY10" i="138" s="1"/>
  <c r="AR140" i="138"/>
  <c r="BH140" i="138" s="1"/>
  <c r="AR142" i="138"/>
  <c r="BH142" i="138" s="1"/>
  <c r="AR132" i="138"/>
  <c r="BH132" i="138" s="1"/>
  <c r="CO15" i="138"/>
  <c r="AR144" i="138"/>
  <c r="BH144" i="138" s="1"/>
  <c r="AR141" i="138"/>
  <c r="BH141" i="138" s="1"/>
  <c r="AR135" i="138"/>
  <c r="BH135" i="138" s="1"/>
  <c r="AR139" i="138"/>
  <c r="BH139" i="138" s="1"/>
  <c r="AR136" i="138"/>
  <c r="BH136" i="138" s="1"/>
  <c r="AR130" i="138"/>
  <c r="BH130" i="138" s="1"/>
  <c r="AR134" i="138"/>
  <c r="BH134" i="138" s="1"/>
  <c r="AR137" i="138"/>
  <c r="BH137" i="138" s="1"/>
  <c r="AC115" i="138"/>
  <c r="AR115" i="138" s="1"/>
  <c r="AR120" i="138"/>
  <c r="BH120" i="138" s="1"/>
  <c r="AR117" i="138"/>
  <c r="BH117" i="138" s="1"/>
  <c r="AR116" i="138"/>
  <c r="BH116" i="138" s="1"/>
  <c r="AR133" i="138"/>
  <c r="BH133" i="138" s="1"/>
  <c r="AR138" i="138"/>
  <c r="BH138" i="138" s="1"/>
  <c r="AR126" i="138"/>
  <c r="BH126" i="138" s="1"/>
  <c r="AR118" i="138"/>
  <c r="BH118" i="138" s="1"/>
  <c r="AR131" i="138"/>
  <c r="BH131" i="138" s="1"/>
  <c r="AR121" i="138"/>
  <c r="BH121" i="138" s="1"/>
  <c r="AR123" i="138"/>
  <c r="BH123" i="138" s="1"/>
  <c r="AR119" i="138"/>
  <c r="BH119" i="138" s="1"/>
  <c r="AR122" i="138"/>
  <c r="BH122" i="138" s="1"/>
  <c r="AR129" i="138"/>
  <c r="BH129" i="138" s="1"/>
  <c r="AR124" i="138"/>
  <c r="BH124" i="138" s="1"/>
  <c r="AR127" i="138"/>
  <c r="BH127" i="138" s="1"/>
  <c r="AR125" i="138"/>
  <c r="BH125" i="138" s="1"/>
  <c r="AR128" i="138"/>
  <c r="BH128" i="138" s="1"/>
  <c r="AR143" i="138"/>
  <c r="BH143" i="138" s="1"/>
  <c r="AR171" i="138"/>
  <c r="BH171" i="138" s="1"/>
  <c r="AR166" i="138"/>
  <c r="BH166" i="138" s="1"/>
  <c r="AR169" i="138"/>
  <c r="BH169" i="138" s="1"/>
  <c r="AR165" i="138"/>
  <c r="BH165" i="138" s="1"/>
  <c r="AR189" i="138"/>
  <c r="BH189" i="138" s="1"/>
  <c r="AR173" i="138"/>
  <c r="BH173" i="138" s="1"/>
  <c r="AR164" i="138"/>
  <c r="BH164" i="138" s="1"/>
  <c r="AR188" i="138"/>
  <c r="BH188" i="138" s="1"/>
  <c r="AR175" i="138"/>
  <c r="BH175" i="138" s="1"/>
  <c r="AR182" i="138"/>
  <c r="BH182" i="138" s="1"/>
  <c r="AR187" i="138"/>
  <c r="BH187" i="138" s="1"/>
  <c r="AC160" i="138"/>
  <c r="AR160" i="138" s="1"/>
  <c r="AR180" i="138"/>
  <c r="BH180" i="138" s="1"/>
  <c r="AR179" i="138"/>
  <c r="BH179" i="138" s="1"/>
  <c r="AR172" i="138"/>
  <c r="BH172" i="138" s="1"/>
  <c r="AR177" i="138"/>
  <c r="BH177" i="138" s="1"/>
  <c r="AR161" i="138"/>
  <c r="BH161" i="138" s="1"/>
  <c r="AR183" i="138"/>
  <c r="BH183" i="138" s="1"/>
  <c r="AR168" i="138"/>
  <c r="BH168" i="138" s="1"/>
  <c r="AR184" i="138"/>
  <c r="BH184" i="138" s="1"/>
  <c r="AR163" i="138"/>
  <c r="BH163" i="138" s="1"/>
  <c r="AR185" i="138"/>
  <c r="BH185" i="138" s="1"/>
  <c r="AR167" i="138"/>
  <c r="BH167" i="138" s="1"/>
  <c r="AR176" i="138"/>
  <c r="BH176" i="138" s="1"/>
  <c r="AR181" i="138"/>
  <c r="BH181" i="138" s="1"/>
  <c r="AR170" i="138"/>
  <c r="BH170" i="138" s="1"/>
  <c r="AR174" i="138"/>
  <c r="BH174" i="138" s="1"/>
  <c r="AR162" i="138"/>
  <c r="BH162" i="138" s="1"/>
  <c r="AR178" i="138"/>
  <c r="BH178" i="138" s="1"/>
  <c r="AR186" i="138"/>
  <c r="BH186" i="138" s="1"/>
  <c r="BG160" i="138"/>
  <c r="BG157" i="138" s="1"/>
  <c r="CN12" i="138"/>
  <c r="CM12" i="138"/>
  <c r="CU12" i="138" s="1" a="1"/>
  <c r="CU12" i="138" s="1"/>
  <c r="BF160" i="138"/>
  <c r="BF157" i="138" s="1"/>
  <c r="E7" i="121"/>
  <c r="E43" i="121" s="1"/>
  <c r="J7" i="121"/>
  <c r="J43" i="121" s="1"/>
  <c r="H39" i="35"/>
  <c r="H10" i="133"/>
  <c r="AS24" i="21"/>
  <c r="W11" i="21"/>
  <c r="AY18" i="21"/>
  <c r="AY9" i="21" s="1"/>
  <c r="AQ13" i="21"/>
  <c r="AR13" i="21" s="1"/>
  <c r="AS13" i="21" s="1"/>
  <c r="Q11" i="129"/>
  <c r="AD250" i="138" s="1" a="1"/>
  <c r="V11" i="21"/>
  <c r="H14" i="133"/>
  <c r="I14" i="133" s="1"/>
  <c r="I13" i="133" s="1"/>
  <c r="J13" i="133" s="1"/>
  <c r="K44" i="21"/>
  <c r="K43" i="21" s="1"/>
  <c r="H36" i="35"/>
  <c r="I36" i="35" s="1"/>
  <c r="J36" i="35" s="1"/>
  <c r="T45" i="127"/>
  <c r="R14" i="69"/>
  <c r="AQ16" i="21"/>
  <c r="AR16" i="21" s="1"/>
  <c r="AR15" i="21" s="1"/>
  <c r="AS15" i="21" s="1"/>
  <c r="S45" i="127"/>
  <c r="I30" i="35"/>
  <c r="J41" i="21"/>
  <c r="R45" i="127"/>
  <c r="R34" i="129"/>
  <c r="S34" i="131"/>
  <c r="R34" i="128"/>
  <c r="R26" i="131"/>
  <c r="AC9" i="21"/>
  <c r="G10" i="21"/>
  <c r="Q12" i="128"/>
  <c r="AF14" i="21" s="1"/>
  <c r="AG14" i="21" s="1"/>
  <c r="AH14" i="21" s="1"/>
  <c r="R12" i="128"/>
  <c r="Q10" i="131"/>
  <c r="R10" i="131"/>
  <c r="AE205" i="138" s="1" a="1"/>
  <c r="AQ12" i="21"/>
  <c r="AR12" i="21" s="1"/>
  <c r="AS12" i="21" s="1"/>
  <c r="Q11" i="69"/>
  <c r="AD67" i="138" s="1" a="1"/>
  <c r="R11" i="69"/>
  <c r="AE67" i="138" s="1" a="1"/>
  <c r="K13" i="21"/>
  <c r="R10" i="128"/>
  <c r="AE115" i="138" s="1" a="1"/>
  <c r="Q11" i="128"/>
  <c r="AF13" i="21" s="1"/>
  <c r="AG13" i="21" s="1"/>
  <c r="AH13" i="21" s="1"/>
  <c r="R11" i="128"/>
  <c r="R12" i="129"/>
  <c r="AE250" i="138" s="1" a="1"/>
  <c r="AQ14" i="21"/>
  <c r="AR14" i="21" s="1"/>
  <c r="AS14" i="21" s="1"/>
  <c r="Q10" i="128"/>
  <c r="Q45" i="127"/>
  <c r="CW9" i="138" l="1"/>
  <c r="CY9" i="138" s="1"/>
  <c r="AN10" i="21"/>
  <c r="AS10" i="21" s="1"/>
  <c r="AQ92" i="138"/>
  <c r="BG92" i="138" s="1"/>
  <c r="AQ89" i="138"/>
  <c r="BG89" i="138" s="1"/>
  <c r="AQ72" i="138"/>
  <c r="BG72" i="138" s="1"/>
  <c r="AQ87" i="138"/>
  <c r="BG87" i="138" s="1"/>
  <c r="AQ95" i="138"/>
  <c r="BG95" i="138" s="1"/>
  <c r="AQ80" i="138"/>
  <c r="BG80" i="138" s="1"/>
  <c r="AQ79" i="138"/>
  <c r="BG79" i="138" s="1"/>
  <c r="AQ75" i="138"/>
  <c r="BG75" i="138" s="1"/>
  <c r="AQ85" i="138"/>
  <c r="BG85" i="138" s="1"/>
  <c r="AQ77" i="138"/>
  <c r="BG77" i="138" s="1"/>
  <c r="AQ71" i="138"/>
  <c r="BG71" i="138" s="1"/>
  <c r="AQ81" i="138"/>
  <c r="BG81" i="138" s="1"/>
  <c r="AQ86" i="138"/>
  <c r="BG86" i="138" s="1"/>
  <c r="AQ93" i="138"/>
  <c r="BG93" i="138" s="1"/>
  <c r="AQ69" i="138"/>
  <c r="BG69" i="138" s="1"/>
  <c r="AQ76" i="138"/>
  <c r="BG76" i="138" s="1"/>
  <c r="AQ96" i="138"/>
  <c r="BG96" i="138" s="1"/>
  <c r="AQ70" i="138"/>
  <c r="BG70" i="138" s="1"/>
  <c r="AQ91" i="138"/>
  <c r="BG91" i="138" s="1"/>
  <c r="AQ74" i="138"/>
  <c r="BG74" i="138" s="1"/>
  <c r="AB67" i="138"/>
  <c r="AQ67" i="138" s="1"/>
  <c r="AQ90" i="138"/>
  <c r="BG90" i="138" s="1"/>
  <c r="AQ73" i="138"/>
  <c r="BG73" i="138" s="1"/>
  <c r="AQ78" i="138"/>
  <c r="BG78" i="138" s="1"/>
  <c r="AQ82" i="138"/>
  <c r="BG82" i="138" s="1"/>
  <c r="AQ84" i="138"/>
  <c r="BG84" i="138" s="1"/>
  <c r="AQ68" i="138"/>
  <c r="BG68" i="138" s="1"/>
  <c r="AQ83" i="138"/>
  <c r="BG83" i="138" s="1"/>
  <c r="AQ88" i="138"/>
  <c r="BG88" i="138" s="1"/>
  <c r="AQ94" i="138"/>
  <c r="BG94" i="138" s="1"/>
  <c r="CW13" i="138"/>
  <c r="CY13" i="138" s="1"/>
  <c r="AE67" i="138"/>
  <c r="AT67" i="138" s="1"/>
  <c r="AT86" i="138"/>
  <c r="BJ86" i="138" s="1"/>
  <c r="AT74" i="138"/>
  <c r="BJ74" i="138" s="1"/>
  <c r="AT90" i="138"/>
  <c r="BJ90" i="138" s="1"/>
  <c r="AT77" i="138"/>
  <c r="BJ77" i="138" s="1"/>
  <c r="AT95" i="138"/>
  <c r="BJ95" i="138" s="1"/>
  <c r="AT79" i="138"/>
  <c r="BJ79" i="138" s="1"/>
  <c r="AT88" i="138"/>
  <c r="BJ88" i="138" s="1"/>
  <c r="AT87" i="138"/>
  <c r="BJ87" i="138" s="1"/>
  <c r="AT78" i="138"/>
  <c r="BJ78" i="138" s="1"/>
  <c r="AT72" i="138"/>
  <c r="BJ72" i="138" s="1"/>
  <c r="AT94" i="138"/>
  <c r="BJ94" i="138" s="1"/>
  <c r="AT81" i="138"/>
  <c r="BJ81" i="138" s="1"/>
  <c r="AT80" i="138"/>
  <c r="BJ80" i="138" s="1"/>
  <c r="AT92" i="138"/>
  <c r="BJ92" i="138" s="1"/>
  <c r="AT69" i="138"/>
  <c r="BJ69" i="138" s="1"/>
  <c r="AT93" i="138"/>
  <c r="BJ93" i="138" s="1"/>
  <c r="AT70" i="138"/>
  <c r="BJ70" i="138" s="1"/>
  <c r="AT89" i="138"/>
  <c r="BJ89" i="138" s="1"/>
  <c r="AT84" i="138"/>
  <c r="BJ84" i="138" s="1"/>
  <c r="AT68" i="138"/>
  <c r="BJ68" i="138" s="1"/>
  <c r="AT71" i="138"/>
  <c r="BJ71" i="138" s="1"/>
  <c r="AT83" i="138"/>
  <c r="BJ83" i="138" s="1"/>
  <c r="AT82" i="138"/>
  <c r="BJ82" i="138" s="1"/>
  <c r="AT96" i="138"/>
  <c r="BJ96" i="138" s="1"/>
  <c r="AT75" i="138"/>
  <c r="BJ75" i="138" s="1"/>
  <c r="AT85" i="138"/>
  <c r="BJ85" i="138" s="1"/>
  <c r="AT76" i="138"/>
  <c r="BJ76" i="138" s="1"/>
  <c r="AT73" i="138"/>
  <c r="BJ73" i="138" s="1"/>
  <c r="AT91" i="138"/>
  <c r="BJ91" i="138" s="1"/>
  <c r="AR82" i="138"/>
  <c r="BH82" i="138" s="1"/>
  <c r="AR69" i="138"/>
  <c r="BH69" i="138" s="1"/>
  <c r="AR73" i="138"/>
  <c r="BH73" i="138" s="1"/>
  <c r="AR93" i="138"/>
  <c r="BH93" i="138" s="1"/>
  <c r="AR74" i="138"/>
  <c r="BH74" i="138" s="1"/>
  <c r="AR84" i="138"/>
  <c r="BH84" i="138" s="1"/>
  <c r="AR78" i="138"/>
  <c r="BH78" i="138" s="1"/>
  <c r="AC67" i="138"/>
  <c r="AR67" i="138" s="1"/>
  <c r="AR89" i="138"/>
  <c r="BH89" i="138" s="1"/>
  <c r="AR85" i="138"/>
  <c r="BH85" i="138" s="1"/>
  <c r="AR72" i="138"/>
  <c r="BH72" i="138" s="1"/>
  <c r="AR77" i="138"/>
  <c r="BH77" i="138" s="1"/>
  <c r="AR96" i="138"/>
  <c r="BH96" i="138" s="1"/>
  <c r="AR81" i="138"/>
  <c r="BH81" i="138" s="1"/>
  <c r="AR83" i="138"/>
  <c r="BH83" i="138" s="1"/>
  <c r="AR91" i="138"/>
  <c r="BH91" i="138" s="1"/>
  <c r="AR79" i="138"/>
  <c r="BH79" i="138" s="1"/>
  <c r="AR86" i="138"/>
  <c r="BH86" i="138" s="1"/>
  <c r="AR68" i="138"/>
  <c r="BH68" i="138" s="1"/>
  <c r="AR92" i="138"/>
  <c r="BH92" i="138" s="1"/>
  <c r="AR88" i="138"/>
  <c r="BH88" i="138" s="1"/>
  <c r="AR94" i="138"/>
  <c r="BH94" i="138" s="1"/>
  <c r="AR95" i="138"/>
  <c r="BH95" i="138" s="1"/>
  <c r="AR80" i="138"/>
  <c r="BH80" i="138" s="1"/>
  <c r="AR71" i="138"/>
  <c r="BH71" i="138" s="1"/>
  <c r="AR90" i="138"/>
  <c r="BH90" i="138" s="1"/>
  <c r="AR75" i="138"/>
  <c r="BH75" i="138" s="1"/>
  <c r="AR76" i="138"/>
  <c r="BH76" i="138" s="1"/>
  <c r="AR70" i="138"/>
  <c r="BH70" i="138" s="1"/>
  <c r="AR87" i="138"/>
  <c r="BH87" i="138" s="1"/>
  <c r="AS73" i="138"/>
  <c r="BI73" i="138" s="1"/>
  <c r="AS76" i="138"/>
  <c r="BI76" i="138" s="1"/>
  <c r="AS83" i="138"/>
  <c r="BI83" i="138" s="1"/>
  <c r="AD67" i="138"/>
  <c r="AS67" i="138" s="1"/>
  <c r="AS93" i="138"/>
  <c r="BI93" i="138" s="1"/>
  <c r="AS94" i="138"/>
  <c r="BI94" i="138" s="1"/>
  <c r="AS81" i="138"/>
  <c r="BI81" i="138" s="1"/>
  <c r="AS77" i="138"/>
  <c r="BI77" i="138" s="1"/>
  <c r="AS68" i="138"/>
  <c r="BI68" i="138" s="1"/>
  <c r="AS96" i="138"/>
  <c r="BI96" i="138" s="1"/>
  <c r="AS86" i="138"/>
  <c r="BI86" i="138" s="1"/>
  <c r="AS78" i="138"/>
  <c r="BI78" i="138" s="1"/>
  <c r="AS74" i="138"/>
  <c r="BI74" i="138" s="1"/>
  <c r="AS85" i="138"/>
  <c r="BI85" i="138" s="1"/>
  <c r="AS71" i="138"/>
  <c r="BI71" i="138" s="1"/>
  <c r="AS88" i="138"/>
  <c r="BI88" i="138" s="1"/>
  <c r="AS95" i="138"/>
  <c r="BI95" i="138" s="1"/>
  <c r="AS70" i="138"/>
  <c r="BI70" i="138" s="1"/>
  <c r="AS90" i="138"/>
  <c r="BI90" i="138" s="1"/>
  <c r="AS84" i="138"/>
  <c r="BI84" i="138" s="1"/>
  <c r="AS91" i="138"/>
  <c r="BI91" i="138" s="1"/>
  <c r="AS92" i="138"/>
  <c r="BI92" i="138" s="1"/>
  <c r="AS75" i="138"/>
  <c r="BI75" i="138" s="1"/>
  <c r="AS87" i="138"/>
  <c r="BI87" i="138" s="1"/>
  <c r="AS72" i="138"/>
  <c r="BI72" i="138" s="1"/>
  <c r="AS82" i="138"/>
  <c r="BI82" i="138" s="1"/>
  <c r="AS79" i="138"/>
  <c r="BI79" i="138" s="1"/>
  <c r="AS89" i="138"/>
  <c r="BI89" i="138" s="1"/>
  <c r="AS80" i="138"/>
  <c r="BI80" i="138" s="1"/>
  <c r="AS69" i="138"/>
  <c r="BI69" i="138" s="1"/>
  <c r="CP14" i="138"/>
  <c r="AT227" i="138"/>
  <c r="BJ227" i="138" s="1"/>
  <c r="AT208" i="138"/>
  <c r="BJ208" i="138" s="1"/>
  <c r="AT232" i="138"/>
  <c r="BJ232" i="138" s="1"/>
  <c r="AT215" i="138"/>
  <c r="BJ215" i="138" s="1"/>
  <c r="AT218" i="138"/>
  <c r="BJ218" i="138" s="1"/>
  <c r="AT224" i="138"/>
  <c r="BJ224" i="138" s="1"/>
  <c r="AE205" i="138"/>
  <c r="AT205" i="138" s="1"/>
  <c r="AT222" i="138"/>
  <c r="BJ222" i="138" s="1"/>
  <c r="AT210" i="138"/>
  <c r="BJ210" i="138" s="1"/>
  <c r="AT206" i="138"/>
  <c r="BJ206" i="138" s="1"/>
  <c r="AT231" i="138"/>
  <c r="BJ231" i="138" s="1"/>
  <c r="AT229" i="138"/>
  <c r="BJ229" i="138" s="1"/>
  <c r="AT209" i="138"/>
  <c r="BJ209" i="138" s="1"/>
  <c r="AT233" i="138"/>
  <c r="BJ233" i="138" s="1"/>
  <c r="AT213" i="138"/>
  <c r="BJ213" i="138" s="1"/>
  <c r="AT219" i="138"/>
  <c r="BJ219" i="138" s="1"/>
  <c r="AT212" i="138"/>
  <c r="BJ212" i="138" s="1"/>
  <c r="AT220" i="138"/>
  <c r="BJ220" i="138" s="1"/>
  <c r="AT228" i="138"/>
  <c r="BJ228" i="138" s="1"/>
  <c r="AT207" i="138"/>
  <c r="BJ207" i="138" s="1"/>
  <c r="AT234" i="138"/>
  <c r="BJ234" i="138" s="1"/>
  <c r="AT230" i="138"/>
  <c r="BJ230" i="138" s="1"/>
  <c r="AT225" i="138"/>
  <c r="BJ225" i="138" s="1"/>
  <c r="AT214" i="138"/>
  <c r="BJ214" i="138" s="1"/>
  <c r="AT217" i="138"/>
  <c r="BJ217" i="138" s="1"/>
  <c r="AT221" i="138"/>
  <c r="BJ221" i="138" s="1"/>
  <c r="AT216" i="138"/>
  <c r="BJ216" i="138" s="1"/>
  <c r="AT211" i="138"/>
  <c r="BJ211" i="138" s="1"/>
  <c r="AT226" i="138"/>
  <c r="BJ226" i="138" s="1"/>
  <c r="AT223" i="138"/>
  <c r="BJ223" i="138" s="1"/>
  <c r="BB12" i="21"/>
  <c r="BC12" i="21" s="1"/>
  <c r="BD12" i="21" s="1"/>
  <c r="BD11" i="21" s="1"/>
  <c r="AD205" i="138" a="1"/>
  <c r="CW11" i="138"/>
  <c r="CY11" i="138" s="1"/>
  <c r="BH205" i="138"/>
  <c r="BH202" i="138" s="1"/>
  <c r="CO11" i="138"/>
  <c r="AT253" i="138"/>
  <c r="BJ253" i="138" s="1"/>
  <c r="AT257" i="138"/>
  <c r="BJ257" i="138" s="1"/>
  <c r="AT251" i="138"/>
  <c r="BJ251" i="138" s="1"/>
  <c r="AT268" i="138"/>
  <c r="BJ268" i="138" s="1"/>
  <c r="AE250" i="138"/>
  <c r="AT250" i="138" s="1"/>
  <c r="AT277" i="138"/>
  <c r="BJ277" i="138" s="1"/>
  <c r="AT265" i="138"/>
  <c r="BJ265" i="138" s="1"/>
  <c r="AT260" i="138"/>
  <c r="BJ260" i="138" s="1"/>
  <c r="AT262" i="138"/>
  <c r="BJ262" i="138" s="1"/>
  <c r="AT261" i="138"/>
  <c r="BJ261" i="138" s="1"/>
  <c r="AT279" i="138"/>
  <c r="BJ279" i="138" s="1"/>
  <c r="AT273" i="138"/>
  <c r="BJ273" i="138" s="1"/>
  <c r="AT275" i="138"/>
  <c r="BJ275" i="138" s="1"/>
  <c r="AT252" i="138"/>
  <c r="BJ252" i="138" s="1"/>
  <c r="AT255" i="138"/>
  <c r="BJ255" i="138" s="1"/>
  <c r="AT267" i="138"/>
  <c r="BJ267" i="138" s="1"/>
  <c r="AT263" i="138"/>
  <c r="BJ263" i="138" s="1"/>
  <c r="AT264" i="138"/>
  <c r="BJ264" i="138" s="1"/>
  <c r="AT256" i="138"/>
  <c r="BJ256" i="138" s="1"/>
  <c r="AT272" i="138"/>
  <c r="BJ272" i="138" s="1"/>
  <c r="AT254" i="138"/>
  <c r="BJ254" i="138" s="1"/>
  <c r="AT276" i="138"/>
  <c r="BJ276" i="138" s="1"/>
  <c r="AT274" i="138"/>
  <c r="BJ274" i="138" s="1"/>
  <c r="AT270" i="138"/>
  <c r="BJ270" i="138" s="1"/>
  <c r="AT269" i="138"/>
  <c r="BJ269" i="138" s="1"/>
  <c r="AT266" i="138"/>
  <c r="BJ266" i="138" s="1"/>
  <c r="AT258" i="138"/>
  <c r="BJ258" i="138" s="1"/>
  <c r="AT259" i="138"/>
  <c r="BJ259" i="138" s="1"/>
  <c r="AT271" i="138"/>
  <c r="BJ271" i="138" s="1"/>
  <c r="AT278" i="138"/>
  <c r="BJ278" i="138" s="1"/>
  <c r="AR265" i="138"/>
  <c r="BH265" i="138" s="1"/>
  <c r="AR271" i="138"/>
  <c r="BH271" i="138" s="1"/>
  <c r="AR269" i="138"/>
  <c r="BH269" i="138" s="1"/>
  <c r="AR264" i="138"/>
  <c r="BH264" i="138" s="1"/>
  <c r="AR255" i="138"/>
  <c r="BH255" i="138" s="1"/>
  <c r="AR254" i="138"/>
  <c r="BH254" i="138" s="1"/>
  <c r="AR257" i="138"/>
  <c r="BH257" i="138" s="1"/>
  <c r="AR262" i="138"/>
  <c r="BH262" i="138" s="1"/>
  <c r="AR256" i="138"/>
  <c r="BH256" i="138" s="1"/>
  <c r="AR270" i="138"/>
  <c r="BH270" i="138" s="1"/>
  <c r="AR259" i="138"/>
  <c r="BH259" i="138" s="1"/>
  <c r="AR251" i="138"/>
  <c r="BH251" i="138" s="1"/>
  <c r="AR272" i="138"/>
  <c r="BH272" i="138" s="1"/>
  <c r="AR253" i="138"/>
  <c r="BH253" i="138" s="1"/>
  <c r="AR266" i="138"/>
  <c r="BH266" i="138" s="1"/>
  <c r="AR277" i="138"/>
  <c r="BH277" i="138" s="1"/>
  <c r="AR273" i="138"/>
  <c r="BH273" i="138" s="1"/>
  <c r="AR275" i="138"/>
  <c r="BH275" i="138" s="1"/>
  <c r="AR260" i="138"/>
  <c r="BH260" i="138" s="1"/>
  <c r="AR278" i="138"/>
  <c r="BH278" i="138" s="1"/>
  <c r="AR267" i="138"/>
  <c r="BH267" i="138" s="1"/>
  <c r="AR276" i="138"/>
  <c r="BH276" i="138" s="1"/>
  <c r="AR263" i="138"/>
  <c r="BH263" i="138" s="1"/>
  <c r="AR258" i="138"/>
  <c r="BH258" i="138" s="1"/>
  <c r="AR261" i="138"/>
  <c r="BH261" i="138" s="1"/>
  <c r="AR279" i="138"/>
  <c r="BH279" i="138" s="1"/>
  <c r="AC250" i="138"/>
  <c r="AR250" i="138" s="1"/>
  <c r="AR268" i="138"/>
  <c r="BH268" i="138" s="1"/>
  <c r="AR274" i="138"/>
  <c r="BH274" i="138" s="1"/>
  <c r="AR252" i="138"/>
  <c r="BH252" i="138" s="1"/>
  <c r="AS266" i="138"/>
  <c r="BI266" i="138" s="1"/>
  <c r="AS259" i="138"/>
  <c r="BI259" i="138" s="1"/>
  <c r="AS252" i="138"/>
  <c r="BI252" i="138" s="1"/>
  <c r="AS276" i="138"/>
  <c r="BI276" i="138" s="1"/>
  <c r="AS268" i="138"/>
  <c r="BI268" i="138" s="1"/>
  <c r="AS251" i="138"/>
  <c r="BI251" i="138" s="1"/>
  <c r="AS273" i="138"/>
  <c r="BI273" i="138" s="1"/>
  <c r="AS257" i="138"/>
  <c r="BI257" i="138" s="1"/>
  <c r="AD250" i="138"/>
  <c r="AS250" i="138" s="1"/>
  <c r="AS272" i="138"/>
  <c r="BI272" i="138" s="1"/>
  <c r="AS269" i="138"/>
  <c r="BI269" i="138" s="1"/>
  <c r="AS274" i="138"/>
  <c r="BI274" i="138" s="1"/>
  <c r="AS260" i="138"/>
  <c r="BI260" i="138" s="1"/>
  <c r="AS255" i="138"/>
  <c r="BI255" i="138" s="1"/>
  <c r="AS265" i="138"/>
  <c r="BI265" i="138" s="1"/>
  <c r="AS267" i="138"/>
  <c r="BI267" i="138" s="1"/>
  <c r="AS278" i="138"/>
  <c r="BI278" i="138" s="1"/>
  <c r="AS270" i="138"/>
  <c r="BI270" i="138" s="1"/>
  <c r="AS264" i="138"/>
  <c r="BI264" i="138" s="1"/>
  <c r="AS271" i="138"/>
  <c r="BI271" i="138" s="1"/>
  <c r="AS263" i="138"/>
  <c r="BI263" i="138" s="1"/>
  <c r="AS277" i="138"/>
  <c r="BI277" i="138" s="1"/>
  <c r="AS253" i="138"/>
  <c r="BI253" i="138" s="1"/>
  <c r="AS254" i="138"/>
  <c r="BI254" i="138" s="1"/>
  <c r="AS275" i="138"/>
  <c r="BI275" i="138" s="1"/>
  <c r="AS261" i="138"/>
  <c r="BI261" i="138" s="1"/>
  <c r="AS279" i="138"/>
  <c r="BI279" i="138" s="1"/>
  <c r="AS262" i="138"/>
  <c r="BI262" i="138" s="1"/>
  <c r="AS256" i="138"/>
  <c r="BI256" i="138" s="1"/>
  <c r="AS258" i="138"/>
  <c r="BI258" i="138" s="1"/>
  <c r="AF12" i="21"/>
  <c r="AG12" i="21" s="1"/>
  <c r="AH12" i="21" s="1"/>
  <c r="AH11" i="21" s="1"/>
  <c r="AD115" i="138" a="1"/>
  <c r="AT122" i="138"/>
  <c r="BJ122" i="138" s="1"/>
  <c r="AT127" i="138"/>
  <c r="BJ127" i="138" s="1"/>
  <c r="AT133" i="138"/>
  <c r="BJ133" i="138" s="1"/>
  <c r="AT142" i="138"/>
  <c r="BJ142" i="138" s="1"/>
  <c r="AT144" i="138"/>
  <c r="BJ144" i="138" s="1"/>
  <c r="AT136" i="138"/>
  <c r="BJ136" i="138" s="1"/>
  <c r="AT128" i="138"/>
  <c r="BJ128" i="138" s="1"/>
  <c r="AT132" i="138"/>
  <c r="BJ132" i="138" s="1"/>
  <c r="AT135" i="138"/>
  <c r="BJ135" i="138" s="1"/>
  <c r="AT120" i="138"/>
  <c r="BJ120" i="138" s="1"/>
  <c r="AT119" i="138"/>
  <c r="BJ119" i="138" s="1"/>
  <c r="AT116" i="138"/>
  <c r="BJ116" i="138" s="1"/>
  <c r="AT131" i="138"/>
  <c r="BJ131" i="138" s="1"/>
  <c r="AT143" i="138"/>
  <c r="BJ143" i="138" s="1"/>
  <c r="AT121" i="138"/>
  <c r="BJ121" i="138" s="1"/>
  <c r="AT134" i="138"/>
  <c r="BJ134" i="138" s="1"/>
  <c r="AT130" i="138"/>
  <c r="BJ130" i="138" s="1"/>
  <c r="AT124" i="138"/>
  <c r="BJ124" i="138" s="1"/>
  <c r="AT138" i="138"/>
  <c r="BJ138" i="138" s="1"/>
  <c r="AT126" i="138"/>
  <c r="BJ126" i="138" s="1"/>
  <c r="AE115" i="138"/>
  <c r="AT115" i="138" s="1"/>
  <c r="AT139" i="138"/>
  <c r="BJ139" i="138" s="1"/>
  <c r="AT118" i="138"/>
  <c r="BJ118" i="138" s="1"/>
  <c r="AT117" i="138"/>
  <c r="BJ117" i="138" s="1"/>
  <c r="AT140" i="138"/>
  <c r="BJ140" i="138" s="1"/>
  <c r="AT137" i="138"/>
  <c r="BJ137" i="138" s="1"/>
  <c r="AT123" i="138"/>
  <c r="BJ123" i="138" s="1"/>
  <c r="AT141" i="138"/>
  <c r="BJ141" i="138" s="1"/>
  <c r="AT129" i="138"/>
  <c r="BJ129" i="138" s="1"/>
  <c r="AT125" i="138"/>
  <c r="BJ125" i="138" s="1"/>
  <c r="BH115" i="138"/>
  <c r="BH112" i="138" s="1"/>
  <c r="CO10" i="138"/>
  <c r="CO17" i="138"/>
  <c r="BH160" i="138"/>
  <c r="BH157" i="138" s="1"/>
  <c r="CO12" i="138"/>
  <c r="CX12" i="138"/>
  <c r="CV12" i="138"/>
  <c r="I39" i="35"/>
  <c r="J39" i="35" s="1"/>
  <c r="J44" i="121"/>
  <c r="H10" i="35"/>
  <c r="AN9" i="21"/>
  <c r="H8" i="133"/>
  <c r="AS11" i="21"/>
  <c r="AS9" i="21" s="1"/>
  <c r="L13" i="21"/>
  <c r="L11" i="21" s="1"/>
  <c r="K11" i="21"/>
  <c r="U18" i="21"/>
  <c r="V18" i="21" s="1"/>
  <c r="Q14" i="127"/>
  <c r="AD160" i="138" s="1" a="1"/>
  <c r="AC24" i="21"/>
  <c r="AH24" i="21" s="1"/>
  <c r="S26" i="128"/>
  <c r="T34" i="127"/>
  <c r="S34" i="127"/>
  <c r="AR11" i="21"/>
  <c r="R9" i="21"/>
  <c r="L43" i="21"/>
  <c r="J18" i="35"/>
  <c r="H16" i="35"/>
  <c r="I16" i="35" s="1"/>
  <c r="R47" i="21"/>
  <c r="J30" i="35"/>
  <c r="K41" i="21"/>
  <c r="K40" i="21" s="1"/>
  <c r="L40" i="21" s="1"/>
  <c r="BB44" i="21"/>
  <c r="BC44" i="21" s="1"/>
  <c r="BC43" i="21" s="1"/>
  <c r="BD43" i="21" s="1"/>
  <c r="T34" i="131"/>
  <c r="AG205" i="138" s="1" a="1"/>
  <c r="R14" i="127"/>
  <c r="AE160" i="138" s="1" a="1"/>
  <c r="T14" i="69"/>
  <c r="AG67" i="138" s="1" a="1"/>
  <c r="S14" i="69"/>
  <c r="AF67" i="138" s="1" a="1"/>
  <c r="AF16" i="21"/>
  <c r="AG16" i="21" s="1"/>
  <c r="AG15" i="21" s="1"/>
  <c r="AH15" i="21" s="1"/>
  <c r="U44" i="21"/>
  <c r="V44" i="21" s="1"/>
  <c r="V43" i="21" s="1"/>
  <c r="W43" i="21" s="1"/>
  <c r="S34" i="129"/>
  <c r="AF250" i="138" s="1" a="1"/>
  <c r="S34" i="128"/>
  <c r="L10" i="21"/>
  <c r="G9" i="21"/>
  <c r="G57" i="21" s="1"/>
  <c r="AQ37" i="21"/>
  <c r="AR37" i="21" s="1"/>
  <c r="CW12" i="138" l="1"/>
  <c r="CY12" i="138" s="1"/>
  <c r="CO14" i="138"/>
  <c r="BG67" i="138"/>
  <c r="BG64" i="138" s="1"/>
  <c r="CN9" i="138"/>
  <c r="CQ15" i="138"/>
  <c r="AF115" i="138" a="1"/>
  <c r="AU135" i="138" s="1"/>
  <c r="BK135" i="138" s="1"/>
  <c r="CQ16" i="138"/>
  <c r="CQ14" i="138"/>
  <c r="CN14" i="138"/>
  <c r="CQ18" i="138"/>
  <c r="BI67" i="138"/>
  <c r="BI64" i="138" s="1"/>
  <c r="CP9" i="138"/>
  <c r="BH67" i="138"/>
  <c r="BH64" i="138" s="1"/>
  <c r="CO9" i="138"/>
  <c r="AU71" i="138"/>
  <c r="BK71" i="138" s="1"/>
  <c r="AU75" i="138"/>
  <c r="BK75" i="138" s="1"/>
  <c r="AU90" i="138"/>
  <c r="BK90" i="138" s="1"/>
  <c r="AU89" i="138"/>
  <c r="BK89" i="138" s="1"/>
  <c r="AU79" i="138"/>
  <c r="BK79" i="138" s="1"/>
  <c r="AU80" i="138"/>
  <c r="BK80" i="138" s="1"/>
  <c r="AU95" i="138"/>
  <c r="BK95" i="138" s="1"/>
  <c r="AU72" i="138"/>
  <c r="BK72" i="138" s="1"/>
  <c r="AU84" i="138"/>
  <c r="BK84" i="138" s="1"/>
  <c r="AU76" i="138"/>
  <c r="BK76" i="138" s="1"/>
  <c r="AU85" i="138"/>
  <c r="BK85" i="138" s="1"/>
  <c r="AU92" i="138"/>
  <c r="BK92" i="138" s="1"/>
  <c r="AU86" i="138"/>
  <c r="BK86" i="138" s="1"/>
  <c r="AU87" i="138"/>
  <c r="BK87" i="138" s="1"/>
  <c r="AU88" i="138"/>
  <c r="BK88" i="138" s="1"/>
  <c r="AU93" i="138"/>
  <c r="BK93" i="138" s="1"/>
  <c r="AU81" i="138"/>
  <c r="BK81" i="138" s="1"/>
  <c r="AU68" i="138"/>
  <c r="BK68" i="138" s="1"/>
  <c r="AU94" i="138"/>
  <c r="BK94" i="138" s="1"/>
  <c r="AU73" i="138"/>
  <c r="BK73" i="138" s="1"/>
  <c r="AU69" i="138"/>
  <c r="BK69" i="138" s="1"/>
  <c r="AU74" i="138"/>
  <c r="BK74" i="138" s="1"/>
  <c r="AU70" i="138"/>
  <c r="BK70" i="138" s="1"/>
  <c r="AU78" i="138"/>
  <c r="BK78" i="138" s="1"/>
  <c r="AU96" i="138"/>
  <c r="BK96" i="138" s="1"/>
  <c r="AU82" i="138"/>
  <c r="BK82" i="138" s="1"/>
  <c r="AF67" i="138"/>
  <c r="AU67" i="138" s="1"/>
  <c r="AU77" i="138"/>
  <c r="BK77" i="138" s="1"/>
  <c r="AU91" i="138"/>
  <c r="BK91" i="138" s="1"/>
  <c r="AU83" i="138"/>
  <c r="BK83" i="138" s="1"/>
  <c r="CR14" i="138"/>
  <c r="BJ67" i="138"/>
  <c r="CQ9" i="138"/>
  <c r="AV84" i="138"/>
  <c r="BL84" i="138" s="1"/>
  <c r="AV96" i="138"/>
  <c r="BL96" i="138" s="1"/>
  <c r="AV95" i="138"/>
  <c r="BL95" i="138" s="1"/>
  <c r="AV93" i="138"/>
  <c r="BL93" i="138" s="1"/>
  <c r="AV82" i="138"/>
  <c r="BL82" i="138" s="1"/>
  <c r="AV89" i="138"/>
  <c r="BL89" i="138" s="1"/>
  <c r="AV68" i="138"/>
  <c r="BL68" i="138" s="1"/>
  <c r="AV92" i="138"/>
  <c r="BL92" i="138" s="1"/>
  <c r="AV94" i="138"/>
  <c r="BL94" i="138" s="1"/>
  <c r="AV72" i="138"/>
  <c r="BL72" i="138" s="1"/>
  <c r="AV85" i="138"/>
  <c r="BL85" i="138" s="1"/>
  <c r="AV81" i="138"/>
  <c r="BL81" i="138" s="1"/>
  <c r="AV76" i="138"/>
  <c r="BL76" i="138" s="1"/>
  <c r="AV86" i="138"/>
  <c r="BL86" i="138" s="1"/>
  <c r="AV79" i="138"/>
  <c r="BL79" i="138" s="1"/>
  <c r="AV83" i="138"/>
  <c r="BL83" i="138" s="1"/>
  <c r="AV74" i="138"/>
  <c r="BL74" i="138" s="1"/>
  <c r="AG67" i="138"/>
  <c r="AV67" i="138" s="1"/>
  <c r="AV75" i="138"/>
  <c r="BL75" i="138" s="1"/>
  <c r="AV70" i="138"/>
  <c r="BL70" i="138" s="1"/>
  <c r="AV69" i="138"/>
  <c r="BL69" i="138" s="1"/>
  <c r="AV73" i="138"/>
  <c r="BL73" i="138" s="1"/>
  <c r="AV77" i="138"/>
  <c r="BL77" i="138" s="1"/>
  <c r="AV90" i="138"/>
  <c r="BL90" i="138" s="1"/>
  <c r="AV71" i="138"/>
  <c r="BL71" i="138" s="1"/>
  <c r="AV80" i="138"/>
  <c r="BL80" i="138" s="1"/>
  <c r="AV78" i="138"/>
  <c r="BL78" i="138" s="1"/>
  <c r="AV91" i="138"/>
  <c r="BL91" i="138" s="1"/>
  <c r="AV87" i="138"/>
  <c r="BL87" i="138" s="1"/>
  <c r="AV88" i="138"/>
  <c r="BL88" i="138" s="1"/>
  <c r="CS14" i="138"/>
  <c r="AG11" i="21"/>
  <c r="BJ205" i="138"/>
  <c r="CQ11" i="138"/>
  <c r="AV210" i="138"/>
  <c r="BL210" i="138" s="1"/>
  <c r="AV206" i="138"/>
  <c r="BL206" i="138" s="1"/>
  <c r="AV230" i="138"/>
  <c r="BL230" i="138" s="1"/>
  <c r="AV218" i="138"/>
  <c r="BL218" i="138" s="1"/>
  <c r="AV215" i="138"/>
  <c r="BL215" i="138" s="1"/>
  <c r="AV220" i="138"/>
  <c r="BL220" i="138" s="1"/>
  <c r="AV209" i="138"/>
  <c r="BL209" i="138" s="1"/>
  <c r="AV212" i="138"/>
  <c r="BL212" i="138" s="1"/>
  <c r="AV227" i="138"/>
  <c r="BL227" i="138" s="1"/>
  <c r="AV223" i="138"/>
  <c r="BL223" i="138" s="1"/>
  <c r="AV226" i="138"/>
  <c r="BL226" i="138" s="1"/>
  <c r="AV229" i="138"/>
  <c r="BL229" i="138" s="1"/>
  <c r="AV207" i="138"/>
  <c r="BL207" i="138" s="1"/>
  <c r="AV217" i="138"/>
  <c r="BL217" i="138" s="1"/>
  <c r="AV224" i="138"/>
  <c r="BL224" i="138" s="1"/>
  <c r="AV228" i="138"/>
  <c r="BL228" i="138" s="1"/>
  <c r="AV232" i="138"/>
  <c r="BL232" i="138" s="1"/>
  <c r="AV219" i="138"/>
  <c r="BL219" i="138" s="1"/>
  <c r="AV233" i="138"/>
  <c r="BL233" i="138" s="1"/>
  <c r="AV234" i="138"/>
  <c r="BL234" i="138" s="1"/>
  <c r="AV208" i="138"/>
  <c r="BL208" i="138" s="1"/>
  <c r="AV216" i="138"/>
  <c r="BL216" i="138" s="1"/>
  <c r="AV221" i="138"/>
  <c r="BL221" i="138" s="1"/>
  <c r="AV214" i="138"/>
  <c r="BL214" i="138" s="1"/>
  <c r="AG205" i="138"/>
  <c r="AV205" i="138" s="1"/>
  <c r="AV213" i="138"/>
  <c r="BL213" i="138" s="1"/>
  <c r="AV222" i="138"/>
  <c r="BL222" i="138" s="1"/>
  <c r="AV231" i="138"/>
  <c r="BL231" i="138" s="1"/>
  <c r="AV211" i="138"/>
  <c r="BL211" i="138" s="1"/>
  <c r="AV225" i="138"/>
  <c r="BL225" i="138" s="1"/>
  <c r="BC11" i="21"/>
  <c r="AS230" i="138"/>
  <c r="BI230" i="138" s="1"/>
  <c r="AS227" i="138"/>
  <c r="BI227" i="138" s="1"/>
  <c r="AS221" i="138"/>
  <c r="BI221" i="138" s="1"/>
  <c r="AS211" i="138"/>
  <c r="BI211" i="138" s="1"/>
  <c r="AS219" i="138"/>
  <c r="BI219" i="138" s="1"/>
  <c r="AS220" i="138"/>
  <c r="BI220" i="138" s="1"/>
  <c r="AS215" i="138"/>
  <c r="BI215" i="138" s="1"/>
  <c r="AS231" i="138"/>
  <c r="BI231" i="138" s="1"/>
  <c r="AS224" i="138"/>
  <c r="BI224" i="138" s="1"/>
  <c r="AS214" i="138"/>
  <c r="BI214" i="138" s="1"/>
  <c r="AS222" i="138"/>
  <c r="BI222" i="138" s="1"/>
  <c r="AS234" i="138"/>
  <c r="BI234" i="138" s="1"/>
  <c r="AS233" i="138"/>
  <c r="BI233" i="138" s="1"/>
  <c r="AS229" i="138"/>
  <c r="BI229" i="138" s="1"/>
  <c r="AS207" i="138"/>
  <c r="BI207" i="138" s="1"/>
  <c r="AS225" i="138"/>
  <c r="BI225" i="138" s="1"/>
  <c r="AD205" i="138"/>
  <c r="AS205" i="138" s="1"/>
  <c r="AS210" i="138"/>
  <c r="BI210" i="138" s="1"/>
  <c r="AS216" i="138"/>
  <c r="BI216" i="138" s="1"/>
  <c r="AS223" i="138"/>
  <c r="BI223" i="138" s="1"/>
  <c r="AS228" i="138"/>
  <c r="BI228" i="138" s="1"/>
  <c r="AS218" i="138"/>
  <c r="BI218" i="138" s="1"/>
  <c r="AS232" i="138"/>
  <c r="BI232" i="138" s="1"/>
  <c r="AS209" i="138"/>
  <c r="BI209" i="138" s="1"/>
  <c r="AS226" i="138"/>
  <c r="BI226" i="138" s="1"/>
  <c r="AS213" i="138"/>
  <c r="BI213" i="138" s="1"/>
  <c r="AS212" i="138"/>
  <c r="BI212" i="138" s="1"/>
  <c r="AS208" i="138"/>
  <c r="BI208" i="138" s="1"/>
  <c r="AS217" i="138"/>
  <c r="BI217" i="138" s="1"/>
  <c r="AS206" i="138"/>
  <c r="BI206" i="138" s="1"/>
  <c r="CP18" i="138"/>
  <c r="CQ13" i="138"/>
  <c r="BJ250" i="138"/>
  <c r="BH250" i="138"/>
  <c r="BH247" i="138" s="1"/>
  <c r="CO13" i="138"/>
  <c r="AU261" i="138"/>
  <c r="BK261" i="138" s="1"/>
  <c r="AU263" i="138"/>
  <c r="BK263" i="138" s="1"/>
  <c r="AU252" i="138"/>
  <c r="BK252" i="138" s="1"/>
  <c r="AU269" i="138"/>
  <c r="BK269" i="138" s="1"/>
  <c r="AU264" i="138"/>
  <c r="BK264" i="138" s="1"/>
  <c r="AU251" i="138"/>
  <c r="BK251" i="138" s="1"/>
  <c r="AU253" i="138"/>
  <c r="BK253" i="138" s="1"/>
  <c r="AU255" i="138"/>
  <c r="BK255" i="138" s="1"/>
  <c r="AU265" i="138"/>
  <c r="BK265" i="138" s="1"/>
  <c r="AU260" i="138"/>
  <c r="BK260" i="138" s="1"/>
  <c r="AU274" i="138"/>
  <c r="BK274" i="138" s="1"/>
  <c r="AU270" i="138"/>
  <c r="BK270" i="138" s="1"/>
  <c r="AU257" i="138"/>
  <c r="BK257" i="138" s="1"/>
  <c r="AU268" i="138"/>
  <c r="BK268" i="138" s="1"/>
  <c r="AU276" i="138"/>
  <c r="BK276" i="138" s="1"/>
  <c r="AU277" i="138"/>
  <c r="BK277" i="138" s="1"/>
  <c r="AU273" i="138"/>
  <c r="BK273" i="138" s="1"/>
  <c r="AU279" i="138"/>
  <c r="BK279" i="138" s="1"/>
  <c r="AU275" i="138"/>
  <c r="BK275" i="138" s="1"/>
  <c r="AF250" i="138"/>
  <c r="AU250" i="138" s="1"/>
  <c r="AU256" i="138"/>
  <c r="BK256" i="138" s="1"/>
  <c r="AU267" i="138"/>
  <c r="BK267" i="138" s="1"/>
  <c r="AU259" i="138"/>
  <c r="BK259" i="138" s="1"/>
  <c r="AU254" i="138"/>
  <c r="BK254" i="138" s="1"/>
  <c r="AU278" i="138"/>
  <c r="BK278" i="138" s="1"/>
  <c r="AU272" i="138"/>
  <c r="BK272" i="138" s="1"/>
  <c r="AU266" i="138"/>
  <c r="BK266" i="138" s="1"/>
  <c r="AU258" i="138"/>
  <c r="BK258" i="138" s="1"/>
  <c r="AU262" i="138"/>
  <c r="BK262" i="138" s="1"/>
  <c r="AU271" i="138"/>
  <c r="BK271" i="138" s="1"/>
  <c r="CO18" i="138"/>
  <c r="CP13" i="138"/>
  <c r="BI250" i="138"/>
  <c r="BI247" i="138" s="1"/>
  <c r="AU141" i="138"/>
  <c r="BK141" i="138" s="1"/>
  <c r="AU137" i="138"/>
  <c r="BK137" i="138" s="1"/>
  <c r="AU131" i="138"/>
  <c r="BK131" i="138" s="1"/>
  <c r="AU122" i="138"/>
  <c r="BK122" i="138" s="1"/>
  <c r="BJ115" i="138"/>
  <c r="CQ10" i="138"/>
  <c r="AS130" i="138"/>
  <c r="BI130" i="138" s="1"/>
  <c r="AS134" i="138"/>
  <c r="BI134" i="138" s="1"/>
  <c r="AS135" i="138"/>
  <c r="BI135" i="138" s="1"/>
  <c r="AS144" i="138"/>
  <c r="BI144" i="138" s="1"/>
  <c r="AS141" i="138"/>
  <c r="BI141" i="138" s="1"/>
  <c r="AS142" i="138"/>
  <c r="BI142" i="138" s="1"/>
  <c r="AS129" i="138"/>
  <c r="BI129" i="138" s="1"/>
  <c r="AS117" i="138"/>
  <c r="BI117" i="138" s="1"/>
  <c r="AS136" i="138"/>
  <c r="BI136" i="138" s="1"/>
  <c r="AS126" i="138"/>
  <c r="BI126" i="138" s="1"/>
  <c r="AS127" i="138"/>
  <c r="BI127" i="138" s="1"/>
  <c r="AS128" i="138"/>
  <c r="BI128" i="138" s="1"/>
  <c r="AS133" i="138"/>
  <c r="BI133" i="138" s="1"/>
  <c r="AS138" i="138"/>
  <c r="BI138" i="138" s="1"/>
  <c r="AS116" i="138"/>
  <c r="BI116" i="138" s="1"/>
  <c r="AS132" i="138"/>
  <c r="BI132" i="138" s="1"/>
  <c r="AS125" i="138"/>
  <c r="BI125" i="138" s="1"/>
  <c r="AS121" i="138"/>
  <c r="BI121" i="138" s="1"/>
  <c r="AS119" i="138"/>
  <c r="BI119" i="138" s="1"/>
  <c r="AS122" i="138"/>
  <c r="BI122" i="138" s="1"/>
  <c r="AD115" i="138"/>
  <c r="AS115" i="138" s="1"/>
  <c r="AS120" i="138"/>
  <c r="BI120" i="138" s="1"/>
  <c r="AS131" i="138"/>
  <c r="BI131" i="138" s="1"/>
  <c r="AS140" i="138"/>
  <c r="BI140" i="138" s="1"/>
  <c r="AS143" i="138"/>
  <c r="BI143" i="138" s="1"/>
  <c r="AS124" i="138"/>
  <c r="BI124" i="138" s="1"/>
  <c r="AS123" i="138"/>
  <c r="BI123" i="138" s="1"/>
  <c r="AS137" i="138"/>
  <c r="BI137" i="138" s="1"/>
  <c r="AS139" i="138"/>
  <c r="BI139" i="138" s="1"/>
  <c r="AS118" i="138"/>
  <c r="BI118" i="138" s="1"/>
  <c r="AT163" i="138"/>
  <c r="BJ163" i="138" s="1"/>
  <c r="AT177" i="138"/>
  <c r="BJ177" i="138" s="1"/>
  <c r="AT165" i="138"/>
  <c r="BJ165" i="138" s="1"/>
  <c r="AT162" i="138"/>
  <c r="BJ162" i="138" s="1"/>
  <c r="AT171" i="138"/>
  <c r="BJ171" i="138" s="1"/>
  <c r="AT183" i="138"/>
  <c r="BJ183" i="138" s="1"/>
  <c r="AT172" i="138"/>
  <c r="BJ172" i="138" s="1"/>
  <c r="AT164" i="138"/>
  <c r="BJ164" i="138" s="1"/>
  <c r="AT186" i="138"/>
  <c r="BJ186" i="138" s="1"/>
  <c r="AT181" i="138"/>
  <c r="BJ181" i="138" s="1"/>
  <c r="AT179" i="138"/>
  <c r="BJ179" i="138" s="1"/>
  <c r="AT173" i="138"/>
  <c r="BJ173" i="138" s="1"/>
  <c r="AT161" i="138"/>
  <c r="BJ161" i="138" s="1"/>
  <c r="AT170" i="138"/>
  <c r="BJ170" i="138" s="1"/>
  <c r="AT166" i="138"/>
  <c r="BJ166" i="138" s="1"/>
  <c r="AE160" i="138"/>
  <c r="AT160" i="138" s="1"/>
  <c r="AT185" i="138"/>
  <c r="BJ185" i="138" s="1"/>
  <c r="AT175" i="138"/>
  <c r="BJ175" i="138" s="1"/>
  <c r="AT176" i="138"/>
  <c r="BJ176" i="138" s="1"/>
  <c r="AT189" i="138"/>
  <c r="BJ189" i="138" s="1"/>
  <c r="AT167" i="138"/>
  <c r="BJ167" i="138" s="1"/>
  <c r="AT187" i="138"/>
  <c r="BJ187" i="138" s="1"/>
  <c r="AT169" i="138"/>
  <c r="BJ169" i="138" s="1"/>
  <c r="AT188" i="138"/>
  <c r="BJ188" i="138" s="1"/>
  <c r="AT180" i="138"/>
  <c r="BJ180" i="138" s="1"/>
  <c r="AT174" i="138"/>
  <c r="BJ174" i="138" s="1"/>
  <c r="AT178" i="138"/>
  <c r="BJ178" i="138" s="1"/>
  <c r="AT168" i="138"/>
  <c r="BJ168" i="138" s="1"/>
  <c r="AT182" i="138"/>
  <c r="BJ182" i="138" s="1"/>
  <c r="AT184" i="138"/>
  <c r="BJ184" i="138" s="1"/>
  <c r="AS163" i="138"/>
  <c r="BI163" i="138" s="1"/>
  <c r="AS167" i="138"/>
  <c r="BI167" i="138" s="1"/>
  <c r="AS173" i="138"/>
  <c r="BI173" i="138" s="1"/>
  <c r="AS171" i="138"/>
  <c r="BI171" i="138" s="1"/>
  <c r="AS165" i="138"/>
  <c r="BI165" i="138" s="1"/>
  <c r="AS180" i="138"/>
  <c r="BI180" i="138" s="1"/>
  <c r="AS182" i="138"/>
  <c r="BI182" i="138" s="1"/>
  <c r="AS169" i="138"/>
  <c r="BI169" i="138" s="1"/>
  <c r="AS187" i="138"/>
  <c r="BI187" i="138" s="1"/>
  <c r="AS175" i="138"/>
  <c r="BI175" i="138" s="1"/>
  <c r="AS186" i="138"/>
  <c r="BI186" i="138" s="1"/>
  <c r="AD160" i="138"/>
  <c r="AS160" i="138" s="1"/>
  <c r="AS161" i="138"/>
  <c r="BI161" i="138" s="1"/>
  <c r="AS178" i="138"/>
  <c r="BI178" i="138" s="1"/>
  <c r="AS181" i="138"/>
  <c r="BI181" i="138" s="1"/>
  <c r="AS164" i="138"/>
  <c r="BI164" i="138" s="1"/>
  <c r="AS177" i="138"/>
  <c r="BI177" i="138" s="1"/>
  <c r="AS176" i="138"/>
  <c r="BI176" i="138" s="1"/>
  <c r="AS185" i="138"/>
  <c r="BI185" i="138" s="1"/>
  <c r="AS174" i="138"/>
  <c r="BI174" i="138" s="1"/>
  <c r="AS170" i="138"/>
  <c r="BI170" i="138" s="1"/>
  <c r="AS179" i="138"/>
  <c r="BI179" i="138" s="1"/>
  <c r="AS188" i="138"/>
  <c r="BI188" i="138" s="1"/>
  <c r="AS184" i="138"/>
  <c r="BI184" i="138" s="1"/>
  <c r="AS168" i="138"/>
  <c r="BI168" i="138" s="1"/>
  <c r="AS183" i="138"/>
  <c r="BI183" i="138" s="1"/>
  <c r="AS162" i="138"/>
  <c r="BI162" i="138" s="1"/>
  <c r="AS172" i="138"/>
  <c r="BI172" i="138" s="1"/>
  <c r="AS189" i="138"/>
  <c r="BI189" i="138" s="1"/>
  <c r="AS166" i="138"/>
  <c r="BI166" i="138" s="1"/>
  <c r="I10" i="35"/>
  <c r="I8" i="133"/>
  <c r="E8" i="133"/>
  <c r="E7" i="133" s="1"/>
  <c r="E50" i="133" s="1"/>
  <c r="AS37" i="21"/>
  <c r="AS35" i="21" s="1"/>
  <c r="AR35" i="21"/>
  <c r="AH9" i="21"/>
  <c r="AY24" i="21"/>
  <c r="BD24" i="21" s="1"/>
  <c r="S26" i="131"/>
  <c r="AF205" i="138" s="1" a="1"/>
  <c r="AF44" i="21"/>
  <c r="AG44" i="21" s="1"/>
  <c r="AG43" i="21" s="1"/>
  <c r="AH43" i="21" s="1"/>
  <c r="T34" i="128"/>
  <c r="AG115" i="138" s="1" a="1"/>
  <c r="AQ44" i="21"/>
  <c r="AR44" i="21" s="1"/>
  <c r="AR43" i="21" s="1"/>
  <c r="AS43" i="21" s="1"/>
  <c r="T34" i="129"/>
  <c r="AG250" i="138" s="1" a="1"/>
  <c r="T14" i="127"/>
  <c r="AG160" i="138" s="1" a="1"/>
  <c r="S14" i="127"/>
  <c r="AF160" i="138" s="1" a="1"/>
  <c r="U16" i="21"/>
  <c r="H11" i="35"/>
  <c r="K37" i="21"/>
  <c r="AF37" i="21"/>
  <c r="AG37" i="21" s="1"/>
  <c r="U37" i="21"/>
  <c r="V37" i="21" s="1"/>
  <c r="CR18" i="138" l="1"/>
  <c r="AU117" i="138"/>
  <c r="BK117" i="138" s="1"/>
  <c r="AU124" i="138"/>
  <c r="BK124" i="138" s="1"/>
  <c r="AU130" i="138"/>
  <c r="BK130" i="138" s="1"/>
  <c r="AU118" i="138"/>
  <c r="BK118" i="138" s="1"/>
  <c r="AU139" i="138"/>
  <c r="BK139" i="138" s="1"/>
  <c r="CR15" i="138"/>
  <c r="AU144" i="138"/>
  <c r="BK144" i="138" s="1"/>
  <c r="AU132" i="138"/>
  <c r="BK132" i="138" s="1"/>
  <c r="AU136" i="138"/>
  <c r="BK136" i="138" s="1"/>
  <c r="AU129" i="138"/>
  <c r="BK129" i="138" s="1"/>
  <c r="AU138" i="138"/>
  <c r="BK138" i="138" s="1"/>
  <c r="AU126" i="138"/>
  <c r="BK126" i="138" s="1"/>
  <c r="AU123" i="138"/>
  <c r="BK123" i="138" s="1"/>
  <c r="AU125" i="138"/>
  <c r="BK125" i="138" s="1"/>
  <c r="AU121" i="138"/>
  <c r="BK121" i="138" s="1"/>
  <c r="AU116" i="138"/>
  <c r="BK116" i="138" s="1"/>
  <c r="AU120" i="138"/>
  <c r="BK120" i="138" s="1"/>
  <c r="AU134" i="138"/>
  <c r="BK134" i="138" s="1"/>
  <c r="AU127" i="138"/>
  <c r="BK127" i="138" s="1"/>
  <c r="AU142" i="138"/>
  <c r="BK142" i="138" s="1"/>
  <c r="AU143" i="138"/>
  <c r="BK143" i="138" s="1"/>
  <c r="AU128" i="138"/>
  <c r="BK128" i="138" s="1"/>
  <c r="AU119" i="138"/>
  <c r="BK119" i="138" s="1"/>
  <c r="AU133" i="138"/>
  <c r="BK133" i="138" s="1"/>
  <c r="AU140" i="138"/>
  <c r="BK140" i="138" s="1"/>
  <c r="AF115" i="138"/>
  <c r="AU115" i="138" s="1"/>
  <c r="CP15" i="138"/>
  <c r="BL67" i="138"/>
  <c r="CS9" i="138"/>
  <c r="BK67" i="138"/>
  <c r="CR9" i="138"/>
  <c r="CS16" i="138"/>
  <c r="CP16" i="138"/>
  <c r="AU206" i="138"/>
  <c r="BK206" i="138" s="1"/>
  <c r="AU211" i="138"/>
  <c r="BK211" i="138" s="1"/>
  <c r="AU218" i="138"/>
  <c r="BK218" i="138" s="1"/>
  <c r="AU232" i="138"/>
  <c r="BK232" i="138" s="1"/>
  <c r="AU215" i="138"/>
  <c r="BK215" i="138" s="1"/>
  <c r="AU231" i="138"/>
  <c r="BK231" i="138" s="1"/>
  <c r="AU213" i="138"/>
  <c r="BK213" i="138" s="1"/>
  <c r="AU210" i="138"/>
  <c r="BK210" i="138" s="1"/>
  <c r="AU227" i="138"/>
  <c r="BK227" i="138" s="1"/>
  <c r="AU219" i="138"/>
  <c r="BK219" i="138" s="1"/>
  <c r="AU212" i="138"/>
  <c r="BK212" i="138" s="1"/>
  <c r="AU234" i="138"/>
  <c r="BK234" i="138" s="1"/>
  <c r="AU220" i="138"/>
  <c r="BK220" i="138" s="1"/>
  <c r="AU216" i="138"/>
  <c r="BK216" i="138" s="1"/>
  <c r="AU224" i="138"/>
  <c r="BK224" i="138" s="1"/>
  <c r="AU229" i="138"/>
  <c r="BK229" i="138" s="1"/>
  <c r="AU223" i="138"/>
  <c r="BK223" i="138" s="1"/>
  <c r="AU209" i="138"/>
  <c r="BK209" i="138" s="1"/>
  <c r="AU226" i="138"/>
  <c r="BK226" i="138" s="1"/>
  <c r="AU214" i="138"/>
  <c r="BK214" i="138" s="1"/>
  <c r="AU222" i="138"/>
  <c r="BK222" i="138" s="1"/>
  <c r="AU221" i="138"/>
  <c r="BK221" i="138" s="1"/>
  <c r="AU208" i="138"/>
  <c r="BK208" i="138" s="1"/>
  <c r="AF205" i="138"/>
  <c r="AU205" i="138" s="1"/>
  <c r="AU228" i="138"/>
  <c r="BK228" i="138" s="1"/>
  <c r="AU233" i="138"/>
  <c r="BK233" i="138" s="1"/>
  <c r="AU225" i="138"/>
  <c r="BK225" i="138" s="1"/>
  <c r="AU207" i="138"/>
  <c r="BK207" i="138" s="1"/>
  <c r="AU217" i="138"/>
  <c r="BK217" i="138" s="1"/>
  <c r="AU230" i="138"/>
  <c r="BK230" i="138" s="1"/>
  <c r="BI205" i="138"/>
  <c r="CP11" i="138"/>
  <c r="BL205" i="138"/>
  <c r="CS11" i="138"/>
  <c r="BI202" i="138"/>
  <c r="AV259" i="138"/>
  <c r="BL259" i="138" s="1"/>
  <c r="AV265" i="138"/>
  <c r="BL265" i="138" s="1"/>
  <c r="AV269" i="138"/>
  <c r="BL269" i="138" s="1"/>
  <c r="AV254" i="138"/>
  <c r="BL254" i="138" s="1"/>
  <c r="AV258" i="138"/>
  <c r="BL258" i="138" s="1"/>
  <c r="AV256" i="138"/>
  <c r="BL256" i="138" s="1"/>
  <c r="AV276" i="138"/>
  <c r="BL276" i="138" s="1"/>
  <c r="AG250" i="138"/>
  <c r="AV250" i="138" s="1"/>
  <c r="AV268" i="138"/>
  <c r="BL268" i="138" s="1"/>
  <c r="AV273" i="138"/>
  <c r="BL273" i="138" s="1"/>
  <c r="AV257" i="138"/>
  <c r="BL257" i="138" s="1"/>
  <c r="AV272" i="138"/>
  <c r="BL272" i="138" s="1"/>
  <c r="AV267" i="138"/>
  <c r="BL267" i="138" s="1"/>
  <c r="AV264" i="138"/>
  <c r="BL264" i="138" s="1"/>
  <c r="AV253" i="138"/>
  <c r="BL253" i="138" s="1"/>
  <c r="AV260" i="138"/>
  <c r="BL260" i="138" s="1"/>
  <c r="AV255" i="138"/>
  <c r="BL255" i="138" s="1"/>
  <c r="AV252" i="138"/>
  <c r="BL252" i="138" s="1"/>
  <c r="AV266" i="138"/>
  <c r="BL266" i="138" s="1"/>
  <c r="AV279" i="138"/>
  <c r="BL279" i="138" s="1"/>
  <c r="AV263" i="138"/>
  <c r="BL263" i="138" s="1"/>
  <c r="AV277" i="138"/>
  <c r="BL277" i="138" s="1"/>
  <c r="AV274" i="138"/>
  <c r="BL274" i="138" s="1"/>
  <c r="AV278" i="138"/>
  <c r="BL278" i="138" s="1"/>
  <c r="AV270" i="138"/>
  <c r="BL270" i="138" s="1"/>
  <c r="AV251" i="138"/>
  <c r="BL251" i="138" s="1"/>
  <c r="AV271" i="138"/>
  <c r="BL271" i="138" s="1"/>
  <c r="AV261" i="138"/>
  <c r="BL261" i="138" s="1"/>
  <c r="AV275" i="138"/>
  <c r="BL275" i="138" s="1"/>
  <c r="AV262" i="138"/>
  <c r="BL262" i="138" s="1"/>
  <c r="BK250" i="138"/>
  <c r="CR13" i="138"/>
  <c r="BK115" i="138"/>
  <c r="CR10" i="138"/>
  <c r="BI115" i="138"/>
  <c r="BI112" i="138" s="1"/>
  <c r="CP10" i="138"/>
  <c r="AV135" i="138"/>
  <c r="BL135" i="138" s="1"/>
  <c r="AV137" i="138"/>
  <c r="BL137" i="138" s="1"/>
  <c r="AV126" i="138"/>
  <c r="BL126" i="138" s="1"/>
  <c r="AV128" i="138"/>
  <c r="BL128" i="138" s="1"/>
  <c r="AV136" i="138"/>
  <c r="BL136" i="138" s="1"/>
  <c r="AV117" i="138"/>
  <c r="BL117" i="138" s="1"/>
  <c r="AG115" i="138"/>
  <c r="AV115" i="138" s="1"/>
  <c r="AV140" i="138"/>
  <c r="BL140" i="138" s="1"/>
  <c r="AV141" i="138"/>
  <c r="BL141" i="138" s="1"/>
  <c r="AV123" i="138"/>
  <c r="BL123" i="138" s="1"/>
  <c r="AV125" i="138"/>
  <c r="BL125" i="138" s="1"/>
  <c r="AV118" i="138"/>
  <c r="BL118" i="138" s="1"/>
  <c r="AV134" i="138"/>
  <c r="BL134" i="138" s="1"/>
  <c r="AV129" i="138"/>
  <c r="BL129" i="138" s="1"/>
  <c r="AV119" i="138"/>
  <c r="BL119" i="138" s="1"/>
  <c r="AV116" i="138"/>
  <c r="BL116" i="138" s="1"/>
  <c r="AV139" i="138"/>
  <c r="BL139" i="138" s="1"/>
  <c r="AV120" i="138"/>
  <c r="BL120" i="138" s="1"/>
  <c r="AV138" i="138"/>
  <c r="BL138" i="138" s="1"/>
  <c r="AV127" i="138"/>
  <c r="BL127" i="138" s="1"/>
  <c r="AV133" i="138"/>
  <c r="BL133" i="138" s="1"/>
  <c r="AV132" i="138"/>
  <c r="BL132" i="138" s="1"/>
  <c r="AV130" i="138"/>
  <c r="BL130" i="138" s="1"/>
  <c r="AV121" i="138"/>
  <c r="BL121" i="138" s="1"/>
  <c r="AV143" i="138"/>
  <c r="BL143" i="138" s="1"/>
  <c r="AV142" i="138"/>
  <c r="BL142" i="138" s="1"/>
  <c r="AV124" i="138"/>
  <c r="BL124" i="138" s="1"/>
  <c r="AV131" i="138"/>
  <c r="BL131" i="138" s="1"/>
  <c r="AV144" i="138"/>
  <c r="BL144" i="138" s="1"/>
  <c r="AV122" i="138"/>
  <c r="BL122" i="138" s="1"/>
  <c r="BI160" i="138"/>
  <c r="BI157" i="138" s="1"/>
  <c r="CP12" i="138"/>
  <c r="AV164" i="138"/>
  <c r="BL164" i="138" s="1"/>
  <c r="AV187" i="138"/>
  <c r="BL187" i="138" s="1"/>
  <c r="AV189" i="138"/>
  <c r="BL189" i="138" s="1"/>
  <c r="AV166" i="138"/>
  <c r="BL166" i="138" s="1"/>
  <c r="AV171" i="138"/>
  <c r="BL171" i="138" s="1"/>
  <c r="AV173" i="138"/>
  <c r="BL173" i="138" s="1"/>
  <c r="AV169" i="138"/>
  <c r="BL169" i="138" s="1"/>
  <c r="AV175" i="138"/>
  <c r="BL175" i="138" s="1"/>
  <c r="AV168" i="138"/>
  <c r="BL168" i="138" s="1"/>
  <c r="AV162" i="138"/>
  <c r="BL162" i="138" s="1"/>
  <c r="AV182" i="138"/>
  <c r="BL182" i="138" s="1"/>
  <c r="AV172" i="138"/>
  <c r="BL172" i="138" s="1"/>
  <c r="AV183" i="138"/>
  <c r="BL183" i="138" s="1"/>
  <c r="AV163" i="138"/>
  <c r="BL163" i="138" s="1"/>
  <c r="AV186" i="138"/>
  <c r="BL186" i="138" s="1"/>
  <c r="AV165" i="138"/>
  <c r="BL165" i="138" s="1"/>
  <c r="AV188" i="138"/>
  <c r="BL188" i="138" s="1"/>
  <c r="AV167" i="138"/>
  <c r="BL167" i="138" s="1"/>
  <c r="AG160" i="138"/>
  <c r="AV160" i="138" s="1"/>
  <c r="AV170" i="138"/>
  <c r="BL170" i="138" s="1"/>
  <c r="AV161" i="138"/>
  <c r="BL161" i="138" s="1"/>
  <c r="AV181" i="138"/>
  <c r="BL181" i="138" s="1"/>
  <c r="AV178" i="138"/>
  <c r="BL178" i="138" s="1"/>
  <c r="AV174" i="138"/>
  <c r="BL174" i="138" s="1"/>
  <c r="AV185" i="138"/>
  <c r="BL185" i="138" s="1"/>
  <c r="AV176" i="138"/>
  <c r="BL176" i="138" s="1"/>
  <c r="AV177" i="138"/>
  <c r="BL177" i="138" s="1"/>
  <c r="AV179" i="138"/>
  <c r="BL179" i="138" s="1"/>
  <c r="AV184" i="138"/>
  <c r="BL184" i="138" s="1"/>
  <c r="AV180" i="138"/>
  <c r="BL180" i="138" s="1"/>
  <c r="AF160" i="138"/>
  <c r="AU160" i="138" s="1"/>
  <c r="AU177" i="138"/>
  <c r="BK177" i="138" s="1"/>
  <c r="AU161" i="138"/>
  <c r="BK161" i="138" s="1"/>
  <c r="AU175" i="138"/>
  <c r="BK175" i="138" s="1"/>
  <c r="AU184" i="138"/>
  <c r="BK184" i="138" s="1"/>
  <c r="AU172" i="138"/>
  <c r="BK172" i="138" s="1"/>
  <c r="AU186" i="138"/>
  <c r="BK186" i="138" s="1"/>
  <c r="AU169" i="138"/>
  <c r="BK169" i="138" s="1"/>
  <c r="AU180" i="138"/>
  <c r="BK180" i="138" s="1"/>
  <c r="AU185" i="138"/>
  <c r="BK185" i="138" s="1"/>
  <c r="AU171" i="138"/>
  <c r="BK171" i="138" s="1"/>
  <c r="AU176" i="138"/>
  <c r="BK176" i="138" s="1"/>
  <c r="AU165" i="138"/>
  <c r="BK165" i="138" s="1"/>
  <c r="AU174" i="138"/>
  <c r="BK174" i="138" s="1"/>
  <c r="AU183" i="138"/>
  <c r="BK183" i="138" s="1"/>
  <c r="AU164" i="138"/>
  <c r="BK164" i="138" s="1"/>
  <c r="AU167" i="138"/>
  <c r="BK167" i="138" s="1"/>
  <c r="AU181" i="138"/>
  <c r="BK181" i="138" s="1"/>
  <c r="AU163" i="138"/>
  <c r="BK163" i="138" s="1"/>
  <c r="AU187" i="138"/>
  <c r="BK187" i="138" s="1"/>
  <c r="AU182" i="138"/>
  <c r="BK182" i="138" s="1"/>
  <c r="AU173" i="138"/>
  <c r="BK173" i="138" s="1"/>
  <c r="AU166" i="138"/>
  <c r="BK166" i="138" s="1"/>
  <c r="AU168" i="138"/>
  <c r="BK168" i="138" s="1"/>
  <c r="AU179" i="138"/>
  <c r="BK179" i="138" s="1"/>
  <c r="AU178" i="138"/>
  <c r="BK178" i="138" s="1"/>
  <c r="AU162" i="138"/>
  <c r="BK162" i="138" s="1"/>
  <c r="AU170" i="138"/>
  <c r="BK170" i="138" s="1"/>
  <c r="AU188" i="138"/>
  <c r="BK188" i="138" s="1"/>
  <c r="AU189" i="138"/>
  <c r="BK189" i="138" s="1"/>
  <c r="CQ17" i="138"/>
  <c r="BJ160" i="138"/>
  <c r="CQ12" i="138"/>
  <c r="CP17" i="138"/>
  <c r="I11" i="35"/>
  <c r="I9" i="35" s="1"/>
  <c r="J9" i="35" s="1"/>
  <c r="J8" i="133"/>
  <c r="J7" i="133" s="1"/>
  <c r="J50" i="133" s="1"/>
  <c r="J51" i="133" s="1"/>
  <c r="V35" i="21"/>
  <c r="W37" i="21"/>
  <c r="W35" i="21" s="1"/>
  <c r="AG35" i="21"/>
  <c r="AH37" i="21"/>
  <c r="AH35" i="21" s="1"/>
  <c r="K35" i="21"/>
  <c r="L37" i="21"/>
  <c r="L35" i="21" s="1"/>
  <c r="V16" i="21"/>
  <c r="V15" i="21" s="1"/>
  <c r="W15" i="21" s="1"/>
  <c r="W9" i="21" s="1"/>
  <c r="H41" i="35"/>
  <c r="I41" i="35" s="1"/>
  <c r="AC47" i="21"/>
  <c r="BB17" i="21"/>
  <c r="BC17" i="21" s="1"/>
  <c r="BC15" i="21" s="1"/>
  <c r="BD15" i="21" s="1"/>
  <c r="BD9" i="21" s="1"/>
  <c r="H15" i="35"/>
  <c r="I15" i="35" s="1"/>
  <c r="E7" i="35"/>
  <c r="E69" i="35" s="1"/>
  <c r="I8" i="35"/>
  <c r="L15" i="21"/>
  <c r="L9" i="21" s="1"/>
  <c r="H14" i="35"/>
  <c r="CS18" i="138" l="1"/>
  <c r="CR17" i="138"/>
  <c r="BK205" i="138"/>
  <c r="CR11" i="138"/>
  <c r="CR16" i="138"/>
  <c r="CS13" i="138"/>
  <c r="BL250" i="138"/>
  <c r="CS10" i="138"/>
  <c r="BL115" i="138"/>
  <c r="CS15" i="138"/>
  <c r="BL160" i="138"/>
  <c r="CS12" i="138"/>
  <c r="BK160" i="138"/>
  <c r="CR12" i="138"/>
  <c r="CS17" i="138"/>
  <c r="I14" i="35"/>
  <c r="I13" i="35" s="1"/>
  <c r="J13" i="35" s="1"/>
  <c r="J41" i="35"/>
  <c r="J35" i="35" s="1"/>
  <c r="I35" i="35"/>
  <c r="J8" i="35"/>
  <c r="AF35" i="119"/>
  <c r="Z35" i="119"/>
  <c r="T35" i="119"/>
  <c r="N35" i="119"/>
  <c r="H35" i="119"/>
  <c r="AF32" i="119"/>
  <c r="Z32" i="119"/>
  <c r="T32" i="119"/>
  <c r="N32" i="119"/>
  <c r="H32" i="119"/>
  <c r="AF24" i="119"/>
  <c r="H24" i="119"/>
  <c r="Z20" i="119"/>
  <c r="T20" i="119"/>
  <c r="N20" i="119"/>
  <c r="H20" i="119"/>
  <c r="Z18" i="119"/>
  <c r="T18" i="119"/>
  <c r="N18" i="119"/>
  <c r="H18" i="119"/>
  <c r="AF16" i="119"/>
  <c r="AD16" i="119" s="1"/>
  <c r="AD11" i="119" s="1"/>
  <c r="AE16" i="119"/>
  <c r="Y16" i="119"/>
  <c r="S16" i="119"/>
  <c r="M16" i="119"/>
  <c r="G16" i="119"/>
  <c r="AE8" i="119"/>
  <c r="Y8" i="119"/>
  <c r="S8" i="119"/>
  <c r="M8" i="119"/>
  <c r="G8" i="119"/>
  <c r="J7" i="35" l="1"/>
  <c r="AG16" i="119"/>
  <c r="AH16" i="119" s="1"/>
  <c r="AH11" i="119" s="1"/>
  <c r="X18" i="119"/>
  <c r="AA18" i="119"/>
  <c r="X20" i="119"/>
  <c r="AA20" i="119"/>
  <c r="F20" i="119"/>
  <c r="I20" i="119"/>
  <c r="F32" i="119"/>
  <c r="I32" i="119"/>
  <c r="F35" i="119"/>
  <c r="I35" i="119"/>
  <c r="R32" i="119"/>
  <c r="U32" i="119"/>
  <c r="R35" i="119"/>
  <c r="U35" i="119"/>
  <c r="F18" i="119"/>
  <c r="I18" i="119"/>
  <c r="F24" i="119"/>
  <c r="I24" i="119"/>
  <c r="X32" i="119"/>
  <c r="AA32" i="119"/>
  <c r="X35" i="119"/>
  <c r="AA35" i="119"/>
  <c r="L18" i="119"/>
  <c r="O18" i="119"/>
  <c r="L20" i="119"/>
  <c r="O20" i="119"/>
  <c r="AD24" i="119"/>
  <c r="AG24" i="119"/>
  <c r="AD32" i="119"/>
  <c r="AG32" i="119"/>
  <c r="AD35" i="119"/>
  <c r="AG35" i="119"/>
  <c r="R18" i="119"/>
  <c r="U18" i="119"/>
  <c r="R20" i="119"/>
  <c r="U20" i="119"/>
  <c r="L32" i="119"/>
  <c r="O32" i="119"/>
  <c r="L35" i="119"/>
  <c r="O35" i="119"/>
  <c r="H8" i="119"/>
  <c r="F8" i="119" s="1"/>
  <c r="AF10" i="119"/>
  <c r="H16" i="119"/>
  <c r="F16" i="119" s="1"/>
  <c r="G36" i="119"/>
  <c r="I36" i="119" s="1"/>
  <c r="J36" i="119" s="1"/>
  <c r="C11" i="71"/>
  <c r="C9" i="71"/>
  <c r="C13" i="71"/>
  <c r="E13" i="71" s="1"/>
  <c r="F13" i="71" s="1"/>
  <c r="G13" i="71" s="1"/>
  <c r="C15" i="71"/>
  <c r="C27" i="71"/>
  <c r="C22" i="71"/>
  <c r="D21" i="71"/>
  <c r="D26" i="71"/>
  <c r="C26" i="71"/>
  <c r="D22" i="71"/>
  <c r="C25" i="71"/>
  <c r="C18" i="71"/>
  <c r="C21" i="71"/>
  <c r="C5" i="71"/>
  <c r="C20" i="71"/>
  <c r="D27" i="71"/>
  <c r="D25" i="71"/>
  <c r="C17" i="71"/>
  <c r="J32" i="119" l="1"/>
  <c r="P32" i="119"/>
  <c r="V32" i="119"/>
  <c r="AB32" i="119"/>
  <c r="AH32" i="119"/>
  <c r="J20" i="119"/>
  <c r="J35" i="119"/>
  <c r="AH35" i="119"/>
  <c r="P35" i="119"/>
  <c r="AH24" i="119"/>
  <c r="J18" i="119"/>
  <c r="AB20" i="119"/>
  <c r="P20" i="119"/>
  <c r="V35" i="119"/>
  <c r="AB18" i="119"/>
  <c r="V20" i="119"/>
  <c r="P18" i="119"/>
  <c r="J24" i="119"/>
  <c r="I16" i="119"/>
  <c r="J16" i="119" s="1"/>
  <c r="V18" i="119"/>
  <c r="AB35" i="119"/>
  <c r="D23" i="71"/>
  <c r="D42" i="71"/>
  <c r="D15" i="71"/>
  <c r="E15" i="71" s="1"/>
  <c r="F15" i="71" s="1"/>
  <c r="G15" i="71" s="1"/>
  <c r="E26" i="71"/>
  <c r="F26" i="71" s="1"/>
  <c r="G26" i="71" s="1"/>
  <c r="C40" i="71"/>
  <c r="C16" i="71"/>
  <c r="D40" i="71"/>
  <c r="D16" i="71"/>
  <c r="C23" i="71"/>
  <c r="C42" i="71"/>
  <c r="E22" i="71"/>
  <c r="F22" i="71" s="1"/>
  <c r="G22" i="71" s="1"/>
  <c r="C39" i="71"/>
  <c r="C10" i="71"/>
  <c r="AD10" i="119"/>
  <c r="AG10" i="119"/>
  <c r="D39" i="71"/>
  <c r="D10" i="71"/>
  <c r="E27" i="71"/>
  <c r="F27" i="71" s="1"/>
  <c r="G27" i="71" s="1"/>
  <c r="E21" i="71"/>
  <c r="F21" i="71" s="1"/>
  <c r="G21" i="71" s="1"/>
  <c r="I8" i="119"/>
  <c r="J8" i="119" s="1"/>
  <c r="N8" i="119"/>
  <c r="H10" i="119"/>
  <c r="D13" i="68"/>
  <c r="N24" i="119"/>
  <c r="F15" i="68"/>
  <c r="E15" i="68"/>
  <c r="H21" i="68"/>
  <c r="H14" i="68"/>
  <c r="G21" i="68"/>
  <c r="G13" i="68"/>
  <c r="F12" i="68"/>
  <c r="E25" i="68"/>
  <c r="E18" i="68"/>
  <c r="E21" i="68"/>
  <c r="D12" i="68"/>
  <c r="G25" i="68"/>
  <c r="D21" i="68"/>
  <c r="N16" i="119"/>
  <c r="F14" i="68"/>
  <c r="H13" i="119"/>
  <c r="H18" i="68"/>
  <c r="H12" i="68"/>
  <c r="D25" i="68"/>
  <c r="H25" i="68"/>
  <c r="G18" i="68"/>
  <c r="F21" i="68"/>
  <c r="G14" i="68"/>
  <c r="F18" i="68"/>
  <c r="E14" i="68"/>
  <c r="D14" i="68"/>
  <c r="D18" i="68"/>
  <c r="F25" i="68"/>
  <c r="AH10" i="119" l="1"/>
  <c r="E10" i="71"/>
  <c r="F10" i="71" s="1"/>
  <c r="G10" i="71" s="1"/>
  <c r="E39" i="71"/>
  <c r="F39" i="71" s="1"/>
  <c r="G39" i="71" s="1"/>
  <c r="L16" i="119"/>
  <c r="O16" i="119"/>
  <c r="L24" i="119"/>
  <c r="O24" i="119"/>
  <c r="F13" i="119"/>
  <c r="I13" i="119"/>
  <c r="Z13" i="119"/>
  <c r="E16" i="71"/>
  <c r="F16" i="71" s="1"/>
  <c r="G16" i="71" s="1"/>
  <c r="E40" i="71"/>
  <c r="F40" i="71" s="1"/>
  <c r="G40" i="71" s="1"/>
  <c r="D19" i="68"/>
  <c r="G19" i="68"/>
  <c r="F10" i="119"/>
  <c r="F7" i="119" s="1"/>
  <c r="I10" i="119"/>
  <c r="F19" i="68"/>
  <c r="H19" i="68"/>
  <c r="E42" i="71"/>
  <c r="F42" i="71" s="1"/>
  <c r="G42" i="71" s="1"/>
  <c r="E19" i="68"/>
  <c r="L8" i="119"/>
  <c r="O8" i="119"/>
  <c r="D9" i="71"/>
  <c r="E9" i="71" s="1"/>
  <c r="F9" i="71" s="1"/>
  <c r="G9" i="71" s="1"/>
  <c r="E23" i="71"/>
  <c r="F23" i="71" s="1"/>
  <c r="G23" i="71" s="1"/>
  <c r="N10" i="119"/>
  <c r="E13" i="68"/>
  <c r="F13" i="68"/>
  <c r="G23" i="68"/>
  <c r="E12" i="68"/>
  <c r="T13" i="119"/>
  <c r="N13" i="119"/>
  <c r="T16" i="119"/>
  <c r="Z16" i="119"/>
  <c r="H14" i="119"/>
  <c r="D15" i="68"/>
  <c r="F23" i="68"/>
  <c r="F7" i="68"/>
  <c r="P8" i="119" l="1"/>
  <c r="P24" i="119"/>
  <c r="P16" i="119"/>
  <c r="J13" i="119"/>
  <c r="L13" i="119"/>
  <c r="O13" i="119"/>
  <c r="J10" i="119"/>
  <c r="J7" i="119" s="1"/>
  <c r="R13" i="119"/>
  <c r="U13" i="119"/>
  <c r="X16" i="119"/>
  <c r="AA16" i="119"/>
  <c r="X13" i="119"/>
  <c r="AA13" i="119"/>
  <c r="F14" i="119"/>
  <c r="F11" i="119" s="1"/>
  <c r="F42" i="119" s="1"/>
  <c r="I14" i="119"/>
  <c r="R16" i="119"/>
  <c r="U16" i="119"/>
  <c r="H16" i="68"/>
  <c r="E23" i="68"/>
  <c r="G7" i="68"/>
  <c r="F16" i="68"/>
  <c r="D16" i="68"/>
  <c r="L10" i="119"/>
  <c r="L7" i="119" s="1"/>
  <c r="O10" i="119"/>
  <c r="D23" i="68"/>
  <c r="G16" i="68"/>
  <c r="E16" i="68"/>
  <c r="H23" i="68"/>
  <c r="H7" i="68"/>
  <c r="E7" i="68"/>
  <c r="T8" i="119"/>
  <c r="D11" i="71"/>
  <c r="E11" i="71" s="1"/>
  <c r="F11" i="71" s="1"/>
  <c r="G11" i="71" s="1"/>
  <c r="Z24" i="119"/>
  <c r="N14" i="119"/>
  <c r="T24" i="119"/>
  <c r="H13" i="68"/>
  <c r="H15" i="68"/>
  <c r="P10" i="119" l="1"/>
  <c r="P7" i="119" s="1"/>
  <c r="V13" i="119"/>
  <c r="J14" i="119"/>
  <c r="J11" i="119" s="1"/>
  <c r="J42" i="119" s="1"/>
  <c r="J43" i="119" s="1"/>
  <c r="C8" i="115" s="1"/>
  <c r="AB16" i="119"/>
  <c r="AB13" i="119"/>
  <c r="P13" i="119"/>
  <c r="V16" i="119"/>
  <c r="R24" i="119"/>
  <c r="U24" i="119"/>
  <c r="L14" i="119"/>
  <c r="L11" i="119" s="1"/>
  <c r="L42" i="119" s="1"/>
  <c r="O14" i="119"/>
  <c r="X24" i="119"/>
  <c r="AA24" i="119"/>
  <c r="Z14" i="119"/>
  <c r="D17" i="71"/>
  <c r="E17" i="71" s="1"/>
  <c r="F17" i="71" s="1"/>
  <c r="G17" i="71" s="1"/>
  <c r="Z8" i="119"/>
  <c r="R8" i="119"/>
  <c r="U8" i="119"/>
  <c r="G6" i="68"/>
  <c r="F6" i="68"/>
  <c r="G15" i="68"/>
  <c r="H6" i="68"/>
  <c r="AF8" i="119"/>
  <c r="T10" i="119"/>
  <c r="D7" i="68"/>
  <c r="Z10" i="119"/>
  <c r="D18" i="71"/>
  <c r="E18" i="71" s="1"/>
  <c r="F18" i="71" s="1"/>
  <c r="G18" i="71" s="1"/>
  <c r="T14" i="119"/>
  <c r="V24" i="119" l="1"/>
  <c r="P14" i="119"/>
  <c r="P11" i="119" s="1"/>
  <c r="P42" i="119" s="1"/>
  <c r="P43" i="119" s="1"/>
  <c r="D8" i="115" s="1"/>
  <c r="V8" i="119"/>
  <c r="R14" i="119"/>
  <c r="U14" i="119"/>
  <c r="X14" i="119"/>
  <c r="X11" i="119" s="1"/>
  <c r="AA14" i="119"/>
  <c r="AB24" i="119"/>
  <c r="X10" i="119"/>
  <c r="AA10" i="119"/>
  <c r="E6" i="68"/>
  <c r="X8" i="119"/>
  <c r="AA8" i="119"/>
  <c r="R10" i="119"/>
  <c r="R7" i="119" s="1"/>
  <c r="U10" i="119"/>
  <c r="AD8" i="119"/>
  <c r="AD7" i="119" s="1"/>
  <c r="AD42" i="119" s="1"/>
  <c r="AG8" i="119"/>
  <c r="D5" i="71"/>
  <c r="E5" i="71" s="1"/>
  <c r="F5" i="71" s="1"/>
  <c r="G5" i="71" s="1"/>
  <c r="D6" i="68"/>
  <c r="AB14" i="119" l="1"/>
  <c r="AB11" i="119" s="1"/>
  <c r="AB10" i="119"/>
  <c r="V10" i="119"/>
  <c r="V7" i="119" s="1"/>
  <c r="AB8" i="119"/>
  <c r="V14" i="119"/>
  <c r="V11" i="119" s="1"/>
  <c r="R11" i="119"/>
  <c r="R42" i="119" s="1"/>
  <c r="X7" i="119"/>
  <c r="X42" i="119" s="1"/>
  <c r="AH8" i="119"/>
  <c r="AH7" i="119" s="1"/>
  <c r="AH42" i="119" s="1"/>
  <c r="AH43" i="119" s="1"/>
  <c r="AB7" i="119" l="1"/>
  <c r="AB42" i="119" s="1"/>
  <c r="AB43" i="119" s="1"/>
  <c r="F8" i="115" s="1"/>
  <c r="V42" i="119"/>
  <c r="V43" i="119" s="1"/>
  <c r="E8" i="115" s="1"/>
  <c r="N28" i="119"/>
  <c r="T28" i="119"/>
  <c r="U28" i="119" s="1"/>
  <c r="Z28" i="119"/>
  <c r="X28" i="119" s="1"/>
  <c r="H28" i="119" l="1"/>
  <c r="F28" i="119" s="1"/>
  <c r="H50" i="35"/>
  <c r="I50" i="35" s="1"/>
  <c r="L28" i="119"/>
  <c r="O28" i="119"/>
  <c r="R28" i="119"/>
  <c r="V28" i="119" s="1"/>
  <c r="AA28" i="119"/>
  <c r="AB28" i="119" s="1"/>
  <c r="BB48" i="21" l="1"/>
  <c r="BC48" i="21" s="1"/>
  <c r="BC47" i="21" s="1"/>
  <c r="BD47" i="21" s="1"/>
  <c r="BD19" i="21" s="1"/>
  <c r="I28" i="119"/>
  <c r="J28" i="119" s="1"/>
  <c r="D20" i="71"/>
  <c r="E20" i="71" s="1"/>
  <c r="F20" i="71" s="1"/>
  <c r="G20" i="71" s="1"/>
  <c r="P28" i="119"/>
  <c r="I49" i="35" l="1"/>
  <c r="J49" i="35" s="1"/>
  <c r="J17" i="35" s="1"/>
  <c r="H22" i="68"/>
  <c r="AY19" i="21"/>
  <c r="AY57" i="21" s="1"/>
  <c r="J69" i="35" l="1"/>
  <c r="J70" i="35" s="1"/>
  <c r="D10" i="24" s="1"/>
  <c r="BD57" i="21"/>
  <c r="BD58" i="21" s="1"/>
  <c r="H36" i="68" s="1"/>
  <c r="AQ48" i="21"/>
  <c r="AR48" i="21" l="1"/>
  <c r="AR47" i="21" s="1"/>
  <c r="AS47" i="21" s="1"/>
  <c r="AS19" i="21" s="1"/>
  <c r="I9" i="24"/>
  <c r="AN19" i="21"/>
  <c r="AN57" i="21" s="1"/>
  <c r="AF48" i="21"/>
  <c r="AG48" i="21" s="1"/>
  <c r="AG47" i="21" s="1"/>
  <c r="AH47" i="21" s="1"/>
  <c r="AH19" i="21" s="1"/>
  <c r="G22" i="68" l="1"/>
  <c r="AS57" i="21"/>
  <c r="AS58" i="21" s="1"/>
  <c r="I8" i="24" s="1"/>
  <c r="AC19" i="21"/>
  <c r="AC57" i="21" s="1"/>
  <c r="G36" i="68" l="1"/>
  <c r="AH57" i="21"/>
  <c r="AH58" i="21" s="1"/>
  <c r="F22" i="68"/>
  <c r="U48" i="21" l="1"/>
  <c r="V48" i="21" s="1"/>
  <c r="V47" i="21" s="1"/>
  <c r="W47" i="21" s="1"/>
  <c r="W19" i="21" s="1"/>
  <c r="F36" i="68"/>
  <c r="I7" i="24"/>
  <c r="E22" i="68" l="1"/>
  <c r="R19" i="21"/>
  <c r="R57" i="21" s="1"/>
  <c r="W57" i="21" l="1"/>
  <c r="W58" i="21" s="1"/>
  <c r="J48" i="21"/>
  <c r="K48" i="21" s="1"/>
  <c r="K47" i="21" s="1"/>
  <c r="I6" i="24" l="1"/>
  <c r="L47" i="21"/>
  <c r="L19" i="21" s="1"/>
  <c r="L57" i="21" l="1"/>
  <c r="L58" i="21" s="1"/>
  <c r="D22" i="68"/>
  <c r="I5" i="24" l="1"/>
  <c r="D36" i="68"/>
  <c r="G5" i="24" l="1"/>
  <c r="G9" i="24"/>
  <c r="G8" i="24"/>
  <c r="G7" i="24"/>
  <c r="G6" i="24"/>
  <c r="C7" i="24" l="1"/>
  <c r="C9" i="24"/>
  <c r="C8" i="24"/>
  <c r="D8" i="24"/>
  <c r="D9" i="24"/>
  <c r="C6" i="24"/>
  <c r="D5" i="24"/>
  <c r="C5" i="24"/>
  <c r="D7" i="24"/>
  <c r="D6" i="24"/>
  <c r="E36" i="68" s="1"/>
  <c r="AB55" i="73"/>
  <c r="AD31" i="21"/>
  <c r="AD30" i="21"/>
  <c r="AB55" i="136"/>
  <c r="AB55" i="135"/>
  <c r="AB7" i="134"/>
  <c r="AB55" i="134" s="1"/>
  <c r="W13" i="135"/>
  <c r="W27" i="136"/>
  <c r="X8" i="135"/>
  <c r="X40" i="135"/>
  <c r="W17" i="135"/>
  <c r="W49" i="135"/>
  <c r="X37" i="135"/>
  <c r="W9" i="136"/>
  <c r="X31" i="135"/>
  <c r="X41" i="135"/>
  <c r="X36" i="135"/>
  <c r="X17" i="135"/>
  <c r="W27" i="135"/>
  <c r="X27" i="135"/>
  <c r="W18" i="134"/>
  <c r="X43" i="135"/>
  <c r="X54" i="135"/>
  <c r="W33" i="134"/>
  <c r="X16" i="135"/>
  <c r="W18" i="136"/>
  <c r="W45" i="134"/>
  <c r="X49" i="135"/>
  <c r="X32" i="135"/>
  <c r="W33" i="135"/>
  <c r="X52" i="135"/>
  <c r="X13" i="135"/>
  <c r="X22" i="135"/>
  <c r="W8" i="136"/>
  <c r="X28" i="135"/>
  <c r="X14" i="135"/>
  <c r="W45" i="135"/>
  <c r="W41" i="136"/>
  <c r="X46" i="135"/>
  <c r="W18" i="135"/>
  <c r="X50" i="135"/>
  <c r="X38" i="135"/>
  <c r="X47" i="135"/>
  <c r="X19" i="135"/>
  <c r="W22" i="135"/>
  <c r="W17" i="136"/>
  <c r="X23" i="135"/>
  <c r="W38" i="135"/>
  <c r="X18" i="135"/>
  <c r="X51" i="135"/>
  <c r="X44" i="135"/>
  <c r="W44" i="136"/>
  <c r="X9" i="135"/>
  <c r="X12" i="135"/>
  <c r="X34" i="135"/>
  <c r="W45" i="136"/>
  <c r="W49" i="134"/>
  <c r="W49" i="136"/>
  <c r="X45" i="135"/>
  <c r="W41" i="134"/>
  <c r="X15" i="135"/>
  <c r="W9" i="134"/>
  <c r="W8" i="134"/>
  <c r="X39" i="135"/>
  <c r="X10" i="135"/>
  <c r="X21" i="135"/>
  <c r="X55" i="136"/>
  <c r="X55" i="73"/>
  <c r="X55" i="135"/>
  <c r="W22" i="134"/>
  <c r="W30" i="135"/>
  <c r="W8" i="135"/>
  <c r="X25" i="135"/>
  <c r="X42" i="135"/>
  <c r="W27" i="134"/>
  <c r="X29" i="135"/>
  <c r="W38" i="136"/>
  <c r="X20" i="135"/>
  <c r="X33" i="135"/>
  <c r="BP55" i="137"/>
  <c r="BP55" i="135"/>
  <c r="BP55" i="134"/>
  <c r="BP55" i="73"/>
  <c r="BP55" i="136"/>
  <c r="W13" i="134"/>
  <c r="X26" i="135"/>
  <c r="W33" i="136"/>
  <c r="W44" i="134"/>
  <c r="W13" i="136"/>
  <c r="X30" i="135"/>
  <c r="W30" i="134"/>
  <c r="W30" i="136"/>
  <c r="W38" i="134"/>
  <c r="W9" i="135"/>
  <c r="X35" i="135"/>
  <c r="W41" i="135"/>
  <c r="AT55" i="136"/>
  <c r="AT55" i="134"/>
  <c r="AT55" i="135"/>
  <c r="AT55" i="73"/>
  <c r="AT55" i="137"/>
  <c r="W17" i="134"/>
  <c r="X48" i="135"/>
  <c r="W44" i="135"/>
  <c r="X11" i="135"/>
  <c r="X24" i="135"/>
  <c r="W22" i="136"/>
  <c r="X53" i="13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Ivan Falahul</author>
  </authors>
  <commentList>
    <comment ref="A3" authorId="0" shapeId="0" xr:uid="{7827DFB2-4A51-4119-9892-0C17430912E8}">
      <text>
        <r>
          <rPr>
            <b/>
            <sz val="9"/>
            <color indexed="81"/>
            <rFont val="Tahoma"/>
            <family val="2"/>
          </rPr>
          <t>Ivan Falahul:</t>
        </r>
        <r>
          <rPr>
            <sz val="9"/>
            <color indexed="81"/>
            <rFont val="Tahoma"/>
            <family val="2"/>
          </rPr>
          <t xml:space="preserve">
Filter untuk indikator langsung</t>
        </r>
      </text>
    </comment>
    <comment ref="A66" authorId="0" shapeId="0" xr:uid="{B60F46FA-836E-45C5-B330-26998FA1B60F}">
      <text>
        <r>
          <rPr>
            <b/>
            <sz val="9"/>
            <color indexed="81"/>
            <rFont val="Tahoma"/>
            <family val="2"/>
          </rPr>
          <t>Ivan Falahul:</t>
        </r>
        <r>
          <rPr>
            <sz val="9"/>
            <color indexed="81"/>
            <rFont val="Tahoma"/>
            <family val="2"/>
          </rPr>
          <t xml:space="preserve">
Filter untuk indikator langsung</t>
        </r>
      </text>
    </comment>
    <comment ref="A114" authorId="0" shapeId="0" xr:uid="{E4F82148-5665-4BAC-A115-FAB5C2ECD2DE}">
      <text>
        <r>
          <rPr>
            <b/>
            <sz val="9"/>
            <color indexed="81"/>
            <rFont val="Tahoma"/>
            <family val="2"/>
          </rPr>
          <t>Ivan Falahul:</t>
        </r>
        <r>
          <rPr>
            <sz val="9"/>
            <color indexed="81"/>
            <rFont val="Tahoma"/>
            <family val="2"/>
          </rPr>
          <t xml:space="preserve">
Filter untuk indikator langsung</t>
        </r>
      </text>
    </comment>
    <comment ref="A159" authorId="0" shapeId="0" xr:uid="{FA7F876B-D41D-4D79-94E3-577A78083E5C}">
      <text>
        <r>
          <rPr>
            <b/>
            <sz val="9"/>
            <color indexed="81"/>
            <rFont val="Tahoma"/>
            <family val="2"/>
          </rPr>
          <t>Ivan Falahul:</t>
        </r>
        <r>
          <rPr>
            <sz val="9"/>
            <color indexed="81"/>
            <rFont val="Tahoma"/>
            <family val="2"/>
          </rPr>
          <t xml:space="preserve">
Filter untuk indikator langsung</t>
        </r>
      </text>
    </comment>
    <comment ref="A204" authorId="0" shapeId="0" xr:uid="{974D6A21-3E54-459E-A55E-90BD6E46627F}">
      <text>
        <r>
          <rPr>
            <b/>
            <sz val="9"/>
            <color indexed="81"/>
            <rFont val="Tahoma"/>
            <family val="2"/>
          </rPr>
          <t>Ivan Falahul:</t>
        </r>
        <r>
          <rPr>
            <sz val="9"/>
            <color indexed="81"/>
            <rFont val="Tahoma"/>
            <family val="2"/>
          </rPr>
          <t xml:space="preserve">
Filter untuk indikator langsung</t>
        </r>
      </text>
    </comment>
    <comment ref="A249" authorId="0" shapeId="0" xr:uid="{142B73B1-49FC-4753-8C17-3248978CADB4}">
      <text>
        <r>
          <rPr>
            <b/>
            <sz val="9"/>
            <color indexed="81"/>
            <rFont val="Tahoma"/>
            <family val="2"/>
          </rPr>
          <t>Ivan Falahul:</t>
        </r>
        <r>
          <rPr>
            <sz val="9"/>
            <color indexed="81"/>
            <rFont val="Tahoma"/>
            <family val="2"/>
          </rPr>
          <t xml:space="preserve">
Filter untuk indikator langsung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<sst xmlns="http://schemas.openxmlformats.org/spreadsheetml/2006/main" count="8173" uniqueCount="503">
  <si>
    <t>RANK</t>
  </si>
  <si>
    <t xml:space="preserve">UNIT </t>
  </si>
  <si>
    <t>ULP TOLITOLI</t>
  </si>
  <si>
    <t>ULP LEOK</t>
  </si>
  <si>
    <t>ULP BANGKIR</t>
  </si>
  <si>
    <t>ULP MOUTONG</t>
  </si>
  <si>
    <t>ULP KOTARAYA</t>
  </si>
  <si>
    <t>UP3 TOLITOLI</t>
  </si>
  <si>
    <t>NO</t>
  </si>
  <si>
    <t>KPI</t>
  </si>
  <si>
    <t>ULP
TOLITOLI</t>
  </si>
  <si>
    <t>ULP
LEOK</t>
  </si>
  <si>
    <t>ULP
BANGKIR</t>
  </si>
  <si>
    <t>ULP
MOUTONG</t>
  </si>
  <si>
    <t>ULP
KOTARAYA</t>
  </si>
  <si>
    <t>Key Performance Indicators</t>
  </si>
  <si>
    <t>Penjualan dan Pendapatan Tenaga Listrik</t>
  </si>
  <si>
    <t>a. Penjualan Tenaga listrik</t>
  </si>
  <si>
    <t xml:space="preserve">b. Pendapatan Penjualan Tenaga Listrik </t>
  </si>
  <si>
    <t xml:space="preserve">Pengendalian Piutang Rata-Rata Tunggakan </t>
  </si>
  <si>
    <t>Susut Jaringan (Tanpa E-Min)</t>
  </si>
  <si>
    <t>Performance Indikator</t>
  </si>
  <si>
    <t>Peningkatan Pelayanan</t>
  </si>
  <si>
    <t>a. Response Time Atas Keluhan</t>
  </si>
  <si>
    <t>b. Recovery Time Atas Keluhan</t>
  </si>
  <si>
    <t>c. Response Time Atas Gangguan</t>
  </si>
  <si>
    <t>d. Recovery Time Atas Gangguan</t>
  </si>
  <si>
    <t>Jumlah Pengguna Aktif Aplikasi "PLN Mobile"</t>
  </si>
  <si>
    <t>Peningkatan Keandalan Jaringan</t>
  </si>
  <si>
    <t>a. SAIDI sesuai kewenangannya</t>
  </si>
  <si>
    <t>b. SAIFI sesuai kewenangannya</t>
  </si>
  <si>
    <t>Percepatan Penyambungan Pelanggan</t>
  </si>
  <si>
    <t>- PB/PD Paskem TR Tanpa Perluasan Jaringan</t>
  </si>
  <si>
    <t>Organization Capital Readiness (OCR)</t>
  </si>
  <si>
    <t>Maturity Level Kepatuhan</t>
  </si>
  <si>
    <t>Pengelolaan Revenue Assurence</t>
  </si>
  <si>
    <t>a. Update Data Pelanggan</t>
  </si>
  <si>
    <t>b. Migrasi VKRN 41 dan VKRN 42</t>
  </si>
  <si>
    <t>Migrasi LPB</t>
  </si>
  <si>
    <t>Eksekusi Program Peningkatan Keandalan dan Efisiensi Distribusi (NNC)</t>
  </si>
  <si>
    <t>a. Eksekusi Program Keandalan Distribusi</t>
  </si>
  <si>
    <t>b. Eksekusi P2TL</t>
  </si>
  <si>
    <t>Kepatuhan</t>
  </si>
  <si>
    <t>a. Keselamatan Ketenagalistrikan</t>
  </si>
  <si>
    <t>b. Pengelolaan Lingkungan Hidup</t>
  </si>
  <si>
    <t>c. Ketepatan Penyampaian Laporan  dan Akurasi Data Kinerja</t>
  </si>
  <si>
    <t>d.Pemenuhan TMP</t>
  </si>
  <si>
    <t>TOTAL PENILAIAN</t>
  </si>
  <si>
    <t>Target</t>
  </si>
  <si>
    <t>Real</t>
  </si>
  <si>
    <t>Pertumbuhan Penjualan Tenaga Listrik</t>
  </si>
  <si>
    <t>Delta Daya Tersambung</t>
  </si>
  <si>
    <t>kWh Jual Multiguna Non Backfeeding</t>
  </si>
  <si>
    <t>Pertumbuhan Penjualan Layanan Khusus</t>
  </si>
  <si>
    <t>Penambahan Pelanggan Premium</t>
  </si>
  <si>
    <t>SAIDI sesuai kewenangannya</t>
  </si>
  <si>
    <t>SAIFI sesuai kewenangannya</t>
  </si>
  <si>
    <t>Energy Not Served</t>
  </si>
  <si>
    <t>Implementasi PLN Mobile</t>
  </si>
  <si>
    <t>Jumlah Komplain Pelanggan</t>
  </si>
  <si>
    <t>Aging Complaint</t>
  </si>
  <si>
    <t xml:space="preserve">Rata-Rata Rasio Tunggakan </t>
  </si>
  <si>
    <t>Jumlah ULP NIHIL</t>
  </si>
  <si>
    <t>Migrasi LPB pelanggan menunggak berulang</t>
  </si>
  <si>
    <t>BPP - Opex Non Fuel</t>
  </si>
  <si>
    <t>CF Pembangkit Non BBM</t>
  </si>
  <si>
    <t>SFC PLTD PLN</t>
  </si>
  <si>
    <t>SAIDI</t>
  </si>
  <si>
    <t>Rasio Tunggakan</t>
  </si>
  <si>
    <t>Multiguna</t>
  </si>
  <si>
    <t>RE 99 %</t>
  </si>
  <si>
    <t>Komplain Pelanggan</t>
  </si>
  <si>
    <t>Unit</t>
  </si>
  <si>
    <t>Nilai Kinerja Organisasi (NKO)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</si>
  <si>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</si>
  <si>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</si>
  <si>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</si>
  <si>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</si>
  <si>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</si>
  <si>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</si>
  <si>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</si>
  <si>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</si>
  <si>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</si>
  <si>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</si>
  <si>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</si>
  <si>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</si>
  <si>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ULP Tolitoli Khusus</t>
  </si>
  <si>
    <t>ULP Leok</t>
  </si>
  <si>
    <t>ULP Bangkir</t>
  </si>
  <si>
    <t>ULP Kotaraya</t>
  </si>
  <si>
    <t>UP3 Tolitoli</t>
  </si>
  <si>
    <t>KONTRAK MANAJEMEN 2022</t>
  </si>
  <si>
    <t>PT PLN (PERSERO) UIW SULUTTENGGO</t>
  </si>
  <si>
    <t>SATUAN</t>
  </si>
  <si>
    <t>JAN</t>
  </si>
  <si>
    <t>FEB</t>
  </si>
  <si>
    <t>MAR</t>
  </si>
  <si>
    <t>APRIL</t>
  </si>
  <si>
    <t>MEI</t>
  </si>
  <si>
    <t>BOBOT</t>
  </si>
  <si>
    <t>TARGET</t>
  </si>
  <si>
    <t>REAL</t>
  </si>
  <si>
    <t>PENCAPAIAN</t>
  </si>
  <si>
    <t>NILAI</t>
  </si>
  <si>
    <t>TOTAL BOBOT</t>
  </si>
  <si>
    <t>TOTAL BOBOT PROPORSIONAL</t>
  </si>
  <si>
    <t>UNIT</t>
  </si>
  <si>
    <t>NKO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</si>
  <si>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</si>
  <si>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</si>
  <si>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</si>
  <si>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</si>
  <si>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</si>
  <si>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</si>
  <si>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</si>
  <si>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</si>
  <si>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</si>
  <si>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</si>
  <si>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</si>
  <si>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</si>
  <si>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ULP Tolitoli Kota</t>
  </si>
  <si>
    <t>ULP Moutong</t>
  </si>
  <si>
    <t>KONTRAK MANAJEMEN 2024</t>
  </si>
  <si>
    <t>PT PLN (PERSERO) UNIT INDUK DISTRIBUSI SULUTTENGGO</t>
  </si>
  <si>
    <t>UNIT PELAKSANA PELAYANAN PELANGGAN TOLITOLI</t>
  </si>
  <si>
    <t>PENJUALAN DAN PENDAPATAN TENAGA LISTRIK</t>
  </si>
  <si>
    <t>REALISASI BULANAN</t>
  </si>
  <si>
    <t>REALISASI KOMULATIF</t>
  </si>
  <si>
    <t>ULP Tolitoli</t>
  </si>
  <si>
    <t>Penjualan TL (GWh)</t>
  </si>
  <si>
    <t>Pendapatan TL (Rp)</t>
  </si>
  <si>
    <t>Harga Jual (Rp/kWh)</t>
  </si>
  <si>
    <t>Menit</t>
  </si>
  <si>
    <t>Pelanggan</t>
  </si>
  <si>
    <t>SAIDI (Menit/Plg)</t>
  </si>
  <si>
    <t>SAIFI</t>
  </si>
  <si>
    <t>Kali</t>
  </si>
  <si>
    <t>SAIFI (Kali/Plg)</t>
  </si>
  <si>
    <t>SAIFI (Menit/Plg)</t>
  </si>
  <si>
    <t>ENS DISTRIBUSI</t>
  </si>
  <si>
    <t>MWh</t>
  </si>
  <si>
    <t>SUSUT JARINGAN TANPA E-MIN (%)</t>
  </si>
  <si>
    <t>kWh Siap Salur (kWh)</t>
  </si>
  <si>
    <t>PSSD (kWh)</t>
  </si>
  <si>
    <t>Jual Tanpa E-min (kWh)</t>
  </si>
  <si>
    <t>Susut Jaringan (%)</t>
  </si>
  <si>
    <t>PENYELESAIAN TEMUAN P2TL</t>
  </si>
  <si>
    <t>TARGET (kWh)</t>
  </si>
  <si>
    <t>%Bulanan</t>
  </si>
  <si>
    <t>%</t>
  </si>
  <si>
    <t>%Komulatif</t>
  </si>
  <si>
    <t xml:space="preserve">PENYELESAIAN GANTI METER </t>
  </si>
  <si>
    <t>Total WO Keluhan</t>
  </si>
  <si>
    <t>JUNI</t>
  </si>
  <si>
    <t>PILIH BULAN LAPORAN</t>
  </si>
  <si>
    <t>TARGET 2022</t>
  </si>
  <si>
    <t>S.D. JANUARI</t>
  </si>
  <si>
    <t>OK</t>
  </si>
  <si>
    <t>S.D. FEBRUARI</t>
  </si>
  <si>
    <t>S.D. MARET</t>
  </si>
  <si>
    <t>S.D. APRIL</t>
  </si>
  <si>
    <t>S.D. MEI</t>
  </si>
  <si>
    <t>S.D. JUNI</t>
  </si>
  <si>
    <t>JULI</t>
  </si>
  <si>
    <t>S.D. JULI</t>
  </si>
  <si>
    <t>AUG</t>
  </si>
  <si>
    <t>S.D. AGUSTUS</t>
  </si>
  <si>
    <t>SEP</t>
  </si>
  <si>
    <t>S.D. SEPTEMBER</t>
  </si>
  <si>
    <t>OKT</t>
  </si>
  <si>
    <t>S.D. OKTOBER</t>
  </si>
  <si>
    <t>NOV</t>
  </si>
  <si>
    <t>S.D. NOVEMBER</t>
  </si>
  <si>
    <t>N/A</t>
  </si>
  <si>
    <t>DES</t>
  </si>
  <si>
    <t>S.D. DESEMBER</t>
  </si>
  <si>
    <t>TOLITOLI, 08 JUNI 2022</t>
  </si>
  <si>
    <t xml:space="preserve">GANGGUAN TM </t>
  </si>
  <si>
    <t>Gangguan TM &gt; 5 Menit</t>
  </si>
  <si>
    <t>Gangguan TM ≤ 5 Menit</t>
  </si>
  <si>
    <t>KERUSAKAN PERALATAN DISTRIBUSI</t>
  </si>
  <si>
    <t>REALIASI KOMULATIF</t>
  </si>
  <si>
    <t xml:space="preserve">Kerusakan PHB  - TM </t>
  </si>
  <si>
    <t>Kerusakan Trafo Distribusi</t>
  </si>
  <si>
    <t>Jumlah</t>
  </si>
  <si>
    <t>PENURUNAN FEEDBACK RATING NEGATIF PADA PLN MOBILE - GANGGUAN</t>
  </si>
  <si>
    <t>Total WO Gangguan</t>
  </si>
  <si>
    <t>Rating Negatif Gangguan</t>
  </si>
  <si>
    <t>Feedback Rating Negatif</t>
  </si>
  <si>
    <t>PENURUNAN PENGADUAN GANGGUAN BERULANG PADA PLN MOBILE</t>
  </si>
  <si>
    <t>Laporan Berulang</t>
  </si>
  <si>
    <t>RATING PLN MOBILE</t>
  </si>
  <si>
    <t>Semua Unit</t>
  </si>
  <si>
    <t>Rating</t>
  </si>
  <si>
    <t>JUMLAH KALI TRANSAKSI KEUANGAN PLN MOBILE - TOTAL</t>
  </si>
  <si>
    <t>Jumlah Kali Transaksi</t>
  </si>
  <si>
    <t>RCT DAN RPT GANGGUAN (MENIT)</t>
  </si>
  <si>
    <t>Respond Time (RPT)</t>
  </si>
  <si>
    <t>Recovery Time (RCT)</t>
  </si>
  <si>
    <t>SUCCESS RATE AUTO DISPATCH GANGGUAN INDIVIDUAL (DILUAR CLEAR TAMPER)</t>
  </si>
  <si>
    <t>Success Rate Auto Dispatch Gangguan Individual (Diluar Clear Tamper)</t>
  </si>
  <si>
    <t>RECOVERY TIME GANGGUAN MELUAS TM</t>
  </si>
  <si>
    <t>Recovery JTM</t>
  </si>
  <si>
    <t>PENORMALAN SIAGA 1 GANGUAN TM</t>
  </si>
  <si>
    <t>Penormalan Siaga 1 Ganguan TM</t>
  </si>
  <si>
    <t>PENGEMBANGAN APLIKASI KORPORAT</t>
  </si>
  <si>
    <t>Pengembangan EAM Distribusi</t>
  </si>
  <si>
    <t>PERCEPATAN PENYAMBUNGAN PELANGGAN</t>
  </si>
  <si>
    <t>Penambahan Daya Tersambung</t>
  </si>
  <si>
    <t>Penambahan Jumlah Pelanggan</t>
  </si>
  <si>
    <t>Jumlah Penambahan Pelanggan Produk Tematik</t>
  </si>
  <si>
    <t>Implementasi Kesesuaian Sektor Bisnis sesuai KBLI 2020</t>
  </si>
  <si>
    <t>Penambahan Jumlah Pelanggan Rumah Tangga Lisdes</t>
  </si>
  <si>
    <t>Peningkatan kWh Penjualan dari Pelanggan Rumah Tangga Lisdes</t>
  </si>
  <si>
    <t>JUMLAH PENGGUNA SWACAM</t>
  </si>
  <si>
    <t>Pengguna Swacam</t>
  </si>
  <si>
    <t>SISA STAND BONGKAR MIGRASI</t>
  </si>
  <si>
    <t>Jumlah Kompensasi UJL menjadi kWH di AP2T</t>
  </si>
  <si>
    <t>Total Kompensasi UJL Periode Berjalan</t>
  </si>
  <si>
    <t>Presentase</t>
  </si>
  <si>
    <t>PERSENTASE RATA- RATA SALDO PAL (RP)
NON KOGOL 1 TANGGAL 20 DIBANDINGKAN RATARATA REKENING BARU (RPPTL) NON KOGOL 1
BULAN BERJALAN</t>
  </si>
  <si>
    <t>Rata-Rata Saldo PAL Non Kogol 1 tanggal 20 (Juta)</t>
  </si>
  <si>
    <t>Target Saldo Rata-Rata PAL Tanggal 20 (Juta)</t>
  </si>
  <si>
    <t>PENGENDALIAN PIUTANG RATA-RATA TUNGGAKAN (RP JT)</t>
  </si>
  <si>
    <t>Saldo Total</t>
  </si>
  <si>
    <t>Target Saldo</t>
  </si>
  <si>
    <t>Realisasi</t>
  </si>
  <si>
    <t>PELUNASAN PRR</t>
  </si>
  <si>
    <t>PENGENDALIAN PENGGUNAAN ANGGARAN INVESTASI SESUAI RKAP</t>
  </si>
  <si>
    <t>Pengendalian Penggunaan Anggaran Investasi sesuai RKAP</t>
  </si>
  <si>
    <t>95-100</t>
  </si>
  <si>
    <t>Penyerapan (%)</t>
  </si>
  <si>
    <t>Usulan Penghapusan ATTB</t>
  </si>
  <si>
    <t>Usulan Penghapusan PRR</t>
  </si>
  <si>
    <t>HCR &amp; OCR</t>
  </si>
  <si>
    <t>HCR (%)</t>
  </si>
  <si>
    <t>OCR (%)</t>
  </si>
  <si>
    <t>PRODUKTIVITAS PEGAWAI</t>
  </si>
  <si>
    <t>HCR ,OCR &amp;  PRODUKTIVITA S PEGAWAI (%)</t>
  </si>
  <si>
    <t>PRODUKTIVITAS UNIT</t>
  </si>
  <si>
    <t>PENGELOLAAN KOMUNIKASI DAN TJLS</t>
  </si>
  <si>
    <t>TJSL (%)</t>
  </si>
  <si>
    <t>Komunikasi (%)</t>
  </si>
  <si>
    <t>TJSL &amp; Komunikasi (%)</t>
  </si>
  <si>
    <t>PENINGKATAN LAYANAN DAN BUDAYA K3</t>
  </si>
  <si>
    <t>Level</t>
  </si>
  <si>
    <t>PERBAIKAN PROSES BISNIS DAN KEBERLANJUTAN</t>
  </si>
  <si>
    <t xml:space="preserve"> Implementasi PLN Bisnis Ekselen</t>
  </si>
  <si>
    <t>Maturity Level Gudang</t>
  </si>
  <si>
    <t>Maturity Level Sustainbility</t>
  </si>
  <si>
    <t>Implementasi Roadmap Perbaikan Penerapan Manajemen Risiko dan Pencapaian</t>
  </si>
  <si>
    <t>KONTRAK MANAJEMEN 2025</t>
  </si>
  <si>
    <t>PT PLN (PERSERO) UID SULUTTENGGO</t>
  </si>
  <si>
    <t>TARGET 2025</t>
  </si>
  <si>
    <t>REALISASI</t>
  </si>
  <si>
    <t>TARGET 2023</t>
  </si>
  <si>
    <t>TOLITOLI, 08 JUNI 2023</t>
  </si>
  <si>
    <t xml:space="preserve"> </t>
  </si>
  <si>
    <t>REALISASI KINERJA UNIT TAHUN 2025</t>
  </si>
  <si>
    <t>PT PLN (PERSERO) ULP TOLITOLI</t>
  </si>
  <si>
    <t>PT PLN (PERSERO) ULP LEOK</t>
  </si>
  <si>
    <t>PT PLN (PERSERO) ULP BANGKIR</t>
  </si>
  <si>
    <t>PT PLN (PERSERO) ULP MOUTONG</t>
  </si>
  <si>
    <t>PT PLN (PERSERO) ULP KOTARAYA</t>
  </si>
  <si>
    <t>PILIH</t>
  </si>
  <si>
    <t>KPI UNIT 2023</t>
  </si>
  <si>
    <t>TARGET
2025</t>
  </si>
  <si>
    <t>I</t>
  </si>
  <si>
    <t>TOTAL PROPORSIONAL</t>
  </si>
  <si>
    <t>TOLITOLI,  8 OKTOBER 2025</t>
  </si>
  <si>
    <t>KONTRAK MANAJEMEN TAHUN 2025</t>
  </si>
  <si>
    <t>FORMULA</t>
  </si>
  <si>
    <t>TARGET KOMULATIF BULANAN TAHUN 2024</t>
  </si>
  <si>
    <t>SM1</t>
  </si>
  <si>
    <t>SM2</t>
  </si>
  <si>
    <t>Key Performance Indikator</t>
  </si>
  <si>
    <t>ñ</t>
  </si>
  <si>
    <t>kWh penjualan tenaga listrik</t>
  </si>
  <si>
    <t>ò</t>
  </si>
  <si>
    <t>(∑ (Lama padam x ∑ Pelanggan Padam)) / ∑ Pelanggan Dalam Satu Periode</t>
  </si>
  <si>
    <t>(∑ (Kali padam x ∑ Pelanggan Padam)) / ∑ Pelanggan Dalam Satu Periode</t>
  </si>
  <si>
    <t>(∑ (Kali gangguan penyulang/ panjang total penyulang beroperasi)) x 100%</t>
  </si>
  <si>
    <t>((Siap Salur Distribusi - kWh kirim ke Unit lain - PSSD - kWh penjualan tanpa E-min) / (Produksi Total Netto) x100%</t>
  </si>
  <si>
    <t>II</t>
  </si>
  <si>
    <t>Perfomance Indicators</t>
  </si>
  <si>
    <t>Keandalan Jaringan Distribusi</t>
  </si>
  <si>
    <t>Penurunan Persentase Feedback Rating Negatif Gangguan pada PLN Mobile dari tahun sebelumnya</t>
  </si>
  <si>
    <t>a. Gangguan TM &gt; 5 Menit</t>
  </si>
  <si>
    <t xml:space="preserve">Penurunan Persentase Feedback Rating Negatif Keluhan pada PLN Mobile dari tahun sebelumnya </t>
  </si>
  <si>
    <t>b. Gangguan TM ≤ 5 Menit</t>
  </si>
  <si>
    <t>Penurunan Persentase Gangguan Berulang diluar marking pada PLN Mobile dari tahun sebelumnya</t>
  </si>
  <si>
    <t>c. Kerusakan Peralatan Distribusi (PHB TM dan Trafo) Sesuai Kewenangan</t>
  </si>
  <si>
    <t>Jumlah IDPEL terdaftar pada PLN Mobile kumulatif</t>
  </si>
  <si>
    <t>Peningkatan Layanan</t>
  </si>
  <si>
    <t>a. Feedback Rating Negatif pada PLN Mobile - Gangguan</t>
  </si>
  <si>
    <t>b. Pengaduan Gangguan Berulang pada PLN Mobile</t>
  </si>
  <si>
    <t xml:space="preserve">Rata-Rata Bulanan dari Rata-Rata Durasi Response Time atas Gangguan pada periode berjalan </t>
  </si>
  <si>
    <t>c. Rating PLN Mobile</t>
  </si>
  <si>
    <t>Rata-Rata Bulanan dari Rata-Rata Durasi Recovery Time atas Gangguan pada periode berjalan</t>
  </si>
  <si>
    <t>d. Jumlah Kali Transaksi Keuangan melalui PLN Mobile</t>
  </si>
  <si>
    <t>Kali Transaksi</t>
  </si>
  <si>
    <t xml:space="preserve">Rata-Rata Bulanan dari Rata-Rata Durasi Response Time atas Keluhan pada periode berjalan </t>
  </si>
  <si>
    <t>Dispatch Respon Time</t>
  </si>
  <si>
    <t>a. Response Time atas Gangguan (diluar Clear Tamper)</t>
  </si>
  <si>
    <t>b. Success Rate Auto Dispatch Gangguan Individual (diluar Clear Tamper)</t>
  </si>
  <si>
    <t>Sistem Recovery :</t>
  </si>
  <si>
    <t>Rata-Rata Bulanan dari Rata-Rata Durasi Recovery Time atas Keluhan pada periode berjalan</t>
  </si>
  <si>
    <t>a. Recovery Time Gangguan Meluas TM</t>
  </si>
  <si>
    <t>b. Penormalan Siaga 1 Gangguan TM</t>
  </si>
  <si>
    <t>Digitalisasi Aplikasi Korporat</t>
  </si>
  <si>
    <t>a. Pengembangan EAM Distribusi</t>
  </si>
  <si>
    <t>a. Penambahan Daya Tersambung</t>
  </si>
  <si>
    <t>MVA</t>
  </si>
  <si>
    <t>b. Penambahan Jumlah Pelanggan</t>
  </si>
  <si>
    <t>c. Jumlah Penambahan Pelanggan Produk Tematik</t>
  </si>
  <si>
    <t>d. Implementasi Kesesuaian Sektor Bisnis sesuai KBLI 2020</t>
  </si>
  <si>
    <t>e. Penambahan Jumlah Pelanggan Rumah Tangga Lisdes</t>
  </si>
  <si>
    <t>f. Peningkatan kWh Penjualan dari Pelanggan Rumah Tangga Lisdes</t>
  </si>
  <si>
    <t>KWh</t>
  </si>
  <si>
    <t>Penambahan Jumlah SPKLU Terealisasi</t>
  </si>
  <si>
    <t>Pengelolaan Pembacaan Meter</t>
  </si>
  <si>
    <t>a. Jumlah Pengguna Swa Cam</t>
  </si>
  <si>
    <t>Rata-rata Hari Percepatan Penyambungan untuk PB, PD dan PASKEM yang tanpa perluasan</t>
  </si>
  <si>
    <t>b. Tindak Lanjut LBKB (Laporan Bulanan Kelainan Baca Meter)</t>
  </si>
  <si>
    <t>Percepatan Cash In</t>
  </si>
  <si>
    <t>a. Pencapaian Rata-Rata Saldo Tanggal 20 diluar Konsumen Instansi (Kementerian &amp; Lembaga)</t>
  </si>
  <si>
    <t>Rp. Juta</t>
  </si>
  <si>
    <t>Rata-rata Hari Percepatan Penyambungan untuk PB, PD dan PASKEM yang dengan perluasan Jaringan TR tanpa penambahan trafo</t>
  </si>
  <si>
    <t>b. Pencapaian Saldo Rata-Rata Akhir Bulan diluar Konsumen Instansi (Kementerian &amp; Lembaga)</t>
  </si>
  <si>
    <t>Jumlah Pelanggan Rumah Tangga pada periode berjalan (Kelompok R dan S1)</t>
  </si>
  <si>
    <t>c. Pencapaian Pelunasan PRR</t>
  </si>
  <si>
    <t>Pencapaian Milestone Program Digitalisasi Proses Bisnis
kedalam Aplikasi Korporat ((Centralized Payment, Monitoring Online Susut, Implementasi Smart Meter AMI, Integrated Digital System Warehouse untuk Material dan ATTB)</t>
  </si>
  <si>
    <t>Pengendalian  Anggaran</t>
  </si>
  <si>
    <t>a. Pengendalian Penggunaan Anggaran Investasi sesuai RKAP</t>
  </si>
  <si>
    <t>b. Usulan Penghapusan ATTB</t>
  </si>
  <si>
    <t>Rp. Milyar</t>
  </si>
  <si>
    <t>c. Usulan Penghapusan PRR</t>
  </si>
  <si>
    <t>Manajemen SDM, Komunikasi, dan TJSL</t>
  </si>
  <si>
    <t>a. HCR, OCR, dan Produktivitas Pegawai</t>
  </si>
  <si>
    <t>(Rata- Rata Saldo PAL (Rp) non kogol 1 Tanggal 20 / Rata - Rata Rekening Baru (RPPTL) non kogol 1 bulan berjalan) x 100%</t>
  </si>
  <si>
    <t>b. Produktivitas Unit</t>
  </si>
  <si>
    <t xml:space="preserve">Rata-Rata Saldo Bulanan Rekening Berjalan dan Rekening Tunggakan (PAL dan TS TUL 404) diluar Kogol 1 </t>
  </si>
  <si>
    <t>c. Pengelolaan Komunikasi dan TJSL</t>
  </si>
  <si>
    <t>Saldo Piutang Pelanggan Prabayar sudah jatuh tempo sampai dengan periode berjalan</t>
  </si>
  <si>
    <t>d. Peningkatan Layanan dan Budaya K3</t>
  </si>
  <si>
    <t>Perbaikan Proses Bisnis dan Keberlanjutan</t>
  </si>
  <si>
    <t>Kesesuaian Realisasi Anggaran Kas Investasi dengan AKI yang diterbitkan SKAI</t>
  </si>
  <si>
    <t>a. Implementasi PLN Bisnis Ekselen</t>
  </si>
  <si>
    <t>∑ Pemakaian Material / ∑ Rata-Rata Saldo Material</t>
  </si>
  <si>
    <t>b. Maturity Level Gudang</t>
  </si>
  <si>
    <t>Skor</t>
  </si>
  <si>
    <t>Pencapaian Maturity Level PLN Bisnis Ekselen</t>
  </si>
  <si>
    <t>c. Maturity Level Sustainbility</t>
  </si>
  <si>
    <t>Hasil Pemenuhan Risk Maturity Index (RMI)</t>
  </si>
  <si>
    <t>d. Implementasi Roadmap Perbaikan Penerapan Manajemen Risiko dan Pencapaian Perlakuan Risiko</t>
  </si>
  <si>
    <t>Kepatuhan :</t>
  </si>
  <si>
    <t>a. Pengelolaan K3, Keamanan dan Lingkungan Hidup</t>
  </si>
  <si>
    <t>Max-8</t>
  </si>
  <si>
    <t>b. Maturity Level Implementasi Sistem Manajemen Anti Penyuapan (SMAP)</t>
  </si>
  <si>
    <t>Max-4</t>
  </si>
  <si>
    <t>c. Ketepatan penyampaian pelaporan dan
Akurasi Data Kinerja</t>
  </si>
  <si>
    <t>Pemenuhan Nilai Hasil Assessment Manajemen SDM (HCR OCR) pada suatu periode sesuai Pedoman Kinerja HCR OCR 2023</t>
  </si>
  <si>
    <t>Max-10</t>
  </si>
  <si>
    <t>d. Tindak Lanjut Temuan Auditor</t>
  </si>
  <si>
    <t>Pemenuhan Nilai Pengelolaan Komunikasi dan TJSL pada suatu periode sesuai Pedoman Pengelolaan Komunikasi dan TJSL 2023</t>
  </si>
  <si>
    <t>Max-5</t>
  </si>
  <si>
    <t>e. Pencapaian Beyond RKAP</t>
  </si>
  <si>
    <t>Max-2
Max+2</t>
  </si>
  <si>
    <t xml:space="preserve">Jumlah KPI </t>
  </si>
  <si>
    <t>Keterangan :</t>
  </si>
  <si>
    <t>KPI Polaritas Positif, yaitu semakin besar realisasi, maka pencapaian semakin baik</t>
  </si>
  <si>
    <t>KPI Polaritas Negatif, yaitu semakin kecil realisasi, maka pencapaian semakin baik</t>
  </si>
  <si>
    <t>UNIT LAYANAN PELANGGAN TOLITOLI</t>
  </si>
  <si>
    <t>TARGET
SM 1</t>
  </si>
  <si>
    <t>TARGET
SM 2</t>
  </si>
  <si>
    <t xml:space="preserve"> REALISASI BULANAN TAHUN 2023</t>
  </si>
  <si>
    <t>UNIT LAYANAN PELANGGAN BANGKIR</t>
  </si>
  <si>
    <t xml:space="preserve"> REALISASI BULANAN TAHUN 2024</t>
  </si>
  <si>
    <t>UNIT LAYANAN PELANGGAN LEOK</t>
  </si>
  <si>
    <t>UNIT LAYANAN PELANGGAN MOUTONG</t>
  </si>
  <si>
    <t>UNIT LAYANAN PELANGGAN KOTARAYA</t>
  </si>
  <si>
    <t>TARGET KOMULATIF BULANAN TAHUN 2025</t>
  </si>
  <si>
    <t>Penjualan Tenaga Listrik</t>
  </si>
  <si>
    <t>GWh</t>
  </si>
  <si>
    <t>Keandalan Sistem</t>
  </si>
  <si>
    <t>a. SAIDI Sesuai Kewenangannya</t>
  </si>
  <si>
    <t>Menit/Plg</t>
  </si>
  <si>
    <t>b. SAIFI Sesuai Kewenangannya</t>
  </si>
  <si>
    <t>Kali/Plg</t>
  </si>
  <si>
    <t>c. ENS</t>
  </si>
  <si>
    <t>Efisiensi Jaringan Distribusi</t>
  </si>
  <si>
    <t>a. Susut Distribusi Tanpa E-min (sesuai kewenangan)</t>
  </si>
  <si>
    <t>b. Penyelesaian Temuan P2TL</t>
  </si>
  <si>
    <t>c. Penyelesaian Ganti Meter</t>
  </si>
  <si>
    <t>Rata-rata Hari Percepatan Penyambungan untuk PB, PD dan PASKEM yang dengan perluasan Jaringan TR dengan penambahan Trafo dan Perluasan JTM maksimum 3 gawang</t>
  </si>
  <si>
    <t>ó</t>
  </si>
  <si>
    <t>Jumlah Nilai Pengurang Pengelolaan K3, Keamanan, dan Lingkungan Hidup</t>
  </si>
  <si>
    <t>Jumlah Nilai Pengurang Maturity Level Kepatuhan</t>
  </si>
  <si>
    <t>Jumlah Nilai Pengurang dari Unsur Kepatuhan pada Kelengkapan Penyampaian Pelaporan melalui Aplikasi Korporat &amp; Akurasi Data terkait Kinerja</t>
  </si>
  <si>
    <t>Jumlah Nilai Pengurang Tindak Lanjut Temuan Auditor</t>
  </si>
  <si>
    <t>Total penjualan tenaga listrik</t>
  </si>
  <si>
    <t>a. SAIDI (sesuai kewenangan)</t>
  </si>
  <si>
    <t>menit/plg</t>
  </si>
  <si>
    <t>b. SAIFI (sesuai kewenangan)</t>
  </si>
  <si>
    <t>kali/plg</t>
  </si>
  <si>
    <t>c. ENS (sesuai kewenangan)</t>
  </si>
  <si>
    <t>∑ Energi yang tidak dapat disalurkan akibat Padam Tidak Terencana dan Terencana</t>
  </si>
  <si>
    <t>((Siap Salur Distribusi sesuai kewenangan titik transaksi - kWh kirim ke Unit lain - PSSD - kWh penjualan tanpa E-min) / (Produksi Total Netto)) x100%</t>
  </si>
  <si>
    <t>Jumlah Realisasi KWh P2TL tercatat di AP2T / Jumlah Target KWh P2TL</t>
  </si>
  <si>
    <t>Jumlah penggantian kWh Meter pada periode berjalan</t>
  </si>
  <si>
    <t>∑ kali Gangguan Jaringan Tegangan Menengah dan Gardu Distribusi yang berdampak padam pelanggan di semua zona durasi &gt; 5 menit (permanen)</t>
  </si>
  <si>
    <t>∑ kali Gangguan Jaringan Tegangan Menengah  dan Gardu Distribusi yang berdampak padam pelanggan di semua zona durasi ≤ 5 menit (temporer)</t>
  </si>
  <si>
    <t>∑ Total Kerusakan Peralatan PHB TM + ∑ Total Kerusakan Trafo Distribusi</t>
  </si>
  <si>
    <t>∑ {(Feedback Rating Negatif Gangguan pada PLN Mobile / Total Work Order Gangguan PLN Mobile periode bulan berjalan) x 100%} / ∑bulan</t>
  </si>
  <si>
    <t>∑ {(Gangguan Berulang non marking &amp; manual marking pada PLN Mobile / Total Work Order Gangguan periode bulan berjalan) x 100%} / ∑bulan</t>
  </si>
  <si>
    <t>Realisasi Rating PLN Mobile pada Google Playstore Periode Akhir Bulan Berjalan</t>
  </si>
  <si>
    <t>Total Kali Transaksi Keuangan di PLN Mobile (Seluruh Pelanggan PLN)</t>
  </si>
  <si>
    <t>∑ {total durasi response time atas gangguan kode G (diluar clear temper) / Total WO  gangguan kode G di APKT (diluar clear temper) pada periode berjalan} / ∑bulan</t>
  </si>
  <si>
    <t>{∑ Kali Auto Dispatch sukses / (∑ Total WO - ∑ WO Marking)}</t>
  </si>
  <si>
    <t>{(2 x μ∑RCT_GI) + (1 x μ∑RCT_JTM) + (1 x μ∑RCT_GD)} / Total Bobot</t>
  </si>
  <si>
    <t>{(2 x μ∑Siaga1_SUTM) + (2 x μ∑Siaga1_SKTM) + (1 x μ∑Siaga1_PHBTM) + (1 x μ∑Siaga1_Trafo)) / Total Koefisien</t>
  </si>
  <si>
    <t>Jumlah Penambahan Daya Tersambung pada periode berjalan</t>
  </si>
  <si>
    <t>Jumlah Penambahan Pelanggan pada periode berjalan</t>
  </si>
  <si>
    <t>Total Penambahan Pelanggan dari implementasi produk Tematik,termasuk semua Program Diskon Pasang Baru dan Tambah Daya</t>
  </si>
  <si>
    <t>Implementasi Kesesuaian Sektor Bisnis sesuai KBLI 2020 dengan target data pelanggan B4, I3, dan I4</t>
  </si>
  <si>
    <t>Percepatan Penyambungan Pelanggan Lisdes</t>
  </si>
  <si>
    <t>a. Penambahan Jumlah Pelanggan Rumah Tangga Lisdes</t>
  </si>
  <si>
    <t>Jumlah Penambahan Pelanggan Rumah Tangga Lisdes pada periode berjalan</t>
  </si>
  <si>
    <t>b. Peningkatan kWh Penjualan dari Pelanggan Rumah Tangga Lisdes</t>
  </si>
  <si>
    <t>kWh</t>
  </si>
  <si>
    <t>Jumlah kWh Jual dari Pelanggan Rumah Tangga Lisdes pada periode berjalan</t>
  </si>
  <si>
    <t>Rata-rata Bulanan Jumlah Pelanggan yang Mengirim Swa Cam sampai dengan Bulan Berjalan</t>
  </si>
  <si>
    <t>Tidak ada LBKB Gangguan Baca dan Gangguan Meter Pelanggan Pascabayar diatas 3 bulan berturut-turut</t>
  </si>
  <si>
    <t>Sisa Stand Bongkar Migrasi</t>
  </si>
  <si>
    <t>Jumlah Kompensasi UJL yang tereksekusi menjadi kWh pada AP2T / Total kompensasi UJL pada periode berjalan</t>
  </si>
  <si>
    <t>a. Persentase Rata-Rata Saldo Tanggal 20 Non Kogol 1 dan Non Kogol 2</t>
  </si>
  <si>
    <t>Realisasi Saldo Rata-Rata Tanggal 20 Non Kogol 1 dan Non Kogol 2</t>
  </si>
  <si>
    <t>b. Pencapaian Saldo Rata-Rata Akhir Bulan Non Kogol 1 dan Non Kogol 2</t>
  </si>
  <si>
    <t>Realisasi Saldo PAL dan TS Rata-Rata Akhir Bulan Non Kogol 1 dan Non Kogol 2</t>
  </si>
  <si>
    <t>Pelunasan PRR dan Angsuran PRR sesuai Laporan TUL IV-06</t>
  </si>
  <si>
    <t>Nilai Pengurang Maturity Level Implementasi Sistem Manajemen Anti Penyuapan (SMAP)</t>
  </si>
  <si>
    <t>Nilai Pengurang atau Penambah terhadap Pencapaian Beyond RKAP</t>
  </si>
  <si>
    <t>Menit/plg</t>
  </si>
  <si>
    <t>Kali/plg</t>
  </si>
  <si>
    <t xml:space="preserve">. </t>
  </si>
  <si>
    <t>d. Penyelesaian Ganti Meter</t>
  </si>
  <si>
    <t>KHUSUS BAGIAN INI RUMUS HARUS DI INPUT SESUAI SETIAP INDIKATOR</t>
  </si>
  <si>
    <t>trial untuk update ke github</t>
  </si>
  <si>
    <t>Temp Ind</t>
  </si>
  <si>
    <t>mencari titik</t>
  </si>
  <si>
    <t>hapus titik</t>
  </si>
  <si>
    <t>INDIKATOR</t>
  </si>
  <si>
    <t>:</t>
  </si>
  <si>
    <t>GREEN</t>
  </si>
  <si>
    <t>YELLOW</t>
  </si>
  <si>
    <t>RED</t>
  </si>
  <si>
    <t>-</t>
  </si>
  <si>
    <t>PI</t>
  </si>
  <si>
    <t>GAP LAYOUT</t>
  </si>
  <si>
    <t>GAP KIN</t>
  </si>
  <si>
    <t>GAP POIN</t>
  </si>
  <si>
    <t>NILAI KINERJA</t>
  </si>
  <si>
    <t>KC TOLIS</t>
  </si>
  <si>
    <t>BANGKIR</t>
  </si>
  <si>
    <t>LEOK</t>
  </si>
  <si>
    <t>MOUTONH</t>
  </si>
  <si>
    <t>KOTARAYA</t>
  </si>
  <si>
    <t>Month</t>
  </si>
  <si>
    <t>INDICATOR</t>
  </si>
  <si>
    <t>PENCAPAIAN NKO 2025</t>
  </si>
  <si>
    <t>GAP KINERJA</t>
  </si>
  <si>
    <t>Indicator</t>
  </si>
  <si>
    <t>LAYOUT DASHBOARD UTAMA</t>
  </si>
  <si>
    <t>LAYOUT DASBOARD INDICATOR</t>
  </si>
  <si>
    <t>MONTH</t>
  </si>
  <si>
    <t>ULP
PENCAPAIAN</t>
  </si>
  <si>
    <t>Green</t>
  </si>
  <si>
    <t>Yellow</t>
  </si>
  <si>
    <t>ULP
REALISASI</t>
  </si>
  <si>
    <t>REALISASI KOMULATIF BULANAN TAHUN 2025</t>
  </si>
  <si>
    <t>SMT 1</t>
  </si>
  <si>
    <t>SMT 2</t>
  </si>
  <si>
    <t>PENCAPAIAN BULANAN TAHUN 2025</t>
  </si>
  <si>
    <t>PENCAPAIAN 2025</t>
  </si>
  <si>
    <t>PENCAPAIAN
SMT II</t>
  </si>
  <si>
    <t>PENCAPAIAN
SMT I</t>
  </si>
  <si>
    <t>REALISASI
SMT I</t>
  </si>
  <si>
    <t>REALISASI
SMT II</t>
  </si>
  <si>
    <t>APT</t>
  </si>
  <si>
    <t>MAY</t>
  </si>
  <si>
    <t>JUN</t>
  </si>
  <si>
    <t>JUL</t>
  </si>
  <si>
    <t>OCT</t>
  </si>
  <si>
    <t>DEC</t>
  </si>
  <si>
    <t xml:space="preserve"> REALISASI TAHUN 2025</t>
  </si>
  <si>
    <t>c. Ketepatan penyampaian pelaporan dan Akurasi Data Kinerja</t>
  </si>
  <si>
    <t xml:space="preserve"> REALISASI BULANAN TAHUN 2025</t>
  </si>
  <si>
    <t>FILTER INDIKATOR YANG LANGSUNG MEMILIKI BOBOT</t>
  </si>
  <si>
    <t>MENCARI TITIK</t>
  </si>
  <si>
    <t>HILANGKAN TITIK</t>
  </si>
  <si>
    <t>BOBOT NILAI</t>
  </si>
  <si>
    <t>Pencapaian Rata-Rata Saldo Tanggal 20 diluar Konsumen Instansi (Kementerian &amp; Lembaga)</t>
  </si>
  <si>
    <t>digunakan untuk memperhalus nama indikator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</si>
</sst>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8">
    <numFmt numFmtId="5" formatCode="&quot;Rp&quot;#,##0;\-&quot;Rp&quot;#,##0"/>
    <numFmt numFmtId="6" formatCode="&quot;Rp&quot;#,##0;[Red]\-&quot;Rp&quot;#,##0"/>
    <numFmt numFmtId="42" formatCode="_-&quot;Rp&quot;* #,##0_-;\-&quot;Rp&quot;* #,##0_-;_-&quot;Rp&quot;* &quot;-&quot;_-;_-@_-"/>
    <numFmt numFmtId="41" formatCode="_-* #,##0_-;\-* #,##0_-;_-* &quot;-&quot;_-;_-@_-"/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&quot;$&quot;#,##0.00_);\(&quot;$&quot;#,##0.00\)"/>
    <numFmt numFmtId="167" formatCode="&quot;$&quot;#,##0.00_);[Red]\(&quot;$&quot;#,##0.00\)"/>
    <numFmt numFmtId="168" formatCode="_(* #,##0_);_(* \(#,##0\);_(* &quot;-&quot;_);_(@_)"/>
    <numFmt numFmtId="169" formatCode="_(&quot;$&quot;* #,##0.00_);_(&quot;$&quot;* \(#,##0.00\);_(&quot;$&quot;* &quot;-&quot;??_);_(@_)"/>
    <numFmt numFmtId="170" formatCode="_(* #,##0.00_);_(* \(#,##0.00\);_(* &quot;-&quot;??_);_(@_)"/>
    <numFmt numFmtId="171" formatCode="_-&quot;£&quot;* #,##0.00_-;\-&quot;£&quot;* #,##0.00_-;_-&quot;£&quot;* &quot;-&quot;??_-;_-@_-"/>
    <numFmt numFmtId="172" formatCode="&quot;Rp&quot;#,##0_);\(&quot;Rp&quot;#,##0\)"/>
    <numFmt numFmtId="173" formatCode="_(&quot;Rp&quot;* #,##0_);_(&quot;Rp&quot;* \(#,##0\);_(&quot;Rp&quot;* &quot;-&quot;_);_(@_)"/>
    <numFmt numFmtId="174" formatCode="_(&quot;Rp&quot;* #,##0.00_);_(&quot;Rp&quot;* \(#,##0.00\);_(&quot;Rp&quot;* &quot;-&quot;??_);_(@_)"/>
    <numFmt numFmtId="175" formatCode="mmm\.yy"/>
    <numFmt numFmtId="176" formatCode="[$-421]dd\ mmmm\ yyyy;@"/>
    <numFmt numFmtId="177" formatCode="[$-409]d\-mmm\-yy;@"/>
    <numFmt numFmtId="178" formatCode="#,##0.0"/>
    <numFmt numFmtId="179" formatCode="_(* #,##0_);_(* \(#,##0\);_(* &quot;-&quot;??_);_(@_)"/>
    <numFmt numFmtId="180" formatCode="#,##0;\-#,##0;&quot;-&quot;"/>
    <numFmt numFmtId="181" formatCode="mmmm\-yy"/>
    <numFmt numFmtId="182" formatCode="d\.m\.yy\ h:mm"/>
    <numFmt numFmtId="183" formatCode="0&quot;  &quot;"/>
    <numFmt numFmtId="184" formatCode="\(0%\)"/>
    <numFmt numFmtId="185" formatCode="0.0_);\(0.0\)"/>
    <numFmt numFmtId="186" formatCode="\$#,##0\ ;\(\$#,##0\)"/>
    <numFmt numFmtId="187" formatCode="#."/>
    <numFmt numFmtId="188" formatCode="#,##0.0_);\(#,##0.0\)"/>
    <numFmt numFmtId="189" formatCode="General_)"/>
    <numFmt numFmtId="190" formatCode="_(* #,##0.000_);_(* \(#,##0.000\);_(* &quot;-&quot;??_);_(@_)"/>
    <numFmt numFmtId="191" formatCode="0.00_)"/>
    <numFmt numFmtId="192" formatCode="0_)"/>
    <numFmt numFmtId="193" formatCode="#,##0.0000_);\(#,##0.0000\)"/>
    <numFmt numFmtId="194" formatCode="_(* #,##0.000_);_(* \(#,##0.000\);_(* &quot;-&quot;_);_(@_)"/>
    <numFmt numFmtId="195" formatCode="0.0000"/>
    <numFmt numFmtId="196" formatCode="0.0"/>
    <numFmt numFmtId="197" formatCode="mm/dd/yy"/>
    <numFmt numFmtId="198" formatCode="0.00&quot;  &quot;"/>
    <numFmt numFmtId="199" formatCode="_-&quot;Rp&quot;\ * #,##0_-;\-&quot;Rp&quot;\ * #,##0_-;_-&quot;Rp&quot;\ * &quot;-&quot;_-;_-@_-"/>
    <numFmt numFmtId="200" formatCode="&quot;｣ &quot;#,##0.00_);[Red]\(&quot;｣ &quot;#,##0.00\)"/>
    <numFmt numFmtId="201" formatCode="&quot;\&quot;#,##0;[Red]&quot;\&quot;&quot;\&quot;\-#,##0"/>
    <numFmt numFmtId="202" formatCode="&quot;\&quot;#,##0.00;[Red]&quot;\&quot;&quot;\&quot;&quot;\&quot;&quot;\&quot;&quot;\&quot;&quot;\&quot;\-#,##0.00"/>
    <numFmt numFmtId="203" formatCode="&quot;\&quot;#,##0.00;[Red]&quot;\&quot;\-#,##0.00"/>
    <numFmt numFmtId="204" formatCode="&quot;\&quot;#,##0;[Red]&quot;\&quot;\-#,##0"/>
    <numFmt numFmtId="205" formatCode="0.00000%"/>
    <numFmt numFmtId="206" formatCode="_-&quot;$&quot;* #,##0.00_-;\-&quot;$&quot;* #,##0.00_-;_-&quot;$&quot;* &quot;-&quot;??_-;_-@_-"/>
    <numFmt numFmtId="207" formatCode="dd"/>
    <numFmt numFmtId="208" formatCode="_-* #,##0.00\ &quot;F&quot;_-;\-* #,##0.00\ &quot;F&quot;_-;_-* &quot;-&quot;??\ &quot;F&quot;_-;_-@_-"/>
    <numFmt numFmtId="209" formatCode="0.000%"/>
    <numFmt numFmtId="210" formatCode="\ mmmm\ \'yy"/>
    <numFmt numFmtId="211" formatCode="#,##0.0_);[Red]\(#,##0.0\)"/>
    <numFmt numFmtId="212" formatCode="0_);\(0\)"/>
    <numFmt numFmtId="213" formatCode="0.00_);\(0.00\)"/>
    <numFmt numFmtId="214" formatCode="&quot;Rp&quot;\.#,##0_);\(&quot;Rp&quot;\.#,##0\)"/>
    <numFmt numFmtId="215" formatCode="0;[Red]0"/>
    <numFmt numFmtId="216" formatCode="[$€-2]\ #,##0.00_);[Red]\([$€-2]\ #,##0.00\)"/>
    <numFmt numFmtId="217" formatCode="#,##0.000"/>
    <numFmt numFmtId="218" formatCode="0.000000000"/>
    <numFmt numFmtId="219" formatCode="0.000"/>
    <numFmt numFmtId="220" formatCode="_ &quot;\&quot;* #,##0.00_ ;_ &quot;\&quot;* &quot;\&quot;&quot;\&quot;&quot;\&quot;&quot;\&quot;&quot;\&quot;&quot;\&quot;\-#,##0.00_ ;_ &quot;\&quot;* &quot;-&quot;??_ ;_ @_ "/>
    <numFmt numFmtId="221" formatCode="_-&quot;£ &quot;* #,##0_-;\-&quot;£ &quot;* #,##0_-;_-&quot;£ &quot;* &quot;-&quot;_-;_-@_-"/>
    <numFmt numFmtId="222" formatCode="_(* #,##0_);_(* \(#,##0\);_(* \-_);_(@_)"/>
    <numFmt numFmtId="223" formatCode="_-* #,##0.00\ _D_M_-;\-* #,##0.00\ _D_M_-;_-* &quot;-&quot;\ _D_M_-;_-@_-"/>
    <numFmt numFmtId="224" formatCode="_(* #,##0.00_);_(* \(#,##0.00\);_(* \-??_);_(@_)"/>
    <numFmt numFmtId="225" formatCode=";;"/>
    <numFmt numFmtId="226" formatCode="m/d/yy;@"/>
    <numFmt numFmtId="227" formatCode="0.000_);\(0.000\)"/>
    <numFmt numFmtId="228" formatCode="&quot;Rp.&quot;\ #,##0.00_);\(&quot;Rp.&quot;\ #,##0.00\)"/>
    <numFmt numFmtId="229" formatCode="0.0%"/>
    <numFmt numFmtId="230" formatCode="_ * #,##0_ ;_ * \-#,##0_ ;_ * &quot;-&quot;_ ;_ @_ "/>
    <numFmt numFmtId="231" formatCode="0.00_ "/>
    <numFmt numFmtId="232" formatCode="0.00000000"/>
    <numFmt numFmtId="233" formatCode="_(* #,##0.0_);_(* \(#,##0.0\);_(* &quot;-&quot;_);_(@_)"/>
    <numFmt numFmtId="234" formatCode="_(* #,##0.00_);_(* \(#,##0.00\);_(* &quot;-&quot;_);_(@_)"/>
    <numFmt numFmtId="235" formatCode="&quot;$&quot;#,##0\ ;\(&quot;$&quot;#,##0\)"/>
    <numFmt numFmtId="236" formatCode="mmm\,yy"/>
    <numFmt numFmtId="237" formatCode="#,##0.00;[Red]#,##0.00"/>
    <numFmt numFmtId="238" formatCode="d\,m\,yy\ h:mm"/>
    <numFmt numFmtId="239" formatCode="_(&quot;$&quot;* #,##0.00000_);_(&quot;$&quot;* \(#,##0.00000\);_(&quot;$&quot;* &quot;-&quot;?????_);_(@_)"/>
    <numFmt numFmtId="240" formatCode="_-[$$-1009]* #,##0_-;\-[$$-1009]* #,##0_-;_-[$$-1009]* &quot;-&quot;_-;_-@_-"/>
    <numFmt numFmtId="241" formatCode="_-* #,##0.0_-;\-* #,##0.0_-;_-* &quot;-&quot;_-;_-@_-"/>
    <numFmt numFmtId="242" formatCode="mmm"/>
    <numFmt numFmtId="243" formatCode="mmmm"/>
    <numFmt numFmtId="244" formatCode="_(* #,##0.0_);_(* \(#,##0.0\);_(* &quot;-&quot;??_);_(@_)"/>
    <numFmt numFmtId="245" formatCode="_-* #,##0.0_-;\-* #,##0.0_-;_-* &quot;-&quot;?_-;_-@_-"/>
  </numFmts>
  <fonts count="192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b/>
      <sz val="11"/>
      <name val="Calibri"/>
      <family val="2"/>
      <charset val="1"/>
      <scheme val="minor"/>
    </font>
    <font>
      <sz val="11"/>
      <name val="Calibri"/>
      <family val="2"/>
      <charset val="1"/>
      <scheme val="minor"/>
    </font>
    <font>
      <sz val="11"/>
      <color theme="1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charset val="1"/>
      <scheme val="minor"/>
    </font>
    <font>
      <b/>
      <sz val="12"/>
      <color theme="0"/>
      <name val="Calibri"/>
      <family val="2"/>
      <scheme val="minor"/>
    </font>
    <font>
      <b/>
      <i/>
      <sz val="11"/>
      <name val="Calibri"/>
      <family val="2"/>
      <charset val="1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8"/>
      <name val="Times New Roman"/>
      <family val="1"/>
    </font>
    <font>
      <sz val="12"/>
      <name val="¹UAAA¼"/>
      <family val="3"/>
      <charset val="255"/>
    </font>
    <font>
      <sz val="10"/>
      <color indexed="8"/>
      <name val="Arial"/>
      <family val="2"/>
    </font>
    <font>
      <sz val="10"/>
      <name val="Times"/>
      <family val="1"/>
    </font>
    <font>
      <b/>
      <sz val="11"/>
      <color indexed="52"/>
      <name val="Calibri"/>
      <family val="2"/>
    </font>
    <font>
      <sz val="7"/>
      <name val="Times New Roman"/>
      <family val="1"/>
    </font>
    <font>
      <b/>
      <sz val="11"/>
      <color indexed="9"/>
      <name val="Calibri"/>
      <family val="2"/>
    </font>
    <font>
      <sz val="12"/>
      <name val="Helv"/>
    </font>
    <font>
      <sz val="11"/>
      <color indexed="8"/>
      <name val="Calibri"/>
      <family val="2"/>
      <charset val="1"/>
    </font>
    <font>
      <sz val="11"/>
      <name val="Comic Sans MS"/>
      <family val="4"/>
    </font>
    <font>
      <sz val="10"/>
      <name val="Book Antiqua"/>
      <family val="1"/>
    </font>
    <font>
      <sz val="8"/>
      <name val="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Times New Roman"/>
      <family val="1"/>
    </font>
    <font>
      <sz val="1"/>
      <color indexed="16"/>
      <name val="Courier"/>
      <family val="3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16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2"/>
      <color indexed="9"/>
      <name val="Helv"/>
    </font>
    <font>
      <sz val="10"/>
      <name val="Geneva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2"/>
      <name val="Arial MT"/>
    </font>
    <font>
      <sz val="12"/>
      <name val="SWISS"/>
    </font>
    <font>
      <sz val="12"/>
      <name val="Arial"/>
      <family val="2"/>
    </font>
    <font>
      <sz val="10"/>
      <color indexed="8"/>
      <name val="MS Sans Serif"/>
      <family val="2"/>
    </font>
    <font>
      <b/>
      <sz val="11"/>
      <color indexed="63"/>
      <name val="Calibri"/>
      <family val="2"/>
    </font>
    <font>
      <sz val="10"/>
      <name val="Trebuchet MS"/>
      <family val="2"/>
    </font>
    <font>
      <sz val="10"/>
      <name val="MS Sans Serif"/>
      <family val="2"/>
    </font>
    <font>
      <b/>
      <sz val="10"/>
      <name val="Courier New"/>
      <family val="3"/>
    </font>
    <font>
      <sz val="10"/>
      <name val="Tms Rmn"/>
    </font>
    <font>
      <sz val="8"/>
      <name val="Helv"/>
    </font>
    <font>
      <b/>
      <i/>
      <sz val="8"/>
      <name val="Arial"/>
      <family val="2"/>
    </font>
    <font>
      <sz val="12"/>
      <name val="Univers (WN)"/>
      <family val="2"/>
    </font>
    <font>
      <sz val="10"/>
      <name val="Times New Roman"/>
      <family val="1"/>
    </font>
    <font>
      <b/>
      <sz val="12"/>
      <name val="MS Sans Serif"/>
      <family val="2"/>
    </font>
    <font>
      <sz val="12"/>
      <name val="MS Sans Serif"/>
      <family val="2"/>
    </font>
    <font>
      <b/>
      <sz val="9"/>
      <name val="Arial"/>
      <family val="2"/>
    </font>
    <font>
      <b/>
      <sz val="8"/>
      <color indexed="8"/>
      <name val="Helv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0"/>
      <name val="Helv"/>
      <family val="2"/>
    </font>
    <font>
      <sz val="11"/>
      <color indexed="10"/>
      <name val="Calibri"/>
      <family val="2"/>
    </font>
    <font>
      <sz val="12"/>
      <name val="Helv"/>
      <family val="2"/>
    </font>
    <font>
      <sz val="14"/>
      <name val="뼻뮝"/>
      <family val="3"/>
      <charset val="255"/>
    </font>
    <font>
      <sz val="12"/>
      <name val="뼻뮝"/>
      <family val="1"/>
      <charset val="255"/>
    </font>
    <font>
      <sz val="12"/>
      <name val="바탕체"/>
      <family val="1"/>
      <charset val="255"/>
    </font>
    <font>
      <sz val="10"/>
      <name val="굴림체"/>
      <family val="3"/>
      <charset val="255"/>
    </font>
    <font>
      <sz val="11"/>
      <name val="ＭＳ Ｐゴシック"/>
      <family val="3"/>
      <charset val="128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charset val="1"/>
      <scheme val="minor"/>
    </font>
    <font>
      <b/>
      <sz val="12"/>
      <name val="Calibri"/>
      <family val="2"/>
      <scheme val="minor"/>
    </font>
    <font>
      <b/>
      <sz val="12"/>
      <color theme="0"/>
      <name val="Calibri"/>
      <family val="2"/>
      <charset val="1"/>
      <scheme val="minor"/>
    </font>
    <font>
      <sz val="10"/>
      <name val="Geneva"/>
    </font>
    <font>
      <sz val="12"/>
      <name val="¹ÙÅÁÃ¼"/>
      <charset val="129"/>
    </font>
    <font>
      <sz val="10"/>
      <name val="Helv"/>
    </font>
    <font>
      <sz val="11"/>
      <color indexed="20"/>
      <name val="Calibri"/>
      <family val="2"/>
    </font>
    <font>
      <b/>
      <sz val="10"/>
      <name val="Helv"/>
    </font>
    <font>
      <sz val="11"/>
      <name val="ＭＳ Ｐゴシック"/>
      <charset val="128"/>
    </font>
    <font>
      <sz val="12"/>
      <name val="¹ÙÅÁÃ¼"/>
    </font>
    <font>
      <u/>
      <sz val="10"/>
      <color theme="10"/>
      <name val="MS Sans Serif"/>
      <family val="2"/>
    </font>
    <font>
      <u/>
      <sz val="11"/>
      <color indexed="12"/>
      <name val="Arial"/>
      <family val="2"/>
    </font>
    <font>
      <u/>
      <sz val="6.6"/>
      <color theme="10"/>
      <name val="Calibri"/>
      <family val="2"/>
    </font>
    <font>
      <u/>
      <sz val="11"/>
      <color theme="10"/>
      <name val="Calibri"/>
      <family val="2"/>
      <charset val="1"/>
    </font>
    <font>
      <sz val="11"/>
      <color theme="1"/>
      <name val="Calibri"/>
      <family val="2"/>
      <charset val="128"/>
      <scheme val="minor"/>
    </font>
    <font>
      <sz val="7"/>
      <name val="Arial"/>
      <family val="2"/>
    </font>
    <font>
      <b/>
      <sz val="11"/>
      <name val="Arial Narrow"/>
      <family val="2"/>
    </font>
    <font>
      <sz val="11"/>
      <name val="Arial Narrow"/>
      <family val="2"/>
    </font>
    <font>
      <sz val="11"/>
      <color theme="1"/>
      <name val="Arial Narrow"/>
      <family val="2"/>
    </font>
    <font>
      <i/>
      <sz val="11"/>
      <name val="Calibri"/>
      <family val="2"/>
      <scheme val="minor"/>
    </font>
    <font>
      <b/>
      <sz val="12"/>
      <name val="Arial Narrow"/>
      <family val="2"/>
    </font>
    <font>
      <sz val="12"/>
      <name val="Arial Narrow"/>
      <family val="2"/>
    </font>
    <font>
      <sz val="12"/>
      <color theme="1"/>
      <name val="Arial Narrow"/>
      <family val="2"/>
    </font>
    <font>
      <sz val="12"/>
      <color indexed="8"/>
      <name val="Arial Narrow"/>
      <family val="2"/>
    </font>
    <font>
      <b/>
      <sz val="14"/>
      <color theme="1"/>
      <name val="Wingdings 2"/>
      <family val="1"/>
      <charset val="2"/>
    </font>
    <font>
      <b/>
      <sz val="14"/>
      <color theme="0"/>
      <name val="Calibri"/>
      <family val="2"/>
      <scheme val="minor"/>
    </font>
    <font>
      <sz val="13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Century Gothic"/>
      <family val="2"/>
    </font>
    <font>
      <sz val="10"/>
      <name val="Comic Sans MS"/>
      <family val="4"/>
    </font>
    <font>
      <sz val="11"/>
      <color rgb="FF000000"/>
      <name val="Calibri"/>
      <family val="2"/>
    </font>
    <font>
      <sz val="9"/>
      <name val="Arial"/>
      <family val="2"/>
    </font>
    <font>
      <sz val="10"/>
      <color indexed="0"/>
      <name val="Arial"/>
      <family val="2"/>
    </font>
    <font>
      <sz val="10"/>
      <name val="Arial"/>
      <family val="2"/>
      <charset val="178"/>
    </font>
    <font>
      <sz val="11"/>
      <name val="Calibri"/>
      <family val="2"/>
    </font>
    <font>
      <b/>
      <sz val="11"/>
      <color indexed="63"/>
      <name val="Calibri"/>
      <family val="2"/>
      <charset val="1"/>
    </font>
    <font>
      <b/>
      <sz val="11"/>
      <color indexed="8"/>
      <name val="Calibri"/>
      <family val="2"/>
      <charset val="1"/>
    </font>
    <font>
      <b/>
      <sz val="11"/>
      <color theme="1"/>
      <name val="Calibri"/>
      <family val="2"/>
      <charset val="1"/>
      <scheme val="minor"/>
    </font>
    <font>
      <b/>
      <sz val="11"/>
      <color rgb="FFC00000"/>
      <name val="Calibri"/>
      <family val="2"/>
      <scheme val="minor"/>
    </font>
    <font>
      <b/>
      <sz val="1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charset val="1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sz val="12"/>
      <name val="Helv"/>
      <charset val="1"/>
    </font>
    <font>
      <sz val="10"/>
      <name val="Arial"/>
      <family val="2"/>
    </font>
    <font>
      <b/>
      <i/>
      <sz val="12"/>
      <color theme="0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FFFF00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sz val="12"/>
      <name val="Helvetica"/>
      <charset val="134"/>
    </font>
    <font>
      <sz val="10"/>
      <name val="Courier"/>
      <charset val="134"/>
    </font>
    <font>
      <b/>
      <sz val="12"/>
      <name val="MS Sans Serif"/>
      <charset val="134"/>
    </font>
    <font>
      <sz val="10"/>
      <name val="Times"/>
      <charset val="134"/>
    </font>
    <font>
      <sz val="10"/>
      <name val="Helv"/>
      <charset val="134"/>
    </font>
    <font>
      <sz val="12"/>
      <color indexed="9"/>
      <name val="Helvetica"/>
      <charset val="134"/>
    </font>
    <font>
      <sz val="7"/>
      <name val="Small Fonts"/>
      <charset val="134"/>
    </font>
    <font>
      <sz val="12"/>
      <name val="Arial MT"/>
      <charset val="134"/>
    </font>
    <font>
      <sz val="12"/>
      <name val="SWISS"/>
      <charset val="134"/>
    </font>
    <font>
      <sz val="12"/>
      <name val="MS Sans Serif"/>
      <charset val="134"/>
    </font>
    <font>
      <sz val="10"/>
      <name val="MS Sans Serif"/>
      <charset val="134"/>
    </font>
    <font>
      <sz val="10"/>
      <color indexed="16"/>
      <name val="MS Serif"/>
      <charset val="134"/>
    </font>
    <font>
      <sz val="10"/>
      <name val="MS Serif"/>
      <charset val="134"/>
    </font>
    <font>
      <b/>
      <sz val="14"/>
      <name val="Arial"/>
      <family val="2"/>
    </font>
    <font>
      <b/>
      <sz val="8"/>
      <color indexed="8"/>
      <name val="Helvetica"/>
      <charset val="134"/>
    </font>
    <font>
      <sz val="8"/>
      <name val="Helvetica"/>
      <charset val="134"/>
    </font>
    <font>
      <sz val="12"/>
      <name val="Univers (WN)"/>
      <charset val="134"/>
    </font>
    <font>
      <b/>
      <sz val="1"/>
      <color indexed="16"/>
      <name val="Courier"/>
      <charset val="134"/>
    </font>
    <font>
      <sz val="1"/>
      <color indexed="16"/>
      <name val="Courier"/>
      <charset val="134"/>
    </font>
    <font>
      <sz val="24"/>
      <color indexed="13"/>
      <name val="Arial"/>
      <family val="2"/>
    </font>
    <font>
      <u/>
      <sz val="12"/>
      <color indexed="12"/>
      <name val="Arial"/>
      <family val="2"/>
    </font>
    <font>
      <b/>
      <sz val="18"/>
      <color indexed="56"/>
      <name val="Cambria"/>
      <family val="1"/>
    </font>
    <font>
      <sz val="11"/>
      <color indexed="8"/>
      <name val="Arial Narrow"/>
      <family val="2"/>
    </font>
    <font>
      <sz val="11"/>
      <color theme="1"/>
      <name val="Wingdings"/>
      <charset val="2"/>
    </font>
    <font>
      <b/>
      <sz val="12"/>
      <color theme="1"/>
      <name val="Wingdings"/>
      <charset val="2"/>
    </font>
    <font>
      <sz val="11"/>
      <color theme="1"/>
      <name val="Calibri"/>
      <family val="2"/>
      <scheme val="minor"/>
    </font>
    <font>
      <sz val="12"/>
      <color theme="1"/>
      <name val="Wingdings"/>
      <charset val="2"/>
    </font>
    <font>
      <b/>
      <sz val="11"/>
      <color theme="1"/>
      <name val="Wingdings"/>
      <charset val="2"/>
    </font>
    <font>
      <sz val="11"/>
      <name val="Wingdings"/>
      <charset val="2"/>
    </font>
    <font>
      <b/>
      <sz val="11"/>
      <name val="Wingdings"/>
      <charset val="2"/>
    </font>
    <font>
      <b/>
      <sz val="11"/>
      <color theme="0"/>
      <name val="Wingdings"/>
      <charset val="2"/>
    </font>
    <font>
      <b/>
      <sz val="12"/>
      <name val="Wingdings"/>
      <charset val="2"/>
    </font>
    <font>
      <sz val="12"/>
      <name val="Wingdings"/>
      <charset val="2"/>
    </font>
    <font>
      <sz val="10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4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5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Arial Narrow"/>
      <family val="2"/>
    </font>
    <font>
      <b/>
      <sz val="11"/>
      <color indexed="8"/>
      <name val="Arial Narrow"/>
      <family val="2"/>
    </font>
    <font>
      <b/>
      <sz val="11"/>
      <color theme="1"/>
      <name val="Calibri"/>
      <family val="2"/>
    </font>
    <font>
      <b/>
      <sz val="28"/>
      <color theme="1"/>
      <name val="Calibri"/>
      <family val="2"/>
      <scheme val="minor"/>
    </font>
  </fonts>
  <fills count="92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7CE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gray125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5" tint="0.799829096346934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9" tint="0.799829096346934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5" tint="0.39982299264503923"/>
        <bgColor indexed="64"/>
      </patternFill>
    </fill>
    <fill>
      <patternFill patternType="solid">
        <fgColor theme="9" tint="0.399822992645039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2"/>
        <bgColor indexed="12"/>
      </patternFill>
    </fill>
    <fill>
      <patternFill patternType="solid">
        <fgColor indexed="13"/>
        <bgColor indexed="13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hair">
        <color auto="1"/>
      </left>
      <right style="hair">
        <color auto="1"/>
      </right>
      <top style="double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892">
    <xf numFmtId="0" fontId="0" fillId="0" borderId="0"/>
    <xf numFmtId="168" fontId="5" fillId="0" borderId="0" applyFont="0" applyFill="0" applyBorder="0" applyAlignment="0" applyProtection="0"/>
    <xf numFmtId="175" fontId="6" fillId="0" borderId="0"/>
    <xf numFmtId="176" fontId="6" fillId="0" borderId="0"/>
    <xf numFmtId="175" fontId="6" fillId="0" borderId="0"/>
    <xf numFmtId="0" fontId="6" fillId="0" borderId="0"/>
    <xf numFmtId="177" fontId="6" fillId="0" borderId="0"/>
    <xf numFmtId="0" fontId="6" fillId="0" borderId="0"/>
    <xf numFmtId="0" fontId="11" fillId="0" borderId="0"/>
    <xf numFmtId="177" fontId="6" fillId="0" borderId="0"/>
    <xf numFmtId="176" fontId="6" fillId="0" borderId="0"/>
    <xf numFmtId="178" fontId="6" fillId="0" borderId="0"/>
    <xf numFmtId="0" fontId="6" fillId="0" borderId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5" fillId="7" borderId="0" applyNumberFormat="0" applyBorder="0" applyAlignment="0" applyProtection="0"/>
    <xf numFmtId="177" fontId="5" fillId="7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5" fillId="10" borderId="0" applyNumberFormat="0" applyBorder="0" applyAlignment="0" applyProtection="0"/>
    <xf numFmtId="177" fontId="5" fillId="10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2" fillId="24" borderId="0" applyNumberFormat="0" applyBorder="0" applyAlignment="0" applyProtection="0"/>
    <xf numFmtId="0" fontId="16" fillId="8" borderId="0" applyNumberFormat="0" applyBorder="0" applyAlignment="0" applyProtection="0"/>
    <xf numFmtId="0" fontId="22" fillId="22" borderId="0" applyNumberFormat="0" applyBorder="0" applyAlignment="0" applyProtection="0"/>
    <xf numFmtId="0" fontId="22" fillId="25" borderId="0" applyNumberFormat="0" applyBorder="0" applyAlignment="0" applyProtection="0"/>
    <xf numFmtId="0" fontId="22" fillId="26" borderId="0" applyNumberFormat="0" applyBorder="0" applyAlignment="0" applyProtection="0"/>
    <xf numFmtId="0" fontId="16" fillId="11" borderId="0" applyNumberFormat="0" applyBorder="0" applyAlignment="0" applyProtection="0"/>
    <xf numFmtId="0" fontId="22" fillId="27" borderId="0" applyNumberFormat="0" applyBorder="0" applyAlignment="0" applyProtection="0"/>
    <xf numFmtId="0" fontId="16" fillId="6" borderId="0" applyNumberFormat="0" applyBorder="0" applyAlignment="0" applyProtection="0"/>
    <xf numFmtId="0" fontId="22" fillId="28" borderId="0" applyNumberFormat="0" applyBorder="0" applyAlignment="0" applyProtection="0"/>
    <xf numFmtId="0" fontId="16" fillId="9" borderId="0" applyNumberFormat="0" applyBorder="0" applyAlignment="0" applyProtection="0"/>
    <xf numFmtId="0" fontId="22" fillId="26" borderId="0" applyNumberFormat="0" applyBorder="0" applyAlignment="0" applyProtection="0"/>
    <xf numFmtId="0" fontId="22" fillId="29" borderId="0" applyNumberFormat="0" applyBorder="0" applyAlignment="0" applyProtection="0"/>
    <xf numFmtId="177" fontId="23" fillId="0" borderId="0">
      <alignment horizontal="center" wrapText="1"/>
      <protection locked="0"/>
    </xf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3" fillId="5" borderId="0" applyNumberFormat="0" applyBorder="0" applyAlignment="0" applyProtection="0"/>
    <xf numFmtId="177" fontId="24" fillId="0" borderId="0"/>
    <xf numFmtId="177" fontId="24" fillId="0" borderId="0"/>
    <xf numFmtId="180" fontId="25" fillId="0" borderId="0" applyFill="0" applyBorder="0" applyAlignment="0"/>
    <xf numFmtId="181" fontId="11" fillId="0" borderId="0" applyFill="0" applyBorder="0" applyAlignment="0"/>
    <xf numFmtId="6" fontId="11" fillId="0" borderId="0" applyFill="0" applyBorder="0" applyAlignment="0"/>
    <xf numFmtId="6" fontId="11" fillId="0" borderId="0" applyFill="0" applyBorder="0" applyAlignment="0"/>
    <xf numFmtId="175" fontId="26" fillId="0" borderId="0" applyFill="0" applyBorder="0" applyAlignment="0"/>
    <xf numFmtId="182" fontId="26" fillId="0" borderId="0" applyFill="0" applyBorder="0" applyAlignment="0"/>
    <xf numFmtId="183" fontId="26" fillId="0" borderId="0" applyFill="0" applyBorder="0" applyAlignment="0"/>
    <xf numFmtId="5" fontId="11" fillId="0" borderId="0" applyFill="0" applyBorder="0" applyAlignment="0"/>
    <xf numFmtId="5" fontId="11" fillId="0" borderId="0" applyFill="0" applyBorder="0" applyAlignment="0"/>
    <xf numFmtId="41" fontId="11" fillId="0" borderId="0" applyFill="0" applyBorder="0" applyAlignment="0"/>
    <xf numFmtId="41" fontId="11" fillId="0" borderId="0" applyFill="0" applyBorder="0" applyAlignment="0"/>
    <xf numFmtId="6" fontId="11" fillId="0" borderId="0" applyFill="0" applyBorder="0" applyAlignment="0"/>
    <xf numFmtId="6" fontId="11" fillId="0" borderId="0" applyFill="0" applyBorder="0" applyAlignment="0"/>
    <xf numFmtId="0" fontId="27" fillId="30" borderId="14" applyNumberFormat="0" applyAlignment="0" applyProtection="0"/>
    <xf numFmtId="184" fontId="28" fillId="1" borderId="0" applyFill="0" applyBorder="0"/>
    <xf numFmtId="0" fontId="29" fillId="31" borderId="15" applyNumberFormat="0" applyAlignment="0" applyProtection="0"/>
    <xf numFmtId="0" fontId="30" fillId="0" borderId="0"/>
    <xf numFmtId="0" fontId="30" fillId="0" borderId="0"/>
    <xf numFmtId="0" fontId="30" fillId="0" borderId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32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33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5" fontId="11" fillId="0" borderId="0" applyFont="0" applyFill="0" applyBorder="0" applyAlignment="0" applyProtection="0"/>
    <xf numFmtId="5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34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3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31" fillId="0" borderId="0" applyFont="0" applyFill="0" applyBorder="0" applyAlignment="0" applyProtection="0"/>
    <xf numFmtId="170" fontId="33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31" fillId="0" borderId="0" applyFont="0" applyFill="0" applyBorder="0" applyAlignment="0" applyProtection="0"/>
    <xf numFmtId="170" fontId="31" fillId="0" borderId="0" applyFont="0" applyFill="0" applyBorder="0" applyAlignment="0" applyProtection="0"/>
    <xf numFmtId="170" fontId="31" fillId="0" borderId="0" applyFont="0" applyFill="0" applyBorder="0" applyAlignment="0" applyProtection="0"/>
    <xf numFmtId="170" fontId="31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31" fillId="0" borderId="0" applyFont="0" applyFill="0" applyBorder="0" applyAlignment="0" applyProtection="0"/>
    <xf numFmtId="170" fontId="3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3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3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3" fontId="11" fillId="0" borderId="0" applyFont="0" applyFill="0" applyBorder="0" applyAlignment="0" applyProtection="0"/>
    <xf numFmtId="3" fontId="11" fillId="0" borderId="0" applyFont="0" applyFill="0" applyBorder="0" applyAlignment="0" applyProtection="0"/>
    <xf numFmtId="0" fontId="35" fillId="0" borderId="0" applyNumberFormat="0" applyAlignment="0">
      <alignment horizontal="left"/>
    </xf>
    <xf numFmtId="177" fontId="36" fillId="0" borderId="0" applyNumberFormat="0" applyAlignment="0"/>
    <xf numFmtId="0" fontId="30" fillId="0" borderId="0"/>
    <xf numFmtId="0" fontId="30" fillId="0" borderId="0"/>
    <xf numFmtId="185" fontId="37" fillId="0" borderId="1"/>
    <xf numFmtId="185" fontId="37" fillId="0" borderId="1"/>
    <xf numFmtId="185" fontId="37" fillId="0" borderId="1"/>
    <xf numFmtId="185" fontId="37" fillId="0" borderId="1"/>
    <xf numFmtId="185" fontId="37" fillId="0" borderId="1"/>
    <xf numFmtId="185" fontId="37" fillId="0" borderId="1"/>
    <xf numFmtId="185" fontId="37" fillId="0" borderId="1"/>
    <xf numFmtId="185" fontId="37" fillId="0" borderId="1"/>
    <xf numFmtId="185" fontId="37" fillId="0" borderId="1"/>
    <xf numFmtId="185" fontId="37" fillId="0" borderId="1"/>
    <xf numFmtId="185" fontId="37" fillId="0" borderId="1"/>
    <xf numFmtId="185" fontId="37" fillId="0" borderId="1"/>
    <xf numFmtId="185" fontId="37" fillId="0" borderId="1"/>
    <xf numFmtId="185" fontId="37" fillId="0" borderId="1"/>
    <xf numFmtId="185" fontId="37" fillId="0" borderId="1"/>
    <xf numFmtId="185" fontId="37" fillId="0" borderId="1"/>
    <xf numFmtId="185" fontId="37" fillId="0" borderId="1"/>
    <xf numFmtId="185" fontId="37" fillId="0" borderId="1"/>
    <xf numFmtId="185" fontId="37" fillId="0" borderId="1"/>
    <xf numFmtId="185" fontId="37" fillId="0" borderId="1"/>
    <xf numFmtId="185" fontId="37" fillId="0" borderId="1"/>
    <xf numFmtId="185" fontId="37" fillId="0" borderId="1"/>
    <xf numFmtId="6" fontId="11" fillId="0" borderId="0" applyFont="0" applyFill="0" applyBorder="0" applyAlignment="0" applyProtection="0"/>
    <xf numFmtId="6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4" fontId="5" fillId="0" borderId="0" applyFont="0" applyFill="0" applyBorder="0" applyAlignment="0" applyProtection="0"/>
    <xf numFmtId="186" fontId="11" fillId="0" borderId="0" applyFont="0" applyFill="0" applyBorder="0" applyAlignment="0" applyProtection="0"/>
    <xf numFmtId="186" fontId="11" fillId="0" borderId="0" applyFont="0" applyFill="0" applyBorder="0" applyAlignment="0" applyProtection="0"/>
    <xf numFmtId="187" fontId="38" fillId="0" borderId="0">
      <protection locked="0"/>
    </xf>
    <xf numFmtId="14" fontId="25" fillId="0" borderId="0" applyFill="0" applyBorder="0" applyAlignment="0"/>
    <xf numFmtId="0" fontId="11" fillId="0" borderId="0" applyFont="0" applyFill="0" applyBorder="0" applyAlignment="0" applyProtection="0"/>
    <xf numFmtId="5" fontId="11" fillId="0" borderId="0" applyFill="0" applyBorder="0" applyAlignment="0"/>
    <xf numFmtId="5" fontId="11" fillId="0" borderId="0" applyFill="0" applyBorder="0" applyAlignment="0"/>
    <xf numFmtId="6" fontId="11" fillId="0" borderId="0" applyFill="0" applyBorder="0" applyAlignment="0"/>
    <xf numFmtId="6" fontId="11" fillId="0" borderId="0" applyFill="0" applyBorder="0" applyAlignment="0"/>
    <xf numFmtId="5" fontId="11" fillId="0" borderId="0" applyFill="0" applyBorder="0" applyAlignment="0"/>
    <xf numFmtId="5" fontId="11" fillId="0" borderId="0" applyFill="0" applyBorder="0" applyAlignment="0"/>
    <xf numFmtId="41" fontId="11" fillId="0" borderId="0" applyFill="0" applyBorder="0" applyAlignment="0"/>
    <xf numFmtId="41" fontId="11" fillId="0" borderId="0" applyFill="0" applyBorder="0" applyAlignment="0"/>
    <xf numFmtId="6" fontId="11" fillId="0" borderId="0" applyFill="0" applyBorder="0" applyAlignment="0"/>
    <xf numFmtId="6" fontId="11" fillId="0" borderId="0" applyFill="0" applyBorder="0" applyAlignment="0"/>
    <xf numFmtId="0" fontId="39" fillId="0" borderId="0" applyNumberFormat="0" applyAlignment="0">
      <alignment horizontal="left"/>
    </xf>
    <xf numFmtId="0" fontId="30" fillId="0" borderId="0" applyFont="0" applyFill="0" applyBorder="0" applyAlignment="0" applyProtection="0"/>
    <xf numFmtId="0" fontId="40" fillId="0" borderId="0" applyNumberFormat="0" applyFill="0" applyBorder="0" applyAlignment="0" applyProtection="0"/>
    <xf numFmtId="187" fontId="38" fillId="0" borderId="0">
      <protection locked="0"/>
    </xf>
    <xf numFmtId="0" fontId="41" fillId="16" borderId="0" applyNumberFormat="0" applyBorder="0" applyAlignment="0" applyProtection="0"/>
    <xf numFmtId="38" fontId="34" fillId="32" borderId="0" applyNumberFormat="0" applyBorder="0" applyAlignment="0" applyProtection="0"/>
    <xf numFmtId="38" fontId="34" fillId="32" borderId="0" applyNumberFormat="0" applyBorder="0" applyAlignment="0" applyProtection="0"/>
    <xf numFmtId="0" fontId="42" fillId="33" borderId="16"/>
    <xf numFmtId="0" fontId="43" fillId="0" borderId="17" applyNumberFormat="0" applyAlignment="0" applyProtection="0">
      <alignment horizontal="left" vertical="center"/>
    </xf>
    <xf numFmtId="0" fontId="43" fillId="0" borderId="18">
      <alignment horizontal="left" vertical="center"/>
    </xf>
    <xf numFmtId="0" fontId="43" fillId="0" borderId="18">
      <alignment horizontal="left" vertical="center"/>
    </xf>
    <xf numFmtId="0" fontId="43" fillId="0" borderId="18">
      <alignment horizontal="left" vertical="center"/>
    </xf>
    <xf numFmtId="0" fontId="43" fillId="0" borderId="18">
      <alignment horizontal="left" vertical="center"/>
    </xf>
    <xf numFmtId="0" fontId="43" fillId="0" borderId="18">
      <alignment horizontal="left" vertical="center"/>
    </xf>
    <xf numFmtId="0" fontId="43" fillId="0" borderId="18">
      <alignment horizontal="left" vertical="center"/>
    </xf>
    <xf numFmtId="0" fontId="43" fillId="0" borderId="18">
      <alignment horizontal="left" vertical="center"/>
    </xf>
    <xf numFmtId="0" fontId="43" fillId="0" borderId="18">
      <alignment horizontal="left" vertical="center"/>
    </xf>
    <xf numFmtId="0" fontId="43" fillId="0" borderId="18">
      <alignment horizontal="left" vertical="center"/>
    </xf>
    <xf numFmtId="0" fontId="43" fillId="0" borderId="18">
      <alignment horizontal="left" vertical="center"/>
    </xf>
    <xf numFmtId="0" fontId="44" fillId="0" borderId="19" applyNumberFormat="0" applyFill="0" applyAlignment="0" applyProtection="0"/>
    <xf numFmtId="0" fontId="45" fillId="0" borderId="20" applyNumberFormat="0" applyFill="0" applyAlignment="0" applyProtection="0"/>
    <xf numFmtId="0" fontId="46" fillId="0" borderId="21" applyNumberFormat="0" applyFill="0" applyAlignment="0" applyProtection="0"/>
    <xf numFmtId="0" fontId="46" fillId="0" borderId="0" applyNumberFormat="0" applyFill="0" applyBorder="0" applyAlignment="0" applyProtection="0"/>
    <xf numFmtId="187" fontId="47" fillId="0" borderId="0">
      <protection locked="0"/>
    </xf>
    <xf numFmtId="187" fontId="47" fillId="0" borderId="0"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10" fontId="34" fillId="34" borderId="22" applyNumberFormat="0" applyBorder="0" applyAlignment="0" applyProtection="0"/>
    <xf numFmtId="10" fontId="34" fillId="34" borderId="22" applyNumberFormat="0" applyBorder="0" applyAlignment="0" applyProtection="0"/>
    <xf numFmtId="10" fontId="34" fillId="34" borderId="22" applyNumberFormat="0" applyBorder="0" applyAlignment="0" applyProtection="0"/>
    <xf numFmtId="10" fontId="34" fillId="34" borderId="22" applyNumberFormat="0" applyBorder="0" applyAlignment="0" applyProtection="0"/>
    <xf numFmtId="10" fontId="34" fillId="34" borderId="22" applyNumberFormat="0" applyBorder="0" applyAlignment="0" applyProtection="0"/>
    <xf numFmtId="10" fontId="34" fillId="34" borderId="22" applyNumberFormat="0" applyBorder="0" applyAlignment="0" applyProtection="0"/>
    <xf numFmtId="10" fontId="34" fillId="34" borderId="22" applyNumberFormat="0" applyBorder="0" applyAlignment="0" applyProtection="0"/>
    <xf numFmtId="10" fontId="34" fillId="34" borderId="22" applyNumberFormat="0" applyBorder="0" applyAlignment="0" applyProtection="0"/>
    <xf numFmtId="10" fontId="34" fillId="34" borderId="22" applyNumberFormat="0" applyBorder="0" applyAlignment="0" applyProtection="0"/>
    <xf numFmtId="10" fontId="34" fillId="34" borderId="22" applyNumberFormat="0" applyBorder="0" applyAlignment="0" applyProtection="0"/>
    <xf numFmtId="10" fontId="34" fillId="34" borderId="22" applyNumberFormat="0" applyBorder="0" applyAlignment="0" applyProtection="0"/>
    <xf numFmtId="10" fontId="34" fillId="34" borderId="22" applyNumberFormat="0" applyBorder="0" applyAlignment="0" applyProtection="0"/>
    <xf numFmtId="10" fontId="34" fillId="34" borderId="22" applyNumberFormat="0" applyBorder="0" applyAlignment="0" applyProtection="0"/>
    <xf numFmtId="10" fontId="34" fillId="34" borderId="22" applyNumberFormat="0" applyBorder="0" applyAlignment="0" applyProtection="0"/>
    <xf numFmtId="10" fontId="34" fillId="34" borderId="22" applyNumberFormat="0" applyBorder="0" applyAlignment="0" applyProtection="0"/>
    <xf numFmtId="10" fontId="34" fillId="34" borderId="22" applyNumberFormat="0" applyBorder="0" applyAlignment="0" applyProtection="0"/>
    <xf numFmtId="10" fontId="34" fillId="34" borderId="22" applyNumberFormat="0" applyBorder="0" applyAlignment="0" applyProtection="0"/>
    <xf numFmtId="10" fontId="34" fillId="34" borderId="22" applyNumberFormat="0" applyBorder="0" applyAlignment="0" applyProtection="0"/>
    <xf numFmtId="10" fontId="34" fillId="34" borderId="22" applyNumberFormat="0" applyBorder="0" applyAlignment="0" applyProtection="0"/>
    <xf numFmtId="10" fontId="34" fillId="34" borderId="22" applyNumberFormat="0" applyBorder="0" applyAlignment="0" applyProtection="0"/>
    <xf numFmtId="10" fontId="34" fillId="34" borderId="22" applyNumberFormat="0" applyBorder="0" applyAlignment="0" applyProtection="0"/>
    <xf numFmtId="10" fontId="34" fillId="34" borderId="22" applyNumberFormat="0" applyBorder="0" applyAlignment="0" applyProtection="0"/>
    <xf numFmtId="0" fontId="50" fillId="19" borderId="23" applyNumberFormat="0" applyAlignment="0" applyProtection="0"/>
    <xf numFmtId="0" fontId="50" fillId="19" borderId="23" applyNumberFormat="0" applyAlignment="0" applyProtection="0"/>
    <xf numFmtId="0" fontId="50" fillId="19" borderId="23" applyNumberFormat="0" applyAlignment="0" applyProtection="0"/>
    <xf numFmtId="0" fontId="50" fillId="19" borderId="23" applyNumberFormat="0" applyAlignment="0" applyProtection="0"/>
    <xf numFmtId="188" fontId="30" fillId="35" borderId="0"/>
    <xf numFmtId="188" fontId="30" fillId="35" borderId="0"/>
    <xf numFmtId="5" fontId="11" fillId="0" borderId="0" applyFill="0" applyBorder="0" applyAlignment="0"/>
    <xf numFmtId="5" fontId="11" fillId="0" borderId="0" applyFill="0" applyBorder="0" applyAlignment="0"/>
    <xf numFmtId="6" fontId="11" fillId="0" borderId="0" applyFill="0" applyBorder="0" applyAlignment="0"/>
    <xf numFmtId="6" fontId="11" fillId="0" borderId="0" applyFill="0" applyBorder="0" applyAlignment="0"/>
    <xf numFmtId="5" fontId="11" fillId="0" borderId="0" applyFill="0" applyBorder="0" applyAlignment="0"/>
    <xf numFmtId="5" fontId="11" fillId="0" borderId="0" applyFill="0" applyBorder="0" applyAlignment="0"/>
    <xf numFmtId="41" fontId="11" fillId="0" borderId="0" applyFill="0" applyBorder="0" applyAlignment="0"/>
    <xf numFmtId="41" fontId="11" fillId="0" borderId="0" applyFill="0" applyBorder="0" applyAlignment="0"/>
    <xf numFmtId="6" fontId="11" fillId="0" borderId="0" applyFill="0" applyBorder="0" applyAlignment="0"/>
    <xf numFmtId="6" fontId="11" fillId="0" borderId="0" applyFill="0" applyBorder="0" applyAlignment="0"/>
    <xf numFmtId="0" fontId="51" fillId="0" borderId="24" applyNumberFormat="0" applyFill="0" applyAlignment="0" applyProtection="0"/>
    <xf numFmtId="188" fontId="52" fillId="36" borderId="0"/>
    <xf numFmtId="188" fontId="52" fillId="36" borderId="0"/>
    <xf numFmtId="41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89" fontId="53" fillId="0" borderId="0" applyFont="0" applyFill="0" applyBorder="0" applyAlignment="0" applyProtection="0"/>
    <xf numFmtId="190" fontId="11" fillId="0" borderId="0" applyFont="0" applyFill="0" applyBorder="0" applyAlignment="0" applyProtection="0"/>
    <xf numFmtId="191" fontId="53" fillId="0" borderId="0" applyFont="0" applyFill="0" applyBorder="0" applyAlignment="0" applyProtection="0"/>
    <xf numFmtId="192" fontId="53" fillId="0" borderId="0" applyFont="0" applyFill="0" applyBorder="0" applyAlignment="0" applyProtection="0"/>
    <xf numFmtId="0" fontId="54" fillId="37" borderId="0" applyNumberFormat="0" applyBorder="0" applyAlignment="0" applyProtection="0"/>
    <xf numFmtId="37" fontId="55" fillId="0" borderId="0"/>
    <xf numFmtId="191" fontId="56" fillId="0" borderId="0"/>
    <xf numFmtId="0" fontId="11" fillId="0" borderId="0"/>
    <xf numFmtId="0" fontId="5" fillId="0" borderId="0"/>
    <xf numFmtId="0" fontId="11" fillId="0" borderId="0"/>
    <xf numFmtId="0" fontId="11" fillId="0" borderId="0"/>
    <xf numFmtId="176" fontId="11" fillId="0" borderId="0"/>
    <xf numFmtId="0" fontId="11" fillId="0" borderId="0"/>
    <xf numFmtId="0" fontId="11" fillId="0" borderId="0"/>
    <xf numFmtId="177" fontId="1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7" fontId="5" fillId="0" borderId="0"/>
    <xf numFmtId="0" fontId="11" fillId="0" borderId="0"/>
    <xf numFmtId="177" fontId="11" fillId="0" borderId="0"/>
    <xf numFmtId="0" fontId="11" fillId="0" borderId="0"/>
    <xf numFmtId="177" fontId="11" fillId="0" borderId="0"/>
    <xf numFmtId="0" fontId="11" fillId="0" borderId="0"/>
    <xf numFmtId="177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7" fontId="11" fillId="0" borderId="0"/>
    <xf numFmtId="177" fontId="11" fillId="0" borderId="0"/>
    <xf numFmtId="0" fontId="11" fillId="0" borderId="0"/>
    <xf numFmtId="6" fontId="6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8" fontId="11" fillId="0" borderId="0"/>
    <xf numFmtId="178" fontId="11" fillId="0" borderId="0"/>
    <xf numFmtId="0" fontId="57" fillId="0" borderId="0"/>
    <xf numFmtId="178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176" fontId="6" fillId="0" borderId="0"/>
    <xf numFmtId="0" fontId="11" fillId="0" borderId="0"/>
    <xf numFmtId="0" fontId="11" fillId="0" borderId="0"/>
    <xf numFmtId="0" fontId="11" fillId="0" borderId="0"/>
    <xf numFmtId="176" fontId="6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0" fontId="11" fillId="0" borderId="0"/>
    <xf numFmtId="0" fontId="11" fillId="0" borderId="0"/>
    <xf numFmtId="0" fontId="57" fillId="0" borderId="0"/>
    <xf numFmtId="0" fontId="11" fillId="0" borderId="0"/>
    <xf numFmtId="176" fontId="6" fillId="0" borderId="0"/>
    <xf numFmtId="0" fontId="6" fillId="0" borderId="0"/>
    <xf numFmtId="0" fontId="5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6" fontId="6" fillId="0" borderId="0"/>
    <xf numFmtId="178" fontId="11" fillId="0" borderId="0"/>
    <xf numFmtId="193" fontId="11" fillId="0" borderId="0"/>
    <xf numFmtId="178" fontId="11" fillId="0" borderId="0"/>
    <xf numFmtId="176" fontId="6" fillId="0" borderId="0"/>
    <xf numFmtId="178" fontId="11" fillId="0" borderId="0"/>
    <xf numFmtId="178" fontId="11" fillId="0" borderId="0"/>
    <xf numFmtId="178" fontId="11" fillId="0" borderId="0"/>
    <xf numFmtId="176" fontId="6" fillId="0" borderId="0"/>
    <xf numFmtId="178" fontId="11" fillId="0" borderId="0"/>
    <xf numFmtId="178" fontId="11" fillId="0" borderId="0"/>
    <xf numFmtId="178" fontId="11" fillId="0" borderId="0"/>
    <xf numFmtId="176" fontId="6" fillId="0" borderId="0"/>
    <xf numFmtId="178" fontId="11" fillId="0" borderId="0"/>
    <xf numFmtId="178" fontId="11" fillId="0" borderId="0"/>
    <xf numFmtId="178" fontId="11" fillId="0" borderId="0"/>
    <xf numFmtId="194" fontId="11" fillId="0" borderId="0"/>
    <xf numFmtId="178" fontId="11" fillId="0" borderId="0"/>
    <xf numFmtId="178" fontId="11" fillId="0" borderId="0"/>
    <xf numFmtId="178" fontId="11" fillId="0" borderId="0"/>
    <xf numFmtId="176" fontId="6" fillId="0" borderId="0"/>
    <xf numFmtId="178" fontId="11" fillId="0" borderId="0"/>
    <xf numFmtId="178" fontId="11" fillId="0" borderId="0"/>
    <xf numFmtId="178" fontId="11" fillId="0" borderId="0"/>
    <xf numFmtId="0" fontId="11" fillId="0" borderId="0"/>
    <xf numFmtId="0" fontId="11" fillId="0" borderId="0"/>
    <xf numFmtId="0" fontId="11" fillId="0" borderId="0"/>
    <xf numFmtId="177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176" fontId="11" fillId="0" borderId="0"/>
    <xf numFmtId="0" fontId="58" fillId="0" borderId="0"/>
    <xf numFmtId="0" fontId="11" fillId="0" borderId="0"/>
    <xf numFmtId="0" fontId="58" fillId="0" borderId="0"/>
    <xf numFmtId="0" fontId="11" fillId="0" borderId="0"/>
    <xf numFmtId="0" fontId="58" fillId="0" borderId="0"/>
    <xf numFmtId="0" fontId="11" fillId="0" borderId="0"/>
    <xf numFmtId="0" fontId="11" fillId="0" borderId="0"/>
    <xf numFmtId="0" fontId="11" fillId="0" borderId="0"/>
    <xf numFmtId="179" fontId="11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8" fillId="0" borderId="0"/>
    <xf numFmtId="0" fontId="6" fillId="0" borderId="0"/>
    <xf numFmtId="0" fontId="6" fillId="0" borderId="0"/>
    <xf numFmtId="0" fontId="5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182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11" fillId="0" borderId="0"/>
    <xf numFmtId="176" fontId="6" fillId="0" borderId="0"/>
    <xf numFmtId="37" fontId="59" fillId="0" borderId="0"/>
    <xf numFmtId="37" fontId="59" fillId="0" borderId="0"/>
    <xf numFmtId="0" fontId="11" fillId="0" borderId="0"/>
    <xf numFmtId="37" fontId="59" fillId="0" borderId="0"/>
    <xf numFmtId="0" fontId="5" fillId="0" borderId="0"/>
    <xf numFmtId="0" fontId="11" fillId="0" borderId="0"/>
    <xf numFmtId="0" fontId="5" fillId="0" borderId="0"/>
    <xf numFmtId="0" fontId="5" fillId="0" borderId="0"/>
    <xf numFmtId="0" fontId="6" fillId="0" borderId="0"/>
    <xf numFmtId="176" fontId="6" fillId="0" borderId="0"/>
    <xf numFmtId="177" fontId="6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82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177" fontId="6" fillId="0" borderId="0"/>
    <xf numFmtId="176" fontId="6" fillId="0" borderId="0"/>
    <xf numFmtId="0" fontId="11" fillId="0" borderId="0"/>
    <xf numFmtId="176" fontId="6" fillId="0" borderId="0"/>
    <xf numFmtId="0" fontId="11" fillId="0" borderId="0"/>
    <xf numFmtId="0" fontId="11" fillId="0" borderId="0"/>
    <xf numFmtId="0" fontId="11" fillId="0" borderId="0"/>
    <xf numFmtId="177" fontId="3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11" fillId="0" borderId="0"/>
    <xf numFmtId="0" fontId="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11" fillId="0" borderId="0"/>
    <xf numFmtId="0" fontId="6" fillId="0" borderId="0"/>
    <xf numFmtId="0" fontId="5" fillId="0" borderId="0"/>
    <xf numFmtId="187" fontId="6" fillId="0" borderId="0"/>
    <xf numFmtId="173" fontId="6" fillId="0" borderId="0"/>
    <xf numFmtId="0" fontId="21" fillId="0" borderId="0"/>
    <xf numFmtId="0" fontId="11" fillId="0" borderId="0"/>
    <xf numFmtId="0" fontId="21" fillId="0" borderId="0"/>
    <xf numFmtId="0" fontId="11" fillId="0" borderId="0"/>
    <xf numFmtId="0" fontId="11" fillId="0" borderId="0"/>
    <xf numFmtId="195" fontId="30" fillId="0" borderId="0"/>
    <xf numFmtId="177" fontId="11" fillId="0" borderId="0"/>
    <xf numFmtId="0" fontId="11" fillId="0" borderId="0"/>
    <xf numFmtId="0" fontId="11" fillId="0" borderId="0"/>
    <xf numFmtId="177" fontId="11" fillId="0" borderId="0"/>
    <xf numFmtId="0" fontId="11" fillId="0" borderId="0"/>
    <xf numFmtId="189" fontId="30" fillId="0" borderId="0"/>
    <xf numFmtId="177" fontId="11" fillId="0" borderId="0"/>
    <xf numFmtId="0" fontId="6" fillId="0" borderId="0"/>
    <xf numFmtId="0" fontId="11" fillId="0" borderId="0"/>
    <xf numFmtId="0" fontId="6" fillId="0" borderId="0"/>
    <xf numFmtId="0" fontId="11" fillId="0" borderId="0"/>
    <xf numFmtId="0" fontId="60" fillId="0" borderId="0" applyNumberFormat="0" applyFont="0" applyFill="0" applyAlignment="0" applyProtection="0"/>
    <xf numFmtId="177" fontId="11" fillId="0" borderId="0"/>
    <xf numFmtId="177" fontId="11" fillId="0" borderId="0"/>
    <xf numFmtId="0" fontId="11" fillId="38" borderId="25" applyNumberFormat="0" applyFont="0" applyAlignment="0" applyProtection="0"/>
    <xf numFmtId="0" fontId="11" fillId="38" borderId="25" applyNumberFormat="0" applyFont="0" applyAlignment="0" applyProtection="0"/>
    <xf numFmtId="0" fontId="21" fillId="38" borderId="25" applyNumberFormat="0" applyFont="0" applyAlignment="0" applyProtection="0"/>
    <xf numFmtId="0" fontId="21" fillId="38" borderId="25" applyNumberFormat="0" applyFont="0" applyAlignment="0" applyProtection="0"/>
    <xf numFmtId="0" fontId="21" fillId="38" borderId="25" applyNumberFormat="0" applyFont="0" applyAlignment="0" applyProtection="0"/>
    <xf numFmtId="0" fontId="21" fillId="38" borderId="25" applyNumberFormat="0" applyFont="0" applyAlignment="0" applyProtection="0"/>
    <xf numFmtId="0" fontId="21" fillId="38" borderId="25" applyNumberFormat="0" applyFont="0" applyAlignment="0" applyProtection="0"/>
    <xf numFmtId="0" fontId="11" fillId="38" borderId="25" applyNumberFormat="0" applyFont="0" applyAlignment="0" applyProtection="0"/>
    <xf numFmtId="0" fontId="11" fillId="38" borderId="25" applyNumberFormat="0" applyFont="0" applyAlignment="0" applyProtection="0"/>
    <xf numFmtId="0" fontId="11" fillId="38" borderId="25" applyNumberFormat="0" applyFont="0" applyAlignment="0" applyProtection="0"/>
    <xf numFmtId="0" fontId="11" fillId="38" borderId="25" applyNumberFormat="0" applyFont="0" applyAlignment="0" applyProtection="0"/>
    <xf numFmtId="0" fontId="11" fillId="38" borderId="25" applyNumberFormat="0" applyFont="0" applyAlignment="0" applyProtection="0"/>
    <xf numFmtId="170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0" fontId="61" fillId="30" borderId="26" applyNumberFormat="0" applyAlignment="0" applyProtection="0"/>
    <xf numFmtId="14" fontId="23" fillId="0" borderId="0">
      <alignment horizontal="center" wrapText="1"/>
      <protection locked="0"/>
    </xf>
    <xf numFmtId="183" fontId="26" fillId="0" borderId="0" applyFont="0" applyFill="0" applyBorder="0" applyAlignment="0" applyProtection="0"/>
    <xf numFmtId="6" fontId="26" fillId="0" borderId="0" applyFont="0" applyFill="0" applyBorder="0" applyAlignment="0" applyProtection="0"/>
    <xf numFmtId="10" fontId="11" fillId="0" borderId="0" applyFont="0" applyFill="0" applyBorder="0" applyAlignment="0" applyProtection="0"/>
    <xf numFmtId="10" fontId="1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3" fillId="0" borderId="27" applyNumberFormat="0" applyBorder="0"/>
    <xf numFmtId="196" fontId="64" fillId="0" borderId="0"/>
    <xf numFmtId="5" fontId="11" fillId="0" borderId="0" applyFill="0" applyBorder="0" applyAlignment="0"/>
    <xf numFmtId="5" fontId="11" fillId="0" borderId="0" applyFill="0" applyBorder="0" applyAlignment="0"/>
    <xf numFmtId="6" fontId="11" fillId="0" borderId="0" applyFill="0" applyBorder="0" applyAlignment="0"/>
    <xf numFmtId="6" fontId="11" fillId="0" borderId="0" applyFill="0" applyBorder="0" applyAlignment="0"/>
    <xf numFmtId="5" fontId="11" fillId="0" borderId="0" applyFill="0" applyBorder="0" applyAlignment="0"/>
    <xf numFmtId="5" fontId="11" fillId="0" borderId="0" applyFill="0" applyBorder="0" applyAlignment="0"/>
    <xf numFmtId="41" fontId="11" fillId="0" borderId="0" applyFill="0" applyBorder="0" applyAlignment="0"/>
    <xf numFmtId="41" fontId="11" fillId="0" borderId="0" applyFill="0" applyBorder="0" applyAlignment="0"/>
    <xf numFmtId="6" fontId="11" fillId="0" borderId="0" applyFill="0" applyBorder="0" applyAlignment="0"/>
    <xf numFmtId="6" fontId="11" fillId="0" borderId="0" applyFill="0" applyBorder="0" applyAlignment="0"/>
    <xf numFmtId="172" fontId="65" fillId="0" borderId="0"/>
    <xf numFmtId="172" fontId="65" fillId="0" borderId="0"/>
    <xf numFmtId="177" fontId="63" fillId="0" borderId="0" applyNumberFormat="0" applyFont="0" applyFill="0" applyBorder="0" applyAlignment="0" applyProtection="0">
      <alignment horizontal="left"/>
    </xf>
    <xf numFmtId="197" fontId="66" fillId="0" borderId="0" applyNumberFormat="0" applyFill="0" applyBorder="0" applyAlignment="0" applyProtection="0">
      <alignment horizontal="left"/>
    </xf>
    <xf numFmtId="178" fontId="11" fillId="0" borderId="0" applyNumberFormat="0" applyFill="0" applyBorder="0" applyAlignment="0" applyProtection="0">
      <alignment horizontal="left"/>
    </xf>
    <xf numFmtId="3" fontId="64" fillId="0" borderId="0"/>
    <xf numFmtId="0" fontId="67" fillId="0" borderId="28"/>
    <xf numFmtId="0" fontId="67" fillId="0" borderId="28"/>
    <xf numFmtId="0" fontId="67" fillId="0" borderId="28"/>
    <xf numFmtId="0" fontId="67" fillId="0" borderId="28"/>
    <xf numFmtId="0" fontId="67" fillId="0" borderId="28"/>
    <xf numFmtId="0" fontId="67" fillId="0" borderId="28"/>
    <xf numFmtId="0" fontId="67" fillId="0" borderId="28"/>
    <xf numFmtId="0" fontId="67" fillId="0" borderId="28"/>
    <xf numFmtId="0" fontId="67" fillId="0" borderId="28"/>
    <xf numFmtId="0" fontId="67" fillId="0" borderId="28"/>
    <xf numFmtId="0" fontId="68" fillId="0" borderId="0"/>
    <xf numFmtId="1" fontId="69" fillId="0" borderId="0" applyBorder="0">
      <alignment horizontal="left" vertical="top" wrapText="1"/>
    </xf>
    <xf numFmtId="0" fontId="70" fillId="0" borderId="1">
      <alignment horizontal="center"/>
    </xf>
    <xf numFmtId="0" fontId="25" fillId="0" borderId="0">
      <alignment vertical="top"/>
    </xf>
    <xf numFmtId="0" fontId="70" fillId="0" borderId="1">
      <alignment horizontal="center"/>
    </xf>
    <xf numFmtId="0" fontId="70" fillId="0" borderId="1">
      <alignment horizontal="center"/>
    </xf>
    <xf numFmtId="0" fontId="70" fillId="0" borderId="1">
      <alignment horizontal="center"/>
    </xf>
    <xf numFmtId="0" fontId="70" fillId="0" borderId="1">
      <alignment horizontal="center"/>
    </xf>
    <xf numFmtId="0" fontId="70" fillId="0" borderId="1">
      <alignment horizontal="center"/>
    </xf>
    <xf numFmtId="0" fontId="70" fillId="0" borderId="1">
      <alignment horizontal="center"/>
    </xf>
    <xf numFmtId="0" fontId="70" fillId="0" borderId="1">
      <alignment horizontal="center"/>
    </xf>
    <xf numFmtId="0" fontId="70" fillId="0" borderId="1">
      <alignment horizontal="center"/>
    </xf>
    <xf numFmtId="0" fontId="70" fillId="0" borderId="1">
      <alignment horizontal="center"/>
    </xf>
    <xf numFmtId="0" fontId="70" fillId="0" borderId="1">
      <alignment horizontal="center"/>
    </xf>
    <xf numFmtId="0" fontId="70" fillId="0" borderId="1">
      <alignment horizontal="center"/>
    </xf>
    <xf numFmtId="0" fontId="70" fillId="0" borderId="1">
      <alignment horizontal="center"/>
    </xf>
    <xf numFmtId="0" fontId="70" fillId="0" borderId="1">
      <alignment horizontal="center"/>
    </xf>
    <xf numFmtId="0" fontId="70" fillId="0" borderId="1">
      <alignment horizontal="center"/>
    </xf>
    <xf numFmtId="0" fontId="70" fillId="0" borderId="1">
      <alignment horizontal="center"/>
    </xf>
    <xf numFmtId="0" fontId="70" fillId="0" borderId="1">
      <alignment horizontal="center"/>
    </xf>
    <xf numFmtId="0" fontId="70" fillId="0" borderId="1">
      <alignment horizontal="center"/>
    </xf>
    <xf numFmtId="0" fontId="70" fillId="0" borderId="1">
      <alignment horizontal="center"/>
    </xf>
    <xf numFmtId="0" fontId="70" fillId="0" borderId="1">
      <alignment horizontal="center"/>
    </xf>
    <xf numFmtId="0" fontId="70" fillId="0" borderId="1">
      <alignment horizontal="center"/>
    </xf>
    <xf numFmtId="0" fontId="70" fillId="0" borderId="1">
      <alignment horizontal="center"/>
    </xf>
    <xf numFmtId="0" fontId="70" fillId="0" borderId="0">
      <alignment horizontal="center" vertical="center"/>
    </xf>
    <xf numFmtId="0" fontId="71" fillId="39" borderId="0" applyNumberFormat="0" applyFill="0">
      <alignment horizontal="left" vertical="center"/>
    </xf>
    <xf numFmtId="0" fontId="72" fillId="0" borderId="29"/>
    <xf numFmtId="40" fontId="73" fillId="0" borderId="0" applyBorder="0">
      <alignment horizontal="right"/>
    </xf>
    <xf numFmtId="40" fontId="73" fillId="0" borderId="0" applyBorder="0">
      <alignment horizontal="right"/>
    </xf>
    <xf numFmtId="49" fontId="11" fillId="32" borderId="0" applyFont="0" applyBorder="0">
      <alignment horizontal="left"/>
    </xf>
    <xf numFmtId="49" fontId="11" fillId="32" borderId="0" applyFont="0" applyBorder="0">
      <alignment horizontal="left"/>
    </xf>
    <xf numFmtId="49" fontId="25" fillId="0" borderId="0" applyFill="0" applyBorder="0" applyAlignment="0"/>
    <xf numFmtId="198" fontId="26" fillId="0" borderId="0" applyFill="0" applyBorder="0" applyAlignment="0"/>
    <xf numFmtId="43" fontId="11" fillId="0" borderId="0" applyFill="0" applyBorder="0" applyAlignment="0"/>
    <xf numFmtId="43" fontId="11" fillId="0" borderId="0" applyFill="0" applyBorder="0" applyAlignment="0"/>
    <xf numFmtId="41" fontId="11" fillId="0" borderId="0" applyFont="0" applyFill="0" applyBorder="0" applyAlignment="0" applyProtection="0"/>
    <xf numFmtId="0" fontId="74" fillId="0" borderId="0" applyNumberFormat="0" applyFill="0" applyBorder="0" applyAlignment="0" applyProtection="0"/>
    <xf numFmtId="187" fontId="38" fillId="0" borderId="30">
      <protection locked="0"/>
    </xf>
    <xf numFmtId="187" fontId="38" fillId="0" borderId="30">
      <protection locked="0"/>
    </xf>
    <xf numFmtId="187" fontId="38" fillId="0" borderId="30">
      <protection locked="0"/>
    </xf>
    <xf numFmtId="187" fontId="38" fillId="0" borderId="30">
      <protection locked="0"/>
    </xf>
    <xf numFmtId="187" fontId="38" fillId="0" borderId="30">
      <protection locked="0"/>
    </xf>
    <xf numFmtId="187" fontId="38" fillId="0" borderId="30">
      <protection locked="0"/>
    </xf>
    <xf numFmtId="187" fontId="38" fillId="0" borderId="30">
      <protection locked="0"/>
    </xf>
    <xf numFmtId="0" fontId="75" fillId="0" borderId="31" applyNumberFormat="0" applyFill="0" applyAlignment="0" applyProtection="0"/>
    <xf numFmtId="4" fontId="76" fillId="0" borderId="0" applyFont="0" applyFill="0" applyBorder="0" applyAlignment="0" applyProtection="0"/>
    <xf numFmtId="199" fontId="11" fillId="0" borderId="0" applyFont="0" applyFill="0" applyBorder="0" applyAlignment="0" applyProtection="0"/>
    <xf numFmtId="200" fontId="76" fillId="0" borderId="0" applyFont="0" applyFill="0" applyBorder="0" applyAlignment="0" applyProtection="0"/>
    <xf numFmtId="0" fontId="77" fillId="0" borderId="0" applyNumberFormat="0" applyFill="0" applyBorder="0" applyAlignment="0" applyProtection="0"/>
    <xf numFmtId="0" fontId="78" fillId="0" borderId="32"/>
    <xf numFmtId="40" fontId="79" fillId="0" borderId="0" applyFont="0" applyFill="0" applyBorder="0" applyAlignment="0" applyProtection="0"/>
    <xf numFmtId="38" fontId="79" fillId="0" borderId="0" applyFont="0" applyFill="0" applyBorder="0" applyAlignment="0" applyProtection="0"/>
    <xf numFmtId="0" fontId="79" fillId="0" borderId="0" applyFont="0" applyFill="0" applyBorder="0" applyAlignment="0" applyProtection="0"/>
    <xf numFmtId="0" fontId="79" fillId="0" borderId="0" applyFont="0" applyFill="0" applyBorder="0" applyAlignment="0" applyProtection="0"/>
    <xf numFmtId="10" fontId="11" fillId="0" borderId="0" applyFont="0" applyFill="0" applyBorder="0" applyAlignment="0" applyProtection="0"/>
    <xf numFmtId="0" fontId="80" fillId="0" borderId="0"/>
    <xf numFmtId="170" fontId="11" fillId="0" borderId="0" applyFont="0" applyFill="0" applyBorder="0" applyAlignment="0" applyProtection="0"/>
    <xf numFmtId="201" fontId="11" fillId="0" borderId="0" applyFont="0" applyFill="0" applyBorder="0" applyAlignment="0" applyProtection="0"/>
    <xf numFmtId="202" fontId="11" fillId="0" borderId="0" applyFont="0" applyFill="0" applyBorder="0" applyAlignment="0" applyProtection="0"/>
    <xf numFmtId="203" fontId="81" fillId="0" borderId="0" applyFont="0" applyFill="0" applyBorder="0" applyAlignment="0" applyProtection="0"/>
    <xf numFmtId="204" fontId="81" fillId="0" borderId="0" applyFont="0" applyFill="0" applyBorder="0" applyAlignment="0" applyProtection="0"/>
    <xf numFmtId="0" fontId="82" fillId="0" borderId="0"/>
    <xf numFmtId="0" fontId="83" fillId="0" borderId="0"/>
    <xf numFmtId="178" fontId="6" fillId="0" borderId="0"/>
    <xf numFmtId="178" fontId="6" fillId="0" borderId="0"/>
    <xf numFmtId="178" fontId="6" fillId="0" borderId="0"/>
    <xf numFmtId="180" fontId="4" fillId="0" borderId="0"/>
    <xf numFmtId="180" fontId="4" fillId="0" borderId="0"/>
    <xf numFmtId="0" fontId="4" fillId="0" borderId="0"/>
    <xf numFmtId="176" fontId="4" fillId="0" borderId="0"/>
    <xf numFmtId="180" fontId="4" fillId="0" borderId="0"/>
    <xf numFmtId="6" fontId="4" fillId="0" borderId="0"/>
    <xf numFmtId="0" fontId="4" fillId="0" borderId="0"/>
    <xf numFmtId="176" fontId="4" fillId="0" borderId="0"/>
    <xf numFmtId="6" fontId="4" fillId="0" borderId="0"/>
    <xf numFmtId="0" fontId="4" fillId="0" borderId="0"/>
    <xf numFmtId="0" fontId="4" fillId="0" borderId="0"/>
    <xf numFmtId="180" fontId="3" fillId="0" borderId="0"/>
    <xf numFmtId="180" fontId="3" fillId="0" borderId="0"/>
    <xf numFmtId="176" fontId="3" fillId="0" borderId="0"/>
    <xf numFmtId="175" fontId="2" fillId="0" borderId="0"/>
    <xf numFmtId="176" fontId="2" fillId="0" borderId="0"/>
    <xf numFmtId="180" fontId="2" fillId="0" borderId="0"/>
    <xf numFmtId="180" fontId="2" fillId="0" borderId="0"/>
    <xf numFmtId="0" fontId="2" fillId="0" borderId="0"/>
    <xf numFmtId="180" fontId="2" fillId="0" borderId="0"/>
    <xf numFmtId="176" fontId="2" fillId="0" borderId="0"/>
    <xf numFmtId="186" fontId="2" fillId="0" borderId="0"/>
    <xf numFmtId="175" fontId="2" fillId="0" borderId="0"/>
    <xf numFmtId="176" fontId="2" fillId="0" borderId="0"/>
    <xf numFmtId="180" fontId="2" fillId="0" borderId="0"/>
    <xf numFmtId="180" fontId="2" fillId="0" borderId="0"/>
    <xf numFmtId="180" fontId="2" fillId="0" borderId="0"/>
    <xf numFmtId="176" fontId="2" fillId="0" borderId="0"/>
    <xf numFmtId="186" fontId="2" fillId="0" borderId="0"/>
    <xf numFmtId="0" fontId="31" fillId="0" borderId="0"/>
    <xf numFmtId="0" fontId="2" fillId="0" borderId="0"/>
    <xf numFmtId="179" fontId="2" fillId="0" borderId="0"/>
    <xf numFmtId="0" fontId="2" fillId="0" borderId="0"/>
    <xf numFmtId="181" fontId="2" fillId="0" borderId="0"/>
    <xf numFmtId="175" fontId="2" fillId="0" borderId="0"/>
    <xf numFmtId="176" fontId="2" fillId="0" borderId="0"/>
    <xf numFmtId="180" fontId="2" fillId="0" borderId="0"/>
    <xf numFmtId="180" fontId="2" fillId="0" borderId="0"/>
    <xf numFmtId="180" fontId="2" fillId="0" borderId="0"/>
    <xf numFmtId="176" fontId="2" fillId="0" borderId="0"/>
    <xf numFmtId="186" fontId="2" fillId="0" borderId="0"/>
    <xf numFmtId="175" fontId="2" fillId="0" borderId="0"/>
    <xf numFmtId="176" fontId="2" fillId="0" borderId="0"/>
    <xf numFmtId="180" fontId="2" fillId="0" borderId="0"/>
    <xf numFmtId="180" fontId="2" fillId="0" borderId="0"/>
    <xf numFmtId="180" fontId="2" fillId="0" borderId="0"/>
    <xf numFmtId="176" fontId="2" fillId="0" borderId="0"/>
    <xf numFmtId="186" fontId="2" fillId="0" borderId="0"/>
    <xf numFmtId="175" fontId="2" fillId="0" borderId="0"/>
    <xf numFmtId="176" fontId="2" fillId="0" borderId="0"/>
    <xf numFmtId="180" fontId="2" fillId="0" borderId="0"/>
    <xf numFmtId="180" fontId="2" fillId="0" borderId="0"/>
    <xf numFmtId="180" fontId="2" fillId="0" borderId="0"/>
    <xf numFmtId="176" fontId="2" fillId="0" borderId="0"/>
    <xf numFmtId="186" fontId="2" fillId="0" borderId="0"/>
    <xf numFmtId="175" fontId="2" fillId="0" borderId="0"/>
    <xf numFmtId="176" fontId="2" fillId="0" borderId="0"/>
    <xf numFmtId="180" fontId="2" fillId="0" borderId="0"/>
    <xf numFmtId="180" fontId="2" fillId="0" borderId="0"/>
    <xf numFmtId="180" fontId="2" fillId="0" borderId="0"/>
    <xf numFmtId="176" fontId="2" fillId="0" borderId="0"/>
    <xf numFmtId="186" fontId="2" fillId="0" borderId="0"/>
    <xf numFmtId="176" fontId="2" fillId="0" borderId="0"/>
    <xf numFmtId="175" fontId="2" fillId="0" borderId="0"/>
    <xf numFmtId="180" fontId="2" fillId="0" borderId="0"/>
    <xf numFmtId="180" fontId="2" fillId="0" borderId="0"/>
    <xf numFmtId="181" fontId="2" fillId="0" borderId="0"/>
    <xf numFmtId="181" fontId="2" fillId="0" borderId="0"/>
    <xf numFmtId="181" fontId="2" fillId="0" borderId="0"/>
    <xf numFmtId="181" fontId="2" fillId="0" borderId="0"/>
    <xf numFmtId="181" fontId="2" fillId="0" borderId="0"/>
    <xf numFmtId="181" fontId="2" fillId="0" borderId="0"/>
    <xf numFmtId="181" fontId="2" fillId="0" borderId="0"/>
    <xf numFmtId="181" fontId="2" fillId="0" borderId="0"/>
    <xf numFmtId="167" fontId="90" fillId="0" borderId="0" applyFont="0" applyFill="0" applyBorder="0" applyAlignment="0" applyProtection="0"/>
    <xf numFmtId="205" fontId="11" fillId="0" borderId="0" applyFont="0" applyFill="0" applyBorder="0" applyAlignment="0" applyProtection="0"/>
    <xf numFmtId="206" fontId="11" fillId="0" borderId="0" applyFont="0" applyFill="0" applyBorder="0" applyAlignment="0" applyProtection="0"/>
    <xf numFmtId="176" fontId="91" fillId="0" borderId="0" applyFont="0" applyFill="0" applyBorder="0" applyAlignment="0" applyProtection="0"/>
    <xf numFmtId="207" fontId="11" fillId="0" borderId="0" applyFont="0" applyFill="0" applyBorder="0" applyAlignment="0" applyProtection="0"/>
    <xf numFmtId="169" fontId="34" fillId="0" borderId="0" applyFont="0" applyFill="0" applyBorder="0" applyAlignment="0" applyProtection="0"/>
    <xf numFmtId="208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209" fontId="11" fillId="0" borderId="0" applyFont="0" applyFill="0" applyBorder="0" applyAlignment="0" applyProtection="0"/>
    <xf numFmtId="210" fontId="11" fillId="0" borderId="0" applyFont="0" applyFill="0" applyBorder="0" applyAlignment="0" applyProtection="0"/>
    <xf numFmtId="211" fontId="11" fillId="0" borderId="0" applyFont="0" applyFill="0" applyBorder="0" applyAlignment="0" applyProtection="0"/>
    <xf numFmtId="176" fontId="92" fillId="0" borderId="0"/>
    <xf numFmtId="176" fontId="92" fillId="0" borderId="0"/>
    <xf numFmtId="176" fontId="92" fillId="0" borderId="0"/>
    <xf numFmtId="176" fontId="92" fillId="0" borderId="0"/>
    <xf numFmtId="176" fontId="92" fillId="0" borderId="0"/>
    <xf numFmtId="176" fontId="92" fillId="0" borderId="0"/>
    <xf numFmtId="176" fontId="92" fillId="0" borderId="0"/>
    <xf numFmtId="176" fontId="92" fillId="0" borderId="0"/>
    <xf numFmtId="0" fontId="91" fillId="0" borderId="0" applyFont="0" applyFill="0" applyBorder="0" applyAlignment="0" applyProtection="0"/>
    <xf numFmtId="177" fontId="21" fillId="14" borderId="0" applyNumberFormat="0" applyBorder="0" applyAlignment="0" applyProtection="0"/>
    <xf numFmtId="177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177" fontId="21" fillId="14" borderId="0" applyNumberFormat="0" applyBorder="0" applyAlignment="0" applyProtection="0"/>
    <xf numFmtId="177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177" fontId="21" fillId="14" borderId="0" applyNumberFormat="0" applyBorder="0" applyAlignment="0" applyProtection="0"/>
    <xf numFmtId="177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177" fontId="21" fillId="14" borderId="0" applyNumberFormat="0" applyBorder="0" applyAlignment="0" applyProtection="0"/>
    <xf numFmtId="177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177" fontId="21" fillId="14" borderId="0" applyNumberFormat="0" applyBorder="0" applyAlignment="0" applyProtection="0"/>
    <xf numFmtId="177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177" fontId="21" fillId="14" borderId="0" applyNumberFormat="0" applyBorder="0" applyAlignment="0" applyProtection="0"/>
    <xf numFmtId="177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177" fontId="21" fillId="14" borderId="0" applyNumberFormat="0" applyBorder="0" applyAlignment="0" applyProtection="0"/>
    <xf numFmtId="177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177" fontId="21" fillId="14" borderId="0" applyNumberFormat="0" applyBorder="0" applyAlignment="0" applyProtection="0"/>
    <xf numFmtId="177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177" fontId="21" fillId="14" borderId="0" applyNumberFormat="0" applyBorder="0" applyAlignment="0" applyProtection="0"/>
    <xf numFmtId="177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177" fontId="21" fillId="14" borderId="0" applyNumberFormat="0" applyBorder="0" applyAlignment="0" applyProtection="0"/>
    <xf numFmtId="177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177" fontId="21" fillId="14" borderId="0" applyNumberFormat="0" applyBorder="0" applyAlignment="0" applyProtection="0"/>
    <xf numFmtId="177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177" fontId="21" fillId="14" borderId="0" applyNumberFormat="0" applyBorder="0" applyAlignment="0" applyProtection="0"/>
    <xf numFmtId="177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177" fontId="21" fillId="15" borderId="0" applyNumberFormat="0" applyBorder="0" applyAlignment="0" applyProtection="0"/>
    <xf numFmtId="177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177" fontId="21" fillId="15" borderId="0" applyNumberFormat="0" applyBorder="0" applyAlignment="0" applyProtection="0"/>
    <xf numFmtId="177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177" fontId="21" fillId="15" borderId="0" applyNumberFormat="0" applyBorder="0" applyAlignment="0" applyProtection="0"/>
    <xf numFmtId="177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177" fontId="21" fillId="15" borderId="0" applyNumberFormat="0" applyBorder="0" applyAlignment="0" applyProtection="0"/>
    <xf numFmtId="177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176" fontId="5" fillId="7" borderId="0" applyNumberFormat="0" applyBorder="0" applyAlignment="0" applyProtection="0"/>
    <xf numFmtId="177" fontId="21" fillId="15" borderId="0" applyNumberFormat="0" applyBorder="0" applyAlignment="0" applyProtection="0"/>
    <xf numFmtId="177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177" fontId="21" fillId="15" borderId="0" applyNumberFormat="0" applyBorder="0" applyAlignment="0" applyProtection="0"/>
    <xf numFmtId="177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177" fontId="21" fillId="15" borderId="0" applyNumberFormat="0" applyBorder="0" applyAlignment="0" applyProtection="0"/>
    <xf numFmtId="177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177" fontId="21" fillId="15" borderId="0" applyNumberFormat="0" applyBorder="0" applyAlignment="0" applyProtection="0"/>
    <xf numFmtId="177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177" fontId="21" fillId="15" borderId="0" applyNumberFormat="0" applyBorder="0" applyAlignment="0" applyProtection="0"/>
    <xf numFmtId="177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177" fontId="21" fillId="15" borderId="0" applyNumberFormat="0" applyBorder="0" applyAlignment="0" applyProtection="0"/>
    <xf numFmtId="177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177" fontId="21" fillId="15" borderId="0" applyNumberFormat="0" applyBorder="0" applyAlignment="0" applyProtection="0"/>
    <xf numFmtId="177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177" fontId="21" fillId="15" borderId="0" applyNumberFormat="0" applyBorder="0" applyAlignment="0" applyProtection="0"/>
    <xf numFmtId="177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177" fontId="21" fillId="16" borderId="0" applyNumberFormat="0" applyBorder="0" applyAlignment="0" applyProtection="0"/>
    <xf numFmtId="177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177" fontId="21" fillId="16" borderId="0" applyNumberFormat="0" applyBorder="0" applyAlignment="0" applyProtection="0"/>
    <xf numFmtId="177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177" fontId="21" fillId="16" borderId="0" applyNumberFormat="0" applyBorder="0" applyAlignment="0" applyProtection="0"/>
    <xf numFmtId="177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177" fontId="21" fillId="16" borderId="0" applyNumberFormat="0" applyBorder="0" applyAlignment="0" applyProtection="0"/>
    <xf numFmtId="177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177" fontId="21" fillId="16" borderId="0" applyNumberFormat="0" applyBorder="0" applyAlignment="0" applyProtection="0"/>
    <xf numFmtId="177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177" fontId="21" fillId="16" borderId="0" applyNumberFormat="0" applyBorder="0" applyAlignment="0" applyProtection="0"/>
    <xf numFmtId="177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177" fontId="21" fillId="16" borderId="0" applyNumberFormat="0" applyBorder="0" applyAlignment="0" applyProtection="0"/>
    <xf numFmtId="177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177" fontId="21" fillId="16" borderId="0" applyNumberFormat="0" applyBorder="0" applyAlignment="0" applyProtection="0"/>
    <xf numFmtId="177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177" fontId="21" fillId="16" borderId="0" applyNumberFormat="0" applyBorder="0" applyAlignment="0" applyProtection="0"/>
    <xf numFmtId="177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177" fontId="21" fillId="16" borderId="0" applyNumberFormat="0" applyBorder="0" applyAlignment="0" applyProtection="0"/>
    <xf numFmtId="177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177" fontId="21" fillId="16" borderId="0" applyNumberFormat="0" applyBorder="0" applyAlignment="0" applyProtection="0"/>
    <xf numFmtId="177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177" fontId="21" fillId="16" borderId="0" applyNumberFormat="0" applyBorder="0" applyAlignment="0" applyProtection="0"/>
    <xf numFmtId="177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177" fontId="21" fillId="17" borderId="0" applyNumberFormat="0" applyBorder="0" applyAlignment="0" applyProtection="0"/>
    <xf numFmtId="177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177" fontId="21" fillId="17" borderId="0" applyNumberFormat="0" applyBorder="0" applyAlignment="0" applyProtection="0"/>
    <xf numFmtId="177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177" fontId="21" fillId="17" borderId="0" applyNumberFormat="0" applyBorder="0" applyAlignment="0" applyProtection="0"/>
    <xf numFmtId="177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177" fontId="21" fillId="17" borderId="0" applyNumberFormat="0" applyBorder="0" applyAlignment="0" applyProtection="0"/>
    <xf numFmtId="177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177" fontId="21" fillId="17" borderId="0" applyNumberFormat="0" applyBorder="0" applyAlignment="0" applyProtection="0"/>
    <xf numFmtId="177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177" fontId="21" fillId="17" borderId="0" applyNumberFormat="0" applyBorder="0" applyAlignment="0" applyProtection="0"/>
    <xf numFmtId="177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177" fontId="21" fillId="17" borderId="0" applyNumberFormat="0" applyBorder="0" applyAlignment="0" applyProtection="0"/>
    <xf numFmtId="177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177" fontId="21" fillId="17" borderId="0" applyNumberFormat="0" applyBorder="0" applyAlignment="0" applyProtection="0"/>
    <xf numFmtId="177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177" fontId="21" fillId="17" borderId="0" applyNumberFormat="0" applyBorder="0" applyAlignment="0" applyProtection="0"/>
    <xf numFmtId="177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177" fontId="21" fillId="17" borderId="0" applyNumberFormat="0" applyBorder="0" applyAlignment="0" applyProtection="0"/>
    <xf numFmtId="177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177" fontId="21" fillId="17" borderId="0" applyNumberFormat="0" applyBorder="0" applyAlignment="0" applyProtection="0"/>
    <xf numFmtId="177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177" fontId="21" fillId="17" borderId="0" applyNumberFormat="0" applyBorder="0" applyAlignment="0" applyProtection="0"/>
    <xf numFmtId="177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177" fontId="21" fillId="18" borderId="0" applyNumberFormat="0" applyBorder="0" applyAlignment="0" applyProtection="0"/>
    <xf numFmtId="177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177" fontId="21" fillId="18" borderId="0" applyNumberFormat="0" applyBorder="0" applyAlignment="0" applyProtection="0"/>
    <xf numFmtId="177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177" fontId="21" fillId="18" borderId="0" applyNumberFormat="0" applyBorder="0" applyAlignment="0" applyProtection="0"/>
    <xf numFmtId="177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177" fontId="21" fillId="18" borderId="0" applyNumberFormat="0" applyBorder="0" applyAlignment="0" applyProtection="0"/>
    <xf numFmtId="177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177" fontId="21" fillId="18" borderId="0" applyNumberFormat="0" applyBorder="0" applyAlignment="0" applyProtection="0"/>
    <xf numFmtId="177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177" fontId="21" fillId="18" borderId="0" applyNumberFormat="0" applyBorder="0" applyAlignment="0" applyProtection="0"/>
    <xf numFmtId="177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177" fontId="21" fillId="18" borderId="0" applyNumberFormat="0" applyBorder="0" applyAlignment="0" applyProtection="0"/>
    <xf numFmtId="177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177" fontId="21" fillId="18" borderId="0" applyNumberFormat="0" applyBorder="0" applyAlignment="0" applyProtection="0"/>
    <xf numFmtId="177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177" fontId="21" fillId="18" borderId="0" applyNumberFormat="0" applyBorder="0" applyAlignment="0" applyProtection="0"/>
    <xf numFmtId="177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177" fontId="21" fillId="18" borderId="0" applyNumberFormat="0" applyBorder="0" applyAlignment="0" applyProtection="0"/>
    <xf numFmtId="177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177" fontId="21" fillId="18" borderId="0" applyNumberFormat="0" applyBorder="0" applyAlignment="0" applyProtection="0"/>
    <xf numFmtId="177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177" fontId="21" fillId="18" borderId="0" applyNumberFormat="0" applyBorder="0" applyAlignment="0" applyProtection="0"/>
    <xf numFmtId="177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177" fontId="21" fillId="19" borderId="0" applyNumberFormat="0" applyBorder="0" applyAlignment="0" applyProtection="0"/>
    <xf numFmtId="177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177" fontId="21" fillId="19" borderId="0" applyNumberFormat="0" applyBorder="0" applyAlignment="0" applyProtection="0"/>
    <xf numFmtId="177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177" fontId="21" fillId="19" borderId="0" applyNumberFormat="0" applyBorder="0" applyAlignment="0" applyProtection="0"/>
    <xf numFmtId="177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177" fontId="21" fillId="19" borderId="0" applyNumberFormat="0" applyBorder="0" applyAlignment="0" applyProtection="0"/>
    <xf numFmtId="177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176" fontId="5" fillId="10" borderId="0" applyNumberFormat="0" applyBorder="0" applyAlignment="0" applyProtection="0"/>
    <xf numFmtId="177" fontId="21" fillId="19" borderId="0" applyNumberFormat="0" applyBorder="0" applyAlignment="0" applyProtection="0"/>
    <xf numFmtId="177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177" fontId="21" fillId="19" borderId="0" applyNumberFormat="0" applyBorder="0" applyAlignment="0" applyProtection="0"/>
    <xf numFmtId="177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177" fontId="21" fillId="19" borderId="0" applyNumberFormat="0" applyBorder="0" applyAlignment="0" applyProtection="0"/>
    <xf numFmtId="177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177" fontId="21" fillId="19" borderId="0" applyNumberFormat="0" applyBorder="0" applyAlignment="0" applyProtection="0"/>
    <xf numFmtId="177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177" fontId="21" fillId="19" borderId="0" applyNumberFormat="0" applyBorder="0" applyAlignment="0" applyProtection="0"/>
    <xf numFmtId="177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177" fontId="21" fillId="19" borderId="0" applyNumberFormat="0" applyBorder="0" applyAlignment="0" applyProtection="0"/>
    <xf numFmtId="177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177" fontId="21" fillId="19" borderId="0" applyNumberFormat="0" applyBorder="0" applyAlignment="0" applyProtection="0"/>
    <xf numFmtId="177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177" fontId="21" fillId="19" borderId="0" applyNumberFormat="0" applyBorder="0" applyAlignment="0" applyProtection="0"/>
    <xf numFmtId="177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177" fontId="21" fillId="20" borderId="0" applyNumberFormat="0" applyBorder="0" applyAlignment="0" applyProtection="0"/>
    <xf numFmtId="177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177" fontId="21" fillId="20" borderId="0" applyNumberFormat="0" applyBorder="0" applyAlignment="0" applyProtection="0"/>
    <xf numFmtId="177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177" fontId="21" fillId="20" borderId="0" applyNumberFormat="0" applyBorder="0" applyAlignment="0" applyProtection="0"/>
    <xf numFmtId="177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177" fontId="21" fillId="20" borderId="0" applyNumberFormat="0" applyBorder="0" applyAlignment="0" applyProtection="0"/>
    <xf numFmtId="177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177" fontId="21" fillId="20" borderId="0" applyNumberFormat="0" applyBorder="0" applyAlignment="0" applyProtection="0"/>
    <xf numFmtId="177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177" fontId="21" fillId="20" borderId="0" applyNumberFormat="0" applyBorder="0" applyAlignment="0" applyProtection="0"/>
    <xf numFmtId="177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177" fontId="21" fillId="20" borderId="0" applyNumberFormat="0" applyBorder="0" applyAlignment="0" applyProtection="0"/>
    <xf numFmtId="177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177" fontId="21" fillId="20" borderId="0" applyNumberFormat="0" applyBorder="0" applyAlignment="0" applyProtection="0"/>
    <xf numFmtId="177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177" fontId="21" fillId="20" borderId="0" applyNumberFormat="0" applyBorder="0" applyAlignment="0" applyProtection="0"/>
    <xf numFmtId="177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177" fontId="21" fillId="20" borderId="0" applyNumberFormat="0" applyBorder="0" applyAlignment="0" applyProtection="0"/>
    <xf numFmtId="177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177" fontId="21" fillId="20" borderId="0" applyNumberFormat="0" applyBorder="0" applyAlignment="0" applyProtection="0"/>
    <xf numFmtId="177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177" fontId="21" fillId="20" borderId="0" applyNumberFormat="0" applyBorder="0" applyAlignment="0" applyProtection="0"/>
    <xf numFmtId="177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177" fontId="21" fillId="21" borderId="0" applyNumberFormat="0" applyBorder="0" applyAlignment="0" applyProtection="0"/>
    <xf numFmtId="177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177" fontId="21" fillId="21" borderId="0" applyNumberFormat="0" applyBorder="0" applyAlignment="0" applyProtection="0"/>
    <xf numFmtId="177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177" fontId="21" fillId="21" borderId="0" applyNumberFormat="0" applyBorder="0" applyAlignment="0" applyProtection="0"/>
    <xf numFmtId="177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177" fontId="21" fillId="21" borderId="0" applyNumberFormat="0" applyBorder="0" applyAlignment="0" applyProtection="0"/>
    <xf numFmtId="177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177" fontId="21" fillId="21" borderId="0" applyNumberFormat="0" applyBorder="0" applyAlignment="0" applyProtection="0"/>
    <xf numFmtId="177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177" fontId="21" fillId="21" borderId="0" applyNumberFormat="0" applyBorder="0" applyAlignment="0" applyProtection="0"/>
    <xf numFmtId="177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177" fontId="21" fillId="21" borderId="0" applyNumberFormat="0" applyBorder="0" applyAlignment="0" applyProtection="0"/>
    <xf numFmtId="177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177" fontId="21" fillId="21" borderId="0" applyNumberFormat="0" applyBorder="0" applyAlignment="0" applyProtection="0"/>
    <xf numFmtId="177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177" fontId="21" fillId="21" borderId="0" applyNumberFormat="0" applyBorder="0" applyAlignment="0" applyProtection="0"/>
    <xf numFmtId="177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177" fontId="21" fillId="21" borderId="0" applyNumberFormat="0" applyBorder="0" applyAlignment="0" applyProtection="0"/>
    <xf numFmtId="177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177" fontId="21" fillId="21" borderId="0" applyNumberFormat="0" applyBorder="0" applyAlignment="0" applyProtection="0"/>
    <xf numFmtId="177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177" fontId="21" fillId="21" borderId="0" applyNumberFormat="0" applyBorder="0" applyAlignment="0" applyProtection="0"/>
    <xf numFmtId="177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177" fontId="21" fillId="22" borderId="0" applyNumberFormat="0" applyBorder="0" applyAlignment="0" applyProtection="0"/>
    <xf numFmtId="177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177" fontId="21" fillId="22" borderId="0" applyNumberFormat="0" applyBorder="0" applyAlignment="0" applyProtection="0"/>
    <xf numFmtId="177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177" fontId="21" fillId="22" borderId="0" applyNumberFormat="0" applyBorder="0" applyAlignment="0" applyProtection="0"/>
    <xf numFmtId="177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177" fontId="21" fillId="22" borderId="0" applyNumberFormat="0" applyBorder="0" applyAlignment="0" applyProtection="0"/>
    <xf numFmtId="177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177" fontId="21" fillId="22" borderId="0" applyNumberFormat="0" applyBorder="0" applyAlignment="0" applyProtection="0"/>
    <xf numFmtId="177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177" fontId="21" fillId="22" borderId="0" applyNumberFormat="0" applyBorder="0" applyAlignment="0" applyProtection="0"/>
    <xf numFmtId="177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177" fontId="21" fillId="22" borderId="0" applyNumberFormat="0" applyBorder="0" applyAlignment="0" applyProtection="0"/>
    <xf numFmtId="177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177" fontId="21" fillId="22" borderId="0" applyNumberFormat="0" applyBorder="0" applyAlignment="0" applyProtection="0"/>
    <xf numFmtId="177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177" fontId="21" fillId="22" borderId="0" applyNumberFormat="0" applyBorder="0" applyAlignment="0" applyProtection="0"/>
    <xf numFmtId="177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177" fontId="21" fillId="22" borderId="0" applyNumberFormat="0" applyBorder="0" applyAlignment="0" applyProtection="0"/>
    <xf numFmtId="177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177" fontId="21" fillId="22" borderId="0" applyNumberFormat="0" applyBorder="0" applyAlignment="0" applyProtection="0"/>
    <xf numFmtId="177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177" fontId="21" fillId="22" borderId="0" applyNumberFormat="0" applyBorder="0" applyAlignment="0" applyProtection="0"/>
    <xf numFmtId="177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177" fontId="21" fillId="17" borderId="0" applyNumberFormat="0" applyBorder="0" applyAlignment="0" applyProtection="0"/>
    <xf numFmtId="177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177" fontId="21" fillId="17" borderId="0" applyNumberFormat="0" applyBorder="0" applyAlignment="0" applyProtection="0"/>
    <xf numFmtId="177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177" fontId="21" fillId="17" borderId="0" applyNumberFormat="0" applyBorder="0" applyAlignment="0" applyProtection="0"/>
    <xf numFmtId="177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177" fontId="21" fillId="17" borderId="0" applyNumberFormat="0" applyBorder="0" applyAlignment="0" applyProtection="0"/>
    <xf numFmtId="177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177" fontId="21" fillId="17" borderId="0" applyNumberFormat="0" applyBorder="0" applyAlignment="0" applyProtection="0"/>
    <xf numFmtId="177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177" fontId="21" fillId="17" borderId="0" applyNumberFormat="0" applyBorder="0" applyAlignment="0" applyProtection="0"/>
    <xf numFmtId="177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177" fontId="21" fillId="17" borderId="0" applyNumberFormat="0" applyBorder="0" applyAlignment="0" applyProtection="0"/>
    <xf numFmtId="177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177" fontId="21" fillId="17" borderId="0" applyNumberFormat="0" applyBorder="0" applyAlignment="0" applyProtection="0"/>
    <xf numFmtId="177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177" fontId="21" fillId="17" borderId="0" applyNumberFormat="0" applyBorder="0" applyAlignment="0" applyProtection="0"/>
    <xf numFmtId="177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177" fontId="21" fillId="17" borderId="0" applyNumberFormat="0" applyBorder="0" applyAlignment="0" applyProtection="0"/>
    <xf numFmtId="177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177" fontId="21" fillId="17" borderId="0" applyNumberFormat="0" applyBorder="0" applyAlignment="0" applyProtection="0"/>
    <xf numFmtId="177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177" fontId="21" fillId="17" borderId="0" applyNumberFormat="0" applyBorder="0" applyAlignment="0" applyProtection="0"/>
    <xf numFmtId="177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177" fontId="21" fillId="20" borderId="0" applyNumberFormat="0" applyBorder="0" applyAlignment="0" applyProtection="0"/>
    <xf numFmtId="177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177" fontId="21" fillId="20" borderId="0" applyNumberFormat="0" applyBorder="0" applyAlignment="0" applyProtection="0"/>
    <xf numFmtId="177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177" fontId="21" fillId="20" borderId="0" applyNumberFormat="0" applyBorder="0" applyAlignment="0" applyProtection="0"/>
    <xf numFmtId="177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177" fontId="21" fillId="20" borderId="0" applyNumberFormat="0" applyBorder="0" applyAlignment="0" applyProtection="0"/>
    <xf numFmtId="177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177" fontId="21" fillId="20" borderId="0" applyNumberFormat="0" applyBorder="0" applyAlignment="0" applyProtection="0"/>
    <xf numFmtId="177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177" fontId="21" fillId="20" borderId="0" applyNumberFormat="0" applyBorder="0" applyAlignment="0" applyProtection="0"/>
    <xf numFmtId="177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177" fontId="21" fillId="20" borderId="0" applyNumberFormat="0" applyBorder="0" applyAlignment="0" applyProtection="0"/>
    <xf numFmtId="177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177" fontId="21" fillId="20" borderId="0" applyNumberFormat="0" applyBorder="0" applyAlignment="0" applyProtection="0"/>
    <xf numFmtId="177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177" fontId="21" fillId="20" borderId="0" applyNumberFormat="0" applyBorder="0" applyAlignment="0" applyProtection="0"/>
    <xf numFmtId="177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177" fontId="21" fillId="20" borderId="0" applyNumberFormat="0" applyBorder="0" applyAlignment="0" applyProtection="0"/>
    <xf numFmtId="177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177" fontId="21" fillId="20" borderId="0" applyNumberFormat="0" applyBorder="0" applyAlignment="0" applyProtection="0"/>
    <xf numFmtId="177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177" fontId="21" fillId="20" borderId="0" applyNumberFormat="0" applyBorder="0" applyAlignment="0" applyProtection="0"/>
    <xf numFmtId="177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177" fontId="21" fillId="23" borderId="0" applyNumberFormat="0" applyBorder="0" applyAlignment="0" applyProtection="0"/>
    <xf numFmtId="177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177" fontId="21" fillId="23" borderId="0" applyNumberFormat="0" applyBorder="0" applyAlignment="0" applyProtection="0"/>
    <xf numFmtId="177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177" fontId="21" fillId="23" borderId="0" applyNumberFormat="0" applyBorder="0" applyAlignment="0" applyProtection="0"/>
    <xf numFmtId="177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177" fontId="21" fillId="23" borderId="0" applyNumberFormat="0" applyBorder="0" applyAlignment="0" applyProtection="0"/>
    <xf numFmtId="177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177" fontId="21" fillId="23" borderId="0" applyNumberFormat="0" applyBorder="0" applyAlignment="0" applyProtection="0"/>
    <xf numFmtId="177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177" fontId="21" fillId="23" borderId="0" applyNumberFormat="0" applyBorder="0" applyAlignment="0" applyProtection="0"/>
    <xf numFmtId="177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177" fontId="21" fillId="23" borderId="0" applyNumberFormat="0" applyBorder="0" applyAlignment="0" applyProtection="0"/>
    <xf numFmtId="177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177" fontId="21" fillId="23" borderId="0" applyNumberFormat="0" applyBorder="0" applyAlignment="0" applyProtection="0"/>
    <xf numFmtId="177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177" fontId="21" fillId="23" borderId="0" applyNumberFormat="0" applyBorder="0" applyAlignment="0" applyProtection="0"/>
    <xf numFmtId="177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177" fontId="21" fillId="23" borderId="0" applyNumberFormat="0" applyBorder="0" applyAlignment="0" applyProtection="0"/>
    <xf numFmtId="177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177" fontId="21" fillId="23" borderId="0" applyNumberFormat="0" applyBorder="0" applyAlignment="0" applyProtection="0"/>
    <xf numFmtId="177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177" fontId="21" fillId="23" borderId="0" applyNumberFormat="0" applyBorder="0" applyAlignment="0" applyProtection="0"/>
    <xf numFmtId="177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177" fontId="22" fillId="24" borderId="0" applyNumberFormat="0" applyBorder="0" applyAlignment="0" applyProtection="0"/>
    <xf numFmtId="177" fontId="22" fillId="21" borderId="0" applyNumberFormat="0" applyBorder="0" applyAlignment="0" applyProtection="0"/>
    <xf numFmtId="177" fontId="22" fillId="22" borderId="0" applyNumberFormat="0" applyBorder="0" applyAlignment="0" applyProtection="0"/>
    <xf numFmtId="177" fontId="22" fillId="25" borderId="0" applyNumberFormat="0" applyBorder="0" applyAlignment="0" applyProtection="0"/>
    <xf numFmtId="177" fontId="22" fillId="26" borderId="0" applyNumberFormat="0" applyBorder="0" applyAlignment="0" applyProtection="0"/>
    <xf numFmtId="177" fontId="22" fillId="41" borderId="0" applyNumberFormat="0" applyBorder="0" applyAlignment="0" applyProtection="0"/>
    <xf numFmtId="177" fontId="22" fillId="27" borderId="0" applyNumberFormat="0" applyBorder="0" applyAlignment="0" applyProtection="0"/>
    <xf numFmtId="177" fontId="22" fillId="42" borderId="0" applyNumberFormat="0" applyBorder="0" applyAlignment="0" applyProtection="0"/>
    <xf numFmtId="177" fontId="22" fillId="28" borderId="0" applyNumberFormat="0" applyBorder="0" applyAlignment="0" applyProtection="0"/>
    <xf numFmtId="177" fontId="22" fillId="25" borderId="0" applyNumberFormat="0" applyBorder="0" applyAlignment="0" applyProtection="0"/>
    <xf numFmtId="177" fontId="22" fillId="26" borderId="0" applyNumberFormat="0" applyBorder="0" applyAlignment="0" applyProtection="0"/>
    <xf numFmtId="177" fontId="22" fillId="29" borderId="0" applyNumberFormat="0" applyBorder="0" applyAlignment="0" applyProtection="0"/>
    <xf numFmtId="212" fontId="11" fillId="0" borderId="0" applyFont="0" applyFill="0" applyBorder="0" applyAlignment="0" applyProtection="0"/>
    <xf numFmtId="185" fontId="11" fillId="0" borderId="0" applyFont="0" applyFill="0" applyBorder="0" applyAlignment="0" applyProtection="0"/>
    <xf numFmtId="177" fontId="23" fillId="0" borderId="0">
      <alignment horizontal="center" wrapText="1"/>
      <protection locked="0"/>
    </xf>
    <xf numFmtId="213" fontId="11" fillId="0" borderId="0" applyFont="0" applyFill="0" applyBorder="0" applyAlignment="0" applyProtection="0"/>
    <xf numFmtId="214" fontId="11" fillId="0" borderId="0" applyFont="0" applyFill="0" applyBorder="0" applyAlignment="0" applyProtection="0"/>
    <xf numFmtId="177" fontId="93" fillId="15" borderId="0" applyNumberFormat="0" applyBorder="0" applyAlignment="0" applyProtection="0"/>
    <xf numFmtId="176" fontId="91" fillId="0" borderId="0"/>
    <xf numFmtId="177" fontId="27" fillId="30" borderId="35" applyNumberFormat="0" applyAlignment="0" applyProtection="0"/>
    <xf numFmtId="0" fontId="27" fillId="30" borderId="35" applyNumberFormat="0" applyAlignment="0" applyProtection="0"/>
    <xf numFmtId="176" fontId="27" fillId="30" borderId="35" applyNumberFormat="0" applyAlignment="0" applyProtection="0"/>
    <xf numFmtId="177" fontId="29" fillId="31" borderId="15" applyNumberFormat="0" applyAlignment="0" applyProtection="0"/>
    <xf numFmtId="0" fontId="29" fillId="31" borderId="15" applyNumberFormat="0" applyAlignment="0" applyProtection="0"/>
    <xf numFmtId="177" fontId="30" fillId="0" borderId="0"/>
    <xf numFmtId="177" fontId="30" fillId="0" borderId="0"/>
    <xf numFmtId="177" fontId="30" fillId="0" borderId="0"/>
    <xf numFmtId="0" fontId="92" fillId="0" borderId="0"/>
    <xf numFmtId="0" fontId="92" fillId="0" borderId="0"/>
    <xf numFmtId="0" fontId="92" fillId="0" borderId="0"/>
    <xf numFmtId="0" fontId="94" fillId="0" borderId="0"/>
    <xf numFmtId="168" fontId="11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5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21" fillId="0" borderId="0" applyFont="0" applyFill="0" applyBorder="0" applyAlignment="0" applyProtection="0"/>
    <xf numFmtId="0" fontId="95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177" fontId="35" fillId="0" borderId="0" applyNumberFormat="0" applyAlignment="0">
      <alignment horizontal="left"/>
    </xf>
    <xf numFmtId="177" fontId="36" fillId="0" borderId="0" applyNumberFormat="0" applyAlignment="0"/>
    <xf numFmtId="177" fontId="30" fillId="0" borderId="0"/>
    <xf numFmtId="177" fontId="30" fillId="0" borderId="0"/>
    <xf numFmtId="185" fontId="37" fillId="0" borderId="22"/>
    <xf numFmtId="185" fontId="37" fillId="0" borderId="22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96" fillId="0" borderId="0" applyFont="0" applyFill="0" applyBorder="0" applyAlignment="0" applyProtection="0"/>
    <xf numFmtId="0" fontId="25" fillId="0" borderId="0" applyFill="0" applyBorder="0" applyAlignment="0"/>
    <xf numFmtId="177" fontId="39" fillId="0" borderId="0" applyNumberFormat="0" applyAlignment="0">
      <alignment horizontal="left"/>
    </xf>
    <xf numFmtId="177" fontId="30" fillId="0" borderId="0" applyFont="0" applyFill="0" applyBorder="0" applyAlignment="0" applyProtection="0"/>
    <xf numFmtId="176" fontId="31" fillId="0" borderId="0"/>
    <xf numFmtId="177" fontId="40" fillId="0" borderId="0" applyNumberFormat="0" applyFill="0" applyBorder="0" applyAlignment="0" applyProtection="0"/>
    <xf numFmtId="177" fontId="41" fillId="16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177" fontId="42" fillId="33" borderId="16"/>
    <xf numFmtId="177" fontId="43" fillId="0" borderId="17" applyNumberFormat="0" applyAlignment="0" applyProtection="0">
      <alignment horizontal="left" vertical="center"/>
    </xf>
    <xf numFmtId="177" fontId="43" fillId="0" borderId="18">
      <alignment horizontal="left" vertical="center"/>
    </xf>
    <xf numFmtId="177" fontId="43" fillId="0" borderId="18">
      <alignment horizontal="left" vertical="center"/>
    </xf>
    <xf numFmtId="177" fontId="44" fillId="0" borderId="19" applyNumberFormat="0" applyFill="0" applyAlignment="0" applyProtection="0"/>
    <xf numFmtId="177" fontId="45" fillId="0" borderId="20" applyNumberFormat="0" applyFill="0" applyAlignment="0" applyProtection="0"/>
    <xf numFmtId="177" fontId="46" fillId="0" borderId="21" applyNumberFormat="0" applyFill="0" applyAlignment="0" applyProtection="0"/>
    <xf numFmtId="177" fontId="46" fillId="0" borderId="0" applyNumberFormat="0" applyFill="0" applyBorder="0" applyAlignment="0" applyProtection="0"/>
    <xf numFmtId="177" fontId="97" fillId="0" borderId="0" applyNumberFormat="0" applyFill="0" applyBorder="0" applyAlignment="0" applyProtection="0">
      <alignment vertical="top"/>
      <protection locked="0"/>
    </xf>
    <xf numFmtId="176" fontId="49" fillId="0" borderId="0" applyNumberFormat="0" applyFill="0" applyBorder="0" applyAlignment="0" applyProtection="0">
      <alignment vertical="top"/>
      <protection locked="0"/>
    </xf>
    <xf numFmtId="176" fontId="97" fillId="0" borderId="0" applyNumberFormat="0" applyFill="0" applyBorder="0" applyAlignment="0" applyProtection="0">
      <alignment vertical="top"/>
      <protection locked="0"/>
    </xf>
    <xf numFmtId="176" fontId="98" fillId="0" borderId="0" applyNumberFormat="0" applyFill="0" applyBorder="0" applyAlignment="0" applyProtection="0">
      <alignment vertical="top"/>
      <protection locked="0"/>
    </xf>
    <xf numFmtId="177" fontId="99" fillId="0" borderId="0" applyNumberFormat="0" applyFill="0" applyBorder="0" applyAlignment="0" applyProtection="0">
      <alignment vertical="top"/>
      <protection locked="0"/>
    </xf>
    <xf numFmtId="176" fontId="100" fillId="0" borderId="0" applyNumberFormat="0" applyFill="0" applyBorder="0" applyAlignment="0" applyProtection="0">
      <alignment vertical="top"/>
      <protection locked="0"/>
    </xf>
    <xf numFmtId="177" fontId="100" fillId="0" borderId="0" applyNumberFormat="0" applyFill="0" applyBorder="0" applyAlignment="0" applyProtection="0">
      <alignment vertical="top"/>
      <protection locked="0"/>
    </xf>
    <xf numFmtId="177" fontId="48" fillId="0" borderId="0" applyNumberFormat="0" applyFill="0" applyBorder="0" applyAlignment="0" applyProtection="0">
      <alignment vertical="top"/>
      <protection locked="0"/>
    </xf>
    <xf numFmtId="10" fontId="34" fillId="34" borderId="22" applyNumberFormat="0" applyBorder="0" applyAlignment="0" applyProtection="0"/>
    <xf numFmtId="10" fontId="34" fillId="34" borderId="22" applyNumberFormat="0" applyBorder="0" applyAlignment="0" applyProtection="0"/>
    <xf numFmtId="0" fontId="34" fillId="34" borderId="22" applyNumberFormat="0" applyBorder="0" applyAlignment="0" applyProtection="0"/>
    <xf numFmtId="177" fontId="50" fillId="19" borderId="35" applyNumberFormat="0" applyAlignment="0" applyProtection="0"/>
    <xf numFmtId="0" fontId="50" fillId="19" borderId="35" applyNumberFormat="0" applyAlignment="0" applyProtection="0"/>
    <xf numFmtId="176" fontId="50" fillId="19" borderId="35" applyNumberFormat="0" applyAlignment="0" applyProtection="0"/>
    <xf numFmtId="177" fontId="50" fillId="19" borderId="35" applyNumberFormat="0" applyAlignment="0" applyProtection="0"/>
    <xf numFmtId="0" fontId="50" fillId="19" borderId="35" applyNumberFormat="0" applyAlignment="0" applyProtection="0"/>
    <xf numFmtId="176" fontId="50" fillId="19" borderId="35" applyNumberFormat="0" applyAlignment="0" applyProtection="0"/>
    <xf numFmtId="177" fontId="50" fillId="19" borderId="35" applyNumberFormat="0" applyAlignment="0" applyProtection="0"/>
    <xf numFmtId="0" fontId="50" fillId="19" borderId="35" applyNumberFormat="0" applyAlignment="0" applyProtection="0"/>
    <xf numFmtId="176" fontId="50" fillId="19" borderId="35" applyNumberFormat="0" applyAlignment="0" applyProtection="0"/>
    <xf numFmtId="177" fontId="50" fillId="19" borderId="35" applyNumberFormat="0" applyAlignment="0" applyProtection="0"/>
    <xf numFmtId="0" fontId="50" fillId="19" borderId="35" applyNumberFormat="0" applyAlignment="0" applyProtection="0"/>
    <xf numFmtId="176" fontId="50" fillId="19" borderId="35" applyNumberFormat="0" applyAlignment="0" applyProtection="0"/>
    <xf numFmtId="177" fontId="51" fillId="0" borderId="24" applyNumberFormat="0" applyFill="0" applyAlignment="0" applyProtection="0"/>
    <xf numFmtId="177" fontId="54" fillId="37" borderId="0" applyNumberFormat="0" applyBorder="0" applyAlignment="0" applyProtection="0"/>
    <xf numFmtId="0" fontId="55" fillId="0" borderId="0"/>
    <xf numFmtId="177" fontId="21" fillId="0" borderId="0"/>
    <xf numFmtId="0" fontId="21" fillId="0" borderId="0"/>
    <xf numFmtId="0" fontId="21" fillId="0" borderId="0"/>
    <xf numFmtId="0" fontId="5" fillId="0" borderId="0"/>
    <xf numFmtId="167" fontId="11" fillId="0" borderId="0"/>
    <xf numFmtId="0" fontId="11" fillId="0" borderId="0"/>
    <xf numFmtId="177" fontId="11" fillId="0" borderId="0"/>
    <xf numFmtId="176" fontId="11" fillId="0" borderId="0"/>
    <xf numFmtId="176" fontId="11" fillId="0" borderId="0"/>
    <xf numFmtId="176" fontId="11" fillId="0" borderId="0"/>
    <xf numFmtId="176" fontId="5" fillId="0" borderId="0"/>
    <xf numFmtId="177" fontId="21" fillId="0" borderId="0"/>
    <xf numFmtId="176" fontId="21" fillId="0" borderId="0"/>
    <xf numFmtId="176" fontId="21" fillId="0" borderId="0"/>
    <xf numFmtId="176" fontId="21" fillId="0" borderId="0"/>
    <xf numFmtId="176" fontId="21" fillId="0" borderId="0"/>
    <xf numFmtId="177" fontId="21" fillId="0" borderId="0"/>
    <xf numFmtId="0" fontId="21" fillId="0" borderId="0"/>
    <xf numFmtId="0" fontId="21" fillId="0" borderId="0"/>
    <xf numFmtId="176" fontId="21" fillId="0" borderId="0"/>
    <xf numFmtId="176" fontId="21" fillId="0" borderId="0"/>
    <xf numFmtId="0" fontId="21" fillId="0" borderId="0"/>
    <xf numFmtId="176" fontId="11" fillId="0" borderId="0"/>
    <xf numFmtId="215" fontId="2" fillId="0" borderId="0"/>
    <xf numFmtId="176" fontId="11" fillId="0" borderId="0"/>
    <xf numFmtId="0" fontId="5" fillId="0" borderId="0"/>
    <xf numFmtId="177" fontId="5" fillId="0" borderId="0"/>
    <xf numFmtId="177" fontId="5" fillId="0" borderId="0"/>
    <xf numFmtId="176" fontId="11" fillId="0" borderId="0"/>
    <xf numFmtId="177" fontId="5" fillId="0" borderId="0"/>
    <xf numFmtId="164" fontId="31" fillId="0" borderId="0"/>
    <xf numFmtId="176" fontId="11" fillId="0" borderId="0"/>
    <xf numFmtId="177" fontId="2" fillId="0" borderId="0"/>
    <xf numFmtId="176" fontId="2" fillId="0" borderId="0"/>
    <xf numFmtId="176" fontId="2" fillId="0" borderId="0"/>
    <xf numFmtId="176" fontId="11" fillId="0" borderId="0"/>
    <xf numFmtId="176" fontId="11" fillId="0" borderId="0"/>
    <xf numFmtId="176" fontId="11" fillId="0" borderId="0"/>
    <xf numFmtId="177" fontId="5" fillId="0" borderId="0"/>
    <xf numFmtId="176" fontId="2" fillId="0" borderId="0"/>
    <xf numFmtId="164" fontId="31" fillId="0" borderId="0"/>
    <xf numFmtId="167" fontId="31" fillId="0" borderId="0"/>
    <xf numFmtId="177" fontId="2" fillId="0" borderId="0"/>
    <xf numFmtId="176" fontId="2" fillId="0" borderId="0"/>
    <xf numFmtId="176" fontId="2" fillId="0" borderId="0"/>
    <xf numFmtId="177" fontId="2" fillId="0" borderId="0"/>
    <xf numFmtId="176" fontId="2" fillId="0" borderId="0"/>
    <xf numFmtId="177" fontId="60" fillId="0" borderId="0" applyNumberFormat="0" applyFont="0" applyFill="0" applyAlignment="0" applyProtection="0"/>
    <xf numFmtId="177" fontId="60" fillId="0" borderId="0" applyNumberFormat="0" applyFont="0" applyFill="0" applyAlignment="0" applyProtection="0"/>
    <xf numFmtId="177" fontId="60" fillId="0" borderId="0" applyNumberFormat="0" applyFont="0" applyFill="0" applyAlignment="0" applyProtection="0"/>
    <xf numFmtId="177" fontId="60" fillId="0" borderId="0" applyNumberFormat="0" applyFont="0" applyFill="0" applyAlignment="0" applyProtection="0"/>
    <xf numFmtId="177" fontId="60" fillId="0" borderId="0" applyNumberFormat="0" applyFont="0" applyFill="0" applyAlignment="0" applyProtection="0"/>
    <xf numFmtId="177" fontId="60" fillId="0" borderId="0" applyNumberFormat="0" applyFont="0" applyFill="0" applyAlignment="0" applyProtection="0"/>
    <xf numFmtId="177" fontId="60" fillId="0" borderId="0" applyNumberFormat="0" applyFont="0" applyFill="0" applyAlignment="0" applyProtection="0"/>
    <xf numFmtId="177" fontId="2" fillId="0" borderId="0"/>
    <xf numFmtId="176" fontId="2" fillId="0" borderId="0"/>
    <xf numFmtId="177" fontId="60" fillId="0" borderId="0" applyNumberFormat="0" applyFont="0" applyFill="0" applyAlignment="0" applyProtection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6" fontId="11" fillId="0" borderId="0"/>
    <xf numFmtId="177" fontId="2" fillId="0" borderId="0"/>
    <xf numFmtId="176" fontId="2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6" fontId="2" fillId="0" borderId="0"/>
    <xf numFmtId="177" fontId="2" fillId="0" borderId="0"/>
    <xf numFmtId="176" fontId="2" fillId="0" borderId="0"/>
    <xf numFmtId="177" fontId="2" fillId="0" borderId="0"/>
    <xf numFmtId="176" fontId="2" fillId="0" borderId="0"/>
    <xf numFmtId="177" fontId="2" fillId="0" borderId="0"/>
    <xf numFmtId="176" fontId="2" fillId="0" borderId="0"/>
    <xf numFmtId="177" fontId="2" fillId="0" borderId="0"/>
    <xf numFmtId="176" fontId="2" fillId="0" borderId="0"/>
    <xf numFmtId="177" fontId="2" fillId="0" borderId="0"/>
    <xf numFmtId="177" fontId="2" fillId="0" borderId="0"/>
    <xf numFmtId="177" fontId="60" fillId="0" borderId="0" applyNumberFormat="0" applyFont="0" applyFill="0" applyAlignment="0" applyProtection="0"/>
    <xf numFmtId="177" fontId="60" fillId="0" borderId="0" applyNumberFormat="0" applyFont="0" applyFill="0" applyAlignment="0" applyProtection="0"/>
    <xf numFmtId="177" fontId="2" fillId="0" borderId="0"/>
    <xf numFmtId="176" fontId="2" fillId="0" borderId="0"/>
    <xf numFmtId="177" fontId="60" fillId="0" borderId="0" applyNumberFormat="0" applyFont="0" applyFill="0" applyAlignment="0" applyProtection="0"/>
    <xf numFmtId="177" fontId="60" fillId="0" borderId="0" applyNumberFormat="0" applyFont="0" applyFill="0" applyAlignment="0" applyProtection="0"/>
    <xf numFmtId="177" fontId="60" fillId="0" borderId="0" applyNumberFormat="0" applyFont="0" applyFill="0" applyAlignment="0" applyProtection="0"/>
    <xf numFmtId="177" fontId="60" fillId="0" borderId="0" applyNumberFormat="0" applyFont="0" applyFill="0" applyAlignment="0" applyProtection="0"/>
    <xf numFmtId="177" fontId="60" fillId="0" borderId="0" applyNumberFormat="0" applyFont="0" applyFill="0" applyAlignment="0" applyProtection="0"/>
    <xf numFmtId="176" fontId="5" fillId="0" borderId="0"/>
    <xf numFmtId="176" fontId="2" fillId="0" borderId="0"/>
    <xf numFmtId="176" fontId="2" fillId="0" borderId="0"/>
    <xf numFmtId="177" fontId="2" fillId="0" borderId="0"/>
    <xf numFmtId="164" fontId="2" fillId="0" borderId="0"/>
    <xf numFmtId="177" fontId="2" fillId="0" borderId="0"/>
    <xf numFmtId="177" fontId="2" fillId="0" borderId="0"/>
    <xf numFmtId="177" fontId="2" fillId="0" borderId="0"/>
    <xf numFmtId="176" fontId="5" fillId="0" borderId="0"/>
    <xf numFmtId="176" fontId="11" fillId="0" borderId="0"/>
    <xf numFmtId="176" fontId="11" fillId="0" borderId="0"/>
    <xf numFmtId="176" fontId="11" fillId="0" borderId="0"/>
    <xf numFmtId="176" fontId="5" fillId="0" borderId="0"/>
    <xf numFmtId="176" fontId="5" fillId="0" borderId="0"/>
    <xf numFmtId="177" fontId="2" fillId="0" borderId="0"/>
    <xf numFmtId="176" fontId="2" fillId="0" borderId="0"/>
    <xf numFmtId="176" fontId="11" fillId="0" borderId="0"/>
    <xf numFmtId="176" fontId="11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0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11" fillId="0" borderId="0"/>
    <xf numFmtId="176" fontId="2" fillId="0" borderId="0"/>
    <xf numFmtId="176" fontId="2" fillId="0" borderId="0"/>
    <xf numFmtId="177" fontId="2" fillId="0" borderId="0"/>
    <xf numFmtId="177" fontId="2" fillId="0" borderId="0"/>
    <xf numFmtId="177" fontId="2" fillId="0" borderId="0"/>
    <xf numFmtId="176" fontId="11" fillId="0" borderId="0"/>
    <xf numFmtId="176" fontId="11" fillId="0" borderId="0"/>
    <xf numFmtId="177" fontId="11" fillId="0" borderId="0"/>
    <xf numFmtId="177" fontId="11" fillId="0" borderId="0"/>
    <xf numFmtId="177" fontId="2" fillId="0" borderId="0"/>
    <xf numFmtId="176" fontId="2" fillId="0" borderId="0"/>
    <xf numFmtId="177" fontId="11" fillId="0" borderId="0"/>
    <xf numFmtId="0" fontId="11" fillId="0" borderId="0"/>
    <xf numFmtId="177" fontId="11" fillId="0" borderId="0"/>
    <xf numFmtId="176" fontId="101" fillId="0" borderId="0"/>
    <xf numFmtId="177" fontId="2" fillId="0" borderId="0"/>
    <xf numFmtId="177" fontId="11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2" fillId="0" borderId="0"/>
    <xf numFmtId="164" fontId="31" fillId="0" borderId="0"/>
    <xf numFmtId="0" fontId="11" fillId="0" borderId="0"/>
    <xf numFmtId="177" fontId="2" fillId="0" borderId="0"/>
    <xf numFmtId="177" fontId="2" fillId="0" borderId="0"/>
    <xf numFmtId="177" fontId="11" fillId="0" borderId="0"/>
    <xf numFmtId="177" fontId="11" fillId="0" borderId="0"/>
    <xf numFmtId="177" fontId="11" fillId="0" borderId="0"/>
    <xf numFmtId="176" fontId="2" fillId="0" borderId="0"/>
    <xf numFmtId="177" fontId="2" fillId="0" borderId="0"/>
    <xf numFmtId="176" fontId="2" fillId="0" borderId="0"/>
    <xf numFmtId="177" fontId="2" fillId="0" borderId="0"/>
    <xf numFmtId="177" fontId="2" fillId="0" borderId="0"/>
    <xf numFmtId="176" fontId="2" fillId="0" borderId="0"/>
    <xf numFmtId="216" fontId="2" fillId="0" borderId="0"/>
    <xf numFmtId="176" fontId="2" fillId="0" borderId="0"/>
    <xf numFmtId="177" fontId="2" fillId="0" borderId="0"/>
    <xf numFmtId="177" fontId="2" fillId="0" borderId="0"/>
    <xf numFmtId="176" fontId="2" fillId="0" borderId="0"/>
    <xf numFmtId="176" fontId="2" fillId="0" borderId="0"/>
    <xf numFmtId="177" fontId="2" fillId="0" borderId="0"/>
    <xf numFmtId="177" fontId="2" fillId="0" borderId="0"/>
    <xf numFmtId="164" fontId="31" fillId="0" borderId="0"/>
    <xf numFmtId="164" fontId="31" fillId="0" borderId="0"/>
    <xf numFmtId="180" fontId="2" fillId="0" borderId="0"/>
    <xf numFmtId="177" fontId="11" fillId="0" borderId="0"/>
    <xf numFmtId="0" fontId="11" fillId="0" borderId="0"/>
    <xf numFmtId="177" fontId="2" fillId="0" borderId="0"/>
    <xf numFmtId="177" fontId="2" fillId="0" borderId="0"/>
    <xf numFmtId="177" fontId="11" fillId="0" borderId="0"/>
    <xf numFmtId="176" fontId="2" fillId="0" borderId="0"/>
    <xf numFmtId="177" fontId="11" fillId="0" borderId="0"/>
    <xf numFmtId="177" fontId="11" fillId="0" borderId="0"/>
    <xf numFmtId="176" fontId="2" fillId="0" borderId="0"/>
    <xf numFmtId="176" fontId="2" fillId="0" borderId="0"/>
    <xf numFmtId="177" fontId="2" fillId="0" borderId="0"/>
    <xf numFmtId="177" fontId="2" fillId="0" borderId="0"/>
    <xf numFmtId="176" fontId="2" fillId="0" borderId="0"/>
    <xf numFmtId="177" fontId="2" fillId="0" borderId="0"/>
    <xf numFmtId="177" fontId="2" fillId="0" borderId="0"/>
    <xf numFmtId="176" fontId="5" fillId="0" borderId="0"/>
    <xf numFmtId="176" fontId="11" fillId="0" borderId="0"/>
    <xf numFmtId="176" fontId="11" fillId="0" borderId="0"/>
    <xf numFmtId="177" fontId="11" fillId="0" borderId="0"/>
    <xf numFmtId="177" fontId="11" fillId="0" borderId="0"/>
    <xf numFmtId="215" fontId="2" fillId="0" borderId="0"/>
    <xf numFmtId="176" fontId="31" fillId="0" borderId="0"/>
    <xf numFmtId="176" fontId="11" fillId="0" borderId="0"/>
    <xf numFmtId="177" fontId="2" fillId="0" borderId="0"/>
    <xf numFmtId="176" fontId="11" fillId="0" borderId="0"/>
    <xf numFmtId="176" fontId="5" fillId="0" borderId="0"/>
    <xf numFmtId="177" fontId="5" fillId="0" borderId="0"/>
    <xf numFmtId="176" fontId="11" fillId="0" borderId="0"/>
    <xf numFmtId="177" fontId="5" fillId="0" borderId="0"/>
    <xf numFmtId="164" fontId="31" fillId="0" borderId="0"/>
    <xf numFmtId="177" fontId="60" fillId="0" borderId="0" applyNumberFormat="0" applyFont="0" applyFill="0" applyAlignment="0" applyProtection="0"/>
    <xf numFmtId="176" fontId="11" fillId="0" borderId="0"/>
    <xf numFmtId="215" fontId="2" fillId="0" borderId="0"/>
    <xf numFmtId="177" fontId="11" fillId="38" borderId="36" applyNumberFormat="0" applyFont="0" applyAlignment="0" applyProtection="0"/>
    <xf numFmtId="0" fontId="11" fillId="38" borderId="36" applyNumberFormat="0" applyFont="0" applyAlignment="0" applyProtection="0"/>
    <xf numFmtId="177" fontId="11" fillId="38" borderId="36" applyNumberFormat="0" applyFont="0" applyAlignment="0" applyProtection="0"/>
    <xf numFmtId="0" fontId="11" fillId="38" borderId="36" applyNumberFormat="0" applyFont="0" applyAlignment="0" applyProtection="0"/>
    <xf numFmtId="177" fontId="21" fillId="38" borderId="36" applyNumberFormat="0" applyFont="0" applyAlignment="0" applyProtection="0"/>
    <xf numFmtId="177" fontId="21" fillId="38" borderId="36" applyNumberFormat="0" applyFont="0" applyAlignment="0" applyProtection="0"/>
    <xf numFmtId="0" fontId="21" fillId="38" borderId="36" applyNumberFormat="0" applyFont="0" applyAlignment="0" applyProtection="0"/>
    <xf numFmtId="0" fontId="21" fillId="38" borderId="36" applyNumberFormat="0" applyFont="0" applyAlignment="0" applyProtection="0"/>
    <xf numFmtId="0" fontId="21" fillId="38" borderId="36" applyNumberFormat="0" applyFont="0" applyAlignment="0" applyProtection="0"/>
    <xf numFmtId="177" fontId="21" fillId="38" borderId="36" applyNumberFormat="0" applyFont="0" applyAlignment="0" applyProtection="0"/>
    <xf numFmtId="177" fontId="21" fillId="38" borderId="36" applyNumberFormat="0" applyFont="0" applyAlignment="0" applyProtection="0"/>
    <xf numFmtId="0" fontId="21" fillId="38" borderId="36" applyNumberFormat="0" applyFont="0" applyAlignment="0" applyProtection="0"/>
    <xf numFmtId="0" fontId="21" fillId="38" borderId="36" applyNumberFormat="0" applyFont="0" applyAlignment="0" applyProtection="0"/>
    <xf numFmtId="0" fontId="21" fillId="38" borderId="36" applyNumberFormat="0" applyFont="0" applyAlignment="0" applyProtection="0"/>
    <xf numFmtId="177" fontId="21" fillId="38" borderId="36" applyNumberFormat="0" applyFont="0" applyAlignment="0" applyProtection="0"/>
    <xf numFmtId="177" fontId="21" fillId="38" borderId="36" applyNumberFormat="0" applyFont="0" applyAlignment="0" applyProtection="0"/>
    <xf numFmtId="0" fontId="21" fillId="38" borderId="36" applyNumberFormat="0" applyFont="0" applyAlignment="0" applyProtection="0"/>
    <xf numFmtId="0" fontId="21" fillId="38" borderId="36" applyNumberFormat="0" applyFont="0" applyAlignment="0" applyProtection="0"/>
    <xf numFmtId="0" fontId="21" fillId="38" borderId="36" applyNumberFormat="0" applyFont="0" applyAlignment="0" applyProtection="0"/>
    <xf numFmtId="177" fontId="21" fillId="38" borderId="36" applyNumberFormat="0" applyFont="0" applyAlignment="0" applyProtection="0"/>
    <xf numFmtId="177" fontId="21" fillId="38" borderId="36" applyNumberFormat="0" applyFont="0" applyAlignment="0" applyProtection="0"/>
    <xf numFmtId="0" fontId="21" fillId="38" borderId="36" applyNumberFormat="0" applyFont="0" applyAlignment="0" applyProtection="0"/>
    <xf numFmtId="0" fontId="21" fillId="38" borderId="36" applyNumberFormat="0" applyFont="0" applyAlignment="0" applyProtection="0"/>
    <xf numFmtId="0" fontId="21" fillId="38" borderId="36" applyNumberFormat="0" applyFont="0" applyAlignment="0" applyProtection="0"/>
    <xf numFmtId="177" fontId="21" fillId="38" borderId="36" applyNumberFormat="0" applyFont="0" applyAlignment="0" applyProtection="0"/>
    <xf numFmtId="177" fontId="21" fillId="38" borderId="36" applyNumberFormat="0" applyFont="0" applyAlignment="0" applyProtection="0"/>
    <xf numFmtId="0" fontId="21" fillId="38" borderId="36" applyNumberFormat="0" applyFont="0" applyAlignment="0" applyProtection="0"/>
    <xf numFmtId="0" fontId="21" fillId="38" borderId="36" applyNumberFormat="0" applyFont="0" applyAlignment="0" applyProtection="0"/>
    <xf numFmtId="0" fontId="21" fillId="38" borderId="36" applyNumberFormat="0" applyFont="0" applyAlignment="0" applyProtection="0"/>
    <xf numFmtId="177" fontId="11" fillId="38" borderId="36" applyNumberFormat="0" applyFont="0" applyAlignment="0" applyProtection="0"/>
    <xf numFmtId="0" fontId="11" fillId="38" borderId="36" applyNumberFormat="0" applyFont="0" applyAlignment="0" applyProtection="0"/>
    <xf numFmtId="177" fontId="11" fillId="38" borderId="36" applyNumberFormat="0" applyFont="0" applyAlignment="0" applyProtection="0"/>
    <xf numFmtId="0" fontId="11" fillId="38" borderId="36" applyNumberFormat="0" applyFont="0" applyAlignment="0" applyProtection="0"/>
    <xf numFmtId="177" fontId="11" fillId="38" borderId="36" applyNumberFormat="0" applyFont="0" applyAlignment="0" applyProtection="0"/>
    <xf numFmtId="0" fontId="11" fillId="38" borderId="36" applyNumberFormat="0" applyFont="0" applyAlignment="0" applyProtection="0"/>
    <xf numFmtId="177" fontId="11" fillId="38" borderId="36" applyNumberFormat="0" applyFont="0" applyAlignment="0" applyProtection="0"/>
    <xf numFmtId="0" fontId="11" fillId="38" borderId="36" applyNumberFormat="0" applyFont="0" applyAlignment="0" applyProtection="0"/>
    <xf numFmtId="177" fontId="11" fillId="38" borderId="36" applyNumberFormat="0" applyFont="0" applyAlignment="0" applyProtection="0"/>
    <xf numFmtId="0" fontId="11" fillId="38" borderId="36" applyNumberFormat="0" applyFont="0" applyAlignment="0" applyProtection="0"/>
    <xf numFmtId="177" fontId="61" fillId="30" borderId="37" applyNumberFormat="0" applyAlignment="0" applyProtection="0"/>
    <xf numFmtId="0" fontId="61" fillId="30" borderId="37" applyNumberFormat="0" applyAlignment="0" applyProtection="0"/>
    <xf numFmtId="0" fontId="23" fillId="0" borderId="0">
      <alignment horizontal="center" wrapText="1"/>
      <protection locked="0"/>
    </xf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63" fillId="0" borderId="27" applyNumberFormat="0" applyBorder="0"/>
    <xf numFmtId="177" fontId="11" fillId="0" borderId="0"/>
    <xf numFmtId="177" fontId="63" fillId="0" borderId="0" applyNumberFormat="0" applyFont="0" applyFill="0" applyBorder="0" applyAlignment="0" applyProtection="0">
      <alignment horizontal="left"/>
    </xf>
    <xf numFmtId="177" fontId="102" fillId="0" borderId="0" applyNumberFormat="0" applyFill="0" applyBorder="0" applyAlignment="0" applyProtection="0">
      <alignment horizontal="left"/>
    </xf>
    <xf numFmtId="0" fontId="64" fillId="0" borderId="0"/>
    <xf numFmtId="177" fontId="67" fillId="0" borderId="38"/>
    <xf numFmtId="177" fontId="67" fillId="0" borderId="38"/>
    <xf numFmtId="176" fontId="68" fillId="0" borderId="0"/>
    <xf numFmtId="0" fontId="69" fillId="0" borderId="0" applyBorder="0">
      <alignment horizontal="left" vertical="top" wrapText="1"/>
    </xf>
    <xf numFmtId="177" fontId="25" fillId="0" borderId="0">
      <alignment vertical="top"/>
    </xf>
    <xf numFmtId="177" fontId="70" fillId="0" borderId="39">
      <alignment horizontal="center"/>
    </xf>
    <xf numFmtId="177" fontId="70" fillId="0" borderId="39">
      <alignment horizontal="center"/>
    </xf>
    <xf numFmtId="176" fontId="70" fillId="0" borderId="39">
      <alignment horizontal="center"/>
    </xf>
    <xf numFmtId="176" fontId="70" fillId="0" borderId="0">
      <alignment horizontal="center" vertical="center"/>
    </xf>
    <xf numFmtId="176" fontId="71" fillId="39" borderId="0" applyNumberFormat="0" applyFill="0">
      <alignment horizontal="left" vertical="center"/>
    </xf>
    <xf numFmtId="177" fontId="72" fillId="0" borderId="29"/>
    <xf numFmtId="177" fontId="72" fillId="0" borderId="29"/>
    <xf numFmtId="0" fontId="73" fillId="0" borderId="0" applyBorder="0">
      <alignment horizontal="right"/>
    </xf>
    <xf numFmtId="0" fontId="11" fillId="0" borderId="0" applyBorder="0">
      <alignment horizontal="right"/>
    </xf>
    <xf numFmtId="0" fontId="11" fillId="32" borderId="0" applyFont="0" applyBorder="0">
      <alignment horizontal="left"/>
    </xf>
    <xf numFmtId="0" fontId="11" fillId="32" borderId="0" applyFont="0" applyBorder="0">
      <alignment horizontal="left"/>
    </xf>
    <xf numFmtId="0" fontId="25" fillId="0" borderId="0" applyFill="0" applyBorder="0" applyAlignment="0"/>
    <xf numFmtId="177" fontId="74" fillId="0" borderId="0" applyNumberFormat="0" applyFill="0" applyBorder="0" applyAlignment="0" applyProtection="0"/>
    <xf numFmtId="187" fontId="38" fillId="0" borderId="40">
      <protection locked="0"/>
    </xf>
    <xf numFmtId="187" fontId="38" fillId="0" borderId="40">
      <protection locked="0"/>
    </xf>
    <xf numFmtId="187" fontId="38" fillId="0" borderId="40">
      <protection locked="0"/>
    </xf>
    <xf numFmtId="187" fontId="38" fillId="0" borderId="40">
      <protection locked="0"/>
    </xf>
    <xf numFmtId="187" fontId="38" fillId="0" borderId="40">
      <protection locked="0"/>
    </xf>
    <xf numFmtId="187" fontId="38" fillId="0" borderId="40">
      <protection locked="0"/>
    </xf>
    <xf numFmtId="187" fontId="38" fillId="0" borderId="40">
      <protection locked="0"/>
    </xf>
    <xf numFmtId="187" fontId="38" fillId="0" borderId="40">
      <protection locked="0"/>
    </xf>
    <xf numFmtId="187" fontId="38" fillId="0" borderId="40">
      <protection locked="0"/>
    </xf>
    <xf numFmtId="187" fontId="38" fillId="0" borderId="40">
      <protection locked="0"/>
    </xf>
    <xf numFmtId="187" fontId="38" fillId="0" borderId="40">
      <protection locked="0"/>
    </xf>
    <xf numFmtId="187" fontId="38" fillId="0" borderId="40">
      <protection locked="0"/>
    </xf>
    <xf numFmtId="187" fontId="38" fillId="0" borderId="40">
      <protection locked="0"/>
    </xf>
    <xf numFmtId="187" fontId="38" fillId="0" borderId="40">
      <protection locked="0"/>
    </xf>
    <xf numFmtId="177" fontId="75" fillId="0" borderId="41" applyNumberFormat="0" applyFill="0" applyAlignment="0" applyProtection="0"/>
    <xf numFmtId="0" fontId="75" fillId="0" borderId="41" applyNumberFormat="0" applyFill="0" applyAlignment="0" applyProtection="0"/>
    <xf numFmtId="177" fontId="77" fillId="0" borderId="0" applyNumberFormat="0" applyFill="0" applyBorder="0" applyAlignment="0" applyProtection="0"/>
    <xf numFmtId="177" fontId="78" fillId="0" borderId="32"/>
    <xf numFmtId="178" fontId="31" fillId="0" borderId="0"/>
    <xf numFmtId="178" fontId="31" fillId="0" borderId="0"/>
    <xf numFmtId="178" fontId="31" fillId="0" borderId="0"/>
    <xf numFmtId="178" fontId="31" fillId="0" borderId="0"/>
    <xf numFmtId="168" fontId="31" fillId="0" borderId="0"/>
    <xf numFmtId="168" fontId="31" fillId="0" borderId="0"/>
    <xf numFmtId="168" fontId="31" fillId="0" borderId="0"/>
    <xf numFmtId="174" fontId="31" fillId="0" borderId="0"/>
    <xf numFmtId="168" fontId="31" fillId="0" borderId="0"/>
    <xf numFmtId="168" fontId="31" fillId="0" borderId="0"/>
    <xf numFmtId="168" fontId="31" fillId="0" borderId="0"/>
    <xf numFmtId="187" fontId="2" fillId="0" borderId="0"/>
    <xf numFmtId="168" fontId="5" fillId="0" borderId="0" applyFont="0" applyFill="0" applyBorder="0" applyAlignment="0" applyProtection="0"/>
    <xf numFmtId="0" fontId="2" fillId="0" borderId="0"/>
    <xf numFmtId="177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177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177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177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5" fillId="14" borderId="0" applyNumberFormat="0" applyBorder="0" applyAlignment="0" applyProtection="0"/>
    <xf numFmtId="0" fontId="21" fillId="14" borderId="0" applyNumberFormat="0" applyBorder="0" applyAlignment="0" applyProtection="0"/>
    <xf numFmtId="0" fontId="5" fillId="14" borderId="0" applyNumberFormat="0" applyBorder="0" applyAlignment="0" applyProtection="0"/>
    <xf numFmtId="0" fontId="21" fillId="14" borderId="0" applyNumberFormat="0" applyBorder="0" applyAlignment="0" applyProtection="0"/>
    <xf numFmtId="0" fontId="5" fillId="14" borderId="0" applyNumberFormat="0" applyBorder="0" applyAlignment="0" applyProtection="0"/>
    <xf numFmtId="0" fontId="21" fillId="14" borderId="0" applyNumberFormat="0" applyBorder="0" applyAlignment="0" applyProtection="0"/>
    <xf numFmtId="0" fontId="5" fillId="14" borderId="0" applyNumberFormat="0" applyBorder="0" applyAlignment="0" applyProtection="0"/>
    <xf numFmtId="0" fontId="21" fillId="14" borderId="0" applyNumberFormat="0" applyBorder="0" applyAlignment="0" applyProtection="0"/>
    <xf numFmtId="0" fontId="5" fillId="14" borderId="0" applyNumberFormat="0" applyBorder="0" applyAlignment="0" applyProtection="0"/>
    <xf numFmtId="0" fontId="21" fillId="14" borderId="0" applyNumberFormat="0" applyBorder="0" applyAlignment="0" applyProtection="0"/>
    <xf numFmtId="0" fontId="5" fillId="14" borderId="0" applyNumberFormat="0" applyBorder="0" applyAlignment="0" applyProtection="0"/>
    <xf numFmtId="0" fontId="21" fillId="14" borderId="0" applyNumberFormat="0" applyBorder="0" applyAlignment="0" applyProtection="0"/>
    <xf numFmtId="0" fontId="5" fillId="14" borderId="0" applyNumberFormat="0" applyBorder="0" applyAlignment="0" applyProtection="0"/>
    <xf numFmtId="0" fontId="21" fillId="14" borderId="0" applyNumberFormat="0" applyBorder="0" applyAlignment="0" applyProtection="0"/>
    <xf numFmtId="0" fontId="5" fillId="14" borderId="0" applyNumberFormat="0" applyBorder="0" applyAlignment="0" applyProtection="0"/>
    <xf numFmtId="0" fontId="21" fillId="14" borderId="0" applyNumberFormat="0" applyBorder="0" applyAlignment="0" applyProtection="0"/>
    <xf numFmtId="0" fontId="5" fillId="14" borderId="0" applyNumberFormat="0" applyBorder="0" applyAlignment="0" applyProtection="0"/>
    <xf numFmtId="0" fontId="21" fillId="14" borderId="0" applyNumberFormat="0" applyBorder="0" applyAlignment="0" applyProtection="0"/>
    <xf numFmtId="0" fontId="5" fillId="14" borderId="0" applyNumberFormat="0" applyBorder="0" applyAlignment="0" applyProtection="0"/>
    <xf numFmtId="0" fontId="21" fillId="14" borderId="0" applyNumberFormat="0" applyBorder="0" applyAlignment="0" applyProtection="0"/>
    <xf numFmtId="0" fontId="2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177" fontId="21" fillId="14" borderId="0" applyNumberFormat="0" applyBorder="0" applyAlignment="0" applyProtection="0"/>
    <xf numFmtId="177" fontId="21" fillId="14" borderId="0" applyNumberFormat="0" applyBorder="0" applyAlignment="0" applyProtection="0"/>
    <xf numFmtId="0" fontId="3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5" fillId="14" borderId="0" applyNumberFormat="0" applyBorder="0" applyAlignment="0" applyProtection="0"/>
    <xf numFmtId="0" fontId="21" fillId="14" borderId="0" applyNumberFormat="0" applyBorder="0" applyAlignment="0" applyProtection="0"/>
    <xf numFmtId="0" fontId="5" fillId="14" borderId="0" applyNumberFormat="0" applyBorder="0" applyAlignment="0" applyProtection="0"/>
    <xf numFmtId="0" fontId="21" fillId="14" borderId="0" applyNumberFormat="0" applyBorder="0" applyAlignment="0" applyProtection="0"/>
    <xf numFmtId="0" fontId="2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2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2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2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2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2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2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2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2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177" fontId="21" fillId="14" borderId="0" applyNumberFormat="0" applyBorder="0" applyAlignment="0" applyProtection="0"/>
    <xf numFmtId="177" fontId="21" fillId="14" borderId="0" applyNumberFormat="0" applyBorder="0" applyAlignment="0" applyProtection="0"/>
    <xf numFmtId="0" fontId="3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5" fillId="14" borderId="0" applyNumberFormat="0" applyBorder="0" applyAlignment="0" applyProtection="0"/>
    <xf numFmtId="0" fontId="21" fillId="14" borderId="0" applyNumberFormat="0" applyBorder="0" applyAlignment="0" applyProtection="0"/>
    <xf numFmtId="0" fontId="31" fillId="14" borderId="0" applyNumberFormat="0" applyBorder="0" applyAlignment="0" applyProtection="0"/>
    <xf numFmtId="177" fontId="21" fillId="14" borderId="0" applyNumberFormat="0" applyBorder="0" applyAlignment="0" applyProtection="0"/>
    <xf numFmtId="177" fontId="21" fillId="14" borderId="0" applyNumberFormat="0" applyBorder="0" applyAlignment="0" applyProtection="0"/>
    <xf numFmtId="0" fontId="3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5" fillId="14" borderId="0" applyNumberFormat="0" applyBorder="0" applyAlignment="0" applyProtection="0"/>
    <xf numFmtId="0" fontId="21" fillId="14" borderId="0" applyNumberFormat="0" applyBorder="0" applyAlignment="0" applyProtection="0"/>
    <xf numFmtId="177" fontId="21" fillId="14" borderId="0" applyNumberFormat="0" applyBorder="0" applyAlignment="0" applyProtection="0"/>
    <xf numFmtId="177" fontId="21" fillId="14" borderId="0" applyNumberFormat="0" applyBorder="0" applyAlignment="0" applyProtection="0"/>
    <xf numFmtId="0" fontId="3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5" fillId="14" borderId="0" applyNumberFormat="0" applyBorder="0" applyAlignment="0" applyProtection="0"/>
    <xf numFmtId="0" fontId="21" fillId="14" borderId="0" applyNumberFormat="0" applyBorder="0" applyAlignment="0" applyProtection="0"/>
    <xf numFmtId="177" fontId="21" fillId="14" borderId="0" applyNumberFormat="0" applyBorder="0" applyAlignment="0" applyProtection="0"/>
    <xf numFmtId="177" fontId="21" fillId="14" borderId="0" applyNumberFormat="0" applyBorder="0" applyAlignment="0" applyProtection="0"/>
    <xf numFmtId="0" fontId="3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5" fillId="14" borderId="0" applyNumberFormat="0" applyBorder="0" applyAlignment="0" applyProtection="0"/>
    <xf numFmtId="0" fontId="21" fillId="14" borderId="0" applyNumberFormat="0" applyBorder="0" applyAlignment="0" applyProtection="0"/>
    <xf numFmtId="177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177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177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177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177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177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177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5" fillId="15" borderId="0" applyNumberFormat="0" applyBorder="0" applyAlignment="0" applyProtection="0"/>
    <xf numFmtId="0" fontId="21" fillId="15" borderId="0" applyNumberFormat="0" applyBorder="0" applyAlignment="0" applyProtection="0"/>
    <xf numFmtId="0" fontId="5" fillId="15" borderId="0" applyNumberFormat="0" applyBorder="0" applyAlignment="0" applyProtection="0"/>
    <xf numFmtId="0" fontId="21" fillId="15" borderId="0" applyNumberFormat="0" applyBorder="0" applyAlignment="0" applyProtection="0"/>
    <xf numFmtId="0" fontId="5" fillId="15" borderId="0" applyNumberFormat="0" applyBorder="0" applyAlignment="0" applyProtection="0"/>
    <xf numFmtId="0" fontId="21" fillId="15" borderId="0" applyNumberFormat="0" applyBorder="0" applyAlignment="0" applyProtection="0"/>
    <xf numFmtId="0" fontId="5" fillId="15" borderId="0" applyNumberFormat="0" applyBorder="0" applyAlignment="0" applyProtection="0"/>
    <xf numFmtId="0" fontId="21" fillId="15" borderId="0" applyNumberFormat="0" applyBorder="0" applyAlignment="0" applyProtection="0"/>
    <xf numFmtId="0" fontId="5" fillId="15" borderId="0" applyNumberFormat="0" applyBorder="0" applyAlignment="0" applyProtection="0"/>
    <xf numFmtId="0" fontId="21" fillId="15" borderId="0" applyNumberFormat="0" applyBorder="0" applyAlignment="0" applyProtection="0"/>
    <xf numFmtId="0" fontId="5" fillId="15" borderId="0" applyNumberFormat="0" applyBorder="0" applyAlignment="0" applyProtection="0"/>
    <xf numFmtId="0" fontId="21" fillId="15" borderId="0" applyNumberFormat="0" applyBorder="0" applyAlignment="0" applyProtection="0"/>
    <xf numFmtId="0" fontId="5" fillId="15" borderId="0" applyNumberFormat="0" applyBorder="0" applyAlignment="0" applyProtection="0"/>
    <xf numFmtId="0" fontId="21" fillId="15" borderId="0" applyNumberFormat="0" applyBorder="0" applyAlignment="0" applyProtection="0"/>
    <xf numFmtId="0" fontId="5" fillId="15" borderId="0" applyNumberFormat="0" applyBorder="0" applyAlignment="0" applyProtection="0"/>
    <xf numFmtId="0" fontId="21" fillId="15" borderId="0" applyNumberFormat="0" applyBorder="0" applyAlignment="0" applyProtection="0"/>
    <xf numFmtId="0" fontId="5" fillId="15" borderId="0" applyNumberFormat="0" applyBorder="0" applyAlignment="0" applyProtection="0"/>
    <xf numFmtId="0" fontId="21" fillId="15" borderId="0" applyNumberFormat="0" applyBorder="0" applyAlignment="0" applyProtection="0"/>
    <xf numFmtId="0" fontId="5" fillId="15" borderId="0" applyNumberFormat="0" applyBorder="0" applyAlignment="0" applyProtection="0"/>
    <xf numFmtId="0" fontId="21" fillId="15" borderId="0" applyNumberFormat="0" applyBorder="0" applyAlignment="0" applyProtection="0"/>
    <xf numFmtId="0" fontId="2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5" fillId="15" borderId="0" applyNumberFormat="0" applyBorder="0" applyAlignment="0" applyProtection="0"/>
    <xf numFmtId="0" fontId="21" fillId="15" borderId="0" applyNumberFormat="0" applyBorder="0" applyAlignment="0" applyProtection="0"/>
    <xf numFmtId="176" fontId="5" fillId="7" borderId="0" applyNumberFormat="0" applyBorder="0" applyAlignment="0" applyProtection="0"/>
    <xf numFmtId="0" fontId="31" fillId="15" borderId="0" applyNumberFormat="0" applyBorder="0" applyAlignment="0" applyProtection="0"/>
    <xf numFmtId="177" fontId="5" fillId="7" borderId="0" applyNumberFormat="0" applyBorder="0" applyAlignment="0" applyProtection="0"/>
    <xf numFmtId="0" fontId="31" fillId="15" borderId="0" applyNumberFormat="0" applyBorder="0" applyAlignment="0" applyProtection="0"/>
    <xf numFmtId="177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5" fillId="7" borderId="0" applyNumberFormat="0" applyBorder="0" applyAlignment="0" applyProtection="0"/>
    <xf numFmtId="0" fontId="21" fillId="15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15" borderId="0" applyNumberFormat="0" applyBorder="0" applyAlignment="0" applyProtection="0"/>
    <xf numFmtId="0" fontId="21" fillId="15" borderId="0" applyNumberFormat="0" applyBorder="0" applyAlignment="0" applyProtection="0"/>
    <xf numFmtId="0" fontId="5" fillId="15" borderId="0" applyNumberFormat="0" applyBorder="0" applyAlignment="0" applyProtection="0"/>
    <xf numFmtId="0" fontId="21" fillId="15" borderId="0" applyNumberFormat="0" applyBorder="0" applyAlignment="0" applyProtection="0"/>
    <xf numFmtId="0" fontId="5" fillId="15" borderId="0" applyNumberFormat="0" applyBorder="0" applyAlignment="0" applyProtection="0"/>
    <xf numFmtId="0" fontId="21" fillId="15" borderId="0" applyNumberFormat="0" applyBorder="0" applyAlignment="0" applyProtection="0"/>
    <xf numFmtId="0" fontId="2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2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2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2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2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2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2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2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2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177" fontId="21" fillId="15" borderId="0" applyNumberFormat="0" applyBorder="0" applyAlignment="0" applyProtection="0"/>
    <xf numFmtId="177" fontId="21" fillId="15" borderId="0" applyNumberFormat="0" applyBorder="0" applyAlignment="0" applyProtection="0"/>
    <xf numFmtId="0" fontId="31" fillId="15" borderId="0" applyNumberFormat="0" applyBorder="0" applyAlignment="0" applyProtection="0"/>
    <xf numFmtId="0" fontId="21" fillId="15" borderId="0" applyNumberFormat="0" applyBorder="0" applyAlignment="0" applyProtection="0"/>
    <xf numFmtId="0" fontId="31" fillId="15" borderId="0" applyNumberFormat="0" applyBorder="0" applyAlignment="0" applyProtection="0"/>
    <xf numFmtId="177" fontId="21" fillId="15" borderId="0" applyNumberFormat="0" applyBorder="0" applyAlignment="0" applyProtection="0"/>
    <xf numFmtId="177" fontId="21" fillId="15" borderId="0" applyNumberFormat="0" applyBorder="0" applyAlignment="0" applyProtection="0"/>
    <xf numFmtId="0" fontId="3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5" fillId="15" borderId="0" applyNumberFormat="0" applyBorder="0" applyAlignment="0" applyProtection="0"/>
    <xf numFmtId="0" fontId="21" fillId="15" borderId="0" applyNumberFormat="0" applyBorder="0" applyAlignment="0" applyProtection="0"/>
    <xf numFmtId="177" fontId="21" fillId="15" borderId="0" applyNumberFormat="0" applyBorder="0" applyAlignment="0" applyProtection="0"/>
    <xf numFmtId="177" fontId="21" fillId="15" borderId="0" applyNumberFormat="0" applyBorder="0" applyAlignment="0" applyProtection="0"/>
    <xf numFmtId="0" fontId="3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5" fillId="15" borderId="0" applyNumberFormat="0" applyBorder="0" applyAlignment="0" applyProtection="0"/>
    <xf numFmtId="0" fontId="21" fillId="15" borderId="0" applyNumberFormat="0" applyBorder="0" applyAlignment="0" applyProtection="0"/>
    <xf numFmtId="177" fontId="21" fillId="15" borderId="0" applyNumberFormat="0" applyBorder="0" applyAlignment="0" applyProtection="0"/>
    <xf numFmtId="177" fontId="21" fillId="15" borderId="0" applyNumberFormat="0" applyBorder="0" applyAlignment="0" applyProtection="0"/>
    <xf numFmtId="0" fontId="3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5" fillId="15" borderId="0" applyNumberFormat="0" applyBorder="0" applyAlignment="0" applyProtection="0"/>
    <xf numFmtId="0" fontId="21" fillId="15" borderId="0" applyNumberFormat="0" applyBorder="0" applyAlignment="0" applyProtection="0"/>
    <xf numFmtId="177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177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177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177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177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177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177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5" fillId="16" borderId="0" applyNumberFormat="0" applyBorder="0" applyAlignment="0" applyProtection="0"/>
    <xf numFmtId="0" fontId="21" fillId="16" borderId="0" applyNumberFormat="0" applyBorder="0" applyAlignment="0" applyProtection="0"/>
    <xf numFmtId="0" fontId="5" fillId="16" borderId="0" applyNumberFormat="0" applyBorder="0" applyAlignment="0" applyProtection="0"/>
    <xf numFmtId="0" fontId="21" fillId="16" borderId="0" applyNumberFormat="0" applyBorder="0" applyAlignment="0" applyProtection="0"/>
    <xf numFmtId="0" fontId="5" fillId="16" borderId="0" applyNumberFormat="0" applyBorder="0" applyAlignment="0" applyProtection="0"/>
    <xf numFmtId="0" fontId="21" fillId="16" borderId="0" applyNumberFormat="0" applyBorder="0" applyAlignment="0" applyProtection="0"/>
    <xf numFmtId="0" fontId="5" fillId="16" borderId="0" applyNumberFormat="0" applyBorder="0" applyAlignment="0" applyProtection="0"/>
    <xf numFmtId="0" fontId="21" fillId="16" borderId="0" applyNumberFormat="0" applyBorder="0" applyAlignment="0" applyProtection="0"/>
    <xf numFmtId="0" fontId="5" fillId="16" borderId="0" applyNumberFormat="0" applyBorder="0" applyAlignment="0" applyProtection="0"/>
    <xf numFmtId="0" fontId="21" fillId="16" borderId="0" applyNumberFormat="0" applyBorder="0" applyAlignment="0" applyProtection="0"/>
    <xf numFmtId="0" fontId="5" fillId="16" borderId="0" applyNumberFormat="0" applyBorder="0" applyAlignment="0" applyProtection="0"/>
    <xf numFmtId="0" fontId="21" fillId="16" borderId="0" applyNumberFormat="0" applyBorder="0" applyAlignment="0" applyProtection="0"/>
    <xf numFmtId="0" fontId="5" fillId="16" borderId="0" applyNumberFormat="0" applyBorder="0" applyAlignment="0" applyProtection="0"/>
    <xf numFmtId="0" fontId="21" fillId="16" borderId="0" applyNumberFormat="0" applyBorder="0" applyAlignment="0" applyProtection="0"/>
    <xf numFmtId="0" fontId="5" fillId="16" borderId="0" applyNumberFormat="0" applyBorder="0" applyAlignment="0" applyProtection="0"/>
    <xf numFmtId="0" fontId="21" fillId="16" borderId="0" applyNumberFormat="0" applyBorder="0" applyAlignment="0" applyProtection="0"/>
    <xf numFmtId="0" fontId="5" fillId="16" borderId="0" applyNumberFormat="0" applyBorder="0" applyAlignment="0" applyProtection="0"/>
    <xf numFmtId="0" fontId="21" fillId="16" borderId="0" applyNumberFormat="0" applyBorder="0" applyAlignment="0" applyProtection="0"/>
    <xf numFmtId="0" fontId="5" fillId="16" borderId="0" applyNumberFormat="0" applyBorder="0" applyAlignment="0" applyProtection="0"/>
    <xf numFmtId="0" fontId="21" fillId="16" borderId="0" applyNumberFormat="0" applyBorder="0" applyAlignment="0" applyProtection="0"/>
    <xf numFmtId="0" fontId="2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177" fontId="21" fillId="16" borderId="0" applyNumberFormat="0" applyBorder="0" applyAlignment="0" applyProtection="0"/>
    <xf numFmtId="177" fontId="21" fillId="16" borderId="0" applyNumberFormat="0" applyBorder="0" applyAlignment="0" applyProtection="0"/>
    <xf numFmtId="0" fontId="3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5" fillId="16" borderId="0" applyNumberFormat="0" applyBorder="0" applyAlignment="0" applyProtection="0"/>
    <xf numFmtId="0" fontId="21" fillId="16" borderId="0" applyNumberFormat="0" applyBorder="0" applyAlignment="0" applyProtection="0"/>
    <xf numFmtId="0" fontId="5" fillId="16" borderId="0" applyNumberFormat="0" applyBorder="0" applyAlignment="0" applyProtection="0"/>
    <xf numFmtId="0" fontId="21" fillId="16" borderId="0" applyNumberFormat="0" applyBorder="0" applyAlignment="0" applyProtection="0"/>
    <xf numFmtId="0" fontId="2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2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2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2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2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2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2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2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2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177" fontId="21" fillId="16" borderId="0" applyNumberFormat="0" applyBorder="0" applyAlignment="0" applyProtection="0"/>
    <xf numFmtId="177" fontId="21" fillId="16" borderId="0" applyNumberFormat="0" applyBorder="0" applyAlignment="0" applyProtection="0"/>
    <xf numFmtId="0" fontId="3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5" fillId="16" borderId="0" applyNumberFormat="0" applyBorder="0" applyAlignment="0" applyProtection="0"/>
    <xf numFmtId="0" fontId="21" fillId="16" borderId="0" applyNumberFormat="0" applyBorder="0" applyAlignment="0" applyProtection="0"/>
    <xf numFmtId="0" fontId="31" fillId="16" borderId="0" applyNumberFormat="0" applyBorder="0" applyAlignment="0" applyProtection="0"/>
    <xf numFmtId="177" fontId="21" fillId="16" borderId="0" applyNumberFormat="0" applyBorder="0" applyAlignment="0" applyProtection="0"/>
    <xf numFmtId="177" fontId="21" fillId="16" borderId="0" applyNumberFormat="0" applyBorder="0" applyAlignment="0" applyProtection="0"/>
    <xf numFmtId="0" fontId="3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5" fillId="16" borderId="0" applyNumberFormat="0" applyBorder="0" applyAlignment="0" applyProtection="0"/>
    <xf numFmtId="0" fontId="21" fillId="16" borderId="0" applyNumberFormat="0" applyBorder="0" applyAlignment="0" applyProtection="0"/>
    <xf numFmtId="177" fontId="21" fillId="16" borderId="0" applyNumberFormat="0" applyBorder="0" applyAlignment="0" applyProtection="0"/>
    <xf numFmtId="177" fontId="21" fillId="16" borderId="0" applyNumberFormat="0" applyBorder="0" applyAlignment="0" applyProtection="0"/>
    <xf numFmtId="0" fontId="3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5" fillId="16" borderId="0" applyNumberFormat="0" applyBorder="0" applyAlignment="0" applyProtection="0"/>
    <xf numFmtId="0" fontId="21" fillId="16" borderId="0" applyNumberFormat="0" applyBorder="0" applyAlignment="0" applyProtection="0"/>
    <xf numFmtId="177" fontId="21" fillId="16" borderId="0" applyNumberFormat="0" applyBorder="0" applyAlignment="0" applyProtection="0"/>
    <xf numFmtId="177" fontId="21" fillId="16" borderId="0" applyNumberFormat="0" applyBorder="0" applyAlignment="0" applyProtection="0"/>
    <xf numFmtId="0" fontId="3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5" fillId="16" borderId="0" applyNumberFormat="0" applyBorder="0" applyAlignment="0" applyProtection="0"/>
    <xf numFmtId="0" fontId="21" fillId="16" borderId="0" applyNumberFormat="0" applyBorder="0" applyAlignment="0" applyProtection="0"/>
    <xf numFmtId="177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177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177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177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177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177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177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5" fillId="17" borderId="0" applyNumberFormat="0" applyBorder="0" applyAlignment="0" applyProtection="0"/>
    <xf numFmtId="0" fontId="21" fillId="17" borderId="0" applyNumberFormat="0" applyBorder="0" applyAlignment="0" applyProtection="0"/>
    <xf numFmtId="0" fontId="5" fillId="17" borderId="0" applyNumberFormat="0" applyBorder="0" applyAlignment="0" applyProtection="0"/>
    <xf numFmtId="0" fontId="21" fillId="17" borderId="0" applyNumberFormat="0" applyBorder="0" applyAlignment="0" applyProtection="0"/>
    <xf numFmtId="0" fontId="5" fillId="17" borderId="0" applyNumberFormat="0" applyBorder="0" applyAlignment="0" applyProtection="0"/>
    <xf numFmtId="0" fontId="21" fillId="17" borderId="0" applyNumberFormat="0" applyBorder="0" applyAlignment="0" applyProtection="0"/>
    <xf numFmtId="0" fontId="5" fillId="17" borderId="0" applyNumberFormat="0" applyBorder="0" applyAlignment="0" applyProtection="0"/>
    <xf numFmtId="0" fontId="21" fillId="17" borderId="0" applyNumberFormat="0" applyBorder="0" applyAlignment="0" applyProtection="0"/>
    <xf numFmtId="0" fontId="5" fillId="17" borderId="0" applyNumberFormat="0" applyBorder="0" applyAlignment="0" applyProtection="0"/>
    <xf numFmtId="0" fontId="21" fillId="17" borderId="0" applyNumberFormat="0" applyBorder="0" applyAlignment="0" applyProtection="0"/>
    <xf numFmtId="0" fontId="5" fillId="17" borderId="0" applyNumberFormat="0" applyBorder="0" applyAlignment="0" applyProtection="0"/>
    <xf numFmtId="0" fontId="21" fillId="17" borderId="0" applyNumberFormat="0" applyBorder="0" applyAlignment="0" applyProtection="0"/>
    <xf numFmtId="0" fontId="5" fillId="17" borderId="0" applyNumberFormat="0" applyBorder="0" applyAlignment="0" applyProtection="0"/>
    <xf numFmtId="0" fontId="21" fillId="17" borderId="0" applyNumberFormat="0" applyBorder="0" applyAlignment="0" applyProtection="0"/>
    <xf numFmtId="0" fontId="5" fillId="17" borderId="0" applyNumberFormat="0" applyBorder="0" applyAlignment="0" applyProtection="0"/>
    <xf numFmtId="0" fontId="21" fillId="17" borderId="0" applyNumberFormat="0" applyBorder="0" applyAlignment="0" applyProtection="0"/>
    <xf numFmtId="0" fontId="5" fillId="17" borderId="0" applyNumberFormat="0" applyBorder="0" applyAlignment="0" applyProtection="0"/>
    <xf numFmtId="0" fontId="21" fillId="17" borderId="0" applyNumberFormat="0" applyBorder="0" applyAlignment="0" applyProtection="0"/>
    <xf numFmtId="0" fontId="5" fillId="17" borderId="0" applyNumberFormat="0" applyBorder="0" applyAlignment="0" applyProtection="0"/>
    <xf numFmtId="0" fontId="21" fillId="17" borderId="0" applyNumberFormat="0" applyBorder="0" applyAlignment="0" applyProtection="0"/>
    <xf numFmtId="0" fontId="2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177" fontId="21" fillId="17" borderId="0" applyNumberFormat="0" applyBorder="0" applyAlignment="0" applyProtection="0"/>
    <xf numFmtId="177" fontId="21" fillId="17" borderId="0" applyNumberFormat="0" applyBorder="0" applyAlignment="0" applyProtection="0"/>
    <xf numFmtId="0" fontId="3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5" fillId="17" borderId="0" applyNumberFormat="0" applyBorder="0" applyAlignment="0" applyProtection="0"/>
    <xf numFmtId="0" fontId="21" fillId="17" borderId="0" applyNumberFormat="0" applyBorder="0" applyAlignment="0" applyProtection="0"/>
    <xf numFmtId="0" fontId="5" fillId="17" borderId="0" applyNumberFormat="0" applyBorder="0" applyAlignment="0" applyProtection="0"/>
    <xf numFmtId="0" fontId="21" fillId="17" borderId="0" applyNumberFormat="0" applyBorder="0" applyAlignment="0" applyProtection="0"/>
    <xf numFmtId="0" fontId="2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2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2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2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2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2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2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2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2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177" fontId="21" fillId="17" borderId="0" applyNumberFormat="0" applyBorder="0" applyAlignment="0" applyProtection="0"/>
    <xf numFmtId="177" fontId="21" fillId="17" borderId="0" applyNumberFormat="0" applyBorder="0" applyAlignment="0" applyProtection="0"/>
    <xf numFmtId="0" fontId="3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5" fillId="17" borderId="0" applyNumberFormat="0" applyBorder="0" applyAlignment="0" applyProtection="0"/>
    <xf numFmtId="0" fontId="21" fillId="17" borderId="0" applyNumberFormat="0" applyBorder="0" applyAlignment="0" applyProtection="0"/>
    <xf numFmtId="0" fontId="31" fillId="17" borderId="0" applyNumberFormat="0" applyBorder="0" applyAlignment="0" applyProtection="0"/>
    <xf numFmtId="177" fontId="21" fillId="17" borderId="0" applyNumberFormat="0" applyBorder="0" applyAlignment="0" applyProtection="0"/>
    <xf numFmtId="177" fontId="21" fillId="17" borderId="0" applyNumberFormat="0" applyBorder="0" applyAlignment="0" applyProtection="0"/>
    <xf numFmtId="0" fontId="3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5" fillId="17" borderId="0" applyNumberFormat="0" applyBorder="0" applyAlignment="0" applyProtection="0"/>
    <xf numFmtId="0" fontId="21" fillId="17" borderId="0" applyNumberFormat="0" applyBorder="0" applyAlignment="0" applyProtection="0"/>
    <xf numFmtId="177" fontId="21" fillId="17" borderId="0" applyNumberFormat="0" applyBorder="0" applyAlignment="0" applyProtection="0"/>
    <xf numFmtId="177" fontId="21" fillId="17" borderId="0" applyNumberFormat="0" applyBorder="0" applyAlignment="0" applyProtection="0"/>
    <xf numFmtId="0" fontId="3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5" fillId="17" borderId="0" applyNumberFormat="0" applyBorder="0" applyAlignment="0" applyProtection="0"/>
    <xf numFmtId="0" fontId="21" fillId="17" borderId="0" applyNumberFormat="0" applyBorder="0" applyAlignment="0" applyProtection="0"/>
    <xf numFmtId="177" fontId="21" fillId="17" borderId="0" applyNumberFormat="0" applyBorder="0" applyAlignment="0" applyProtection="0"/>
    <xf numFmtId="177" fontId="21" fillId="17" borderId="0" applyNumberFormat="0" applyBorder="0" applyAlignment="0" applyProtection="0"/>
    <xf numFmtId="0" fontId="3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5" fillId="17" borderId="0" applyNumberFormat="0" applyBorder="0" applyAlignment="0" applyProtection="0"/>
    <xf numFmtId="0" fontId="21" fillId="17" borderId="0" applyNumberFormat="0" applyBorder="0" applyAlignment="0" applyProtection="0"/>
    <xf numFmtId="177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177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177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177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177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177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177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5" fillId="49" borderId="0" applyNumberFormat="0" applyBorder="0" applyAlignment="0" applyProtection="0"/>
    <xf numFmtId="0" fontId="21" fillId="18" borderId="0" applyNumberFormat="0" applyBorder="0" applyAlignment="0" applyProtection="0"/>
    <xf numFmtId="0" fontId="5" fillId="49" borderId="0" applyNumberFormat="0" applyBorder="0" applyAlignment="0" applyProtection="0"/>
    <xf numFmtId="0" fontId="21" fillId="18" borderId="0" applyNumberFormat="0" applyBorder="0" applyAlignment="0" applyProtection="0"/>
    <xf numFmtId="0" fontId="5" fillId="49" borderId="0" applyNumberFormat="0" applyBorder="0" applyAlignment="0" applyProtection="0"/>
    <xf numFmtId="0" fontId="21" fillId="18" borderId="0" applyNumberFormat="0" applyBorder="0" applyAlignment="0" applyProtection="0"/>
    <xf numFmtId="0" fontId="5" fillId="49" borderId="0" applyNumberFormat="0" applyBorder="0" applyAlignment="0" applyProtection="0"/>
    <xf numFmtId="0" fontId="21" fillId="18" borderId="0" applyNumberFormat="0" applyBorder="0" applyAlignment="0" applyProtection="0"/>
    <xf numFmtId="0" fontId="5" fillId="49" borderId="0" applyNumberFormat="0" applyBorder="0" applyAlignment="0" applyProtection="0"/>
    <xf numFmtId="0" fontId="21" fillId="18" borderId="0" applyNumberFormat="0" applyBorder="0" applyAlignment="0" applyProtection="0"/>
    <xf numFmtId="0" fontId="5" fillId="49" borderId="0" applyNumberFormat="0" applyBorder="0" applyAlignment="0" applyProtection="0"/>
    <xf numFmtId="0" fontId="21" fillId="18" borderId="0" applyNumberFormat="0" applyBorder="0" applyAlignment="0" applyProtection="0"/>
    <xf numFmtId="0" fontId="5" fillId="49" borderId="0" applyNumberFormat="0" applyBorder="0" applyAlignment="0" applyProtection="0"/>
    <xf numFmtId="0" fontId="21" fillId="18" borderId="0" applyNumberFormat="0" applyBorder="0" applyAlignment="0" applyProtection="0"/>
    <xf numFmtId="0" fontId="5" fillId="49" borderId="0" applyNumberFormat="0" applyBorder="0" applyAlignment="0" applyProtection="0"/>
    <xf numFmtId="0" fontId="21" fillId="18" borderId="0" applyNumberFormat="0" applyBorder="0" applyAlignment="0" applyProtection="0"/>
    <xf numFmtId="0" fontId="5" fillId="49" borderId="0" applyNumberFormat="0" applyBorder="0" applyAlignment="0" applyProtection="0"/>
    <xf numFmtId="0" fontId="21" fillId="18" borderId="0" applyNumberFormat="0" applyBorder="0" applyAlignment="0" applyProtection="0"/>
    <xf numFmtId="0" fontId="5" fillId="49" borderId="0" applyNumberFormat="0" applyBorder="0" applyAlignment="0" applyProtection="0"/>
    <xf numFmtId="0" fontId="21" fillId="18" borderId="0" applyNumberFormat="0" applyBorder="0" applyAlignment="0" applyProtection="0"/>
    <xf numFmtId="0" fontId="2" fillId="49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177" fontId="21" fillId="18" borderId="0" applyNumberFormat="0" applyBorder="0" applyAlignment="0" applyProtection="0"/>
    <xf numFmtId="177" fontId="21" fillId="18" borderId="0" applyNumberFormat="0" applyBorder="0" applyAlignment="0" applyProtection="0"/>
    <xf numFmtId="0" fontId="3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5" fillId="49" borderId="0" applyNumberFormat="0" applyBorder="0" applyAlignment="0" applyProtection="0"/>
    <xf numFmtId="0" fontId="21" fillId="18" borderId="0" applyNumberFormat="0" applyBorder="0" applyAlignment="0" applyProtection="0"/>
    <xf numFmtId="0" fontId="5" fillId="49" borderId="0" applyNumberFormat="0" applyBorder="0" applyAlignment="0" applyProtection="0"/>
    <xf numFmtId="0" fontId="21" fillId="18" borderId="0" applyNumberFormat="0" applyBorder="0" applyAlignment="0" applyProtection="0"/>
    <xf numFmtId="0" fontId="2" fillId="49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2" fillId="49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2" fillId="49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2" fillId="49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2" fillId="49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2" fillId="49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2" fillId="49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2" fillId="49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2" fillId="49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177" fontId="21" fillId="18" borderId="0" applyNumberFormat="0" applyBorder="0" applyAlignment="0" applyProtection="0"/>
    <xf numFmtId="177" fontId="21" fillId="18" borderId="0" applyNumberFormat="0" applyBorder="0" applyAlignment="0" applyProtection="0"/>
    <xf numFmtId="0" fontId="3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5" fillId="49" borderId="0" applyNumberFormat="0" applyBorder="0" applyAlignment="0" applyProtection="0"/>
    <xf numFmtId="0" fontId="21" fillId="18" borderId="0" applyNumberFormat="0" applyBorder="0" applyAlignment="0" applyProtection="0"/>
    <xf numFmtId="0" fontId="31" fillId="18" borderId="0" applyNumberFormat="0" applyBorder="0" applyAlignment="0" applyProtection="0"/>
    <xf numFmtId="177" fontId="21" fillId="18" borderId="0" applyNumberFormat="0" applyBorder="0" applyAlignment="0" applyProtection="0"/>
    <xf numFmtId="177" fontId="21" fillId="18" borderId="0" applyNumberFormat="0" applyBorder="0" applyAlignment="0" applyProtection="0"/>
    <xf numFmtId="0" fontId="3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5" fillId="49" borderId="0" applyNumberFormat="0" applyBorder="0" applyAlignment="0" applyProtection="0"/>
    <xf numFmtId="0" fontId="21" fillId="18" borderId="0" applyNumberFormat="0" applyBorder="0" applyAlignment="0" applyProtection="0"/>
    <xf numFmtId="177" fontId="21" fillId="18" borderId="0" applyNumberFormat="0" applyBorder="0" applyAlignment="0" applyProtection="0"/>
    <xf numFmtId="177" fontId="21" fillId="18" borderId="0" applyNumberFormat="0" applyBorder="0" applyAlignment="0" applyProtection="0"/>
    <xf numFmtId="0" fontId="3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5" fillId="49" borderId="0" applyNumberFormat="0" applyBorder="0" applyAlignment="0" applyProtection="0"/>
    <xf numFmtId="0" fontId="21" fillId="18" borderId="0" applyNumberFormat="0" applyBorder="0" applyAlignment="0" applyProtection="0"/>
    <xf numFmtId="177" fontId="21" fillId="18" borderId="0" applyNumberFormat="0" applyBorder="0" applyAlignment="0" applyProtection="0"/>
    <xf numFmtId="177" fontId="21" fillId="18" borderId="0" applyNumberFormat="0" applyBorder="0" applyAlignment="0" applyProtection="0"/>
    <xf numFmtId="0" fontId="3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5" fillId="49" borderId="0" applyNumberFormat="0" applyBorder="0" applyAlignment="0" applyProtection="0"/>
    <xf numFmtId="0" fontId="21" fillId="18" borderId="0" applyNumberFormat="0" applyBorder="0" applyAlignment="0" applyProtection="0"/>
    <xf numFmtId="177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177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177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177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177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177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177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5" fillId="10" borderId="0" applyNumberFormat="0" applyBorder="0" applyAlignment="0" applyProtection="0"/>
    <xf numFmtId="0" fontId="21" fillId="19" borderId="0" applyNumberFormat="0" applyBorder="0" applyAlignment="0" applyProtection="0"/>
    <xf numFmtId="0" fontId="5" fillId="10" borderId="0" applyNumberFormat="0" applyBorder="0" applyAlignment="0" applyProtection="0"/>
    <xf numFmtId="0" fontId="21" fillId="19" borderId="0" applyNumberFormat="0" applyBorder="0" applyAlignment="0" applyProtection="0"/>
    <xf numFmtId="0" fontId="5" fillId="10" borderId="0" applyNumberFormat="0" applyBorder="0" applyAlignment="0" applyProtection="0"/>
    <xf numFmtId="0" fontId="21" fillId="19" borderId="0" applyNumberFormat="0" applyBorder="0" applyAlignment="0" applyProtection="0"/>
    <xf numFmtId="0" fontId="5" fillId="10" borderId="0" applyNumberFormat="0" applyBorder="0" applyAlignment="0" applyProtection="0"/>
    <xf numFmtId="0" fontId="21" fillId="19" borderId="0" applyNumberFormat="0" applyBorder="0" applyAlignment="0" applyProtection="0"/>
    <xf numFmtId="0" fontId="5" fillId="10" borderId="0" applyNumberFormat="0" applyBorder="0" applyAlignment="0" applyProtection="0"/>
    <xf numFmtId="0" fontId="21" fillId="19" borderId="0" applyNumberFormat="0" applyBorder="0" applyAlignment="0" applyProtection="0"/>
    <xf numFmtId="0" fontId="5" fillId="10" borderId="0" applyNumberFormat="0" applyBorder="0" applyAlignment="0" applyProtection="0"/>
    <xf numFmtId="0" fontId="21" fillId="19" borderId="0" applyNumberFormat="0" applyBorder="0" applyAlignment="0" applyProtection="0"/>
    <xf numFmtId="0" fontId="5" fillId="10" borderId="0" applyNumberFormat="0" applyBorder="0" applyAlignment="0" applyProtection="0"/>
    <xf numFmtId="0" fontId="21" fillId="19" borderId="0" applyNumberFormat="0" applyBorder="0" applyAlignment="0" applyProtection="0"/>
    <xf numFmtId="0" fontId="5" fillId="10" borderId="0" applyNumberFormat="0" applyBorder="0" applyAlignment="0" applyProtection="0"/>
    <xf numFmtId="0" fontId="21" fillId="19" borderId="0" applyNumberFormat="0" applyBorder="0" applyAlignment="0" applyProtection="0"/>
    <xf numFmtId="0" fontId="5" fillId="10" borderId="0" applyNumberFormat="0" applyBorder="0" applyAlignment="0" applyProtection="0"/>
    <xf numFmtId="0" fontId="21" fillId="19" borderId="0" applyNumberFormat="0" applyBorder="0" applyAlignment="0" applyProtection="0"/>
    <xf numFmtId="0" fontId="5" fillId="10" borderId="0" applyNumberFormat="0" applyBorder="0" applyAlignment="0" applyProtection="0"/>
    <xf numFmtId="0" fontId="21" fillId="19" borderId="0" applyNumberFormat="0" applyBorder="0" applyAlignment="0" applyProtection="0"/>
    <xf numFmtId="0" fontId="2" fillId="10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21" fillId="19" borderId="0" applyNumberFormat="0" applyBorder="0" applyAlignment="0" applyProtection="0"/>
    <xf numFmtId="176" fontId="5" fillId="10" borderId="0" applyNumberFormat="0" applyBorder="0" applyAlignment="0" applyProtection="0"/>
    <xf numFmtId="0" fontId="31" fillId="19" borderId="0" applyNumberFormat="0" applyBorder="0" applyAlignment="0" applyProtection="0"/>
    <xf numFmtId="177" fontId="5" fillId="10" borderId="0" applyNumberFormat="0" applyBorder="0" applyAlignment="0" applyProtection="0"/>
    <xf numFmtId="0" fontId="31" fillId="19" borderId="0" applyNumberFormat="0" applyBorder="0" applyAlignment="0" applyProtection="0"/>
    <xf numFmtId="177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5" fillId="10" borderId="0" applyNumberFormat="0" applyBorder="0" applyAlignment="0" applyProtection="0"/>
    <xf numFmtId="0" fontId="21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21" fillId="19" borderId="0" applyNumberFormat="0" applyBorder="0" applyAlignment="0" applyProtection="0"/>
    <xf numFmtId="0" fontId="5" fillId="10" borderId="0" applyNumberFormat="0" applyBorder="0" applyAlignment="0" applyProtection="0"/>
    <xf numFmtId="0" fontId="21" fillId="19" borderId="0" applyNumberFormat="0" applyBorder="0" applyAlignment="0" applyProtection="0"/>
    <xf numFmtId="0" fontId="5" fillId="10" borderId="0" applyNumberFormat="0" applyBorder="0" applyAlignment="0" applyProtection="0"/>
    <xf numFmtId="0" fontId="21" fillId="19" borderId="0" applyNumberFormat="0" applyBorder="0" applyAlignment="0" applyProtection="0"/>
    <xf numFmtId="0" fontId="2" fillId="10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2" fillId="10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2" fillId="10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2" fillId="10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2" fillId="10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2" fillId="10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2" fillId="10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2" fillId="10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2" fillId="10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177" fontId="21" fillId="19" borderId="0" applyNumberFormat="0" applyBorder="0" applyAlignment="0" applyProtection="0"/>
    <xf numFmtId="177" fontId="21" fillId="19" borderId="0" applyNumberFormat="0" applyBorder="0" applyAlignment="0" applyProtection="0"/>
    <xf numFmtId="0" fontId="31" fillId="19" borderId="0" applyNumberFormat="0" applyBorder="0" applyAlignment="0" applyProtection="0"/>
    <xf numFmtId="0" fontId="21" fillId="19" borderId="0" applyNumberFormat="0" applyBorder="0" applyAlignment="0" applyProtection="0"/>
    <xf numFmtId="0" fontId="31" fillId="19" borderId="0" applyNumberFormat="0" applyBorder="0" applyAlignment="0" applyProtection="0"/>
    <xf numFmtId="177" fontId="21" fillId="19" borderId="0" applyNumberFormat="0" applyBorder="0" applyAlignment="0" applyProtection="0"/>
    <xf numFmtId="177" fontId="21" fillId="19" borderId="0" applyNumberFormat="0" applyBorder="0" applyAlignment="0" applyProtection="0"/>
    <xf numFmtId="0" fontId="3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5" fillId="10" borderId="0" applyNumberFormat="0" applyBorder="0" applyAlignment="0" applyProtection="0"/>
    <xf numFmtId="0" fontId="21" fillId="19" borderId="0" applyNumberFormat="0" applyBorder="0" applyAlignment="0" applyProtection="0"/>
    <xf numFmtId="177" fontId="21" fillId="19" borderId="0" applyNumberFormat="0" applyBorder="0" applyAlignment="0" applyProtection="0"/>
    <xf numFmtId="177" fontId="21" fillId="19" borderId="0" applyNumberFormat="0" applyBorder="0" applyAlignment="0" applyProtection="0"/>
    <xf numFmtId="0" fontId="3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5" fillId="10" borderId="0" applyNumberFormat="0" applyBorder="0" applyAlignment="0" applyProtection="0"/>
    <xf numFmtId="0" fontId="21" fillId="19" borderId="0" applyNumberFormat="0" applyBorder="0" applyAlignment="0" applyProtection="0"/>
    <xf numFmtId="177" fontId="21" fillId="19" borderId="0" applyNumberFormat="0" applyBorder="0" applyAlignment="0" applyProtection="0"/>
    <xf numFmtId="177" fontId="21" fillId="19" borderId="0" applyNumberFormat="0" applyBorder="0" applyAlignment="0" applyProtection="0"/>
    <xf numFmtId="0" fontId="3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5" fillId="10" borderId="0" applyNumberFormat="0" applyBorder="0" applyAlignment="0" applyProtection="0"/>
    <xf numFmtId="0" fontId="21" fillId="19" borderId="0" applyNumberFormat="0" applyBorder="0" applyAlignment="0" applyProtection="0"/>
    <xf numFmtId="177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177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177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177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177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177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177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5" fillId="46" borderId="0" applyNumberFormat="0" applyBorder="0" applyAlignment="0" applyProtection="0"/>
    <xf numFmtId="0" fontId="21" fillId="20" borderId="0" applyNumberFormat="0" applyBorder="0" applyAlignment="0" applyProtection="0"/>
    <xf numFmtId="0" fontId="5" fillId="46" borderId="0" applyNumberFormat="0" applyBorder="0" applyAlignment="0" applyProtection="0"/>
    <xf numFmtId="0" fontId="21" fillId="20" borderId="0" applyNumberFormat="0" applyBorder="0" applyAlignment="0" applyProtection="0"/>
    <xf numFmtId="0" fontId="5" fillId="46" borderId="0" applyNumberFormat="0" applyBorder="0" applyAlignment="0" applyProtection="0"/>
    <xf numFmtId="0" fontId="21" fillId="20" borderId="0" applyNumberFormat="0" applyBorder="0" applyAlignment="0" applyProtection="0"/>
    <xf numFmtId="0" fontId="5" fillId="46" borderId="0" applyNumberFormat="0" applyBorder="0" applyAlignment="0" applyProtection="0"/>
    <xf numFmtId="0" fontId="21" fillId="20" borderId="0" applyNumberFormat="0" applyBorder="0" applyAlignment="0" applyProtection="0"/>
    <xf numFmtId="0" fontId="5" fillId="46" borderId="0" applyNumberFormat="0" applyBorder="0" applyAlignment="0" applyProtection="0"/>
    <xf numFmtId="0" fontId="21" fillId="20" borderId="0" applyNumberFormat="0" applyBorder="0" applyAlignment="0" applyProtection="0"/>
    <xf numFmtId="0" fontId="5" fillId="46" borderId="0" applyNumberFormat="0" applyBorder="0" applyAlignment="0" applyProtection="0"/>
    <xf numFmtId="0" fontId="21" fillId="20" borderId="0" applyNumberFormat="0" applyBorder="0" applyAlignment="0" applyProtection="0"/>
    <xf numFmtId="0" fontId="5" fillId="46" borderId="0" applyNumberFormat="0" applyBorder="0" applyAlignment="0" applyProtection="0"/>
    <xf numFmtId="0" fontId="21" fillId="20" borderId="0" applyNumberFormat="0" applyBorder="0" applyAlignment="0" applyProtection="0"/>
    <xf numFmtId="0" fontId="5" fillId="46" borderId="0" applyNumberFormat="0" applyBorder="0" applyAlignment="0" applyProtection="0"/>
    <xf numFmtId="0" fontId="21" fillId="20" borderId="0" applyNumberFormat="0" applyBorder="0" applyAlignment="0" applyProtection="0"/>
    <xf numFmtId="0" fontId="5" fillId="46" borderId="0" applyNumberFormat="0" applyBorder="0" applyAlignment="0" applyProtection="0"/>
    <xf numFmtId="0" fontId="21" fillId="20" borderId="0" applyNumberFormat="0" applyBorder="0" applyAlignment="0" applyProtection="0"/>
    <xf numFmtId="0" fontId="5" fillId="46" borderId="0" applyNumberFormat="0" applyBorder="0" applyAlignment="0" applyProtection="0"/>
    <xf numFmtId="0" fontId="21" fillId="20" borderId="0" applyNumberFormat="0" applyBorder="0" applyAlignment="0" applyProtection="0"/>
    <xf numFmtId="0" fontId="2" fillId="46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177" fontId="21" fillId="20" borderId="0" applyNumberFormat="0" applyBorder="0" applyAlignment="0" applyProtection="0"/>
    <xf numFmtId="177" fontId="21" fillId="20" borderId="0" applyNumberFormat="0" applyBorder="0" applyAlignment="0" applyProtection="0"/>
    <xf numFmtId="0" fontId="3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5" fillId="46" borderId="0" applyNumberFormat="0" applyBorder="0" applyAlignment="0" applyProtection="0"/>
    <xf numFmtId="0" fontId="21" fillId="20" borderId="0" applyNumberFormat="0" applyBorder="0" applyAlignment="0" applyProtection="0"/>
    <xf numFmtId="0" fontId="5" fillId="46" borderId="0" applyNumberFormat="0" applyBorder="0" applyAlignment="0" applyProtection="0"/>
    <xf numFmtId="0" fontId="21" fillId="20" borderId="0" applyNumberFormat="0" applyBorder="0" applyAlignment="0" applyProtection="0"/>
    <xf numFmtId="0" fontId="2" fillId="46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2" fillId="46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2" fillId="46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2" fillId="46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2" fillId="46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2" fillId="46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2" fillId="46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2" fillId="46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2" fillId="46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177" fontId="21" fillId="20" borderId="0" applyNumberFormat="0" applyBorder="0" applyAlignment="0" applyProtection="0"/>
    <xf numFmtId="177" fontId="21" fillId="20" borderId="0" applyNumberFormat="0" applyBorder="0" applyAlignment="0" applyProtection="0"/>
    <xf numFmtId="0" fontId="3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5" fillId="46" borderId="0" applyNumberFormat="0" applyBorder="0" applyAlignment="0" applyProtection="0"/>
    <xf numFmtId="0" fontId="21" fillId="20" borderId="0" applyNumberFormat="0" applyBorder="0" applyAlignment="0" applyProtection="0"/>
    <xf numFmtId="0" fontId="31" fillId="20" borderId="0" applyNumberFormat="0" applyBorder="0" applyAlignment="0" applyProtection="0"/>
    <xf numFmtId="177" fontId="21" fillId="20" borderId="0" applyNumberFormat="0" applyBorder="0" applyAlignment="0" applyProtection="0"/>
    <xf numFmtId="177" fontId="21" fillId="20" borderId="0" applyNumberFormat="0" applyBorder="0" applyAlignment="0" applyProtection="0"/>
    <xf numFmtId="0" fontId="3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5" fillId="46" borderId="0" applyNumberFormat="0" applyBorder="0" applyAlignment="0" applyProtection="0"/>
    <xf numFmtId="0" fontId="21" fillId="20" borderId="0" applyNumberFormat="0" applyBorder="0" applyAlignment="0" applyProtection="0"/>
    <xf numFmtId="177" fontId="21" fillId="20" borderId="0" applyNumberFormat="0" applyBorder="0" applyAlignment="0" applyProtection="0"/>
    <xf numFmtId="177" fontId="21" fillId="20" borderId="0" applyNumberFormat="0" applyBorder="0" applyAlignment="0" applyProtection="0"/>
    <xf numFmtId="0" fontId="3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5" fillId="46" borderId="0" applyNumberFormat="0" applyBorder="0" applyAlignment="0" applyProtection="0"/>
    <xf numFmtId="0" fontId="21" fillId="20" borderId="0" applyNumberFormat="0" applyBorder="0" applyAlignment="0" applyProtection="0"/>
    <xf numFmtId="177" fontId="21" fillId="20" borderId="0" applyNumberFormat="0" applyBorder="0" applyAlignment="0" applyProtection="0"/>
    <xf numFmtId="177" fontId="21" fillId="20" borderId="0" applyNumberFormat="0" applyBorder="0" applyAlignment="0" applyProtection="0"/>
    <xf numFmtId="0" fontId="3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5" fillId="46" borderId="0" applyNumberFormat="0" applyBorder="0" applyAlignment="0" applyProtection="0"/>
    <xf numFmtId="0" fontId="21" fillId="20" borderId="0" applyNumberFormat="0" applyBorder="0" applyAlignment="0" applyProtection="0"/>
    <xf numFmtId="177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177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177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177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177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177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177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5" fillId="47" borderId="0" applyNumberFormat="0" applyBorder="0" applyAlignment="0" applyProtection="0"/>
    <xf numFmtId="0" fontId="21" fillId="21" borderId="0" applyNumberFormat="0" applyBorder="0" applyAlignment="0" applyProtection="0"/>
    <xf numFmtId="0" fontId="5" fillId="47" borderId="0" applyNumberFormat="0" applyBorder="0" applyAlignment="0" applyProtection="0"/>
    <xf numFmtId="0" fontId="21" fillId="21" borderId="0" applyNumberFormat="0" applyBorder="0" applyAlignment="0" applyProtection="0"/>
    <xf numFmtId="0" fontId="5" fillId="47" borderId="0" applyNumberFormat="0" applyBorder="0" applyAlignment="0" applyProtection="0"/>
    <xf numFmtId="0" fontId="21" fillId="21" borderId="0" applyNumberFormat="0" applyBorder="0" applyAlignment="0" applyProtection="0"/>
    <xf numFmtId="0" fontId="5" fillId="47" borderId="0" applyNumberFormat="0" applyBorder="0" applyAlignment="0" applyProtection="0"/>
    <xf numFmtId="0" fontId="21" fillId="21" borderId="0" applyNumberFormat="0" applyBorder="0" applyAlignment="0" applyProtection="0"/>
    <xf numFmtId="0" fontId="5" fillId="47" borderId="0" applyNumberFormat="0" applyBorder="0" applyAlignment="0" applyProtection="0"/>
    <xf numFmtId="0" fontId="21" fillId="21" borderId="0" applyNumberFormat="0" applyBorder="0" applyAlignment="0" applyProtection="0"/>
    <xf numFmtId="0" fontId="5" fillId="47" borderId="0" applyNumberFormat="0" applyBorder="0" applyAlignment="0" applyProtection="0"/>
    <xf numFmtId="0" fontId="21" fillId="21" borderId="0" applyNumberFormat="0" applyBorder="0" applyAlignment="0" applyProtection="0"/>
    <xf numFmtId="0" fontId="5" fillId="47" borderId="0" applyNumberFormat="0" applyBorder="0" applyAlignment="0" applyProtection="0"/>
    <xf numFmtId="0" fontId="21" fillId="21" borderId="0" applyNumberFormat="0" applyBorder="0" applyAlignment="0" applyProtection="0"/>
    <xf numFmtId="0" fontId="5" fillId="47" borderId="0" applyNumberFormat="0" applyBorder="0" applyAlignment="0" applyProtection="0"/>
    <xf numFmtId="0" fontId="21" fillId="21" borderId="0" applyNumberFormat="0" applyBorder="0" applyAlignment="0" applyProtection="0"/>
    <xf numFmtId="0" fontId="5" fillId="47" borderId="0" applyNumberFormat="0" applyBorder="0" applyAlignment="0" applyProtection="0"/>
    <xf numFmtId="0" fontId="21" fillId="21" borderId="0" applyNumberFormat="0" applyBorder="0" applyAlignment="0" applyProtection="0"/>
    <xf numFmtId="0" fontId="5" fillId="47" borderId="0" applyNumberFormat="0" applyBorder="0" applyAlignment="0" applyProtection="0"/>
    <xf numFmtId="0" fontId="21" fillId="21" borderId="0" applyNumberFormat="0" applyBorder="0" applyAlignment="0" applyProtection="0"/>
    <xf numFmtId="0" fontId="2" fillId="47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177" fontId="21" fillId="21" borderId="0" applyNumberFormat="0" applyBorder="0" applyAlignment="0" applyProtection="0"/>
    <xf numFmtId="177" fontId="21" fillId="21" borderId="0" applyNumberFormat="0" applyBorder="0" applyAlignment="0" applyProtection="0"/>
    <xf numFmtId="0" fontId="3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5" fillId="47" borderId="0" applyNumberFormat="0" applyBorder="0" applyAlignment="0" applyProtection="0"/>
    <xf numFmtId="0" fontId="21" fillId="21" borderId="0" applyNumberFormat="0" applyBorder="0" applyAlignment="0" applyProtection="0"/>
    <xf numFmtId="0" fontId="5" fillId="47" borderId="0" applyNumberFormat="0" applyBorder="0" applyAlignment="0" applyProtection="0"/>
    <xf numFmtId="0" fontId="21" fillId="21" borderId="0" applyNumberFormat="0" applyBorder="0" applyAlignment="0" applyProtection="0"/>
    <xf numFmtId="0" fontId="2" fillId="47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2" fillId="47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2" fillId="47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2" fillId="47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2" fillId="47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2" fillId="47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2" fillId="47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2" fillId="47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2" fillId="47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177" fontId="21" fillId="21" borderId="0" applyNumberFormat="0" applyBorder="0" applyAlignment="0" applyProtection="0"/>
    <xf numFmtId="177" fontId="21" fillId="21" borderId="0" applyNumberFormat="0" applyBorder="0" applyAlignment="0" applyProtection="0"/>
    <xf numFmtId="0" fontId="3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5" fillId="47" borderId="0" applyNumberFormat="0" applyBorder="0" applyAlignment="0" applyProtection="0"/>
    <xf numFmtId="0" fontId="21" fillId="21" borderId="0" applyNumberFormat="0" applyBorder="0" applyAlignment="0" applyProtection="0"/>
    <xf numFmtId="0" fontId="31" fillId="21" borderId="0" applyNumberFormat="0" applyBorder="0" applyAlignment="0" applyProtection="0"/>
    <xf numFmtId="177" fontId="21" fillId="21" borderId="0" applyNumberFormat="0" applyBorder="0" applyAlignment="0" applyProtection="0"/>
    <xf numFmtId="177" fontId="21" fillId="21" borderId="0" applyNumberFormat="0" applyBorder="0" applyAlignment="0" applyProtection="0"/>
    <xf numFmtId="0" fontId="3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5" fillId="47" borderId="0" applyNumberFormat="0" applyBorder="0" applyAlignment="0" applyProtection="0"/>
    <xf numFmtId="0" fontId="21" fillId="21" borderId="0" applyNumberFormat="0" applyBorder="0" applyAlignment="0" applyProtection="0"/>
    <xf numFmtId="177" fontId="21" fillId="21" borderId="0" applyNumberFormat="0" applyBorder="0" applyAlignment="0" applyProtection="0"/>
    <xf numFmtId="177" fontId="21" fillId="21" borderId="0" applyNumberFormat="0" applyBorder="0" applyAlignment="0" applyProtection="0"/>
    <xf numFmtId="0" fontId="3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5" fillId="47" borderId="0" applyNumberFormat="0" applyBorder="0" applyAlignment="0" applyProtection="0"/>
    <xf numFmtId="0" fontId="21" fillId="21" borderId="0" applyNumberFormat="0" applyBorder="0" applyAlignment="0" applyProtection="0"/>
    <xf numFmtId="177" fontId="21" fillId="21" borderId="0" applyNumberFormat="0" applyBorder="0" applyAlignment="0" applyProtection="0"/>
    <xf numFmtId="177" fontId="21" fillId="21" borderId="0" applyNumberFormat="0" applyBorder="0" applyAlignment="0" applyProtection="0"/>
    <xf numFmtId="0" fontId="3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5" fillId="47" borderId="0" applyNumberFormat="0" applyBorder="0" applyAlignment="0" applyProtection="0"/>
    <xf numFmtId="0" fontId="21" fillId="21" borderId="0" applyNumberFormat="0" applyBorder="0" applyAlignment="0" applyProtection="0"/>
    <xf numFmtId="177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177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177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177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177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177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177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5" fillId="22" borderId="0" applyNumberFormat="0" applyBorder="0" applyAlignment="0" applyProtection="0"/>
    <xf numFmtId="0" fontId="21" fillId="22" borderId="0" applyNumberFormat="0" applyBorder="0" applyAlignment="0" applyProtection="0"/>
    <xf numFmtId="0" fontId="5" fillId="22" borderId="0" applyNumberFormat="0" applyBorder="0" applyAlignment="0" applyProtection="0"/>
    <xf numFmtId="0" fontId="21" fillId="22" borderId="0" applyNumberFormat="0" applyBorder="0" applyAlignment="0" applyProtection="0"/>
    <xf numFmtId="0" fontId="5" fillId="22" borderId="0" applyNumberFormat="0" applyBorder="0" applyAlignment="0" applyProtection="0"/>
    <xf numFmtId="0" fontId="21" fillId="22" borderId="0" applyNumberFormat="0" applyBorder="0" applyAlignment="0" applyProtection="0"/>
    <xf numFmtId="0" fontId="5" fillId="22" borderId="0" applyNumberFormat="0" applyBorder="0" applyAlignment="0" applyProtection="0"/>
    <xf numFmtId="0" fontId="21" fillId="22" borderId="0" applyNumberFormat="0" applyBorder="0" applyAlignment="0" applyProtection="0"/>
    <xf numFmtId="0" fontId="5" fillId="22" borderId="0" applyNumberFormat="0" applyBorder="0" applyAlignment="0" applyProtection="0"/>
    <xf numFmtId="0" fontId="21" fillId="22" borderId="0" applyNumberFormat="0" applyBorder="0" applyAlignment="0" applyProtection="0"/>
    <xf numFmtId="0" fontId="5" fillId="22" borderId="0" applyNumberFormat="0" applyBorder="0" applyAlignment="0" applyProtection="0"/>
    <xf numFmtId="0" fontId="21" fillId="22" borderId="0" applyNumberFormat="0" applyBorder="0" applyAlignment="0" applyProtection="0"/>
    <xf numFmtId="0" fontId="5" fillId="22" borderId="0" applyNumberFormat="0" applyBorder="0" applyAlignment="0" applyProtection="0"/>
    <xf numFmtId="0" fontId="21" fillId="22" borderId="0" applyNumberFormat="0" applyBorder="0" applyAlignment="0" applyProtection="0"/>
    <xf numFmtId="0" fontId="5" fillId="22" borderId="0" applyNumberFormat="0" applyBorder="0" applyAlignment="0" applyProtection="0"/>
    <xf numFmtId="0" fontId="21" fillId="22" borderId="0" applyNumberFormat="0" applyBorder="0" applyAlignment="0" applyProtection="0"/>
    <xf numFmtId="0" fontId="5" fillId="22" borderId="0" applyNumberFormat="0" applyBorder="0" applyAlignment="0" applyProtection="0"/>
    <xf numFmtId="0" fontId="21" fillId="22" borderId="0" applyNumberFormat="0" applyBorder="0" applyAlignment="0" applyProtection="0"/>
    <xf numFmtId="0" fontId="5" fillId="22" borderId="0" applyNumberFormat="0" applyBorder="0" applyAlignment="0" applyProtection="0"/>
    <xf numFmtId="0" fontId="21" fillId="22" borderId="0" applyNumberFormat="0" applyBorder="0" applyAlignment="0" applyProtection="0"/>
    <xf numFmtId="0" fontId="2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177" fontId="21" fillId="22" borderId="0" applyNumberFormat="0" applyBorder="0" applyAlignment="0" applyProtection="0"/>
    <xf numFmtId="177" fontId="21" fillId="22" borderId="0" applyNumberFormat="0" applyBorder="0" applyAlignment="0" applyProtection="0"/>
    <xf numFmtId="0" fontId="3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5" fillId="22" borderId="0" applyNumberFormat="0" applyBorder="0" applyAlignment="0" applyProtection="0"/>
    <xf numFmtId="0" fontId="21" fillId="22" borderId="0" applyNumberFormat="0" applyBorder="0" applyAlignment="0" applyProtection="0"/>
    <xf numFmtId="0" fontId="5" fillId="22" borderId="0" applyNumberFormat="0" applyBorder="0" applyAlignment="0" applyProtection="0"/>
    <xf numFmtId="0" fontId="21" fillId="22" borderId="0" applyNumberFormat="0" applyBorder="0" applyAlignment="0" applyProtection="0"/>
    <xf numFmtId="0" fontId="2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2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2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2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2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2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2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2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2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177" fontId="21" fillId="22" borderId="0" applyNumberFormat="0" applyBorder="0" applyAlignment="0" applyProtection="0"/>
    <xf numFmtId="177" fontId="21" fillId="22" borderId="0" applyNumberFormat="0" applyBorder="0" applyAlignment="0" applyProtection="0"/>
    <xf numFmtId="0" fontId="3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5" fillId="22" borderId="0" applyNumberFormat="0" applyBorder="0" applyAlignment="0" applyProtection="0"/>
    <xf numFmtId="0" fontId="21" fillId="22" borderId="0" applyNumberFormat="0" applyBorder="0" applyAlignment="0" applyProtection="0"/>
    <xf numFmtId="0" fontId="31" fillId="22" borderId="0" applyNumberFormat="0" applyBorder="0" applyAlignment="0" applyProtection="0"/>
    <xf numFmtId="177" fontId="21" fillId="22" borderId="0" applyNumberFormat="0" applyBorder="0" applyAlignment="0" applyProtection="0"/>
    <xf numFmtId="177" fontId="21" fillId="22" borderId="0" applyNumberFormat="0" applyBorder="0" applyAlignment="0" applyProtection="0"/>
    <xf numFmtId="0" fontId="3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5" fillId="22" borderId="0" applyNumberFormat="0" applyBorder="0" applyAlignment="0" applyProtection="0"/>
    <xf numFmtId="0" fontId="21" fillId="22" borderId="0" applyNumberFormat="0" applyBorder="0" applyAlignment="0" applyProtection="0"/>
    <xf numFmtId="177" fontId="21" fillId="22" borderId="0" applyNumberFormat="0" applyBorder="0" applyAlignment="0" applyProtection="0"/>
    <xf numFmtId="177" fontId="21" fillId="22" borderId="0" applyNumberFormat="0" applyBorder="0" applyAlignment="0" applyProtection="0"/>
    <xf numFmtId="0" fontId="3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5" fillId="22" borderId="0" applyNumberFormat="0" applyBorder="0" applyAlignment="0" applyProtection="0"/>
    <xf numFmtId="0" fontId="21" fillId="22" borderId="0" applyNumberFormat="0" applyBorder="0" applyAlignment="0" applyProtection="0"/>
    <xf numFmtId="177" fontId="21" fillId="22" borderId="0" applyNumberFormat="0" applyBorder="0" applyAlignment="0" applyProtection="0"/>
    <xf numFmtId="177" fontId="21" fillId="22" borderId="0" applyNumberFormat="0" applyBorder="0" applyAlignment="0" applyProtection="0"/>
    <xf numFmtId="0" fontId="3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5" fillId="22" borderId="0" applyNumberFormat="0" applyBorder="0" applyAlignment="0" applyProtection="0"/>
    <xf numFmtId="0" fontId="21" fillId="22" borderId="0" applyNumberFormat="0" applyBorder="0" applyAlignment="0" applyProtection="0"/>
    <xf numFmtId="177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177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177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177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177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177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177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5" fillId="48" borderId="0" applyNumberFormat="0" applyBorder="0" applyAlignment="0" applyProtection="0"/>
    <xf numFmtId="0" fontId="21" fillId="17" borderId="0" applyNumberFormat="0" applyBorder="0" applyAlignment="0" applyProtection="0"/>
    <xf numFmtId="0" fontId="5" fillId="48" borderId="0" applyNumberFormat="0" applyBorder="0" applyAlignment="0" applyProtection="0"/>
    <xf numFmtId="0" fontId="21" fillId="17" borderId="0" applyNumberFormat="0" applyBorder="0" applyAlignment="0" applyProtection="0"/>
    <xf numFmtId="0" fontId="5" fillId="48" borderId="0" applyNumberFormat="0" applyBorder="0" applyAlignment="0" applyProtection="0"/>
    <xf numFmtId="0" fontId="21" fillId="17" borderId="0" applyNumberFormat="0" applyBorder="0" applyAlignment="0" applyProtection="0"/>
    <xf numFmtId="0" fontId="5" fillId="48" borderId="0" applyNumberFormat="0" applyBorder="0" applyAlignment="0" applyProtection="0"/>
    <xf numFmtId="0" fontId="21" fillId="17" borderId="0" applyNumberFormat="0" applyBorder="0" applyAlignment="0" applyProtection="0"/>
    <xf numFmtId="0" fontId="5" fillId="48" borderId="0" applyNumberFormat="0" applyBorder="0" applyAlignment="0" applyProtection="0"/>
    <xf numFmtId="0" fontId="21" fillId="17" borderId="0" applyNumberFormat="0" applyBorder="0" applyAlignment="0" applyProtection="0"/>
    <xf numFmtId="0" fontId="5" fillId="48" borderId="0" applyNumberFormat="0" applyBorder="0" applyAlignment="0" applyProtection="0"/>
    <xf numFmtId="0" fontId="21" fillId="17" borderId="0" applyNumberFormat="0" applyBorder="0" applyAlignment="0" applyProtection="0"/>
    <xf numFmtId="0" fontId="5" fillId="48" borderId="0" applyNumberFormat="0" applyBorder="0" applyAlignment="0" applyProtection="0"/>
    <xf numFmtId="0" fontId="21" fillId="17" borderId="0" applyNumberFormat="0" applyBorder="0" applyAlignment="0" applyProtection="0"/>
    <xf numFmtId="0" fontId="5" fillId="48" borderId="0" applyNumberFormat="0" applyBorder="0" applyAlignment="0" applyProtection="0"/>
    <xf numFmtId="0" fontId="21" fillId="17" borderId="0" applyNumberFormat="0" applyBorder="0" applyAlignment="0" applyProtection="0"/>
    <xf numFmtId="0" fontId="5" fillId="48" borderId="0" applyNumberFormat="0" applyBorder="0" applyAlignment="0" applyProtection="0"/>
    <xf numFmtId="0" fontId="21" fillId="17" borderId="0" applyNumberFormat="0" applyBorder="0" applyAlignment="0" applyProtection="0"/>
    <xf numFmtId="0" fontId="5" fillId="48" borderId="0" applyNumberFormat="0" applyBorder="0" applyAlignment="0" applyProtection="0"/>
    <xf numFmtId="0" fontId="21" fillId="17" borderId="0" applyNumberFormat="0" applyBorder="0" applyAlignment="0" applyProtection="0"/>
    <xf numFmtId="0" fontId="2" fillId="48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177" fontId="21" fillId="17" borderId="0" applyNumberFormat="0" applyBorder="0" applyAlignment="0" applyProtection="0"/>
    <xf numFmtId="177" fontId="21" fillId="17" borderId="0" applyNumberFormat="0" applyBorder="0" applyAlignment="0" applyProtection="0"/>
    <xf numFmtId="0" fontId="3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5" fillId="48" borderId="0" applyNumberFormat="0" applyBorder="0" applyAlignment="0" applyProtection="0"/>
    <xf numFmtId="0" fontId="21" fillId="17" borderId="0" applyNumberFormat="0" applyBorder="0" applyAlignment="0" applyProtection="0"/>
    <xf numFmtId="0" fontId="5" fillId="48" borderId="0" applyNumberFormat="0" applyBorder="0" applyAlignment="0" applyProtection="0"/>
    <xf numFmtId="0" fontId="21" fillId="17" borderId="0" applyNumberFormat="0" applyBorder="0" applyAlignment="0" applyProtection="0"/>
    <xf numFmtId="0" fontId="2" fillId="48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2" fillId="48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2" fillId="48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2" fillId="48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2" fillId="48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2" fillId="48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2" fillId="48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2" fillId="48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2" fillId="48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177" fontId="21" fillId="17" borderId="0" applyNumberFormat="0" applyBorder="0" applyAlignment="0" applyProtection="0"/>
    <xf numFmtId="177" fontId="21" fillId="17" borderId="0" applyNumberFormat="0" applyBorder="0" applyAlignment="0" applyProtection="0"/>
    <xf numFmtId="0" fontId="3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5" fillId="48" borderId="0" applyNumberFormat="0" applyBorder="0" applyAlignment="0" applyProtection="0"/>
    <xf numFmtId="0" fontId="21" fillId="17" borderId="0" applyNumberFormat="0" applyBorder="0" applyAlignment="0" applyProtection="0"/>
    <xf numFmtId="0" fontId="31" fillId="17" borderId="0" applyNumberFormat="0" applyBorder="0" applyAlignment="0" applyProtection="0"/>
    <xf numFmtId="177" fontId="21" fillId="17" borderId="0" applyNumberFormat="0" applyBorder="0" applyAlignment="0" applyProtection="0"/>
    <xf numFmtId="177" fontId="21" fillId="17" borderId="0" applyNumberFormat="0" applyBorder="0" applyAlignment="0" applyProtection="0"/>
    <xf numFmtId="0" fontId="3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5" fillId="48" borderId="0" applyNumberFormat="0" applyBorder="0" applyAlignment="0" applyProtection="0"/>
    <xf numFmtId="0" fontId="21" fillId="17" borderId="0" applyNumberFormat="0" applyBorder="0" applyAlignment="0" applyProtection="0"/>
    <xf numFmtId="177" fontId="21" fillId="17" borderId="0" applyNumberFormat="0" applyBorder="0" applyAlignment="0" applyProtection="0"/>
    <xf numFmtId="177" fontId="21" fillId="17" borderId="0" applyNumberFormat="0" applyBorder="0" applyAlignment="0" applyProtection="0"/>
    <xf numFmtId="0" fontId="3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5" fillId="48" borderId="0" applyNumberFormat="0" applyBorder="0" applyAlignment="0" applyProtection="0"/>
    <xf numFmtId="0" fontId="21" fillId="17" borderId="0" applyNumberFormat="0" applyBorder="0" applyAlignment="0" applyProtection="0"/>
    <xf numFmtId="177" fontId="21" fillId="17" borderId="0" applyNumberFormat="0" applyBorder="0" applyAlignment="0" applyProtection="0"/>
    <xf numFmtId="177" fontId="21" fillId="17" borderId="0" applyNumberFormat="0" applyBorder="0" applyAlignment="0" applyProtection="0"/>
    <xf numFmtId="0" fontId="3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5" fillId="48" borderId="0" applyNumberFormat="0" applyBorder="0" applyAlignment="0" applyProtection="0"/>
    <xf numFmtId="0" fontId="21" fillId="17" borderId="0" applyNumberFormat="0" applyBorder="0" applyAlignment="0" applyProtection="0"/>
    <xf numFmtId="177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177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177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177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177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177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177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5" fillId="50" borderId="0" applyNumberFormat="0" applyBorder="0" applyAlignment="0" applyProtection="0"/>
    <xf numFmtId="0" fontId="21" fillId="20" borderId="0" applyNumberFormat="0" applyBorder="0" applyAlignment="0" applyProtection="0"/>
    <xf numFmtId="0" fontId="5" fillId="50" borderId="0" applyNumberFormat="0" applyBorder="0" applyAlignment="0" applyProtection="0"/>
    <xf numFmtId="0" fontId="21" fillId="20" borderId="0" applyNumberFormat="0" applyBorder="0" applyAlignment="0" applyProtection="0"/>
    <xf numFmtId="0" fontId="5" fillId="50" borderId="0" applyNumberFormat="0" applyBorder="0" applyAlignment="0" applyProtection="0"/>
    <xf numFmtId="0" fontId="21" fillId="20" borderId="0" applyNumberFormat="0" applyBorder="0" applyAlignment="0" applyProtection="0"/>
    <xf numFmtId="0" fontId="5" fillId="50" borderId="0" applyNumberFormat="0" applyBorder="0" applyAlignment="0" applyProtection="0"/>
    <xf numFmtId="0" fontId="21" fillId="20" borderId="0" applyNumberFormat="0" applyBorder="0" applyAlignment="0" applyProtection="0"/>
    <xf numFmtId="0" fontId="5" fillId="50" borderId="0" applyNumberFormat="0" applyBorder="0" applyAlignment="0" applyProtection="0"/>
    <xf numFmtId="0" fontId="21" fillId="20" borderId="0" applyNumberFormat="0" applyBorder="0" applyAlignment="0" applyProtection="0"/>
    <xf numFmtId="0" fontId="5" fillId="50" borderId="0" applyNumberFormat="0" applyBorder="0" applyAlignment="0" applyProtection="0"/>
    <xf numFmtId="0" fontId="21" fillId="20" borderId="0" applyNumberFormat="0" applyBorder="0" applyAlignment="0" applyProtection="0"/>
    <xf numFmtId="0" fontId="5" fillId="50" borderId="0" applyNumberFormat="0" applyBorder="0" applyAlignment="0" applyProtection="0"/>
    <xf numFmtId="0" fontId="21" fillId="20" borderId="0" applyNumberFormat="0" applyBorder="0" applyAlignment="0" applyProtection="0"/>
    <xf numFmtId="0" fontId="5" fillId="50" borderId="0" applyNumberFormat="0" applyBorder="0" applyAlignment="0" applyProtection="0"/>
    <xf numFmtId="0" fontId="21" fillId="20" borderId="0" applyNumberFormat="0" applyBorder="0" applyAlignment="0" applyProtection="0"/>
    <xf numFmtId="0" fontId="5" fillId="50" borderId="0" applyNumberFormat="0" applyBorder="0" applyAlignment="0" applyProtection="0"/>
    <xf numFmtId="0" fontId="21" fillId="20" borderId="0" applyNumberFormat="0" applyBorder="0" applyAlignment="0" applyProtection="0"/>
    <xf numFmtId="0" fontId="5" fillId="50" borderId="0" applyNumberFormat="0" applyBorder="0" applyAlignment="0" applyProtection="0"/>
    <xf numFmtId="0" fontId="21" fillId="20" borderId="0" applyNumberFormat="0" applyBorder="0" applyAlignment="0" applyProtection="0"/>
    <xf numFmtId="0" fontId="2" fillId="5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177" fontId="21" fillId="20" borderId="0" applyNumberFormat="0" applyBorder="0" applyAlignment="0" applyProtection="0"/>
    <xf numFmtId="177" fontId="21" fillId="20" borderId="0" applyNumberFormat="0" applyBorder="0" applyAlignment="0" applyProtection="0"/>
    <xf numFmtId="0" fontId="3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5" fillId="50" borderId="0" applyNumberFormat="0" applyBorder="0" applyAlignment="0" applyProtection="0"/>
    <xf numFmtId="0" fontId="21" fillId="20" borderId="0" applyNumberFormat="0" applyBorder="0" applyAlignment="0" applyProtection="0"/>
    <xf numFmtId="0" fontId="5" fillId="50" borderId="0" applyNumberFormat="0" applyBorder="0" applyAlignment="0" applyProtection="0"/>
    <xf numFmtId="0" fontId="21" fillId="20" borderId="0" applyNumberFormat="0" applyBorder="0" applyAlignment="0" applyProtection="0"/>
    <xf numFmtId="0" fontId="2" fillId="5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2" fillId="5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2" fillId="5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2" fillId="5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2" fillId="5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2" fillId="5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2" fillId="5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2" fillId="5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2" fillId="5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177" fontId="21" fillId="20" borderId="0" applyNumberFormat="0" applyBorder="0" applyAlignment="0" applyProtection="0"/>
    <xf numFmtId="177" fontId="21" fillId="20" borderId="0" applyNumberFormat="0" applyBorder="0" applyAlignment="0" applyProtection="0"/>
    <xf numFmtId="0" fontId="3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5" fillId="50" borderId="0" applyNumberFormat="0" applyBorder="0" applyAlignment="0" applyProtection="0"/>
    <xf numFmtId="0" fontId="21" fillId="20" borderId="0" applyNumberFormat="0" applyBorder="0" applyAlignment="0" applyProtection="0"/>
    <xf numFmtId="0" fontId="31" fillId="20" borderId="0" applyNumberFormat="0" applyBorder="0" applyAlignment="0" applyProtection="0"/>
    <xf numFmtId="177" fontId="21" fillId="20" borderId="0" applyNumberFormat="0" applyBorder="0" applyAlignment="0" applyProtection="0"/>
    <xf numFmtId="177" fontId="21" fillId="20" borderId="0" applyNumberFormat="0" applyBorder="0" applyAlignment="0" applyProtection="0"/>
    <xf numFmtId="0" fontId="3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5" fillId="50" borderId="0" applyNumberFormat="0" applyBorder="0" applyAlignment="0" applyProtection="0"/>
    <xf numFmtId="0" fontId="21" fillId="20" borderId="0" applyNumberFormat="0" applyBorder="0" applyAlignment="0" applyProtection="0"/>
    <xf numFmtId="177" fontId="21" fillId="20" borderId="0" applyNumberFormat="0" applyBorder="0" applyAlignment="0" applyProtection="0"/>
    <xf numFmtId="177" fontId="21" fillId="20" borderId="0" applyNumberFormat="0" applyBorder="0" applyAlignment="0" applyProtection="0"/>
    <xf numFmtId="0" fontId="3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5" fillId="50" borderId="0" applyNumberFormat="0" applyBorder="0" applyAlignment="0" applyProtection="0"/>
    <xf numFmtId="0" fontId="21" fillId="20" borderId="0" applyNumberFormat="0" applyBorder="0" applyAlignment="0" applyProtection="0"/>
    <xf numFmtId="177" fontId="21" fillId="20" borderId="0" applyNumberFormat="0" applyBorder="0" applyAlignment="0" applyProtection="0"/>
    <xf numFmtId="177" fontId="21" fillId="20" borderId="0" applyNumberFormat="0" applyBorder="0" applyAlignment="0" applyProtection="0"/>
    <xf numFmtId="0" fontId="3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5" fillId="50" borderId="0" applyNumberFormat="0" applyBorder="0" applyAlignment="0" applyProtection="0"/>
    <xf numFmtId="0" fontId="21" fillId="20" borderId="0" applyNumberFormat="0" applyBorder="0" applyAlignment="0" applyProtection="0"/>
    <xf numFmtId="177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177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177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177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177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177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177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5" fillId="51" borderId="0" applyNumberFormat="0" applyBorder="0" applyAlignment="0" applyProtection="0"/>
    <xf numFmtId="0" fontId="21" fillId="23" borderId="0" applyNumberFormat="0" applyBorder="0" applyAlignment="0" applyProtection="0"/>
    <xf numFmtId="0" fontId="5" fillId="51" borderId="0" applyNumberFormat="0" applyBorder="0" applyAlignment="0" applyProtection="0"/>
    <xf numFmtId="0" fontId="21" fillId="23" borderId="0" applyNumberFormat="0" applyBorder="0" applyAlignment="0" applyProtection="0"/>
    <xf numFmtId="0" fontId="5" fillId="51" borderId="0" applyNumberFormat="0" applyBorder="0" applyAlignment="0" applyProtection="0"/>
    <xf numFmtId="0" fontId="21" fillId="23" borderId="0" applyNumberFormat="0" applyBorder="0" applyAlignment="0" applyProtection="0"/>
    <xf numFmtId="0" fontId="5" fillId="51" borderId="0" applyNumberFormat="0" applyBorder="0" applyAlignment="0" applyProtection="0"/>
    <xf numFmtId="0" fontId="21" fillId="23" borderId="0" applyNumberFormat="0" applyBorder="0" applyAlignment="0" applyProtection="0"/>
    <xf numFmtId="0" fontId="5" fillId="51" borderId="0" applyNumberFormat="0" applyBorder="0" applyAlignment="0" applyProtection="0"/>
    <xf numFmtId="0" fontId="21" fillId="23" borderId="0" applyNumberFormat="0" applyBorder="0" applyAlignment="0" applyProtection="0"/>
    <xf numFmtId="0" fontId="5" fillId="51" borderId="0" applyNumberFormat="0" applyBorder="0" applyAlignment="0" applyProtection="0"/>
    <xf numFmtId="0" fontId="21" fillId="23" borderId="0" applyNumberFormat="0" applyBorder="0" applyAlignment="0" applyProtection="0"/>
    <xf numFmtId="0" fontId="5" fillId="51" borderId="0" applyNumberFormat="0" applyBorder="0" applyAlignment="0" applyProtection="0"/>
    <xf numFmtId="0" fontId="21" fillId="23" borderId="0" applyNumberFormat="0" applyBorder="0" applyAlignment="0" applyProtection="0"/>
    <xf numFmtId="0" fontId="5" fillId="51" borderId="0" applyNumberFormat="0" applyBorder="0" applyAlignment="0" applyProtection="0"/>
    <xf numFmtId="0" fontId="21" fillId="23" borderId="0" applyNumberFormat="0" applyBorder="0" applyAlignment="0" applyProtection="0"/>
    <xf numFmtId="0" fontId="5" fillId="51" borderId="0" applyNumberFormat="0" applyBorder="0" applyAlignment="0" applyProtection="0"/>
    <xf numFmtId="0" fontId="21" fillId="23" borderId="0" applyNumberFormat="0" applyBorder="0" applyAlignment="0" applyProtection="0"/>
    <xf numFmtId="0" fontId="5" fillId="51" borderId="0" applyNumberFormat="0" applyBorder="0" applyAlignment="0" applyProtection="0"/>
    <xf numFmtId="0" fontId="21" fillId="23" borderId="0" applyNumberFormat="0" applyBorder="0" applyAlignment="0" applyProtection="0"/>
    <xf numFmtId="0" fontId="2" fillId="51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177" fontId="21" fillId="23" borderId="0" applyNumberFormat="0" applyBorder="0" applyAlignment="0" applyProtection="0"/>
    <xf numFmtId="177" fontId="21" fillId="23" borderId="0" applyNumberFormat="0" applyBorder="0" applyAlignment="0" applyProtection="0"/>
    <xf numFmtId="0" fontId="3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5" fillId="51" borderId="0" applyNumberFormat="0" applyBorder="0" applyAlignment="0" applyProtection="0"/>
    <xf numFmtId="0" fontId="21" fillId="23" borderId="0" applyNumberFormat="0" applyBorder="0" applyAlignment="0" applyProtection="0"/>
    <xf numFmtId="0" fontId="5" fillId="51" borderId="0" applyNumberFormat="0" applyBorder="0" applyAlignment="0" applyProtection="0"/>
    <xf numFmtId="0" fontId="21" fillId="23" borderId="0" applyNumberFormat="0" applyBorder="0" applyAlignment="0" applyProtection="0"/>
    <xf numFmtId="0" fontId="2" fillId="51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2" fillId="51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2" fillId="51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2" fillId="51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2" fillId="51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2" fillId="51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2" fillId="51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2" fillId="51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2" fillId="51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177" fontId="21" fillId="23" borderId="0" applyNumberFormat="0" applyBorder="0" applyAlignment="0" applyProtection="0"/>
    <xf numFmtId="177" fontId="21" fillId="23" borderId="0" applyNumberFormat="0" applyBorder="0" applyAlignment="0" applyProtection="0"/>
    <xf numFmtId="0" fontId="3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5" fillId="51" borderId="0" applyNumberFormat="0" applyBorder="0" applyAlignment="0" applyProtection="0"/>
    <xf numFmtId="0" fontId="21" fillId="23" borderId="0" applyNumberFormat="0" applyBorder="0" applyAlignment="0" applyProtection="0"/>
    <xf numFmtId="0" fontId="31" fillId="23" borderId="0" applyNumberFormat="0" applyBorder="0" applyAlignment="0" applyProtection="0"/>
    <xf numFmtId="177" fontId="21" fillId="23" borderId="0" applyNumberFormat="0" applyBorder="0" applyAlignment="0" applyProtection="0"/>
    <xf numFmtId="177" fontId="21" fillId="23" borderId="0" applyNumberFormat="0" applyBorder="0" applyAlignment="0" applyProtection="0"/>
    <xf numFmtId="0" fontId="3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5" fillId="51" borderId="0" applyNumberFormat="0" applyBorder="0" applyAlignment="0" applyProtection="0"/>
    <xf numFmtId="0" fontId="21" fillId="23" borderId="0" applyNumberFormat="0" applyBorder="0" applyAlignment="0" applyProtection="0"/>
    <xf numFmtId="177" fontId="21" fillId="23" borderId="0" applyNumberFormat="0" applyBorder="0" applyAlignment="0" applyProtection="0"/>
    <xf numFmtId="177" fontId="21" fillId="23" borderId="0" applyNumberFormat="0" applyBorder="0" applyAlignment="0" applyProtection="0"/>
    <xf numFmtId="0" fontId="3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5" fillId="51" borderId="0" applyNumberFormat="0" applyBorder="0" applyAlignment="0" applyProtection="0"/>
    <xf numFmtId="0" fontId="21" fillId="23" borderId="0" applyNumberFormat="0" applyBorder="0" applyAlignment="0" applyProtection="0"/>
    <xf numFmtId="177" fontId="21" fillId="23" borderId="0" applyNumberFormat="0" applyBorder="0" applyAlignment="0" applyProtection="0"/>
    <xf numFmtId="177" fontId="21" fillId="23" borderId="0" applyNumberFormat="0" applyBorder="0" applyAlignment="0" applyProtection="0"/>
    <xf numFmtId="0" fontId="3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5" fillId="51" borderId="0" applyNumberFormat="0" applyBorder="0" applyAlignment="0" applyProtection="0"/>
    <xf numFmtId="0" fontId="21" fillId="23" borderId="0" applyNumberFormat="0" applyBorder="0" applyAlignment="0" applyProtection="0"/>
    <xf numFmtId="177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177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177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177" fontId="22" fillId="24" borderId="0" applyNumberFormat="0" applyBorder="0" applyAlignment="0" applyProtection="0"/>
    <xf numFmtId="177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177" fontId="22" fillId="22" borderId="0" applyNumberFormat="0" applyBorder="0" applyAlignment="0" applyProtection="0"/>
    <xf numFmtId="177" fontId="22" fillId="25" borderId="0" applyNumberFormat="0" applyBorder="0" applyAlignment="0" applyProtection="0"/>
    <xf numFmtId="177" fontId="22" fillId="26" borderId="0" applyNumberFormat="0" applyBorder="0" applyAlignment="0" applyProtection="0"/>
    <xf numFmtId="177" fontId="22" fillId="41" borderId="0" applyNumberFormat="0" applyBorder="0" applyAlignment="0" applyProtection="0"/>
    <xf numFmtId="0" fontId="16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177" fontId="22" fillId="27" borderId="0" applyNumberFormat="0" applyBorder="0" applyAlignment="0" applyProtection="0"/>
    <xf numFmtId="177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177" fontId="22" fillId="28" borderId="0" applyNumberFormat="0" applyBorder="0" applyAlignment="0" applyProtection="0"/>
    <xf numFmtId="177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177" fontId="22" fillId="26" borderId="0" applyNumberFormat="0" applyBorder="0" applyAlignment="0" applyProtection="0"/>
    <xf numFmtId="177" fontId="22" fillId="29" borderId="0" applyNumberFormat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177" fontId="23" fillId="0" borderId="0">
      <alignment horizontal="center" wrapText="1"/>
      <protection locked="0"/>
    </xf>
    <xf numFmtId="177" fontId="93" fillId="15" borderId="0" applyNumberFormat="0" applyBorder="0" applyAlignment="0" applyProtection="0"/>
    <xf numFmtId="0" fontId="93" fillId="15" borderId="0" applyNumberFormat="0" applyBorder="0" applyAlignment="0" applyProtection="0"/>
    <xf numFmtId="0" fontId="93" fillId="15" borderId="0" applyNumberFormat="0" applyBorder="0" applyAlignment="0" applyProtection="0"/>
    <xf numFmtId="220" fontId="11" fillId="0" borderId="0" applyFill="0" applyBorder="0" applyAlignment="0"/>
    <xf numFmtId="221" fontId="102" fillId="0" borderId="0" applyFill="0" applyBorder="0" applyAlignment="0"/>
    <xf numFmtId="0" fontId="27" fillId="30" borderId="35" applyNumberFormat="0" applyAlignment="0" applyProtection="0"/>
    <xf numFmtId="177" fontId="27" fillId="30" borderId="35" applyNumberFormat="0" applyAlignment="0" applyProtection="0"/>
    <xf numFmtId="176" fontId="27" fillId="30" borderId="35" applyNumberFormat="0" applyAlignment="0" applyProtection="0"/>
    <xf numFmtId="177" fontId="29" fillId="31" borderId="15" applyNumberFormat="0" applyAlignment="0" applyProtection="0"/>
    <xf numFmtId="168" fontId="31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115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115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32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1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222" fontId="59" fillId="0" borderId="0" applyFill="0" applyBorder="0" applyAlignment="0" applyProtection="0"/>
    <xf numFmtId="168" fontId="21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11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115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25" fillId="0" borderId="0" applyFont="0" applyFill="0" applyBorder="0" applyAlignment="0" applyProtection="0">
      <alignment vertical="top"/>
    </xf>
    <xf numFmtId="222" fontId="11" fillId="0" borderId="0" applyFill="0" applyBorder="0" applyAlignment="0" applyProtection="0"/>
    <xf numFmtId="168" fontId="2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17" fillId="0" borderId="0">
      <protection locked="0"/>
    </xf>
    <xf numFmtId="168" fontId="30" fillId="0" borderId="0" applyFont="0" applyFill="0" applyBorder="0" applyAlignment="0" applyProtection="0"/>
    <xf numFmtId="168" fontId="11" fillId="0" borderId="0" applyFont="0" applyFill="0" applyBorder="0" applyAlignment="0" applyProtection="0"/>
    <xf numFmtId="0" fontId="95" fillId="0" borderId="0" applyFont="0" applyFill="0" applyBorder="0" applyAlignment="0" applyProtection="0"/>
    <xf numFmtId="38" fontId="95" fillId="0" borderId="0" applyFont="0" applyFill="0" applyBorder="0" applyAlignment="0" applyProtection="0"/>
    <xf numFmtId="168" fontId="5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118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31" fillId="0" borderId="0" applyFont="0" applyFill="0" applyBorder="0" applyAlignment="0" applyProtection="0"/>
    <xf numFmtId="170" fontId="3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31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115" fillId="0" borderId="0" applyFont="0" applyFill="0" applyBorder="0" applyAlignment="0" applyProtection="0"/>
    <xf numFmtId="170" fontId="3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3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59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3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31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31" fillId="0" borderId="0" applyFont="0" applyFill="0" applyBorder="0" applyAlignment="0" applyProtection="0"/>
    <xf numFmtId="170" fontId="3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31" fillId="0" borderId="0" applyFont="0" applyFill="0" applyBorder="0" applyAlignment="0" applyProtection="0"/>
    <xf numFmtId="170" fontId="31" fillId="0" borderId="0" applyFont="0" applyFill="0" applyBorder="0" applyAlignment="0" applyProtection="0"/>
    <xf numFmtId="170" fontId="31" fillId="0" borderId="0" applyFont="0" applyFill="0" applyBorder="0" applyAlignment="0" applyProtection="0"/>
    <xf numFmtId="170" fontId="31" fillId="0" borderId="0" applyFont="0" applyFill="0" applyBorder="0" applyAlignment="0" applyProtection="0"/>
    <xf numFmtId="5" fontId="11" fillId="0" borderId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9" fillId="0" borderId="0" applyFont="0">
      <protection locked="0"/>
    </xf>
    <xf numFmtId="170" fontId="5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69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69" fontId="2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223" fontId="1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70" fontId="110" fillId="0" borderId="0" applyFont="0" applyFill="0" applyBorder="0" applyAlignment="0" applyProtection="0"/>
    <xf numFmtId="172" fontId="2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5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3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31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3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31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31" fillId="0" borderId="0" applyFont="0" applyFill="0" applyBorder="0" applyAlignment="0" applyProtection="0"/>
    <xf numFmtId="170" fontId="31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224" fontId="59" fillId="0" borderId="0" applyFill="0" applyBorder="0" applyAlignment="0" applyProtection="0"/>
    <xf numFmtId="170" fontId="31" fillId="0" borderId="0" applyFont="0" applyFill="0" applyBorder="0" applyAlignment="0" applyProtection="0"/>
    <xf numFmtId="170" fontId="31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40" fontId="95" fillId="0" borderId="0" applyFont="0" applyFill="0" applyBorder="0" applyAlignment="0" applyProtection="0"/>
    <xf numFmtId="170" fontId="21" fillId="0" borderId="0" applyFont="0" applyFill="0" applyBorder="0" applyAlignment="0" applyProtection="0"/>
    <xf numFmtId="224" fontId="11" fillId="0" borderId="0" applyFill="0" applyBorder="0" applyAlignment="0" applyProtection="0"/>
    <xf numFmtId="170" fontId="3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110" fillId="0" borderId="0" applyFont="0" applyFill="0" applyBorder="0" applyAlignment="0" applyProtection="0"/>
    <xf numFmtId="170" fontId="31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110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31" fillId="0" borderId="0" applyFont="0" applyFill="0" applyBorder="0" applyAlignment="0" applyProtection="0"/>
    <xf numFmtId="170" fontId="59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224" fontId="11" fillId="0" borderId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224" fontId="11" fillId="0" borderId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3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7" fillId="0" borderId="0">
      <protection locked="0"/>
    </xf>
    <xf numFmtId="170" fontId="1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224" fontId="11" fillId="0" borderId="0" applyFill="0" applyBorder="0" applyAlignment="0" applyProtection="0"/>
    <xf numFmtId="170" fontId="21" fillId="0" borderId="0" applyFont="0" applyFill="0" applyBorder="0" applyAlignment="0" applyProtection="0"/>
    <xf numFmtId="170" fontId="3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224" fontId="11" fillId="0" borderId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5" fillId="0" borderId="0" applyFont="0" applyFill="0" applyBorder="0" applyAlignment="0" applyProtection="0"/>
    <xf numFmtId="166" fontId="1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7" fontId="36" fillId="0" borderId="0" applyNumberFormat="0" applyAlignment="0"/>
    <xf numFmtId="185" fontId="37" fillId="0" borderId="39"/>
    <xf numFmtId="185" fontId="37" fillId="0" borderId="39"/>
    <xf numFmtId="185" fontId="37" fillId="0" borderId="39"/>
    <xf numFmtId="185" fontId="37" fillId="0" borderId="39"/>
    <xf numFmtId="185" fontId="37" fillId="0" borderId="39"/>
    <xf numFmtId="185" fontId="37" fillId="0" borderId="39"/>
    <xf numFmtId="185" fontId="37" fillId="0" borderId="39"/>
    <xf numFmtId="185" fontId="37" fillId="0" borderId="39"/>
    <xf numFmtId="185" fontId="37" fillId="0" borderId="39"/>
    <xf numFmtId="185" fontId="37" fillId="0" borderId="39"/>
    <xf numFmtId="185" fontId="37" fillId="0" borderId="39"/>
    <xf numFmtId="185" fontId="37" fillId="0" borderId="39"/>
    <xf numFmtId="185" fontId="37" fillId="0" borderId="39"/>
    <xf numFmtId="185" fontId="37" fillId="0" borderId="39"/>
    <xf numFmtId="185" fontId="37" fillId="0" borderId="39"/>
    <xf numFmtId="185" fontId="37" fillId="0" borderId="39"/>
    <xf numFmtId="185" fontId="37" fillId="0" borderId="39"/>
    <xf numFmtId="185" fontId="37" fillId="0" borderId="39"/>
    <xf numFmtId="185" fontId="37" fillId="0" borderId="39"/>
    <xf numFmtId="185" fontId="37" fillId="0" borderId="39"/>
    <xf numFmtId="185" fontId="37" fillId="0" borderId="39"/>
    <xf numFmtId="169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174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77" fontId="40" fillId="0" borderId="0" applyNumberFormat="0" applyFill="0" applyBorder="0" applyAlignment="0" applyProtection="0"/>
    <xf numFmtId="177" fontId="41" fillId="16" borderId="0" applyNumberFormat="0" applyBorder="0" applyAlignment="0" applyProtection="0"/>
    <xf numFmtId="0" fontId="43" fillId="0" borderId="45">
      <alignment horizontal="left" vertical="center"/>
    </xf>
    <xf numFmtId="0" fontId="43" fillId="0" borderId="45">
      <alignment horizontal="left" vertical="center"/>
    </xf>
    <xf numFmtId="177" fontId="43" fillId="0" borderId="45">
      <alignment horizontal="left" vertical="center"/>
    </xf>
    <xf numFmtId="177" fontId="43" fillId="0" borderId="45">
      <alignment horizontal="left" vertical="center"/>
    </xf>
    <xf numFmtId="0" fontId="43" fillId="0" borderId="45">
      <alignment horizontal="left" vertical="center"/>
    </xf>
    <xf numFmtId="177" fontId="43" fillId="0" borderId="45">
      <alignment horizontal="left" vertical="center"/>
    </xf>
    <xf numFmtId="0" fontId="43" fillId="0" borderId="45">
      <alignment horizontal="left" vertical="center"/>
    </xf>
    <xf numFmtId="0" fontId="43" fillId="0" borderId="45">
      <alignment horizontal="left" vertical="center"/>
    </xf>
    <xf numFmtId="0" fontId="43" fillId="0" borderId="45">
      <alignment horizontal="left" vertical="center"/>
    </xf>
    <xf numFmtId="0" fontId="43" fillId="0" borderId="45">
      <alignment horizontal="left" vertical="center"/>
    </xf>
    <xf numFmtId="0" fontId="43" fillId="0" borderId="45">
      <alignment horizontal="left" vertical="center"/>
    </xf>
    <xf numFmtId="0" fontId="43" fillId="0" borderId="45">
      <alignment horizontal="left" vertical="center"/>
    </xf>
    <xf numFmtId="0" fontId="43" fillId="0" borderId="45">
      <alignment horizontal="left" vertical="center"/>
    </xf>
    <xf numFmtId="177" fontId="44" fillId="0" borderId="19" applyNumberFormat="0" applyFill="0" applyAlignment="0" applyProtection="0"/>
    <xf numFmtId="177" fontId="45" fillId="0" borderId="20" applyNumberFormat="0" applyFill="0" applyAlignment="0" applyProtection="0"/>
    <xf numFmtId="177" fontId="46" fillId="0" borderId="21" applyNumberFormat="0" applyFill="0" applyAlignment="0" applyProtection="0"/>
    <xf numFmtId="177" fontId="46" fillId="0" borderId="0" applyNumberFormat="0" applyFill="0" applyBorder="0" applyAlignment="0" applyProtection="0"/>
    <xf numFmtId="177" fontId="97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99" fillId="0" borderId="0" applyNumberFormat="0" applyFill="0" applyBorder="0" applyAlignment="0" applyProtection="0">
      <alignment vertical="top"/>
      <protection locked="0"/>
    </xf>
    <xf numFmtId="10" fontId="34" fillId="34" borderId="39" applyNumberFormat="0" applyBorder="0" applyAlignment="0" applyProtection="0"/>
    <xf numFmtId="10" fontId="34" fillId="34" borderId="39" applyNumberFormat="0" applyBorder="0" applyAlignment="0" applyProtection="0"/>
    <xf numFmtId="10" fontId="34" fillId="34" borderId="39" applyNumberFormat="0" applyBorder="0" applyAlignment="0" applyProtection="0"/>
    <xf numFmtId="10" fontId="34" fillId="34" borderId="39" applyNumberFormat="0" applyBorder="0" applyAlignment="0" applyProtection="0"/>
    <xf numFmtId="10" fontId="34" fillId="34" borderId="39" applyNumberFormat="0" applyBorder="0" applyAlignment="0" applyProtection="0"/>
    <xf numFmtId="10" fontId="34" fillId="34" borderId="39" applyNumberFormat="0" applyBorder="0" applyAlignment="0" applyProtection="0"/>
    <xf numFmtId="10" fontId="34" fillId="34" borderId="39" applyNumberFormat="0" applyBorder="0" applyAlignment="0" applyProtection="0"/>
    <xf numFmtId="10" fontId="34" fillId="34" borderId="39" applyNumberFormat="0" applyBorder="0" applyAlignment="0" applyProtection="0"/>
    <xf numFmtId="10" fontId="34" fillId="34" borderId="39" applyNumberFormat="0" applyBorder="0" applyAlignment="0" applyProtection="0"/>
    <xf numFmtId="10" fontId="34" fillId="34" borderId="39" applyNumberFormat="0" applyBorder="0" applyAlignment="0" applyProtection="0"/>
    <xf numFmtId="10" fontId="34" fillId="34" borderId="39" applyNumberFormat="0" applyBorder="0" applyAlignment="0" applyProtection="0"/>
    <xf numFmtId="10" fontId="34" fillId="34" borderId="39" applyNumberFormat="0" applyBorder="0" applyAlignment="0" applyProtection="0"/>
    <xf numFmtId="10" fontId="34" fillId="34" borderId="39" applyNumberFormat="0" applyBorder="0" applyAlignment="0" applyProtection="0"/>
    <xf numFmtId="10" fontId="34" fillId="34" borderId="39" applyNumberFormat="0" applyBorder="0" applyAlignment="0" applyProtection="0"/>
    <xf numFmtId="10" fontId="34" fillId="34" borderId="39" applyNumberFormat="0" applyBorder="0" applyAlignment="0" applyProtection="0"/>
    <xf numFmtId="10" fontId="34" fillId="34" borderId="39" applyNumberFormat="0" applyBorder="0" applyAlignment="0" applyProtection="0"/>
    <xf numFmtId="10" fontId="34" fillId="34" borderId="39" applyNumberFormat="0" applyBorder="0" applyAlignment="0" applyProtection="0"/>
    <xf numFmtId="0" fontId="34" fillId="34" borderId="39" applyNumberFormat="0" applyBorder="0" applyAlignment="0" applyProtection="0"/>
    <xf numFmtId="10" fontId="34" fillId="34" borderId="39" applyNumberFormat="0" applyBorder="0" applyAlignment="0" applyProtection="0"/>
    <xf numFmtId="10" fontId="34" fillId="34" borderId="39" applyNumberFormat="0" applyBorder="0" applyAlignment="0" applyProtection="0"/>
    <xf numFmtId="10" fontId="34" fillId="34" borderId="39" applyNumberFormat="0" applyBorder="0" applyAlignment="0" applyProtection="0"/>
    <xf numFmtId="10" fontId="34" fillId="34" borderId="39" applyNumberFormat="0" applyBorder="0" applyAlignment="0" applyProtection="0"/>
    <xf numFmtId="0" fontId="50" fillId="19" borderId="48" applyNumberFormat="0" applyAlignment="0" applyProtection="0"/>
    <xf numFmtId="177" fontId="50" fillId="19" borderId="48" applyNumberFormat="0" applyAlignment="0" applyProtection="0"/>
    <xf numFmtId="176" fontId="50" fillId="19" borderId="48" applyNumberFormat="0" applyAlignment="0" applyProtection="0"/>
    <xf numFmtId="177" fontId="50" fillId="19" borderId="48" applyNumberFormat="0" applyAlignment="0" applyProtection="0"/>
    <xf numFmtId="177" fontId="50" fillId="19" borderId="48" applyNumberFormat="0" applyAlignment="0" applyProtection="0"/>
    <xf numFmtId="177" fontId="50" fillId="19" borderId="48" applyNumberFormat="0" applyAlignment="0" applyProtection="0"/>
    <xf numFmtId="218" fontId="30" fillId="35" borderId="0"/>
    <xf numFmtId="177" fontId="51" fillId="0" borderId="24" applyNumberFormat="0" applyFill="0" applyAlignment="0" applyProtection="0"/>
    <xf numFmtId="218" fontId="52" fillId="36" borderId="0"/>
    <xf numFmtId="177" fontId="54" fillId="37" borderId="0" applyNumberFormat="0" applyBorder="0" applyAlignment="0" applyProtection="0"/>
    <xf numFmtId="0" fontId="30" fillId="0" borderId="0"/>
    <xf numFmtId="209" fontId="11" fillId="0" borderId="0"/>
    <xf numFmtId="0" fontId="5" fillId="0" borderId="0"/>
    <xf numFmtId="177" fontId="21" fillId="0" borderId="0"/>
    <xf numFmtId="0" fontId="5" fillId="0" borderId="0"/>
    <xf numFmtId="177" fontId="21" fillId="0" borderId="0"/>
    <xf numFmtId="0" fontId="21" fillId="0" borderId="0"/>
    <xf numFmtId="0" fontId="21" fillId="0" borderId="0"/>
    <xf numFmtId="0" fontId="21" fillId="0" borderId="0"/>
    <xf numFmtId="176" fontId="11" fillId="0" borderId="0"/>
    <xf numFmtId="176" fontId="1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7" fontId="5" fillId="0" borderId="0"/>
    <xf numFmtId="176" fontId="5" fillId="0" borderId="0"/>
    <xf numFmtId="177" fontId="5" fillId="0" borderId="0"/>
    <xf numFmtId="177" fontId="21" fillId="0" borderId="0"/>
    <xf numFmtId="176" fontId="11" fillId="0" borderId="0"/>
    <xf numFmtId="215" fontId="2" fillId="0" borderId="0"/>
    <xf numFmtId="0" fontId="21" fillId="0" borderId="0"/>
    <xf numFmtId="176" fontId="11" fillId="0" borderId="0"/>
    <xf numFmtId="0" fontId="5" fillId="0" borderId="0"/>
    <xf numFmtId="0" fontId="21" fillId="0" borderId="0"/>
    <xf numFmtId="0" fontId="5" fillId="0" borderId="0"/>
    <xf numFmtId="177" fontId="11" fillId="0" borderId="0"/>
    <xf numFmtId="0" fontId="2" fillId="0" borderId="0"/>
    <xf numFmtId="0" fontId="5" fillId="0" borderId="0"/>
    <xf numFmtId="177" fontId="2" fillId="0" borderId="0"/>
    <xf numFmtId="177" fontId="2" fillId="0" borderId="0"/>
    <xf numFmtId="0" fontId="2" fillId="0" borderId="0"/>
    <xf numFmtId="0" fontId="60" fillId="0" borderId="0" applyNumberFormat="0" applyFont="0" applyFill="0" applyAlignment="0" applyProtection="0"/>
    <xf numFmtId="0" fontId="60" fillId="0" borderId="0" applyNumberFormat="0" applyFont="0" applyFill="0" applyAlignment="0" applyProtection="0"/>
    <xf numFmtId="0" fontId="60" fillId="0" borderId="0" applyNumberFormat="0" applyFont="0" applyFill="0" applyAlignment="0" applyProtection="0"/>
    <xf numFmtId="0" fontId="60" fillId="0" borderId="0" applyNumberFormat="0" applyFont="0" applyFill="0" applyAlignment="0" applyProtection="0"/>
    <xf numFmtId="0" fontId="60" fillId="0" borderId="0" applyNumberFormat="0" applyFont="0" applyFill="0" applyAlignment="0" applyProtection="0"/>
    <xf numFmtId="0" fontId="60" fillId="0" borderId="0" applyNumberFormat="0" applyFont="0" applyFill="0" applyAlignment="0" applyProtection="0"/>
    <xf numFmtId="0" fontId="60" fillId="0" borderId="0" applyNumberFormat="0" applyFont="0" applyFill="0" applyAlignment="0" applyProtection="0"/>
    <xf numFmtId="0" fontId="2" fillId="0" borderId="0"/>
    <xf numFmtId="0" fontId="60" fillId="0" borderId="0" applyNumberFormat="0" applyFont="0" applyFill="0" applyAlignment="0" applyProtection="0"/>
    <xf numFmtId="176" fontId="69" fillId="0" borderId="0"/>
    <xf numFmtId="177" fontId="69" fillId="0" borderId="0"/>
    <xf numFmtId="177" fontId="11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2" fillId="0" borderId="0"/>
    <xf numFmtId="180" fontId="2" fillId="0" borderId="0"/>
    <xf numFmtId="177" fontId="2" fillId="0" borderId="0"/>
    <xf numFmtId="177" fontId="2" fillId="0" borderId="0"/>
    <xf numFmtId="0" fontId="2" fillId="0" borderId="0"/>
    <xf numFmtId="0" fontId="2" fillId="0" borderId="0"/>
    <xf numFmtId="177" fontId="2" fillId="0" borderId="0"/>
    <xf numFmtId="176" fontId="2" fillId="0" borderId="0"/>
    <xf numFmtId="177" fontId="2" fillId="0" borderId="0"/>
    <xf numFmtId="176" fontId="2" fillId="0" borderId="0"/>
    <xf numFmtId="176" fontId="2" fillId="0" borderId="0"/>
    <xf numFmtId="177" fontId="2" fillId="0" borderId="0"/>
    <xf numFmtId="176" fontId="2" fillId="0" borderId="0"/>
    <xf numFmtId="0" fontId="2" fillId="0" borderId="0"/>
    <xf numFmtId="177" fontId="2" fillId="0" borderId="0"/>
    <xf numFmtId="176" fontId="2" fillId="0" borderId="0"/>
    <xf numFmtId="0" fontId="2" fillId="0" borderId="0"/>
    <xf numFmtId="0" fontId="11" fillId="0" borderId="0"/>
    <xf numFmtId="0" fontId="60" fillId="0" borderId="0" applyNumberFormat="0" applyFont="0" applyFill="0" applyAlignment="0" applyProtection="0"/>
    <xf numFmtId="0" fontId="60" fillId="0" borderId="0" applyNumberFormat="0" applyFont="0" applyFill="0" applyAlignment="0" applyProtection="0"/>
    <xf numFmtId="0" fontId="2" fillId="0" borderId="0"/>
    <xf numFmtId="0" fontId="60" fillId="0" borderId="0" applyNumberFormat="0" applyFont="0" applyFill="0" applyAlignment="0" applyProtection="0"/>
    <xf numFmtId="0" fontId="60" fillId="0" borderId="0" applyNumberFormat="0" applyFont="0" applyFill="0" applyAlignment="0" applyProtection="0"/>
    <xf numFmtId="177" fontId="60" fillId="0" borderId="0" applyNumberFormat="0" applyFont="0" applyFill="0" applyAlignment="0" applyProtection="0"/>
    <xf numFmtId="182" fontId="2" fillId="0" borderId="0"/>
    <xf numFmtId="0" fontId="60" fillId="0" borderId="0" applyNumberFormat="0" applyFont="0" applyFill="0" applyAlignment="0" applyProtection="0"/>
    <xf numFmtId="177" fontId="60" fillId="0" borderId="0" applyNumberFormat="0" applyFont="0" applyFill="0" applyAlignment="0" applyProtection="0"/>
    <xf numFmtId="0" fontId="60" fillId="0" borderId="0" applyNumberFormat="0" applyFont="0" applyFill="0" applyAlignment="0" applyProtection="0"/>
    <xf numFmtId="177" fontId="60" fillId="0" borderId="0" applyNumberFormat="0" applyFont="0" applyFill="0" applyAlignment="0" applyProtection="0"/>
    <xf numFmtId="0" fontId="60" fillId="0" borderId="0" applyNumberFormat="0" applyFont="0" applyFill="0" applyAlignment="0" applyProtection="0"/>
    <xf numFmtId="176" fontId="11" fillId="0" borderId="0"/>
    <xf numFmtId="176" fontId="2" fillId="0" borderId="0"/>
    <xf numFmtId="177" fontId="2" fillId="0" borderId="0"/>
    <xf numFmtId="176" fontId="2" fillId="0" borderId="0"/>
    <xf numFmtId="176" fontId="2" fillId="0" borderId="0"/>
    <xf numFmtId="176" fontId="2" fillId="0" borderId="0"/>
    <xf numFmtId="0" fontId="11" fillId="0" borderId="0"/>
    <xf numFmtId="176" fontId="2" fillId="0" borderId="0"/>
    <xf numFmtId="0" fontId="5" fillId="0" borderId="0"/>
    <xf numFmtId="0" fontId="5" fillId="0" borderId="0"/>
    <xf numFmtId="6" fontId="2" fillId="0" borderId="0"/>
    <xf numFmtId="6" fontId="2" fillId="0" borderId="0"/>
    <xf numFmtId="6" fontId="2" fillId="0" borderId="0"/>
    <xf numFmtId="6" fontId="2" fillId="0" borderId="0"/>
    <xf numFmtId="177" fontId="2" fillId="0" borderId="0"/>
    <xf numFmtId="0" fontId="11" fillId="0" borderId="0"/>
    <xf numFmtId="176" fontId="2" fillId="0" borderId="0"/>
    <xf numFmtId="0" fontId="2" fillId="0" borderId="0"/>
    <xf numFmtId="176" fontId="2" fillId="0" borderId="0"/>
    <xf numFmtId="177" fontId="2" fillId="0" borderId="0"/>
    <xf numFmtId="176" fontId="2" fillId="0" borderId="0"/>
    <xf numFmtId="0" fontId="2" fillId="0" borderId="0"/>
    <xf numFmtId="176" fontId="2" fillId="0" borderId="0"/>
    <xf numFmtId="177" fontId="2" fillId="0" borderId="0"/>
    <xf numFmtId="176" fontId="2" fillId="0" borderId="0"/>
    <xf numFmtId="0" fontId="2" fillId="0" borderId="0"/>
    <xf numFmtId="176" fontId="2" fillId="0" borderId="0"/>
    <xf numFmtId="177" fontId="2" fillId="0" borderId="0"/>
    <xf numFmtId="176" fontId="2" fillId="0" borderId="0"/>
    <xf numFmtId="0" fontId="2" fillId="0" borderId="0"/>
    <xf numFmtId="177" fontId="60" fillId="0" borderId="0" applyNumberFormat="0" applyFont="0" applyFill="0" applyAlignment="0" applyProtection="0"/>
    <xf numFmtId="0" fontId="60" fillId="0" borderId="0" applyNumberFormat="0" applyFont="0" applyFill="0" applyAlignment="0" applyProtection="0"/>
    <xf numFmtId="177" fontId="2" fillId="0" borderId="0"/>
    <xf numFmtId="176" fontId="2" fillId="0" borderId="0"/>
    <xf numFmtId="0" fontId="59" fillId="0" borderId="0">
      <alignment horizontal="justify" vertical="top" wrapText="1"/>
    </xf>
    <xf numFmtId="177" fontId="5" fillId="0" borderId="0"/>
    <xf numFmtId="177" fontId="11" fillId="0" borderId="0"/>
    <xf numFmtId="177" fontId="5" fillId="0" borderId="0"/>
    <xf numFmtId="177" fontId="5" fillId="0" borderId="0"/>
    <xf numFmtId="177" fontId="2" fillId="0" borderId="0"/>
    <xf numFmtId="177" fontId="2" fillId="0" borderId="0"/>
    <xf numFmtId="177" fontId="11" fillId="0" borderId="0"/>
    <xf numFmtId="176" fontId="11" fillId="0" borderId="0"/>
    <xf numFmtId="177" fontId="11" fillId="0" borderId="0"/>
    <xf numFmtId="177" fontId="11" fillId="0" borderId="0"/>
    <xf numFmtId="0" fontId="2" fillId="0" borderId="0"/>
    <xf numFmtId="0" fontId="11" fillId="0" borderId="0"/>
    <xf numFmtId="0" fontId="2" fillId="0" borderId="0"/>
    <xf numFmtId="0" fontId="2" fillId="0" borderId="0"/>
    <xf numFmtId="177" fontId="11" fillId="0" borderId="0"/>
    <xf numFmtId="176" fontId="11" fillId="0" borderId="0"/>
    <xf numFmtId="0" fontId="31" fillId="0" borderId="0"/>
    <xf numFmtId="177" fontId="11" fillId="0" borderId="0"/>
    <xf numFmtId="0" fontId="11" fillId="0" borderId="0"/>
    <xf numFmtId="0" fontId="63" fillId="0" borderId="0"/>
    <xf numFmtId="0" fontId="2" fillId="0" borderId="0"/>
    <xf numFmtId="0" fontId="5" fillId="0" borderId="0"/>
    <xf numFmtId="0" fontId="5" fillId="0" borderId="0"/>
    <xf numFmtId="0" fontId="5" fillId="0" borderId="0"/>
    <xf numFmtId="189" fontId="30" fillId="0" borderId="0"/>
    <xf numFmtId="0" fontId="31" fillId="0" borderId="0"/>
    <xf numFmtId="177" fontId="11" fillId="0" borderId="0"/>
    <xf numFmtId="0" fontId="2" fillId="0" borderId="0"/>
    <xf numFmtId="0" fontId="31" fillId="0" borderId="0"/>
    <xf numFmtId="177" fontId="11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31" fillId="0" borderId="0"/>
    <xf numFmtId="176" fontId="101" fillId="0" borderId="0"/>
    <xf numFmtId="0" fontId="5" fillId="0" borderId="0"/>
    <xf numFmtId="0" fontId="5" fillId="0" borderId="0"/>
    <xf numFmtId="0" fontId="5" fillId="0" borderId="0"/>
    <xf numFmtId="177" fontId="11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9" fillId="0" borderId="0"/>
    <xf numFmtId="0" fontId="11" fillId="0" borderId="0"/>
    <xf numFmtId="177" fontId="2" fillId="0" borderId="0"/>
    <xf numFmtId="177" fontId="11" fillId="0" borderId="0"/>
    <xf numFmtId="177" fontId="11" fillId="0" borderId="0"/>
    <xf numFmtId="0" fontId="5" fillId="0" borderId="0"/>
    <xf numFmtId="0" fontId="5" fillId="0" borderId="0"/>
    <xf numFmtId="0" fontId="5" fillId="0" borderId="0"/>
    <xf numFmtId="177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7" fontId="5" fillId="0" borderId="0"/>
    <xf numFmtId="0" fontId="5" fillId="0" borderId="0"/>
    <xf numFmtId="177" fontId="5" fillId="0" borderId="0"/>
    <xf numFmtId="0" fontId="5" fillId="0" borderId="0"/>
    <xf numFmtId="177" fontId="5" fillId="0" borderId="0"/>
    <xf numFmtId="0" fontId="5" fillId="0" borderId="0"/>
    <xf numFmtId="177" fontId="5" fillId="0" borderId="0"/>
    <xf numFmtId="0" fontId="2" fillId="0" borderId="0"/>
    <xf numFmtId="0" fontId="5" fillId="0" borderId="0"/>
    <xf numFmtId="177" fontId="5" fillId="0" borderId="0"/>
    <xf numFmtId="0" fontId="5" fillId="0" borderId="0"/>
    <xf numFmtId="177" fontId="2" fillId="0" borderId="0"/>
    <xf numFmtId="0" fontId="2" fillId="0" borderId="0"/>
    <xf numFmtId="37" fontId="11" fillId="0" borderId="0"/>
    <xf numFmtId="177" fontId="2" fillId="0" borderId="0"/>
    <xf numFmtId="176" fontId="2" fillId="0" borderId="0"/>
    <xf numFmtId="0" fontId="2" fillId="0" borderId="0"/>
    <xf numFmtId="182" fontId="2" fillId="0" borderId="0"/>
    <xf numFmtId="177" fontId="2" fillId="0" borderId="0"/>
    <xf numFmtId="0" fontId="11" fillId="0" borderId="0"/>
    <xf numFmtId="176" fontId="2" fillId="0" borderId="0"/>
    <xf numFmtId="0" fontId="2" fillId="0" borderId="0"/>
    <xf numFmtId="177" fontId="2" fillId="0" borderId="0"/>
    <xf numFmtId="0" fontId="2" fillId="0" borderId="0"/>
    <xf numFmtId="177" fontId="2" fillId="0" borderId="0"/>
    <xf numFmtId="0" fontId="85" fillId="0" borderId="0"/>
    <xf numFmtId="195" fontId="59" fillId="0" borderId="0"/>
    <xf numFmtId="0" fontId="11" fillId="0" borderId="0"/>
    <xf numFmtId="0" fontId="11" fillId="0" borderId="0"/>
    <xf numFmtId="177" fontId="2" fillId="0" borderId="0"/>
    <xf numFmtId="176" fontId="2" fillId="0" borderId="0"/>
    <xf numFmtId="177" fontId="2" fillId="0" borderId="0"/>
    <xf numFmtId="0" fontId="5" fillId="0" borderId="0"/>
    <xf numFmtId="176" fontId="2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225" fontId="30" fillId="0" borderId="0"/>
    <xf numFmtId="0" fontId="5" fillId="0" borderId="0"/>
    <xf numFmtId="177" fontId="2" fillId="0" borderId="0"/>
    <xf numFmtId="176" fontId="2" fillId="0" borderId="0"/>
    <xf numFmtId="0" fontId="2" fillId="0" borderId="0"/>
    <xf numFmtId="0" fontId="5" fillId="0" borderId="0"/>
    <xf numFmtId="177" fontId="2" fillId="0" borderId="0"/>
    <xf numFmtId="0" fontId="2" fillId="0" borderId="0"/>
    <xf numFmtId="0" fontId="5" fillId="0" borderId="0"/>
    <xf numFmtId="177" fontId="2" fillId="0" borderId="0"/>
    <xf numFmtId="176" fontId="2" fillId="0" borderId="0"/>
    <xf numFmtId="177" fontId="2" fillId="0" borderId="0"/>
    <xf numFmtId="216" fontId="2" fillId="0" borderId="0"/>
    <xf numFmtId="176" fontId="2" fillId="0" borderId="0"/>
    <xf numFmtId="177" fontId="2" fillId="0" borderId="0"/>
    <xf numFmtId="176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177" fontId="2" fillId="0" borderId="0"/>
    <xf numFmtId="176" fontId="2" fillId="0" borderId="0"/>
    <xf numFmtId="176" fontId="2" fillId="0" borderId="0"/>
    <xf numFmtId="177" fontId="2" fillId="0" borderId="0"/>
    <xf numFmtId="0" fontId="2" fillId="0" borderId="0"/>
    <xf numFmtId="0" fontId="11" fillId="0" borderId="0"/>
    <xf numFmtId="177" fontId="2" fillId="0" borderId="0"/>
    <xf numFmtId="180" fontId="2" fillId="0" borderId="0"/>
    <xf numFmtId="0" fontId="11" fillId="0" borderId="0"/>
    <xf numFmtId="201" fontId="2" fillId="0" borderId="0"/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21" fillId="0" borderId="0"/>
    <xf numFmtId="0" fontId="11" fillId="0" borderId="0"/>
    <xf numFmtId="177" fontId="11" fillId="0" borderId="0"/>
    <xf numFmtId="0" fontId="11" fillId="0" borderId="0"/>
    <xf numFmtId="177" fontId="2" fillId="0" borderId="0"/>
    <xf numFmtId="176" fontId="2" fillId="0" borderId="0"/>
    <xf numFmtId="0" fontId="11" fillId="0" borderId="0"/>
    <xf numFmtId="177" fontId="2" fillId="0" borderId="0"/>
    <xf numFmtId="176" fontId="2" fillId="0" borderId="0"/>
    <xf numFmtId="0" fontId="11" fillId="0" borderId="0"/>
    <xf numFmtId="177" fontId="11" fillId="0" borderId="0"/>
    <xf numFmtId="0" fontId="2" fillId="0" borderId="0"/>
    <xf numFmtId="177" fontId="2" fillId="0" borderId="0"/>
    <xf numFmtId="0" fontId="2" fillId="0" borderId="0"/>
    <xf numFmtId="177" fontId="2" fillId="0" borderId="0"/>
    <xf numFmtId="0" fontId="5" fillId="0" borderId="0"/>
    <xf numFmtId="0" fontId="5" fillId="0" borderId="0"/>
    <xf numFmtId="0" fontId="5" fillId="0" borderId="0"/>
    <xf numFmtId="176" fontId="2" fillId="0" borderId="0"/>
    <xf numFmtId="177" fontId="2" fillId="0" borderId="0"/>
    <xf numFmtId="0" fontId="2" fillId="0" borderId="0"/>
    <xf numFmtId="219" fontId="30" fillId="0" borderId="0"/>
    <xf numFmtId="177" fontId="2" fillId="0" borderId="0"/>
    <xf numFmtId="225" fontId="30" fillId="0" borderId="0"/>
    <xf numFmtId="177" fontId="2" fillId="0" borderId="0"/>
    <xf numFmtId="0" fontId="2" fillId="0" borderId="0"/>
    <xf numFmtId="176" fontId="2" fillId="0" borderId="0"/>
    <xf numFmtId="176" fontId="2" fillId="0" borderId="0"/>
    <xf numFmtId="0" fontId="11" fillId="0" borderId="0"/>
    <xf numFmtId="0" fontId="2" fillId="0" borderId="0"/>
    <xf numFmtId="177" fontId="2" fillId="0" borderId="0"/>
    <xf numFmtId="0" fontId="2" fillId="0" borderId="0"/>
    <xf numFmtId="226" fontId="2" fillId="0" borderId="0"/>
    <xf numFmtId="0" fontId="2" fillId="0" borderId="0"/>
    <xf numFmtId="0" fontId="59" fillId="0" borderId="0"/>
    <xf numFmtId="177" fontId="2" fillId="0" borderId="0"/>
    <xf numFmtId="0" fontId="2" fillId="0" borderId="0"/>
    <xf numFmtId="0" fontId="5" fillId="0" borderId="0"/>
    <xf numFmtId="0" fontId="2" fillId="0" borderId="0"/>
    <xf numFmtId="176" fontId="2" fillId="0" borderId="0"/>
    <xf numFmtId="0" fontId="2" fillId="0" borderId="0"/>
    <xf numFmtId="176" fontId="2" fillId="0" borderId="0"/>
    <xf numFmtId="0" fontId="2" fillId="0" borderId="0"/>
    <xf numFmtId="176" fontId="2" fillId="0" borderId="0"/>
    <xf numFmtId="0" fontId="5" fillId="0" borderId="0"/>
    <xf numFmtId="0" fontId="5" fillId="0" borderId="0"/>
    <xf numFmtId="0" fontId="5" fillId="0" borderId="0"/>
    <xf numFmtId="176" fontId="2" fillId="0" borderId="0"/>
    <xf numFmtId="0" fontId="5" fillId="0" borderId="0"/>
    <xf numFmtId="0" fontId="5" fillId="0" borderId="0"/>
    <xf numFmtId="0" fontId="5" fillId="0" borderId="0"/>
    <xf numFmtId="176" fontId="5" fillId="0" borderId="0"/>
    <xf numFmtId="0" fontId="5" fillId="0" borderId="0"/>
    <xf numFmtId="0" fontId="5" fillId="0" borderId="0"/>
    <xf numFmtId="0" fontId="5" fillId="0" borderId="0"/>
    <xf numFmtId="0" fontId="120" fillId="0" borderId="0"/>
    <xf numFmtId="0" fontId="57" fillId="0" borderId="0"/>
    <xf numFmtId="215" fontId="2" fillId="0" borderId="0"/>
    <xf numFmtId="0" fontId="5" fillId="0" borderId="0"/>
    <xf numFmtId="176" fontId="11" fillId="0" borderId="0"/>
    <xf numFmtId="0" fontId="5" fillId="0" borderId="0"/>
    <xf numFmtId="177" fontId="11" fillId="0" borderId="0"/>
    <xf numFmtId="0" fontId="5" fillId="0" borderId="0"/>
    <xf numFmtId="177" fontId="11" fillId="0" borderId="0"/>
    <xf numFmtId="0" fontId="5" fillId="0" borderId="0"/>
    <xf numFmtId="177" fontId="11" fillId="0" borderId="0"/>
    <xf numFmtId="0" fontId="5" fillId="0" borderId="0"/>
    <xf numFmtId="215" fontId="2" fillId="0" borderId="0"/>
    <xf numFmtId="39" fontId="3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11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109" fillId="0" borderId="0"/>
    <xf numFmtId="0" fontId="11" fillId="0" borderId="0"/>
    <xf numFmtId="173" fontId="2" fillId="0" borderId="0"/>
    <xf numFmtId="0" fontId="11" fillId="0" borderId="0"/>
    <xf numFmtId="180" fontId="2" fillId="0" borderId="0"/>
    <xf numFmtId="0" fontId="115" fillId="0" borderId="0"/>
    <xf numFmtId="0" fontId="2" fillId="0" borderId="0"/>
    <xf numFmtId="0" fontId="25" fillId="0" borderId="0">
      <alignment vertical="top"/>
    </xf>
    <xf numFmtId="0" fontId="11" fillId="0" borderId="0"/>
    <xf numFmtId="0" fontId="11" fillId="0" borderId="0"/>
    <xf numFmtId="0" fontId="11" fillId="0" borderId="0"/>
    <xf numFmtId="176" fontId="2" fillId="0" borderId="0"/>
    <xf numFmtId="0" fontId="119" fillId="0" borderId="0"/>
    <xf numFmtId="0" fontId="11" fillId="0" borderId="0"/>
    <xf numFmtId="0" fontId="119" fillId="0" borderId="0"/>
    <xf numFmtId="176" fontId="11" fillId="0" borderId="0"/>
    <xf numFmtId="0" fontId="21" fillId="0" borderId="0"/>
    <xf numFmtId="177" fontId="11" fillId="0" borderId="0"/>
    <xf numFmtId="188" fontId="30" fillId="0" borderId="0"/>
    <xf numFmtId="195" fontId="30" fillId="0" borderId="0"/>
    <xf numFmtId="0" fontId="11" fillId="0" borderId="0"/>
    <xf numFmtId="177" fontId="2" fillId="0" borderId="0"/>
    <xf numFmtId="176" fontId="2" fillId="0" borderId="0"/>
    <xf numFmtId="0" fontId="5" fillId="0" borderId="0"/>
    <xf numFmtId="0" fontId="5" fillId="0" borderId="0"/>
    <xf numFmtId="0" fontId="1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119" fillId="0" borderId="0"/>
    <xf numFmtId="0" fontId="11" fillId="0" borderId="0"/>
    <xf numFmtId="0" fontId="119" fillId="0" borderId="0"/>
    <xf numFmtId="0" fontId="11" fillId="0" borderId="0"/>
    <xf numFmtId="0" fontId="121" fillId="0" borderId="0">
      <alignment vertical="center"/>
    </xf>
    <xf numFmtId="0" fontId="11" fillId="0" borderId="0"/>
    <xf numFmtId="227" fontId="30" fillId="0" borderId="0"/>
    <xf numFmtId="189" fontId="30" fillId="0" borderId="0"/>
    <xf numFmtId="165" fontId="2" fillId="0" borderId="0"/>
    <xf numFmtId="0" fontId="5" fillId="0" borderId="0"/>
    <xf numFmtId="0" fontId="2" fillId="0" borderId="0"/>
    <xf numFmtId="177" fontId="60" fillId="0" borderId="0" applyNumberFormat="0" applyFont="0" applyFill="0" applyAlignment="0" applyProtection="0"/>
    <xf numFmtId="0" fontId="60" fillId="0" borderId="0" applyNumberFormat="0" applyFont="0" applyFill="0" applyAlignment="0" applyProtection="0"/>
    <xf numFmtId="0" fontId="11" fillId="0" borderId="0"/>
    <xf numFmtId="177" fontId="60" fillId="0" borderId="0" applyNumberFormat="0" applyFont="0" applyFill="0" applyAlignment="0" applyProtection="0"/>
    <xf numFmtId="215" fontId="2" fillId="0" borderId="0"/>
    <xf numFmtId="215" fontId="2" fillId="0" borderId="0"/>
    <xf numFmtId="215" fontId="2" fillId="0" borderId="0"/>
    <xf numFmtId="215" fontId="2" fillId="0" borderId="0"/>
    <xf numFmtId="0" fontId="21" fillId="0" borderId="0"/>
    <xf numFmtId="0" fontId="21" fillId="38" borderId="49" applyNumberFormat="0" applyFont="0" applyAlignment="0" applyProtection="0"/>
    <xf numFmtId="177" fontId="11" fillId="38" borderId="49" applyNumberFormat="0" applyFont="0" applyAlignment="0" applyProtection="0"/>
    <xf numFmtId="0" fontId="11" fillId="38" borderId="49" applyNumberFormat="0" applyFont="0" applyAlignment="0" applyProtection="0"/>
    <xf numFmtId="0" fontId="1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38" borderId="49" applyNumberFormat="0" applyFont="0" applyAlignment="0" applyProtection="0"/>
    <xf numFmtId="177" fontId="11" fillId="38" borderId="49" applyNumberFormat="0" applyFont="0" applyAlignment="0" applyProtection="0"/>
    <xf numFmtId="0" fontId="11" fillId="38" borderId="49" applyNumberFormat="0" applyFont="0" applyAlignment="0" applyProtection="0"/>
    <xf numFmtId="0" fontId="1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177" fontId="21" fillId="38" borderId="49" applyNumberFormat="0" applyFont="0" applyAlignment="0" applyProtection="0"/>
    <xf numFmtId="177" fontId="21" fillId="38" borderId="49" applyNumberFormat="0" applyFont="0" applyAlignment="0" applyProtection="0"/>
    <xf numFmtId="0" fontId="21" fillId="38" borderId="49" applyNumberFormat="0" applyFont="0" applyAlignment="0" applyProtection="0"/>
    <xf numFmtId="0" fontId="21" fillId="38" borderId="49" applyNumberFormat="0" applyFont="0" applyAlignment="0" applyProtection="0"/>
    <xf numFmtId="0" fontId="21" fillId="38" borderId="49" applyNumberFormat="0" applyFont="0" applyAlignment="0" applyProtection="0"/>
    <xf numFmtId="177" fontId="21" fillId="38" borderId="49" applyNumberFormat="0" applyFont="0" applyAlignment="0" applyProtection="0"/>
    <xf numFmtId="177" fontId="21" fillId="38" borderId="49" applyNumberFormat="0" applyFont="0" applyAlignment="0" applyProtection="0"/>
    <xf numFmtId="0" fontId="21" fillId="38" borderId="49" applyNumberFormat="0" applyFont="0" applyAlignment="0" applyProtection="0"/>
    <xf numFmtId="0" fontId="21" fillId="38" borderId="49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31" fillId="45" borderId="46" applyNumberFormat="0" applyFont="0" applyAlignment="0" applyProtection="0"/>
    <xf numFmtId="0" fontId="31" fillId="38" borderId="49" applyNumberFormat="0" applyFont="0" applyAlignment="0" applyProtection="0"/>
    <xf numFmtId="0" fontId="31" fillId="38" borderId="49" applyNumberFormat="0" applyFont="0" applyAlignment="0" applyProtection="0"/>
    <xf numFmtId="0" fontId="31" fillId="45" borderId="46" applyNumberFormat="0" applyFont="0" applyAlignment="0" applyProtection="0"/>
    <xf numFmtId="0" fontId="3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31" fillId="38" borderId="49" applyNumberFormat="0" applyFont="0" applyAlignment="0" applyProtection="0"/>
    <xf numFmtId="0" fontId="30" fillId="38" borderId="49" applyNumberFormat="0" applyFont="0" applyAlignment="0" applyProtection="0"/>
    <xf numFmtId="0" fontId="21" fillId="38" borderId="49" applyNumberFormat="0" applyFont="0" applyAlignment="0" applyProtection="0"/>
    <xf numFmtId="0" fontId="21" fillId="38" borderId="49" applyNumberFormat="0" applyFont="0" applyAlignment="0" applyProtection="0"/>
    <xf numFmtId="177" fontId="21" fillId="38" borderId="49" applyNumberFormat="0" applyFont="0" applyAlignment="0" applyProtection="0"/>
    <xf numFmtId="0" fontId="21" fillId="45" borderId="46" applyNumberFormat="0" applyFont="0" applyAlignment="0" applyProtection="0"/>
    <xf numFmtId="177" fontId="21" fillId="38" borderId="49" applyNumberFormat="0" applyFont="0" applyAlignment="0" applyProtection="0"/>
    <xf numFmtId="0" fontId="21" fillId="38" borderId="49" applyNumberFormat="0" applyFont="0" applyAlignment="0" applyProtection="0"/>
    <xf numFmtId="0" fontId="30" fillId="38" borderId="49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38" borderId="49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31" fillId="45" borderId="46" applyNumberFormat="0" applyFont="0" applyAlignment="0" applyProtection="0"/>
    <xf numFmtId="0" fontId="31" fillId="38" borderId="49" applyNumberFormat="0" applyFont="0" applyAlignment="0" applyProtection="0"/>
    <xf numFmtId="0" fontId="31" fillId="38" borderId="49" applyNumberFormat="0" applyFont="0" applyAlignment="0" applyProtection="0"/>
    <xf numFmtId="0" fontId="31" fillId="45" borderId="46" applyNumberFormat="0" applyFont="0" applyAlignment="0" applyProtection="0"/>
    <xf numFmtId="0" fontId="3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31" fillId="38" borderId="49" applyNumberFormat="0" applyFont="0" applyAlignment="0" applyProtection="0"/>
    <xf numFmtId="0" fontId="3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38" borderId="49" applyNumberFormat="0" applyFont="0" applyAlignment="0" applyProtection="0"/>
    <xf numFmtId="177" fontId="21" fillId="38" borderId="49" applyNumberFormat="0" applyFont="0" applyAlignment="0" applyProtection="0"/>
    <xf numFmtId="0" fontId="21" fillId="45" borderId="46" applyNumberFormat="0" applyFont="0" applyAlignment="0" applyProtection="0"/>
    <xf numFmtId="177" fontId="21" fillId="38" borderId="49" applyNumberFormat="0" applyFont="0" applyAlignment="0" applyProtection="0"/>
    <xf numFmtId="0" fontId="21" fillId="38" borderId="49" applyNumberFormat="0" applyFont="0" applyAlignment="0" applyProtection="0"/>
    <xf numFmtId="0" fontId="3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38" borderId="49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31" fillId="45" borderId="46" applyNumberFormat="0" applyFont="0" applyAlignment="0" applyProtection="0"/>
    <xf numFmtId="0" fontId="31" fillId="38" borderId="49" applyNumberFormat="0" applyFont="0" applyAlignment="0" applyProtection="0"/>
    <xf numFmtId="0" fontId="31" fillId="38" borderId="49" applyNumberFormat="0" applyFont="0" applyAlignment="0" applyProtection="0"/>
    <xf numFmtId="0" fontId="31" fillId="45" borderId="46" applyNumberFormat="0" applyFont="0" applyAlignment="0" applyProtection="0"/>
    <xf numFmtId="0" fontId="3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31" fillId="45" borderId="46" applyNumberFormat="0" applyFont="0" applyAlignment="0" applyProtection="0"/>
    <xf numFmtId="0" fontId="31" fillId="38" borderId="49" applyNumberFormat="0" applyFont="0" applyAlignment="0" applyProtection="0"/>
    <xf numFmtId="0" fontId="31" fillId="38" borderId="49" applyNumberFormat="0" applyFont="0" applyAlignment="0" applyProtection="0"/>
    <xf numFmtId="0" fontId="31" fillId="45" borderId="46" applyNumberFormat="0" applyFont="0" applyAlignment="0" applyProtection="0"/>
    <xf numFmtId="0" fontId="31" fillId="38" borderId="49" applyNumberFormat="0" applyFont="0" applyAlignment="0" applyProtection="0"/>
    <xf numFmtId="0" fontId="21" fillId="38" borderId="49" applyNumberFormat="0" applyFont="0" applyAlignment="0" applyProtection="0"/>
    <xf numFmtId="0" fontId="31" fillId="38" borderId="49" applyNumberFormat="0" applyFont="0" applyAlignment="0" applyProtection="0"/>
    <xf numFmtId="0" fontId="31" fillId="38" borderId="49" applyNumberFormat="0" applyFont="0" applyAlignment="0" applyProtection="0"/>
    <xf numFmtId="0" fontId="31" fillId="45" borderId="46" applyNumberFormat="0" applyFont="0" applyAlignment="0" applyProtection="0"/>
    <xf numFmtId="177" fontId="21" fillId="38" borderId="49" applyNumberFormat="0" applyFont="0" applyAlignment="0" applyProtection="0"/>
    <xf numFmtId="0" fontId="21" fillId="38" borderId="49" applyNumberFormat="0" applyFont="0" applyAlignment="0" applyProtection="0"/>
    <xf numFmtId="0" fontId="31" fillId="45" borderId="46" applyNumberFormat="0" applyFont="0" applyAlignment="0" applyProtection="0"/>
    <xf numFmtId="0" fontId="31" fillId="45" borderId="46" applyNumberFormat="0" applyFont="0" applyAlignment="0" applyProtection="0"/>
    <xf numFmtId="0" fontId="21" fillId="45" borderId="46" applyNumberFormat="0" applyFont="0" applyAlignment="0" applyProtection="0"/>
    <xf numFmtId="177" fontId="21" fillId="38" borderId="49" applyNumberFormat="0" applyFont="0" applyAlignment="0" applyProtection="0"/>
    <xf numFmtId="0" fontId="31" fillId="38" borderId="49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31" fillId="38" borderId="49" applyNumberFormat="0" applyFont="0" applyAlignment="0" applyProtection="0"/>
    <xf numFmtId="0" fontId="21" fillId="38" borderId="49" applyNumberFormat="0" applyFont="0" applyAlignment="0" applyProtection="0"/>
    <xf numFmtId="0" fontId="21" fillId="38" borderId="49" applyNumberFormat="0" applyFont="0" applyAlignment="0" applyProtection="0"/>
    <xf numFmtId="0" fontId="21" fillId="38" borderId="49" applyNumberFormat="0" applyFont="0" applyAlignment="0" applyProtection="0"/>
    <xf numFmtId="0" fontId="21" fillId="38" borderId="49" applyNumberFormat="0" applyFont="0" applyAlignment="0" applyProtection="0"/>
    <xf numFmtId="0" fontId="21" fillId="38" borderId="49" applyNumberFormat="0" applyFont="0" applyAlignment="0" applyProtection="0"/>
    <xf numFmtId="0" fontId="31" fillId="45" borderId="46" applyNumberFormat="0" applyFont="0" applyAlignment="0" applyProtection="0"/>
    <xf numFmtId="0" fontId="21" fillId="38" borderId="49" applyNumberFormat="0" applyFont="0" applyAlignment="0" applyProtection="0"/>
    <xf numFmtId="0" fontId="31" fillId="45" borderId="46" applyNumberFormat="0" applyFont="0" applyAlignment="0" applyProtection="0"/>
    <xf numFmtId="0" fontId="31" fillId="38" borderId="49" applyNumberFormat="0" applyFont="0" applyAlignment="0" applyProtection="0"/>
    <xf numFmtId="0" fontId="31" fillId="38" borderId="49" applyNumberFormat="0" applyFont="0" applyAlignment="0" applyProtection="0"/>
    <xf numFmtId="0" fontId="31" fillId="45" borderId="46" applyNumberFormat="0" applyFont="0" applyAlignment="0" applyProtection="0"/>
    <xf numFmtId="0" fontId="31" fillId="38" borderId="49" applyNumberFormat="0" applyFont="0" applyAlignment="0" applyProtection="0"/>
    <xf numFmtId="0" fontId="31" fillId="45" borderId="46" applyNumberFormat="0" applyFont="0" applyAlignment="0" applyProtection="0"/>
    <xf numFmtId="0" fontId="31" fillId="38" borderId="49" applyNumberFormat="0" applyFont="0" applyAlignment="0" applyProtection="0"/>
    <xf numFmtId="0" fontId="31" fillId="38" borderId="49" applyNumberFormat="0" applyFont="0" applyAlignment="0" applyProtection="0"/>
    <xf numFmtId="0" fontId="31" fillId="45" borderId="46" applyNumberFormat="0" applyFont="0" applyAlignment="0" applyProtection="0"/>
    <xf numFmtId="0" fontId="31" fillId="38" borderId="49" applyNumberFormat="0" applyFont="0" applyAlignment="0" applyProtection="0"/>
    <xf numFmtId="0" fontId="31" fillId="45" borderId="46" applyNumberFormat="0" applyFont="0" applyAlignment="0" applyProtection="0"/>
    <xf numFmtId="0" fontId="31" fillId="38" borderId="49" applyNumberFormat="0" applyFont="0" applyAlignment="0" applyProtection="0"/>
    <xf numFmtId="0" fontId="31" fillId="38" borderId="49" applyNumberFormat="0" applyFont="0" applyAlignment="0" applyProtection="0"/>
    <xf numFmtId="0" fontId="31" fillId="45" borderId="46" applyNumberFormat="0" applyFont="0" applyAlignment="0" applyProtection="0"/>
    <xf numFmtId="0" fontId="31" fillId="38" borderId="49" applyNumberFormat="0" applyFont="0" applyAlignment="0" applyProtection="0"/>
    <xf numFmtId="0" fontId="31" fillId="45" borderId="46" applyNumberFormat="0" applyFont="0" applyAlignment="0" applyProtection="0"/>
    <xf numFmtId="0" fontId="31" fillId="38" borderId="49" applyNumberFormat="0" applyFont="0" applyAlignment="0" applyProtection="0"/>
    <xf numFmtId="0" fontId="31" fillId="38" borderId="49" applyNumberFormat="0" applyFont="0" applyAlignment="0" applyProtection="0"/>
    <xf numFmtId="0" fontId="31" fillId="45" borderId="46" applyNumberFormat="0" applyFont="0" applyAlignment="0" applyProtection="0"/>
    <xf numFmtId="0" fontId="31" fillId="38" borderId="49" applyNumberFormat="0" applyFont="0" applyAlignment="0" applyProtection="0"/>
    <xf numFmtId="0" fontId="31" fillId="45" borderId="46" applyNumberFormat="0" applyFont="0" applyAlignment="0" applyProtection="0"/>
    <xf numFmtId="0" fontId="31" fillId="38" borderId="49" applyNumberFormat="0" applyFont="0" applyAlignment="0" applyProtection="0"/>
    <xf numFmtId="0" fontId="31" fillId="38" borderId="49" applyNumberFormat="0" applyFont="0" applyAlignment="0" applyProtection="0"/>
    <xf numFmtId="0" fontId="31" fillId="45" borderId="46" applyNumberFormat="0" applyFont="0" applyAlignment="0" applyProtection="0"/>
    <xf numFmtId="0" fontId="31" fillId="38" borderId="49" applyNumberFormat="0" applyFont="0" applyAlignment="0" applyProtection="0"/>
    <xf numFmtId="0" fontId="31" fillId="45" borderId="46" applyNumberFormat="0" applyFont="0" applyAlignment="0" applyProtection="0"/>
    <xf numFmtId="0" fontId="31" fillId="38" borderId="49" applyNumberFormat="0" applyFont="0" applyAlignment="0" applyProtection="0"/>
    <xf numFmtId="0" fontId="31" fillId="38" borderId="49" applyNumberFormat="0" applyFont="0" applyAlignment="0" applyProtection="0"/>
    <xf numFmtId="0" fontId="31" fillId="45" borderId="46" applyNumberFormat="0" applyFont="0" applyAlignment="0" applyProtection="0"/>
    <xf numFmtId="0" fontId="31" fillId="38" borderId="49" applyNumberFormat="0" applyFont="0" applyAlignment="0" applyProtection="0"/>
    <xf numFmtId="0" fontId="31" fillId="45" borderId="46" applyNumberFormat="0" applyFont="0" applyAlignment="0" applyProtection="0"/>
    <xf numFmtId="0" fontId="31" fillId="38" borderId="49" applyNumberFormat="0" applyFont="0" applyAlignment="0" applyProtection="0"/>
    <xf numFmtId="0" fontId="31" fillId="38" borderId="49" applyNumberFormat="0" applyFont="0" applyAlignment="0" applyProtection="0"/>
    <xf numFmtId="0" fontId="31" fillId="45" borderId="46" applyNumberFormat="0" applyFont="0" applyAlignment="0" applyProtection="0"/>
    <xf numFmtId="0" fontId="31" fillId="38" borderId="49" applyNumberFormat="0" applyFont="0" applyAlignment="0" applyProtection="0"/>
    <xf numFmtId="0" fontId="31" fillId="45" borderId="46" applyNumberFormat="0" applyFont="0" applyAlignment="0" applyProtection="0"/>
    <xf numFmtId="0" fontId="31" fillId="38" borderId="49" applyNumberFormat="0" applyFont="0" applyAlignment="0" applyProtection="0"/>
    <xf numFmtId="0" fontId="31" fillId="38" borderId="49" applyNumberFormat="0" applyFont="0" applyAlignment="0" applyProtection="0"/>
    <xf numFmtId="0" fontId="31" fillId="45" borderId="46" applyNumberFormat="0" applyFont="0" applyAlignment="0" applyProtection="0"/>
    <xf numFmtId="0" fontId="31" fillId="38" borderId="49" applyNumberFormat="0" applyFont="0" applyAlignment="0" applyProtection="0"/>
    <xf numFmtId="0" fontId="31" fillId="45" borderId="46" applyNumberFormat="0" applyFont="0" applyAlignment="0" applyProtection="0"/>
    <xf numFmtId="0" fontId="31" fillId="38" borderId="49" applyNumberFormat="0" applyFont="0" applyAlignment="0" applyProtection="0"/>
    <xf numFmtId="0" fontId="31" fillId="38" borderId="49" applyNumberFormat="0" applyFont="0" applyAlignment="0" applyProtection="0"/>
    <xf numFmtId="0" fontId="31" fillId="45" borderId="46" applyNumberFormat="0" applyFont="0" applyAlignment="0" applyProtection="0"/>
    <xf numFmtId="0" fontId="31" fillId="38" borderId="49" applyNumberFormat="0" applyFont="0" applyAlignment="0" applyProtection="0"/>
    <xf numFmtId="0" fontId="31" fillId="45" borderId="46" applyNumberFormat="0" applyFont="0" applyAlignment="0" applyProtection="0"/>
    <xf numFmtId="0" fontId="31" fillId="38" borderId="49" applyNumberFormat="0" applyFont="0" applyAlignment="0" applyProtection="0"/>
    <xf numFmtId="0" fontId="31" fillId="38" borderId="49" applyNumberFormat="0" applyFont="0" applyAlignment="0" applyProtection="0"/>
    <xf numFmtId="0" fontId="31" fillId="45" borderId="46" applyNumberFormat="0" applyFont="0" applyAlignment="0" applyProtection="0"/>
    <xf numFmtId="0" fontId="31" fillId="38" borderId="49" applyNumberFormat="0" applyFont="0" applyAlignment="0" applyProtection="0"/>
    <xf numFmtId="0" fontId="11" fillId="38" borderId="49" applyNumberFormat="0" applyFont="0" applyAlignment="0" applyProtection="0"/>
    <xf numFmtId="0" fontId="31" fillId="45" borderId="46" applyNumberFormat="0" applyFont="0" applyAlignment="0" applyProtection="0"/>
    <xf numFmtId="0" fontId="31" fillId="38" borderId="49" applyNumberFormat="0" applyFont="0" applyAlignment="0" applyProtection="0"/>
    <xf numFmtId="0" fontId="31" fillId="38" borderId="49" applyNumberFormat="0" applyFont="0" applyAlignment="0" applyProtection="0"/>
    <xf numFmtId="0" fontId="31" fillId="45" borderId="46" applyNumberFormat="0" applyFont="0" applyAlignment="0" applyProtection="0"/>
    <xf numFmtId="0" fontId="21" fillId="38" borderId="49" applyNumberFormat="0" applyFont="0" applyAlignment="0" applyProtection="0"/>
    <xf numFmtId="0" fontId="31" fillId="45" borderId="46" applyNumberFormat="0" applyFont="0" applyAlignment="0" applyProtection="0"/>
    <xf numFmtId="0" fontId="31" fillId="45" borderId="46" applyNumberFormat="0" applyFont="0" applyAlignment="0" applyProtection="0"/>
    <xf numFmtId="0" fontId="21" fillId="45" borderId="46" applyNumberFormat="0" applyFont="0" applyAlignment="0" applyProtection="0"/>
    <xf numFmtId="177" fontId="11" fillId="38" borderId="49" applyNumberFormat="0" applyFont="0" applyAlignment="0" applyProtection="0"/>
    <xf numFmtId="177" fontId="11" fillId="38" borderId="49" applyNumberFormat="0" applyFont="0" applyAlignment="0" applyProtection="0"/>
    <xf numFmtId="177" fontId="11" fillId="38" borderId="49" applyNumberFormat="0" applyFont="0" applyAlignment="0" applyProtection="0"/>
    <xf numFmtId="0" fontId="31" fillId="38" borderId="49" applyNumberFormat="0" applyFont="0" applyAlignment="0" applyProtection="0"/>
    <xf numFmtId="0" fontId="21" fillId="38" borderId="49" applyNumberFormat="0" applyFont="0" applyAlignment="0" applyProtection="0"/>
    <xf numFmtId="0" fontId="21" fillId="38" borderId="49" applyNumberFormat="0" applyFont="0" applyAlignment="0" applyProtection="0"/>
    <xf numFmtId="0" fontId="21" fillId="45" borderId="46" applyNumberFormat="0" applyFont="0" applyAlignment="0" applyProtection="0"/>
    <xf numFmtId="0" fontId="11" fillId="38" borderId="49" applyNumberFormat="0" applyFont="0" applyAlignment="0" applyProtection="0"/>
    <xf numFmtId="0" fontId="31" fillId="38" borderId="49" applyNumberFormat="0" applyFont="0" applyAlignment="0" applyProtection="0"/>
    <xf numFmtId="0" fontId="31" fillId="45" borderId="46" applyNumberFormat="0" applyFont="0" applyAlignment="0" applyProtection="0"/>
    <xf numFmtId="0" fontId="11" fillId="38" borderId="49" applyNumberFormat="0" applyFont="0" applyAlignment="0" applyProtection="0"/>
    <xf numFmtId="0" fontId="11" fillId="38" borderId="49" applyNumberFormat="0" applyFont="0" applyAlignment="0" applyProtection="0"/>
    <xf numFmtId="0" fontId="11" fillId="38" borderId="49" applyNumberFormat="0" applyFont="0" applyAlignment="0" applyProtection="0"/>
    <xf numFmtId="0" fontId="11" fillId="38" borderId="49" applyNumberFormat="0" applyFont="0" applyAlignment="0" applyProtection="0"/>
    <xf numFmtId="0" fontId="11" fillId="38" borderId="49" applyNumberFormat="0" applyFont="0" applyAlignment="0" applyProtection="0"/>
    <xf numFmtId="0" fontId="31" fillId="45" borderId="46" applyNumberFormat="0" applyFont="0" applyAlignment="0" applyProtection="0"/>
    <xf numFmtId="0" fontId="11" fillId="38" borderId="49" applyNumberFormat="0" applyFont="0" applyAlignment="0" applyProtection="0"/>
    <xf numFmtId="0" fontId="31" fillId="45" borderId="46" applyNumberFormat="0" applyFont="0" applyAlignment="0" applyProtection="0"/>
    <xf numFmtId="0" fontId="31" fillId="45" borderId="46" applyNumberFormat="0" applyFont="0" applyAlignment="0" applyProtection="0"/>
    <xf numFmtId="0" fontId="11" fillId="38" borderId="49" applyNumberFormat="0" applyFont="0" applyAlignment="0" applyProtection="0"/>
    <xf numFmtId="0" fontId="31" fillId="38" borderId="49" applyNumberFormat="0" applyFont="0" applyAlignment="0" applyProtection="0"/>
    <xf numFmtId="0" fontId="31" fillId="38" borderId="49" applyNumberFormat="0" applyFont="0" applyAlignment="0" applyProtection="0"/>
    <xf numFmtId="0" fontId="31" fillId="45" borderId="46" applyNumberFormat="0" applyFont="0" applyAlignment="0" applyProtection="0"/>
    <xf numFmtId="177" fontId="11" fillId="38" borderId="49" applyNumberFormat="0" applyFont="0" applyAlignment="0" applyProtection="0"/>
    <xf numFmtId="0" fontId="31" fillId="38" borderId="49" applyNumberFormat="0" applyFont="0" applyAlignment="0" applyProtection="0"/>
    <xf numFmtId="0" fontId="21" fillId="38" borderId="49" applyNumberFormat="0" applyFont="0" applyAlignment="0" applyProtection="0"/>
    <xf numFmtId="0" fontId="11" fillId="38" borderId="49" applyNumberFormat="0" applyFont="0" applyAlignment="0" applyProtection="0"/>
    <xf numFmtId="0" fontId="21" fillId="45" borderId="46" applyNumberFormat="0" applyFont="0" applyAlignment="0" applyProtection="0"/>
    <xf numFmtId="0" fontId="11" fillId="38" borderId="49" applyNumberFormat="0" applyFont="0" applyAlignment="0" applyProtection="0"/>
    <xf numFmtId="0" fontId="11" fillId="38" borderId="49" applyNumberFormat="0" applyFont="0" applyAlignment="0" applyProtection="0"/>
    <xf numFmtId="0" fontId="11" fillId="38" borderId="49" applyNumberFormat="0" applyFont="0" applyAlignment="0" applyProtection="0"/>
    <xf numFmtId="0" fontId="11" fillId="38" borderId="49" applyNumberFormat="0" applyFont="0" applyAlignment="0" applyProtection="0"/>
    <xf numFmtId="0" fontId="11" fillId="38" borderId="49" applyNumberFormat="0" applyFont="0" applyAlignment="0" applyProtection="0"/>
    <xf numFmtId="0" fontId="21" fillId="45" borderId="46" applyNumberFormat="0" applyFont="0" applyAlignment="0" applyProtection="0"/>
    <xf numFmtId="0" fontId="11" fillId="38" borderId="49" applyNumberFormat="0" applyFont="0" applyAlignment="0" applyProtection="0"/>
    <xf numFmtId="0" fontId="21" fillId="38" borderId="49" applyNumberFormat="0" applyFont="0" applyAlignment="0" applyProtection="0"/>
    <xf numFmtId="0" fontId="21" fillId="38" borderId="49" applyNumberFormat="0" applyFont="0" applyAlignment="0" applyProtection="0"/>
    <xf numFmtId="177" fontId="11" fillId="38" borderId="49" applyNumberFormat="0" applyFont="0" applyAlignment="0" applyProtection="0"/>
    <xf numFmtId="0" fontId="11" fillId="38" borderId="49" applyNumberFormat="0" applyFont="0" applyAlignment="0" applyProtection="0"/>
    <xf numFmtId="0" fontId="1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38" borderId="49" applyNumberFormat="0" applyFont="0" applyAlignment="0" applyProtection="0"/>
    <xf numFmtId="177" fontId="11" fillId="38" borderId="49" applyNumberFormat="0" applyFont="0" applyAlignment="0" applyProtection="0"/>
    <xf numFmtId="0" fontId="11" fillId="38" borderId="49" applyNumberFormat="0" applyFont="0" applyAlignment="0" applyProtection="0"/>
    <xf numFmtId="0" fontId="1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21" fillId="38" borderId="49" applyNumberFormat="0" applyFont="0" applyAlignment="0" applyProtection="0"/>
    <xf numFmtId="177" fontId="11" fillId="38" borderId="49" applyNumberFormat="0" applyFont="0" applyAlignment="0" applyProtection="0"/>
    <xf numFmtId="0" fontId="11" fillId="38" borderId="49" applyNumberFormat="0" applyFont="0" applyAlignment="0" applyProtection="0"/>
    <xf numFmtId="0" fontId="11" fillId="38" borderId="49" applyNumberFormat="0" applyFont="0" applyAlignment="0" applyProtection="0"/>
    <xf numFmtId="0" fontId="21" fillId="45" borderId="46" applyNumberFormat="0" applyFont="0" applyAlignment="0" applyProtection="0"/>
    <xf numFmtId="0" fontId="21" fillId="38" borderId="49" applyNumberFormat="0" applyFont="0" applyAlignment="0" applyProtection="0"/>
    <xf numFmtId="0" fontId="61" fillId="30" borderId="50" applyNumberFormat="0" applyAlignment="0" applyProtection="0"/>
    <xf numFmtId="177" fontId="61" fillId="30" borderId="50" applyNumberFormat="0" applyAlignment="0" applyProtection="0"/>
    <xf numFmtId="0" fontId="122" fillId="30" borderId="50" applyNumberFormat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7" fillId="0" borderId="0">
      <protection locked="0"/>
    </xf>
    <xf numFmtId="9" fontId="11" fillId="0" borderId="0" applyFont="0" applyFill="0" applyBorder="0" applyAlignment="0" applyProtection="0"/>
    <xf numFmtId="0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9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65" fillId="0" borderId="0"/>
    <xf numFmtId="0" fontId="11" fillId="0" borderId="0"/>
    <xf numFmtId="177" fontId="63" fillId="0" borderId="0" applyNumberFormat="0" applyFont="0" applyFill="0" applyBorder="0" applyAlignment="0" applyProtection="0">
      <alignment horizontal="left"/>
    </xf>
    <xf numFmtId="228" fontId="11" fillId="0" borderId="0" applyNumberFormat="0" applyFill="0" applyBorder="0" applyAlignment="0" applyProtection="0">
      <alignment horizontal="left"/>
    </xf>
    <xf numFmtId="0" fontId="102" fillId="0" borderId="0" applyNumberFormat="0" applyFill="0" applyBorder="0" applyAlignment="0" applyProtection="0">
      <alignment horizontal="left"/>
    </xf>
    <xf numFmtId="177" fontId="67" fillId="0" borderId="51"/>
    <xf numFmtId="177" fontId="67" fillId="0" borderId="51"/>
    <xf numFmtId="177" fontId="67" fillId="0" borderId="51"/>
    <xf numFmtId="177" fontId="67" fillId="0" borderId="51"/>
    <xf numFmtId="177" fontId="68" fillId="0" borderId="0"/>
    <xf numFmtId="0" fontId="70" fillId="0" borderId="52">
      <alignment horizontal="center"/>
    </xf>
    <xf numFmtId="0" fontId="70" fillId="0" borderId="52">
      <alignment horizontal="center"/>
    </xf>
    <xf numFmtId="0" fontId="70" fillId="0" borderId="52">
      <alignment horizontal="center"/>
    </xf>
    <xf numFmtId="0" fontId="70" fillId="0" borderId="52">
      <alignment horizontal="center"/>
    </xf>
    <xf numFmtId="0" fontId="70" fillId="0" borderId="52">
      <alignment horizontal="center"/>
    </xf>
    <xf numFmtId="0" fontId="70" fillId="0" borderId="52">
      <alignment horizontal="center"/>
    </xf>
    <xf numFmtId="0" fontId="70" fillId="0" borderId="52">
      <alignment horizontal="center"/>
    </xf>
    <xf numFmtId="0" fontId="70" fillId="0" borderId="52">
      <alignment horizontal="center"/>
    </xf>
    <xf numFmtId="0" fontId="70" fillId="0" borderId="52">
      <alignment horizontal="center"/>
    </xf>
    <xf numFmtId="0" fontId="70" fillId="0" borderId="52">
      <alignment horizontal="center"/>
    </xf>
    <xf numFmtId="177" fontId="70" fillId="0" borderId="52">
      <alignment horizontal="center"/>
    </xf>
    <xf numFmtId="177" fontId="70" fillId="0" borderId="52">
      <alignment horizontal="center"/>
    </xf>
    <xf numFmtId="0" fontId="70" fillId="0" borderId="52">
      <alignment horizontal="center"/>
    </xf>
    <xf numFmtId="0" fontId="70" fillId="0" borderId="52">
      <alignment horizontal="center"/>
    </xf>
    <xf numFmtId="0" fontId="70" fillId="0" borderId="52">
      <alignment horizontal="center"/>
    </xf>
    <xf numFmtId="0" fontId="70" fillId="0" borderId="52">
      <alignment horizontal="center"/>
    </xf>
    <xf numFmtId="0" fontId="70" fillId="0" borderId="52">
      <alignment horizontal="center"/>
    </xf>
    <xf numFmtId="177" fontId="70" fillId="0" borderId="52">
      <alignment horizontal="center"/>
    </xf>
    <xf numFmtId="177" fontId="70" fillId="0" borderId="52">
      <alignment horizontal="center"/>
    </xf>
    <xf numFmtId="177" fontId="70" fillId="0" borderId="52">
      <alignment horizontal="center"/>
    </xf>
    <xf numFmtId="0" fontId="70" fillId="0" borderId="52">
      <alignment horizontal="center"/>
    </xf>
    <xf numFmtId="0" fontId="70" fillId="0" borderId="52">
      <alignment horizontal="center"/>
    </xf>
    <xf numFmtId="177" fontId="70" fillId="0" borderId="52">
      <alignment horizontal="center"/>
    </xf>
    <xf numFmtId="0" fontId="70" fillId="0" borderId="52">
      <alignment horizontal="center"/>
    </xf>
    <xf numFmtId="177" fontId="70" fillId="0" borderId="52">
      <alignment horizontal="center"/>
    </xf>
    <xf numFmtId="0" fontId="70" fillId="0" borderId="52">
      <alignment horizontal="center"/>
    </xf>
    <xf numFmtId="177" fontId="70" fillId="0" borderId="52">
      <alignment horizontal="center"/>
    </xf>
    <xf numFmtId="0" fontId="70" fillId="0" borderId="52">
      <alignment horizontal="center"/>
    </xf>
    <xf numFmtId="176" fontId="70" fillId="0" borderId="52">
      <alignment horizontal="center"/>
    </xf>
    <xf numFmtId="0" fontId="70" fillId="0" borderId="52">
      <alignment horizontal="center"/>
    </xf>
    <xf numFmtId="0" fontId="70" fillId="0" borderId="52">
      <alignment horizontal="center"/>
    </xf>
    <xf numFmtId="0" fontId="70" fillId="0" borderId="52">
      <alignment horizontal="center"/>
    </xf>
    <xf numFmtId="177" fontId="70" fillId="0" borderId="0">
      <alignment horizontal="center" vertical="center"/>
    </xf>
    <xf numFmtId="177" fontId="71" fillId="39" borderId="0" applyNumberFormat="0" applyFill="0">
      <alignment horizontal="left" vertical="center"/>
    </xf>
    <xf numFmtId="177" fontId="72" fillId="0" borderId="29"/>
    <xf numFmtId="40" fontId="11" fillId="0" borderId="0" applyBorder="0">
      <alignment horizontal="right"/>
    </xf>
    <xf numFmtId="177" fontId="74" fillId="0" borderId="0" applyNumberFormat="0" applyFill="0" applyBorder="0" applyAlignment="0" applyProtection="0"/>
    <xf numFmtId="0" fontId="15" fillId="0" borderId="47" applyNumberFormat="0" applyFill="0" applyAlignment="0" applyProtection="0"/>
    <xf numFmtId="0" fontId="15" fillId="0" borderId="47" applyNumberFormat="0" applyFill="0" applyAlignment="0" applyProtection="0"/>
    <xf numFmtId="0" fontId="15" fillId="0" borderId="47" applyNumberFormat="0" applyFill="0" applyAlignment="0" applyProtection="0"/>
    <xf numFmtId="0" fontId="15" fillId="0" borderId="47" applyNumberFormat="0" applyFill="0" applyAlignment="0" applyProtection="0"/>
    <xf numFmtId="0" fontId="15" fillId="0" borderId="47" applyNumberFormat="0" applyFill="0" applyAlignment="0" applyProtection="0"/>
    <xf numFmtId="0" fontId="15" fillId="0" borderId="47" applyNumberFormat="0" applyFill="0" applyAlignment="0" applyProtection="0"/>
    <xf numFmtId="0" fontId="15" fillId="0" borderId="47" applyNumberFormat="0" applyFill="0" applyAlignment="0" applyProtection="0"/>
    <xf numFmtId="0" fontId="15" fillId="0" borderId="47" applyNumberFormat="0" applyFill="0" applyAlignment="0" applyProtection="0"/>
    <xf numFmtId="0" fontId="15" fillId="0" borderId="47" applyNumberFormat="0" applyFill="0" applyAlignment="0" applyProtection="0"/>
    <xf numFmtId="0" fontId="15" fillId="0" borderId="47" applyNumberFormat="0" applyFill="0" applyAlignment="0" applyProtection="0"/>
    <xf numFmtId="0" fontId="75" fillId="0" borderId="53" applyNumberFormat="0" applyFill="0" applyAlignment="0" applyProtection="0"/>
    <xf numFmtId="0" fontId="75" fillId="0" borderId="53" applyNumberFormat="0" applyFill="0" applyAlignment="0" applyProtection="0"/>
    <xf numFmtId="187" fontId="38" fillId="0" borderId="40">
      <protection locked="0"/>
    </xf>
    <xf numFmtId="0" fontId="123" fillId="0" borderId="53" applyNumberFormat="0" applyFill="0" applyAlignment="0" applyProtection="0"/>
    <xf numFmtId="187" fontId="38" fillId="0" borderId="40">
      <protection locked="0"/>
    </xf>
    <xf numFmtId="0" fontId="123" fillId="0" borderId="53" applyNumberFormat="0" applyFill="0" applyAlignment="0" applyProtection="0"/>
    <xf numFmtId="187" fontId="38" fillId="0" borderId="40">
      <protection locked="0"/>
    </xf>
    <xf numFmtId="187" fontId="38" fillId="0" borderId="40">
      <protection locked="0"/>
    </xf>
    <xf numFmtId="187" fontId="38" fillId="0" borderId="40">
      <protection locked="0"/>
    </xf>
    <xf numFmtId="0" fontId="123" fillId="0" borderId="53" applyNumberFormat="0" applyFill="0" applyAlignment="0" applyProtection="0"/>
    <xf numFmtId="0" fontId="15" fillId="0" borderId="47" applyNumberFormat="0" applyFill="0" applyAlignment="0" applyProtection="0"/>
    <xf numFmtId="0" fontId="15" fillId="0" borderId="47" applyNumberFormat="0" applyFill="0" applyAlignment="0" applyProtection="0"/>
    <xf numFmtId="0" fontId="124" fillId="0" borderId="47" applyNumberFormat="0" applyFill="0" applyAlignment="0" applyProtection="0"/>
    <xf numFmtId="0" fontId="15" fillId="0" borderId="47" applyNumberFormat="0" applyFill="0" applyAlignment="0" applyProtection="0"/>
    <xf numFmtId="0" fontId="124" fillId="0" borderId="47" applyNumberFormat="0" applyFill="0" applyAlignment="0" applyProtection="0"/>
    <xf numFmtId="0" fontId="124" fillId="0" borderId="47" applyNumberFormat="0" applyFill="0" applyAlignment="0" applyProtection="0"/>
    <xf numFmtId="0" fontId="124" fillId="0" borderId="47" applyNumberFormat="0" applyFill="0" applyAlignment="0" applyProtection="0"/>
    <xf numFmtId="0" fontId="124" fillId="0" borderId="47" applyNumberFormat="0" applyFill="0" applyAlignment="0" applyProtection="0"/>
    <xf numFmtId="0" fontId="124" fillId="0" borderId="47" applyNumberFormat="0" applyFill="0" applyAlignment="0" applyProtection="0"/>
    <xf numFmtId="0" fontId="124" fillId="0" borderId="47" applyNumberFormat="0" applyFill="0" applyAlignment="0" applyProtection="0"/>
    <xf numFmtId="0" fontId="75" fillId="0" borderId="53" applyNumberFormat="0" applyFill="0" applyAlignment="0" applyProtection="0"/>
    <xf numFmtId="0" fontId="75" fillId="0" borderId="53" applyNumberFormat="0" applyFill="0" applyAlignment="0" applyProtection="0"/>
    <xf numFmtId="187" fontId="38" fillId="0" borderId="40">
      <protection locked="0"/>
    </xf>
    <xf numFmtId="0" fontId="123" fillId="0" borderId="53" applyNumberFormat="0" applyFill="0" applyAlignment="0" applyProtection="0"/>
    <xf numFmtId="187" fontId="38" fillId="0" borderId="40">
      <protection locked="0"/>
    </xf>
    <xf numFmtId="0" fontId="124" fillId="0" borderId="47" applyNumberFormat="0" applyFill="0" applyAlignment="0" applyProtection="0"/>
    <xf numFmtId="187" fontId="38" fillId="0" borderId="40">
      <protection locked="0"/>
    </xf>
    <xf numFmtId="187" fontId="38" fillId="0" borderId="40">
      <protection locked="0"/>
    </xf>
    <xf numFmtId="187" fontId="38" fillId="0" borderId="40">
      <protection locked="0"/>
    </xf>
    <xf numFmtId="0" fontId="124" fillId="0" borderId="47" applyNumberFormat="0" applyFill="0" applyAlignment="0" applyProtection="0"/>
    <xf numFmtId="0" fontId="124" fillId="0" borderId="47" applyNumberFormat="0" applyFill="0" applyAlignment="0" applyProtection="0"/>
    <xf numFmtId="0" fontId="124" fillId="0" borderId="47" applyNumberFormat="0" applyFill="0" applyAlignment="0" applyProtection="0"/>
    <xf numFmtId="0" fontId="124" fillId="0" borderId="47" applyNumberFormat="0" applyFill="0" applyAlignment="0" applyProtection="0"/>
    <xf numFmtId="0" fontId="124" fillId="0" borderId="47" applyNumberFormat="0" applyFill="0" applyAlignment="0" applyProtection="0"/>
    <xf numFmtId="0" fontId="124" fillId="0" borderId="47" applyNumberFormat="0" applyFill="0" applyAlignment="0" applyProtection="0"/>
    <xf numFmtId="0" fontId="75" fillId="0" borderId="53" applyNumberFormat="0" applyFill="0" applyAlignment="0" applyProtection="0"/>
    <xf numFmtId="0" fontId="75" fillId="0" borderId="53" applyNumberFormat="0" applyFill="0" applyAlignment="0" applyProtection="0"/>
    <xf numFmtId="187" fontId="38" fillId="0" borderId="40">
      <protection locked="0"/>
    </xf>
    <xf numFmtId="0" fontId="123" fillId="0" borderId="53" applyNumberFormat="0" applyFill="0" applyAlignment="0" applyProtection="0"/>
    <xf numFmtId="187" fontId="38" fillId="0" borderId="40">
      <protection locked="0"/>
    </xf>
    <xf numFmtId="0" fontId="124" fillId="0" borderId="47" applyNumberFormat="0" applyFill="0" applyAlignment="0" applyProtection="0"/>
    <xf numFmtId="187" fontId="38" fillId="0" borderId="40">
      <protection locked="0"/>
    </xf>
    <xf numFmtId="187" fontId="38" fillId="0" borderId="40">
      <protection locked="0"/>
    </xf>
    <xf numFmtId="187" fontId="38" fillId="0" borderId="40">
      <protection locked="0"/>
    </xf>
    <xf numFmtId="0" fontId="75" fillId="0" borderId="53" applyNumberFormat="0" applyFill="0" applyAlignment="0" applyProtection="0"/>
    <xf numFmtId="0" fontId="75" fillId="0" borderId="53" applyNumberFormat="0" applyFill="0" applyAlignment="0" applyProtection="0"/>
    <xf numFmtId="187" fontId="38" fillId="0" borderId="40">
      <protection locked="0"/>
    </xf>
    <xf numFmtId="0" fontId="123" fillId="0" borderId="53" applyNumberFormat="0" applyFill="0" applyAlignment="0" applyProtection="0"/>
    <xf numFmtId="187" fontId="38" fillId="0" borderId="40">
      <protection locked="0"/>
    </xf>
    <xf numFmtId="0" fontId="124" fillId="0" borderId="47" applyNumberFormat="0" applyFill="0" applyAlignment="0" applyProtection="0"/>
    <xf numFmtId="187" fontId="38" fillId="0" borderId="40">
      <protection locked="0"/>
    </xf>
    <xf numFmtId="187" fontId="38" fillId="0" borderId="40">
      <protection locked="0"/>
    </xf>
    <xf numFmtId="187" fontId="38" fillId="0" borderId="40">
      <protection locked="0"/>
    </xf>
    <xf numFmtId="187" fontId="38" fillId="0" borderId="40">
      <protection locked="0"/>
    </xf>
    <xf numFmtId="187" fontId="38" fillId="0" borderId="40">
      <protection locked="0"/>
    </xf>
    <xf numFmtId="187" fontId="38" fillId="0" borderId="40">
      <protection locked="0"/>
    </xf>
    <xf numFmtId="0" fontId="75" fillId="0" borderId="53" applyNumberFormat="0" applyFill="0" applyAlignment="0" applyProtection="0"/>
    <xf numFmtId="177" fontId="75" fillId="0" borderId="53" applyNumberFormat="0" applyFill="0" applyAlignment="0" applyProtection="0"/>
    <xf numFmtId="177" fontId="77" fillId="0" borderId="0" applyNumberFormat="0" applyFill="0" applyBorder="0" applyAlignment="0" applyProtection="0"/>
    <xf numFmtId="0" fontId="21" fillId="0" borderId="0"/>
    <xf numFmtId="0" fontId="5" fillId="15" borderId="0" applyNumberFormat="0" applyBorder="0" applyAlignment="0" applyProtection="0"/>
    <xf numFmtId="0" fontId="5" fillId="10" borderId="0" applyNumberFormat="0" applyBorder="0" applyAlignment="0" applyProtection="0"/>
    <xf numFmtId="0" fontId="22" fillId="24" borderId="0" applyNumberFormat="0" applyBorder="0" applyAlignment="0" applyProtection="0"/>
    <xf numFmtId="0" fontId="16" fillId="8" borderId="0" applyNumberFormat="0" applyBorder="0" applyAlignment="0" applyProtection="0"/>
    <xf numFmtId="0" fontId="22" fillId="22" borderId="0" applyNumberFormat="0" applyBorder="0" applyAlignment="0" applyProtection="0"/>
    <xf numFmtId="0" fontId="22" fillId="25" borderId="0" applyNumberFormat="0" applyBorder="0" applyAlignment="0" applyProtection="0"/>
    <xf numFmtId="0" fontId="22" fillId="26" borderId="0" applyNumberFormat="0" applyBorder="0" applyAlignment="0" applyProtection="0"/>
    <xf numFmtId="0" fontId="16" fillId="41" borderId="0" applyNumberFormat="0" applyBorder="0" applyAlignment="0" applyProtection="0"/>
    <xf numFmtId="0" fontId="22" fillId="27" borderId="0" applyNumberFormat="0" applyBorder="0" applyAlignment="0" applyProtection="0"/>
    <xf numFmtId="0" fontId="16" fillId="6" borderId="0" applyNumberFormat="0" applyBorder="0" applyAlignment="0" applyProtection="0"/>
    <xf numFmtId="0" fontId="22" fillId="28" borderId="0" applyNumberFormat="0" applyBorder="0" applyAlignment="0" applyProtection="0"/>
    <xf numFmtId="0" fontId="16" fillId="9" borderId="0" applyNumberFormat="0" applyBorder="0" applyAlignment="0" applyProtection="0"/>
    <xf numFmtId="0" fontId="22" fillId="26" borderId="0" applyNumberFormat="0" applyBorder="0" applyAlignment="0" applyProtection="0"/>
    <xf numFmtId="0" fontId="22" fillId="29" borderId="0" applyNumberFormat="0" applyBorder="0" applyAlignment="0" applyProtection="0"/>
    <xf numFmtId="6" fontId="11" fillId="0" borderId="0" applyFill="0" applyBorder="0" applyAlignment="0"/>
    <xf numFmtId="5" fontId="11" fillId="0" borderId="0" applyFill="0" applyBorder="0" applyAlignment="0"/>
    <xf numFmtId="41" fontId="11" fillId="0" borderId="0" applyFill="0" applyBorder="0" applyAlignment="0"/>
    <xf numFmtId="6" fontId="11" fillId="0" borderId="0" applyFill="0" applyBorder="0" applyAlignment="0"/>
    <xf numFmtId="0" fontId="27" fillId="30" borderId="48" applyNumberFormat="0" applyAlignment="0" applyProtection="0"/>
    <xf numFmtId="0" fontId="27" fillId="30" borderId="48" applyNumberFormat="0" applyAlignment="0" applyProtection="0"/>
    <xf numFmtId="0" fontId="29" fillId="31" borderId="15" applyNumberFormat="0" applyAlignment="0" applyProtection="0"/>
    <xf numFmtId="43" fontId="2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230" fontId="2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5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5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1" fillId="0" borderId="0" applyProtection="0"/>
    <xf numFmtId="41" fontId="115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3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5" fillId="0" borderId="0" applyFont="0" applyFill="0" applyBorder="0" applyAlignment="0" applyProtection="0"/>
    <xf numFmtId="41" fontId="11" fillId="0" borderId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5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11" fillId="0" borderId="0" applyFont="0" applyFill="0" applyBorder="0" applyAlignment="0" applyProtection="0"/>
    <xf numFmtId="0" fontId="31" fillId="0" borderId="0"/>
    <xf numFmtId="222" fontId="11" fillId="0" borderId="0" applyFill="0" applyBorder="0" applyAlignment="0" applyProtection="0"/>
    <xf numFmtId="41" fontId="5" fillId="0" borderId="0" applyFont="0" applyFill="0" applyBorder="0" applyAlignment="0" applyProtection="0"/>
    <xf numFmtId="41" fontId="115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115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5" fontId="11" fillId="0" borderId="0" applyFont="0" applyFill="0" applyBorder="0" applyAlignment="0" applyProtection="0"/>
    <xf numFmtId="43" fontId="21" fillId="0" borderId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1" fillId="0" borderId="0" applyProtection="0"/>
    <xf numFmtId="43" fontId="115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1" fillId="0" borderId="0" applyProtection="0"/>
    <xf numFmtId="43" fontId="1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224" fontId="59" fillId="0" borderId="0" applyFill="0" applyBorder="0" applyAlignment="0" applyProtection="0"/>
    <xf numFmtId="43" fontId="1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224" fontId="11" fillId="0" borderId="0" applyFill="0" applyBorder="0" applyAlignment="0" applyProtection="0"/>
    <xf numFmtId="43" fontId="1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21" fillId="0" borderId="0" applyProtection="0"/>
    <xf numFmtId="43" fontId="11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15" fillId="0" borderId="0" applyFont="0" applyFill="0" applyBorder="0" applyAlignment="0" applyProtection="0"/>
    <xf numFmtId="224" fontId="11" fillId="0" borderId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21" fillId="0" borderId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224" fontId="11" fillId="0" borderId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15" fillId="0" borderId="0" applyFont="0" applyFill="0" applyBorder="0" applyAlignment="0" applyProtection="0"/>
    <xf numFmtId="224" fontId="11" fillId="0" borderId="0" applyFill="0" applyBorder="0" applyAlignment="0" applyProtection="0"/>
    <xf numFmtId="43" fontId="31" fillId="0" borderId="0" applyFont="0" applyFill="0" applyBorder="0" applyAlignment="0" applyProtection="0"/>
    <xf numFmtId="43" fontId="21" fillId="0" borderId="0" applyProtection="0"/>
    <xf numFmtId="43" fontId="115" fillId="0" borderId="0" applyFont="0" applyFill="0" applyBorder="0" applyAlignment="0" applyProtection="0"/>
    <xf numFmtId="224" fontId="11" fillId="0" borderId="0" applyFill="0" applyBorder="0" applyAlignment="0" applyProtection="0"/>
    <xf numFmtId="43" fontId="21" fillId="0" borderId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1" fillId="0" borderId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222" fontId="11" fillId="0" borderId="0" applyFill="0" applyBorder="0" applyAlignment="0" applyProtection="0">
      <alignment vertical="center"/>
    </xf>
    <xf numFmtId="185" fontId="37" fillId="0" borderId="58"/>
    <xf numFmtId="6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5" fontId="11" fillId="0" borderId="0" applyFill="0" applyBorder="0" applyAlignment="0"/>
    <xf numFmtId="6" fontId="11" fillId="0" borderId="0" applyFill="0" applyBorder="0" applyAlignment="0"/>
    <xf numFmtId="5" fontId="11" fillId="0" borderId="0" applyFill="0" applyBorder="0" applyAlignment="0"/>
    <xf numFmtId="41" fontId="11" fillId="0" borderId="0" applyFill="0" applyBorder="0" applyAlignment="0"/>
    <xf numFmtId="6" fontId="11" fillId="0" borderId="0" applyFill="0" applyBorder="0" applyAlignment="0"/>
    <xf numFmtId="0" fontId="40" fillId="0" borderId="0" applyNumberFormat="0" applyFill="0" applyBorder="0" applyAlignment="0" applyProtection="0"/>
    <xf numFmtId="0" fontId="41" fillId="16" borderId="0" applyNumberFormat="0" applyBorder="0" applyAlignment="0" applyProtection="0"/>
    <xf numFmtId="0" fontId="43" fillId="0" borderId="59">
      <alignment horizontal="left" vertical="center"/>
    </xf>
    <xf numFmtId="0" fontId="44" fillId="0" borderId="19" applyNumberFormat="0" applyFill="0" applyAlignment="0" applyProtection="0"/>
    <xf numFmtId="0" fontId="45" fillId="0" borderId="20" applyNumberFormat="0" applyFill="0" applyAlignment="0" applyProtection="0"/>
    <xf numFmtId="0" fontId="46" fillId="0" borderId="21" applyNumberFormat="0" applyFill="0" applyAlignment="0" applyProtection="0"/>
    <xf numFmtId="0" fontId="46" fillId="0" borderId="0" applyNumberFormat="0" applyFill="0" applyBorder="0" applyAlignment="0" applyProtection="0"/>
    <xf numFmtId="10" fontId="34" fillId="34" borderId="58" applyNumberFormat="0" applyBorder="0" applyAlignment="0" applyProtection="0"/>
    <xf numFmtId="0" fontId="50" fillId="19" borderId="48" applyNumberFormat="0" applyAlignment="0" applyProtection="0"/>
    <xf numFmtId="5" fontId="11" fillId="0" borderId="0" applyFill="0" applyBorder="0" applyAlignment="0"/>
    <xf numFmtId="6" fontId="11" fillId="0" borderId="0" applyFill="0" applyBorder="0" applyAlignment="0"/>
    <xf numFmtId="5" fontId="11" fillId="0" borderId="0" applyFill="0" applyBorder="0" applyAlignment="0"/>
    <xf numFmtId="41" fontId="11" fillId="0" borderId="0" applyFill="0" applyBorder="0" applyAlignment="0"/>
    <xf numFmtId="6" fontId="11" fillId="0" borderId="0" applyFill="0" applyBorder="0" applyAlignment="0"/>
    <xf numFmtId="0" fontId="51" fillId="0" borderId="24" applyNumberFormat="0" applyFill="0" applyAlignment="0" applyProtection="0"/>
    <xf numFmtId="0" fontId="54" fillId="37" borderId="0" applyNumberFormat="0" applyBorder="0" applyAlignment="0" applyProtection="0"/>
    <xf numFmtId="0" fontId="2" fillId="0" borderId="0"/>
    <xf numFmtId="0" fontId="31" fillId="0" borderId="0"/>
    <xf numFmtId="0" fontId="115" fillId="0" borderId="0"/>
    <xf numFmtId="0" fontId="5" fillId="0" borderId="0"/>
    <xf numFmtId="0" fontId="115" fillId="0" borderId="0"/>
    <xf numFmtId="0" fontId="115" fillId="0" borderId="0"/>
    <xf numFmtId="0" fontId="115" fillId="0" borderId="0"/>
    <xf numFmtId="0" fontId="59" fillId="0" borderId="0"/>
    <xf numFmtId="0" fontId="11" fillId="0" borderId="0"/>
    <xf numFmtId="0" fontId="59" fillId="0" borderId="0"/>
    <xf numFmtId="0" fontId="5" fillId="0" borderId="0"/>
    <xf numFmtId="0" fontId="21" fillId="0" borderId="0"/>
    <xf numFmtId="230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2" fillId="0" borderId="0"/>
    <xf numFmtId="0" fontId="27" fillId="30" borderId="14" applyNumberFormat="0" applyAlignment="0" applyProtection="0"/>
    <xf numFmtId="0" fontId="2" fillId="0" borderId="0"/>
    <xf numFmtId="230" fontId="21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230" fontId="21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43" fontId="21" fillId="0" borderId="0" applyFont="0" applyFill="0" applyBorder="0" applyAlignment="0" applyProtection="0"/>
    <xf numFmtId="230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11" fillId="0" borderId="0"/>
    <xf numFmtId="0" fontId="11" fillId="0" borderId="0"/>
    <xf numFmtId="43" fontId="21" fillId="0" borderId="0" applyFont="0" applyFill="0" applyBorder="0" applyAlignment="0" applyProtection="0"/>
    <xf numFmtId="0" fontId="31" fillId="38" borderId="68" applyNumberFormat="0" applyFont="0" applyAlignment="0" applyProtection="0"/>
    <xf numFmtId="0" fontId="131" fillId="0" borderId="0"/>
    <xf numFmtId="0" fontId="2" fillId="0" borderId="0"/>
    <xf numFmtId="0" fontId="11" fillId="0" borderId="0"/>
    <xf numFmtId="0" fontId="31" fillId="38" borderId="68" applyNumberFormat="0" applyFont="0" applyAlignment="0" applyProtection="0"/>
    <xf numFmtId="0" fontId="31" fillId="38" borderId="68" applyNumberFormat="0" applyFont="0" applyAlignment="0" applyProtection="0"/>
    <xf numFmtId="0" fontId="5" fillId="0" borderId="0"/>
    <xf numFmtId="0" fontId="5" fillId="0" borderId="0"/>
    <xf numFmtId="0" fontId="59" fillId="0" borderId="0"/>
    <xf numFmtId="0" fontId="31" fillId="38" borderId="68" applyNumberFormat="0" applyFont="0" applyAlignment="0" applyProtection="0"/>
    <xf numFmtId="0" fontId="2" fillId="0" borderId="0"/>
    <xf numFmtId="0" fontId="2" fillId="0" borderId="0"/>
    <xf numFmtId="0" fontId="21" fillId="0" borderId="0"/>
    <xf numFmtId="0" fontId="115" fillId="0" borderId="0"/>
    <xf numFmtId="0" fontId="31" fillId="38" borderId="68" applyNumberFormat="0" applyFont="0" applyAlignment="0" applyProtection="0"/>
    <xf numFmtId="0" fontId="31" fillId="38" borderId="49" applyNumberFormat="0" applyFont="0" applyAlignment="0" applyProtection="0"/>
    <xf numFmtId="0" fontId="31" fillId="38" borderId="49" applyNumberFormat="0" applyFont="0" applyAlignment="0" applyProtection="0"/>
    <xf numFmtId="0" fontId="61" fillId="30" borderId="63" applyNumberFormat="0" applyAlignment="0" applyProtection="0"/>
    <xf numFmtId="0" fontId="61" fillId="30" borderId="63" applyNumberFormat="0" applyAlignment="0" applyProtection="0"/>
    <xf numFmtId="0" fontId="31" fillId="38" borderId="68" applyNumberFormat="0" applyFont="0" applyAlignment="0" applyProtection="0"/>
    <xf numFmtId="6" fontId="26" fillId="0" borderId="0" applyFont="0" applyFill="0" applyBorder="0" applyAlignment="0" applyProtection="0"/>
    <xf numFmtId="0" fontId="31" fillId="38" borderId="68" applyNumberFormat="0" applyFont="0" applyAlignment="0" applyProtection="0"/>
    <xf numFmtId="9" fontId="5" fillId="0" borderId="0" applyFont="0" applyFill="0" applyBorder="0" applyAlignment="0" applyProtection="0"/>
    <xf numFmtId="9" fontId="115" fillId="0" borderId="0" applyFont="0" applyFill="0" applyBorder="0" applyAlignment="0" applyProtection="0"/>
    <xf numFmtId="0" fontId="31" fillId="38" borderId="68" applyNumberFormat="0" applyFont="0" applyAlignment="0" applyProtection="0"/>
    <xf numFmtId="9" fontId="115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" fillId="0" borderId="0" applyFont="0" applyFill="0" applyBorder="0" applyAlignment="0" applyProtection="0"/>
    <xf numFmtId="5" fontId="11" fillId="0" borderId="0" applyFill="0" applyBorder="0" applyAlignment="0"/>
    <xf numFmtId="6" fontId="11" fillId="0" borderId="0" applyFill="0" applyBorder="0" applyAlignment="0"/>
    <xf numFmtId="5" fontId="11" fillId="0" borderId="0" applyFill="0" applyBorder="0" applyAlignment="0"/>
    <xf numFmtId="41" fontId="11" fillId="0" borderId="0" applyFill="0" applyBorder="0" applyAlignment="0"/>
    <xf numFmtId="6" fontId="11" fillId="0" borderId="0" applyFill="0" applyBorder="0" applyAlignment="0"/>
    <xf numFmtId="0" fontId="67" fillId="0" borderId="64"/>
    <xf numFmtId="0" fontId="70" fillId="0" borderId="58">
      <alignment horizontal="center"/>
    </xf>
    <xf numFmtId="43" fontId="11" fillId="0" borderId="0" applyFill="0" applyBorder="0" applyAlignment="0"/>
    <xf numFmtId="41" fontId="11" fillId="0" borderId="0" applyFont="0" applyFill="0" applyBorder="0" applyAlignment="0" applyProtection="0"/>
    <xf numFmtId="0" fontId="70" fillId="0" borderId="66">
      <alignment horizontal="center"/>
    </xf>
    <xf numFmtId="0" fontId="74" fillId="0" borderId="0" applyNumberFormat="0" applyFill="0" applyBorder="0" applyAlignment="0" applyProtection="0"/>
    <xf numFmtId="0" fontId="75" fillId="0" borderId="65" applyNumberFormat="0" applyFill="0" applyAlignment="0" applyProtection="0"/>
    <xf numFmtId="0" fontId="75" fillId="0" borderId="65" applyNumberFormat="0" applyFill="0" applyAlignment="0" applyProtection="0"/>
    <xf numFmtId="0" fontId="77" fillId="0" borderId="0" applyNumberFormat="0" applyFill="0" applyBorder="0" applyAlignment="0" applyProtection="0"/>
    <xf numFmtId="0" fontId="70" fillId="0" borderId="66">
      <alignment horizontal="center"/>
    </xf>
    <xf numFmtId="0" fontId="70" fillId="0" borderId="66">
      <alignment horizontal="center"/>
    </xf>
    <xf numFmtId="0" fontId="21" fillId="0" borderId="0"/>
    <xf numFmtId="185" fontId="37" fillId="0" borderId="66"/>
    <xf numFmtId="0" fontId="43" fillId="0" borderId="67">
      <alignment horizontal="left" vertical="center"/>
    </xf>
    <xf numFmtId="10" fontId="34" fillId="34" borderId="66" applyNumberFormat="0" applyBorder="0" applyAlignment="0" applyProtection="0"/>
    <xf numFmtId="0" fontId="50" fillId="19" borderId="14" applyNumberFormat="0" applyAlignment="0" applyProtection="0"/>
    <xf numFmtId="0" fontId="50" fillId="19" borderId="14" applyNumberFormat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230" fontId="21" fillId="0" borderId="0" applyFont="0" applyFill="0" applyBorder="0" applyAlignment="0" applyProtection="0">
      <alignment vertical="center"/>
    </xf>
    <xf numFmtId="230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230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230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31" fillId="38" borderId="68" applyNumberFormat="0" applyFont="0" applyAlignment="0" applyProtection="0"/>
    <xf numFmtId="0" fontId="31" fillId="38" borderId="68" applyNumberFormat="0" applyFont="0" applyAlignment="0" applyProtection="0"/>
    <xf numFmtId="0" fontId="31" fillId="38" borderId="68" applyNumberFormat="0" applyFont="0" applyAlignment="0" applyProtection="0"/>
    <xf numFmtId="0" fontId="31" fillId="38" borderId="68" applyNumberFormat="0" applyFont="0" applyAlignment="0" applyProtection="0"/>
    <xf numFmtId="0" fontId="31" fillId="38" borderId="68" applyNumberFormat="0" applyFont="0" applyAlignment="0" applyProtection="0"/>
    <xf numFmtId="0" fontId="31" fillId="38" borderId="68" applyNumberFormat="0" applyFont="0" applyAlignment="0" applyProtection="0"/>
    <xf numFmtId="0" fontId="31" fillId="38" borderId="68" applyNumberFormat="0" applyFont="0" applyAlignment="0" applyProtection="0"/>
    <xf numFmtId="0" fontId="31" fillId="38" borderId="68" applyNumberFormat="0" applyFont="0" applyAlignment="0" applyProtection="0"/>
    <xf numFmtId="0" fontId="70" fillId="0" borderId="66">
      <alignment horizontal="center"/>
    </xf>
    <xf numFmtId="0" fontId="70" fillId="0" borderId="66">
      <alignment horizontal="center"/>
    </xf>
    <xf numFmtId="0" fontId="75" fillId="0" borderId="69" applyNumberFormat="0" applyFill="0" applyAlignment="0" applyProtection="0"/>
    <xf numFmtId="0" fontId="75" fillId="0" borderId="69" applyNumberFormat="0" applyFill="0" applyAlignment="0" applyProtection="0"/>
    <xf numFmtId="0" fontId="70" fillId="0" borderId="66">
      <alignment horizontal="center"/>
    </xf>
    <xf numFmtId="0" fontId="70" fillId="0" borderId="66">
      <alignment horizontal="center"/>
    </xf>
    <xf numFmtId="0" fontId="21" fillId="0" borderId="0"/>
    <xf numFmtId="0" fontId="75" fillId="0" borderId="69" applyNumberFormat="0" applyFill="0" applyAlignment="0" applyProtection="0"/>
    <xf numFmtId="0" fontId="70" fillId="0" borderId="66">
      <alignment horizont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32" fillId="0" borderId="0"/>
    <xf numFmtId="0" fontId="132" fillId="0" borderId="0"/>
    <xf numFmtId="6" fontId="11" fillId="0" borderId="0" applyFill="0" applyBorder="0" applyAlignment="0"/>
    <xf numFmtId="6" fontId="11" fillId="0" borderId="0" applyFill="0" applyBorder="0" applyAlignment="0"/>
    <xf numFmtId="6" fontId="11" fillId="0" borderId="0" applyFill="0" applyBorder="0" applyAlignment="0"/>
    <xf numFmtId="5" fontId="11" fillId="0" borderId="0" applyFill="0" applyBorder="0" applyAlignment="0"/>
    <xf numFmtId="5" fontId="11" fillId="0" borderId="0" applyFill="0" applyBorder="0" applyAlignment="0"/>
    <xf numFmtId="5" fontId="11" fillId="0" borderId="0" applyFill="0" applyBorder="0" applyAlignment="0"/>
    <xf numFmtId="41" fontId="11" fillId="0" borderId="0" applyFill="0" applyBorder="0" applyAlignment="0"/>
    <xf numFmtId="41" fontId="11" fillId="0" borderId="0" applyFill="0" applyBorder="0" applyAlignment="0"/>
    <xf numFmtId="41" fontId="11" fillId="0" borderId="0" applyFill="0" applyBorder="0" applyAlignment="0"/>
    <xf numFmtId="6" fontId="11" fillId="0" borderId="0" applyFill="0" applyBorder="0" applyAlignment="0"/>
    <xf numFmtId="6" fontId="11" fillId="0" borderId="0" applyFill="0" applyBorder="0" applyAlignment="0"/>
    <xf numFmtId="6" fontId="11" fillId="0" borderId="0" applyFill="0" applyBorder="0" applyAlignment="0"/>
    <xf numFmtId="0" fontId="27" fillId="30" borderId="48" applyNumberFormat="0" applyAlignment="0" applyProtection="0"/>
    <xf numFmtId="0" fontId="27" fillId="30" borderId="48" applyNumberFormat="0" applyAlignment="0" applyProtection="0"/>
    <xf numFmtId="0" fontId="27" fillId="30" borderId="48" applyNumberFormat="0" applyAlignment="0" applyProtection="0"/>
    <xf numFmtId="0" fontId="27" fillId="30" borderId="48" applyNumberFormat="0" applyAlignment="0" applyProtection="0"/>
    <xf numFmtId="0" fontId="27" fillId="30" borderId="48" applyNumberFormat="0" applyAlignment="0" applyProtection="0"/>
    <xf numFmtId="0" fontId="27" fillId="30" borderId="48" applyNumberFormat="0" applyAlignment="0" applyProtection="0"/>
    <xf numFmtId="43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115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5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5" fillId="0" borderId="0" applyFont="0" applyFill="0" applyBorder="0" applyAlignment="0" applyProtection="0"/>
    <xf numFmtId="41" fontId="3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5" fillId="0" borderId="0" applyFont="0" applyFill="0" applyBorder="0" applyAlignment="0" applyProtection="0"/>
    <xf numFmtId="41" fontId="21" fillId="0" borderId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5" fillId="0" borderId="0" applyFont="0" applyFill="0" applyBorder="0" applyAlignment="0" applyProtection="0"/>
    <xf numFmtId="230" fontId="2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230" fontId="21" fillId="0" borderId="0" applyFont="0" applyFill="0" applyBorder="0" applyAlignment="0" applyProtection="0">
      <alignment vertical="center"/>
    </xf>
    <xf numFmtId="230" fontId="21" fillId="0" borderId="0" applyFont="0" applyFill="0" applyBorder="0" applyAlignment="0" applyProtection="0">
      <alignment vertical="center"/>
    </xf>
    <xf numFmtId="230" fontId="21" fillId="0" borderId="0" applyFont="0" applyFill="0" applyBorder="0" applyAlignment="0" applyProtection="0">
      <alignment vertical="center"/>
    </xf>
    <xf numFmtId="230" fontId="21" fillId="0" borderId="0" applyFont="0" applyFill="0" applyBorder="0" applyAlignment="0" applyProtection="0">
      <alignment vertical="center"/>
    </xf>
    <xf numFmtId="230" fontId="21" fillId="0" borderId="0" applyFont="0" applyFill="0" applyBorder="0" applyAlignment="0" applyProtection="0">
      <alignment vertical="center"/>
    </xf>
    <xf numFmtId="230" fontId="21" fillId="0" borderId="0" applyFont="0" applyFill="0" applyBorder="0" applyAlignment="0" applyProtection="0">
      <alignment vertical="center"/>
    </xf>
    <xf numFmtId="230" fontId="2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115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5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5" fontId="11" fillId="0" borderId="0" applyFont="0" applyFill="0" applyBorder="0" applyAlignment="0" applyProtection="0"/>
    <xf numFmtId="5" fontId="11" fillId="0" borderId="0" applyFont="0" applyFill="0" applyBorder="0" applyAlignment="0" applyProtection="0"/>
    <xf numFmtId="5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1" fillId="0" borderId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1" fillId="0" borderId="0" applyProtection="0"/>
    <xf numFmtId="43" fontId="21" fillId="0" borderId="0" applyProtection="0"/>
    <xf numFmtId="43" fontId="3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1" fillId="0" borderId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1" fillId="0" borderId="0" applyProtection="0"/>
    <xf numFmtId="43" fontId="2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21" fillId="0" borderId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21" fillId="0" borderId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21" fillId="0" borderId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1" fillId="0" borderId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1" fillId="0" borderId="0" applyProtection="0"/>
    <xf numFmtId="185" fontId="37" fillId="0" borderId="66"/>
    <xf numFmtId="185" fontId="37" fillId="0" borderId="66"/>
    <xf numFmtId="6" fontId="11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5" fontId="11" fillId="0" borderId="0" applyFill="0" applyBorder="0" applyAlignment="0"/>
    <xf numFmtId="5" fontId="11" fillId="0" borderId="0" applyFill="0" applyBorder="0" applyAlignment="0"/>
    <xf numFmtId="5" fontId="11" fillId="0" borderId="0" applyFill="0" applyBorder="0" applyAlignment="0"/>
    <xf numFmtId="6" fontId="11" fillId="0" borderId="0" applyFill="0" applyBorder="0" applyAlignment="0"/>
    <xf numFmtId="6" fontId="11" fillId="0" borderId="0" applyFill="0" applyBorder="0" applyAlignment="0"/>
    <xf numFmtId="6" fontId="11" fillId="0" borderId="0" applyFill="0" applyBorder="0" applyAlignment="0"/>
    <xf numFmtId="5" fontId="11" fillId="0" borderId="0" applyFill="0" applyBorder="0" applyAlignment="0"/>
    <xf numFmtId="5" fontId="11" fillId="0" borderId="0" applyFill="0" applyBorder="0" applyAlignment="0"/>
    <xf numFmtId="5" fontId="11" fillId="0" borderId="0" applyFill="0" applyBorder="0" applyAlignment="0"/>
    <xf numFmtId="41" fontId="11" fillId="0" borderId="0" applyFill="0" applyBorder="0" applyAlignment="0"/>
    <xf numFmtId="41" fontId="11" fillId="0" borderId="0" applyFill="0" applyBorder="0" applyAlignment="0"/>
    <xf numFmtId="41" fontId="11" fillId="0" borderId="0" applyFill="0" applyBorder="0" applyAlignment="0"/>
    <xf numFmtId="6" fontId="11" fillId="0" borderId="0" applyFill="0" applyBorder="0" applyAlignment="0"/>
    <xf numFmtId="6" fontId="11" fillId="0" borderId="0" applyFill="0" applyBorder="0" applyAlignment="0"/>
    <xf numFmtId="6" fontId="11" fillId="0" borderId="0" applyFill="0" applyBorder="0" applyAlignment="0"/>
    <xf numFmtId="0" fontId="43" fillId="0" borderId="67">
      <alignment horizontal="left" vertical="center"/>
    </xf>
    <xf numFmtId="0" fontId="43" fillId="0" borderId="67">
      <alignment horizontal="left" vertical="center"/>
    </xf>
    <xf numFmtId="10" fontId="34" fillId="34" borderId="66" applyNumberFormat="0" applyBorder="0" applyAlignment="0" applyProtection="0"/>
    <xf numFmtId="10" fontId="34" fillId="34" borderId="66" applyNumberFormat="0" applyBorder="0" applyAlignment="0" applyProtection="0"/>
    <xf numFmtId="0" fontId="50" fillId="19" borderId="48" applyNumberFormat="0" applyAlignment="0" applyProtection="0"/>
    <xf numFmtId="0" fontId="50" fillId="19" borderId="48" applyNumberFormat="0" applyAlignment="0" applyProtection="0"/>
    <xf numFmtId="0" fontId="50" fillId="19" borderId="48" applyNumberFormat="0" applyAlignment="0" applyProtection="0"/>
    <xf numFmtId="0" fontId="50" fillId="19" borderId="48" applyNumberFormat="0" applyAlignment="0" applyProtection="0"/>
    <xf numFmtId="0" fontId="50" fillId="19" borderId="48" applyNumberFormat="0" applyAlignment="0" applyProtection="0"/>
    <xf numFmtId="5" fontId="11" fillId="0" borderId="0" applyFill="0" applyBorder="0" applyAlignment="0"/>
    <xf numFmtId="5" fontId="11" fillId="0" borderId="0" applyFill="0" applyBorder="0" applyAlignment="0"/>
    <xf numFmtId="5" fontId="11" fillId="0" borderId="0" applyFill="0" applyBorder="0" applyAlignment="0"/>
    <xf numFmtId="6" fontId="11" fillId="0" borderId="0" applyFill="0" applyBorder="0" applyAlignment="0"/>
    <xf numFmtId="6" fontId="11" fillId="0" borderId="0" applyFill="0" applyBorder="0" applyAlignment="0"/>
    <xf numFmtId="6" fontId="11" fillId="0" borderId="0" applyFill="0" applyBorder="0" applyAlignment="0"/>
    <xf numFmtId="5" fontId="11" fillId="0" borderId="0" applyFill="0" applyBorder="0" applyAlignment="0"/>
    <xf numFmtId="5" fontId="11" fillId="0" borderId="0" applyFill="0" applyBorder="0" applyAlignment="0"/>
    <xf numFmtId="5" fontId="11" fillId="0" borderId="0" applyFill="0" applyBorder="0" applyAlignment="0"/>
    <xf numFmtId="41" fontId="11" fillId="0" borderId="0" applyFill="0" applyBorder="0" applyAlignment="0"/>
    <xf numFmtId="41" fontId="11" fillId="0" borderId="0" applyFill="0" applyBorder="0" applyAlignment="0"/>
    <xf numFmtId="41" fontId="11" fillId="0" borderId="0" applyFill="0" applyBorder="0" applyAlignment="0"/>
    <xf numFmtId="6" fontId="11" fillId="0" borderId="0" applyFill="0" applyBorder="0" applyAlignment="0"/>
    <xf numFmtId="6" fontId="11" fillId="0" borderId="0" applyFill="0" applyBorder="0" applyAlignment="0"/>
    <xf numFmtId="6" fontId="11" fillId="0" borderId="0" applyFill="0" applyBorder="0" applyAlignment="0"/>
    <xf numFmtId="0" fontId="31" fillId="0" borderId="0"/>
    <xf numFmtId="0" fontId="21" fillId="0" borderId="0"/>
    <xf numFmtId="0" fontId="2" fillId="0" borderId="0"/>
    <xf numFmtId="0" fontId="21" fillId="0" borderId="0"/>
    <xf numFmtId="0" fontId="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19" fillId="0" borderId="0"/>
    <xf numFmtId="0" fontId="21" fillId="0" borderId="0"/>
    <xf numFmtId="0" fontId="21" fillId="0" borderId="0"/>
    <xf numFmtId="0" fontId="31" fillId="38" borderId="68" applyNumberFormat="0" applyFont="0" applyAlignment="0" applyProtection="0"/>
    <xf numFmtId="0" fontId="31" fillId="38" borderId="68" applyNumberFormat="0" applyFont="0" applyAlignment="0" applyProtection="0"/>
    <xf numFmtId="0" fontId="31" fillId="38" borderId="68" applyNumberFormat="0" applyFont="0" applyAlignment="0" applyProtection="0"/>
    <xf numFmtId="0" fontId="31" fillId="38" borderId="68" applyNumberFormat="0" applyFont="0" applyAlignment="0" applyProtection="0"/>
    <xf numFmtId="0" fontId="31" fillId="38" borderId="68" applyNumberFormat="0" applyFont="0" applyAlignment="0" applyProtection="0"/>
    <xf numFmtId="0" fontId="31" fillId="38" borderId="68" applyNumberFormat="0" applyFont="0" applyAlignment="0" applyProtection="0"/>
    <xf numFmtId="0" fontId="31" fillId="38" borderId="68" applyNumberFormat="0" applyFont="0" applyAlignment="0" applyProtection="0"/>
    <xf numFmtId="0" fontId="31" fillId="38" borderId="68" applyNumberFormat="0" applyFont="0" applyAlignment="0" applyProtection="0"/>
    <xf numFmtId="0" fontId="61" fillId="30" borderId="63" applyNumberFormat="0" applyAlignment="0" applyProtection="0"/>
    <xf numFmtId="0" fontId="61" fillId="30" borderId="63" applyNumberFormat="0" applyAlignment="0" applyProtection="0"/>
    <xf numFmtId="0" fontId="61" fillId="30" borderId="63" applyNumberFormat="0" applyAlignment="0" applyProtection="0"/>
    <xf numFmtId="0" fontId="61" fillId="30" borderId="63" applyNumberFormat="0" applyAlignment="0" applyProtection="0"/>
    <xf numFmtId="0" fontId="61" fillId="30" borderId="63" applyNumberFormat="0" applyAlignment="0" applyProtection="0"/>
    <xf numFmtId="0" fontId="61" fillId="30" borderId="63" applyNumberFormat="0" applyAlignment="0" applyProtection="0"/>
    <xf numFmtId="9" fontId="21" fillId="0" borderId="0" applyFont="0" applyFill="0" applyBorder="0" applyAlignment="0" applyProtection="0"/>
    <xf numFmtId="6" fontId="26" fillId="0" borderId="0" applyFont="0" applyFill="0" applyBorder="0" applyAlignment="0" applyProtection="0"/>
    <xf numFmtId="6" fontId="26" fillId="0" borderId="0" applyFont="0" applyFill="0" applyBorder="0" applyAlignment="0" applyProtection="0"/>
    <xf numFmtId="6" fontId="26" fillId="0" borderId="0" applyFont="0" applyFill="0" applyBorder="0" applyAlignment="0" applyProtection="0"/>
    <xf numFmtId="5" fontId="11" fillId="0" borderId="0" applyFill="0" applyBorder="0" applyAlignment="0"/>
    <xf numFmtId="5" fontId="11" fillId="0" borderId="0" applyFill="0" applyBorder="0" applyAlignment="0"/>
    <xf numFmtId="5" fontId="11" fillId="0" borderId="0" applyFill="0" applyBorder="0" applyAlignment="0"/>
    <xf numFmtId="6" fontId="11" fillId="0" borderId="0" applyFill="0" applyBorder="0" applyAlignment="0"/>
    <xf numFmtId="6" fontId="11" fillId="0" borderId="0" applyFill="0" applyBorder="0" applyAlignment="0"/>
    <xf numFmtId="6" fontId="11" fillId="0" borderId="0" applyFill="0" applyBorder="0" applyAlignment="0"/>
    <xf numFmtId="5" fontId="11" fillId="0" borderId="0" applyFill="0" applyBorder="0" applyAlignment="0"/>
    <xf numFmtId="5" fontId="11" fillId="0" borderId="0" applyFill="0" applyBorder="0" applyAlignment="0"/>
    <xf numFmtId="5" fontId="11" fillId="0" borderId="0" applyFill="0" applyBorder="0" applyAlignment="0"/>
    <xf numFmtId="41" fontId="11" fillId="0" borderId="0" applyFill="0" applyBorder="0" applyAlignment="0"/>
    <xf numFmtId="41" fontId="11" fillId="0" borderId="0" applyFill="0" applyBorder="0" applyAlignment="0"/>
    <xf numFmtId="41" fontId="11" fillId="0" borderId="0" applyFill="0" applyBorder="0" applyAlignment="0"/>
    <xf numFmtId="6" fontId="11" fillId="0" borderId="0" applyFill="0" applyBorder="0" applyAlignment="0"/>
    <xf numFmtId="6" fontId="11" fillId="0" borderId="0" applyFill="0" applyBorder="0" applyAlignment="0"/>
    <xf numFmtId="6" fontId="11" fillId="0" borderId="0" applyFill="0" applyBorder="0" applyAlignment="0"/>
    <xf numFmtId="0" fontId="67" fillId="0" borderId="64"/>
    <xf numFmtId="0" fontId="67" fillId="0" borderId="64"/>
    <xf numFmtId="0" fontId="67" fillId="0" borderId="64"/>
    <xf numFmtId="0" fontId="70" fillId="0" borderId="66">
      <alignment horizontal="center"/>
    </xf>
    <xf numFmtId="0" fontId="70" fillId="0" borderId="66">
      <alignment horizontal="center"/>
    </xf>
    <xf numFmtId="0" fontId="70" fillId="0" borderId="66">
      <alignment horizontal="center"/>
    </xf>
    <xf numFmtId="43" fontId="11" fillId="0" borderId="0" applyFill="0" applyBorder="0" applyAlignment="0"/>
    <xf numFmtId="43" fontId="11" fillId="0" borderId="0" applyFill="0" applyBorder="0" applyAlignment="0"/>
    <xf numFmtId="43" fontId="11" fillId="0" borderId="0" applyFill="0" applyBorder="0" applyAlignment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0" fontId="75" fillId="0" borderId="69" applyNumberFormat="0" applyFill="0" applyAlignment="0" applyProtection="0"/>
    <xf numFmtId="0" fontId="75" fillId="0" borderId="69" applyNumberFormat="0" applyFill="0" applyAlignment="0" applyProtection="0"/>
    <xf numFmtId="0" fontId="75" fillId="0" borderId="69" applyNumberFormat="0" applyFill="0" applyAlignment="0" applyProtection="0"/>
    <xf numFmtId="0" fontId="75" fillId="0" borderId="69" applyNumberFormat="0" applyFill="0" applyAlignment="0" applyProtection="0"/>
    <xf numFmtId="0" fontId="75" fillId="0" borderId="69" applyNumberFormat="0" applyFill="0" applyAlignment="0" applyProtection="0"/>
    <xf numFmtId="0" fontId="75" fillId="0" borderId="69" applyNumberFormat="0" applyFill="0" applyAlignment="0" applyProtection="0"/>
    <xf numFmtId="178" fontId="2" fillId="0" borderId="0"/>
    <xf numFmtId="0" fontId="141" fillId="0" borderId="0"/>
    <xf numFmtId="43" fontId="141" fillId="0" borderId="0" applyFont="0" applyFill="0" applyBorder="0" applyAlignment="0" applyProtection="0"/>
    <xf numFmtId="41" fontId="141" fillId="0" borderId="0" applyFont="0" applyFill="0" applyBorder="0" applyAlignment="0" applyProtection="0">
      <alignment vertical="center"/>
    </xf>
    <xf numFmtId="9" fontId="141" fillId="0" borderId="0" applyFont="0" applyFill="0" applyBorder="0" applyAlignment="0" applyProtection="0"/>
    <xf numFmtId="178" fontId="143" fillId="0" borderId="0"/>
    <xf numFmtId="181" fontId="142" fillId="0" borderId="0"/>
    <xf numFmtId="9" fontId="5" fillId="0" borderId="0" applyFont="0" applyFill="0" applyBorder="0" applyAlignment="0" applyProtection="0"/>
    <xf numFmtId="168" fontId="5" fillId="0" borderId="0" applyFont="0" applyFill="0" applyBorder="0" applyAlignment="0" applyProtection="0">
      <alignment vertical="center"/>
    </xf>
    <xf numFmtId="168" fontId="5" fillId="0" borderId="0" applyFont="0" applyFill="0" applyBorder="0" applyAlignment="0" applyProtection="0">
      <alignment vertical="center"/>
    </xf>
    <xf numFmtId="178" fontId="21" fillId="0" borderId="0"/>
    <xf numFmtId="181" fontId="5" fillId="0" borderId="0"/>
    <xf numFmtId="176" fontId="31" fillId="0" borderId="0"/>
    <xf numFmtId="176" fontId="31" fillId="0" borderId="0"/>
    <xf numFmtId="176" fontId="31" fillId="0" borderId="0"/>
    <xf numFmtId="176" fontId="31" fillId="0" borderId="0"/>
    <xf numFmtId="177" fontId="31" fillId="0" borderId="0"/>
    <xf numFmtId="176" fontId="31" fillId="0" borderId="0"/>
    <xf numFmtId="176" fontId="31" fillId="0" borderId="0"/>
    <xf numFmtId="177" fontId="11" fillId="0" borderId="0"/>
    <xf numFmtId="179" fontId="31" fillId="0" borderId="0"/>
    <xf numFmtId="179" fontId="31" fillId="0" borderId="0"/>
    <xf numFmtId="176" fontId="31" fillId="0" borderId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5" fillId="0" borderId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11" fillId="0" borderId="0"/>
    <xf numFmtId="0" fontId="5" fillId="0" borderId="0"/>
    <xf numFmtId="0" fontId="11" fillId="0" borderId="0"/>
    <xf numFmtId="0" fontId="11" fillId="0" borderId="0"/>
    <xf numFmtId="9" fontId="5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5" fillId="0" borderId="0" applyFont="0" applyFill="0" applyBorder="0" applyAlignment="0" applyProtection="0"/>
    <xf numFmtId="0" fontId="144" fillId="0" borderId="0"/>
    <xf numFmtId="43" fontId="144" fillId="0" borderId="0" applyFont="0" applyFill="0" applyBorder="0" applyAlignment="0" applyProtection="0"/>
    <xf numFmtId="9" fontId="144" fillId="0" borderId="0" applyFont="0" applyFill="0" applyBorder="0" applyAlignment="0" applyProtection="0"/>
    <xf numFmtId="41" fontId="144" fillId="0" borderId="0" applyFont="0" applyFill="0" applyBorder="0" applyAlignment="0" applyProtection="0"/>
    <xf numFmtId="0" fontId="5" fillId="0" borderId="0"/>
    <xf numFmtId="41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230" fontId="5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1" fillId="0" borderId="0" applyFont="0" applyFill="0" applyBorder="0" applyAlignment="0" applyProtection="0"/>
    <xf numFmtId="0" fontId="145" fillId="0" borderId="0"/>
    <xf numFmtId="0" fontId="5" fillId="0" borderId="0"/>
    <xf numFmtId="41" fontId="21" fillId="0" borderId="0" applyFont="0" applyFill="0" applyBorder="0" applyAlignment="0" applyProtection="0"/>
    <xf numFmtId="0" fontId="11" fillId="0" borderId="0"/>
    <xf numFmtId="0" fontId="116" fillId="0" borderId="0"/>
    <xf numFmtId="43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21" fillId="59" borderId="0" applyNumberFormat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5" fontId="37" fillId="0" borderId="72"/>
    <xf numFmtId="41" fontId="21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11" fillId="0" borderId="0" applyFont="0" applyFill="0" applyBorder="0" applyAlignment="0" applyProtection="0"/>
    <xf numFmtId="41" fontId="21" fillId="0" borderId="0" applyFont="0" applyFill="0" applyBorder="0" applyAlignment="0" applyProtection="0"/>
    <xf numFmtId="0" fontId="22" fillId="68" borderId="0" applyNumberFormat="0" applyBorder="0" applyAlignment="0" applyProtection="0"/>
    <xf numFmtId="43" fontId="11" fillId="0" borderId="0" applyFont="0" applyFill="0" applyBorder="0" applyAlignment="0" applyProtection="0"/>
    <xf numFmtId="10" fontId="34" fillId="34" borderId="72" applyNumberFormat="0" applyBorder="0" applyAlignment="0" applyProtection="0"/>
    <xf numFmtId="10" fontId="34" fillId="34" borderId="72" applyNumberFormat="0" applyBorder="0" applyAlignment="0" applyProtection="0"/>
    <xf numFmtId="41" fontId="11" fillId="0" borderId="0" applyFont="0" applyFill="0" applyBorder="0" applyAlignment="0" applyProtection="0"/>
    <xf numFmtId="41" fontId="5" fillId="0" borderId="0" applyFont="0" applyFill="0" applyBorder="0" applyAlignment="0" applyProtection="0"/>
    <xf numFmtId="10" fontId="34" fillId="34" borderId="72" applyNumberFormat="0" applyBorder="0" applyAlignment="0" applyProtection="0"/>
    <xf numFmtId="10" fontId="34" fillId="34" borderId="72" applyNumberFormat="0" applyBorder="0" applyAlignment="0" applyProtection="0"/>
    <xf numFmtId="41" fontId="5" fillId="0" borderId="0" applyFont="0" applyFill="0" applyBorder="0" applyAlignment="0" applyProtection="0"/>
    <xf numFmtId="41" fontId="21" fillId="0" borderId="0" applyFont="0" applyFill="0" applyBorder="0" applyAlignment="0" applyProtection="0"/>
    <xf numFmtId="0" fontId="21" fillId="64" borderId="0" applyNumberFormat="0" applyBorder="0" applyAlignment="0" applyProtection="0"/>
    <xf numFmtId="43" fontId="11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119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0" fontId="34" fillId="34" borderId="72" applyNumberFormat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21" fillId="70" borderId="0" applyNumberFormat="0" applyBorder="0" applyAlignment="0" applyProtection="0"/>
    <xf numFmtId="43" fontId="5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1" fillId="0" borderId="0" applyFont="0" applyFill="0" applyBorder="0" applyAlignment="0" applyProtection="0"/>
    <xf numFmtId="10" fontId="34" fillId="34" borderId="72" applyNumberFormat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21" fillId="70" borderId="0" applyNumberFormat="0" applyBorder="0" applyAlignment="0" applyProtection="0"/>
    <xf numFmtId="43" fontId="5" fillId="0" borderId="0" applyFont="0" applyFill="0" applyBorder="0" applyAlignment="0" applyProtection="0"/>
    <xf numFmtId="0" fontId="11" fillId="0" borderId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0" fontId="22" fillId="71" borderId="0" applyNumberFormat="0" applyBorder="0" applyAlignment="0" applyProtection="0"/>
    <xf numFmtId="0" fontId="22" fillId="75" borderId="0" applyNumberFormat="0" applyBorder="0" applyAlignment="0" applyProtection="0"/>
    <xf numFmtId="0" fontId="27" fillId="32" borderId="80" applyNumberFormat="0" applyAlignment="0" applyProtection="0"/>
    <xf numFmtId="0" fontId="5" fillId="76" borderId="0" applyNumberFormat="0" applyBorder="0" applyAlignment="0" applyProtection="0"/>
    <xf numFmtId="37" fontId="151" fillId="0" borderId="0"/>
    <xf numFmtId="41" fontId="21" fillId="0" borderId="0" applyFont="0" applyFill="0" applyBorder="0" applyAlignment="0" applyProtection="0"/>
    <xf numFmtId="0" fontId="21" fillId="77" borderId="0" applyNumberFormat="0" applyBorder="0" applyAlignment="0" applyProtection="0"/>
    <xf numFmtId="41" fontId="5" fillId="0" borderId="0" applyFont="0" applyFill="0" applyBorder="0" applyAlignment="0" applyProtection="0"/>
    <xf numFmtId="41" fontId="21" fillId="0" borderId="0" applyFont="0" applyFill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5" fillId="66" borderId="0" applyNumberFormat="0" applyBorder="0" applyAlignment="0" applyProtection="0"/>
    <xf numFmtId="41" fontId="11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21" fillId="67" borderId="0" applyNumberFormat="0" applyBorder="0" applyAlignment="0" applyProtection="0"/>
    <xf numFmtId="43" fontId="11" fillId="0" borderId="0" applyFont="0" applyFill="0" applyBorder="0" applyAlignment="0" applyProtection="0"/>
    <xf numFmtId="41" fontId="119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21" fillId="73" borderId="0" applyNumberFormat="0" applyBorder="0" applyAlignment="0" applyProtection="0"/>
    <xf numFmtId="43" fontId="11" fillId="0" borderId="0" applyFont="0" applyFill="0" applyBorder="0" applyAlignment="0" applyProtection="0"/>
    <xf numFmtId="0" fontId="21" fillId="73" borderId="0" applyNumberFormat="0" applyBorder="0" applyAlignment="0" applyProtection="0"/>
    <xf numFmtId="0" fontId="21" fillId="78" borderId="0" applyNumberFormat="0" applyBorder="0" applyAlignment="0" applyProtection="0"/>
    <xf numFmtId="43" fontId="21" fillId="0" borderId="0" applyFont="0" applyFill="0" applyBorder="0" applyAlignment="0" applyProtection="0"/>
    <xf numFmtId="0" fontId="21" fillId="68" borderId="0" applyNumberFormat="0" applyBorder="0" applyAlignment="0" applyProtection="0"/>
    <xf numFmtId="43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21" fillId="78" borderId="0" applyNumberFormat="0" applyBorder="0" applyAlignment="0" applyProtection="0"/>
    <xf numFmtId="0" fontId="5" fillId="0" borderId="0"/>
    <xf numFmtId="0" fontId="21" fillId="79" borderId="0" applyNumberFormat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22" fillId="58" borderId="0" applyNumberFormat="0" applyBorder="0" applyAlignment="0" applyProtection="0"/>
    <xf numFmtId="43" fontId="116" fillId="0" borderId="0" applyFont="0" applyFill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41" fontId="11" fillId="0" borderId="0" applyFont="0" applyFill="0" applyBorder="0" applyAlignment="0" applyProtection="0"/>
    <xf numFmtId="0" fontId="16" fillId="80" borderId="0" applyNumberFormat="0" applyBorder="0" applyAlignment="0" applyProtection="0"/>
    <xf numFmtId="0" fontId="22" fillId="71" borderId="0" applyNumberFormat="0" applyBorder="0" applyAlignment="0" applyProtection="0"/>
    <xf numFmtId="0" fontId="22" fillId="62" borderId="0" applyNumberFormat="0" applyBorder="0" applyAlignment="0" applyProtection="0"/>
    <xf numFmtId="0" fontId="22" fillId="65" borderId="0" applyNumberFormat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22" fillId="65" borderId="0" applyNumberFormat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6" fillId="81" borderId="0" applyNumberFormat="0" applyBorder="0" applyAlignment="0" applyProtection="0"/>
    <xf numFmtId="0" fontId="22" fillId="60" borderId="0" applyNumberFormat="0" applyBorder="0" applyAlignment="0" applyProtection="0"/>
    <xf numFmtId="185" fontId="37" fillId="0" borderId="72"/>
    <xf numFmtId="0" fontId="22" fillId="75" borderId="0" applyNumberFormat="0" applyBorder="0" applyAlignment="0" applyProtection="0"/>
    <xf numFmtId="0" fontId="16" fillId="57" borderId="0" applyNumberFormat="0" applyBorder="0" applyAlignment="0" applyProtection="0"/>
    <xf numFmtId="43" fontId="21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22" fillId="63" borderId="0" applyNumberFormat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0" fontId="22" fillId="71" borderId="0" applyNumberFormat="0" applyBorder="0" applyAlignment="0" applyProtection="0"/>
    <xf numFmtId="0" fontId="22" fillId="72" borderId="0" applyNumberFormat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0" fontId="156" fillId="0" borderId="0" applyNumberFormat="0" applyAlignment="0">
      <alignment horizontal="left"/>
    </xf>
    <xf numFmtId="0" fontId="16" fillId="82" borderId="0" applyNumberFormat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0" fontId="43" fillId="0" borderId="73">
      <alignment horizontal="left" vertical="center"/>
    </xf>
    <xf numFmtId="0" fontId="22" fillId="62" borderId="0" applyNumberFormat="0" applyBorder="0" applyAlignment="0" applyProtection="0"/>
    <xf numFmtId="0" fontId="145" fillId="0" borderId="0"/>
    <xf numFmtId="43" fontId="11" fillId="0" borderId="0" applyFont="0" applyFill="0" applyBorder="0" applyAlignment="0" applyProtection="0"/>
    <xf numFmtId="0" fontId="23" fillId="0" borderId="0">
      <alignment horizontal="center" wrapText="1"/>
      <protection locked="0"/>
    </xf>
    <xf numFmtId="0" fontId="5" fillId="0" borderId="0"/>
    <xf numFmtId="0" fontId="13" fillId="56" borderId="0" applyNumberFormat="0" applyBorder="0" applyAlignment="0" applyProtection="0"/>
    <xf numFmtId="0" fontId="93" fillId="61" borderId="0" applyNumberFormat="0" applyBorder="0" applyAlignment="0" applyProtection="0"/>
    <xf numFmtId="43" fontId="11" fillId="0" borderId="0" applyFont="0" applyFill="0" applyBorder="0" applyAlignment="0" applyProtection="0"/>
    <xf numFmtId="0" fontId="54" fillId="69" borderId="0" applyNumberFormat="0" applyBorder="0" applyAlignment="0" applyProtection="0"/>
    <xf numFmtId="0" fontId="5" fillId="0" borderId="0"/>
    <xf numFmtId="43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236" fontId="148" fillId="0" borderId="0" applyFill="0" applyBorder="0" applyAlignment="0"/>
    <xf numFmtId="0" fontId="50" fillId="73" borderId="80" applyNumberFormat="0" applyAlignment="0" applyProtection="0"/>
    <xf numFmtId="41" fontId="21" fillId="0" borderId="0" applyFont="0" applyFill="0" applyBorder="0" applyAlignment="0" applyProtection="0"/>
    <xf numFmtId="238" fontId="148" fillId="0" borderId="0" applyFill="0" applyBorder="0" applyAlignment="0"/>
    <xf numFmtId="43" fontId="2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83" fontId="148" fillId="0" borderId="0" applyFill="0" applyBorder="0" applyAlignment="0"/>
    <xf numFmtId="43" fontId="5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1" fillId="0" borderId="0" applyFont="0" applyFill="0" applyBorder="0" applyAlignment="0" applyProtection="0"/>
    <xf numFmtId="0" fontId="5" fillId="0" borderId="0"/>
    <xf numFmtId="41" fontId="59" fillId="0" borderId="0" applyFont="0" applyFill="0" applyBorder="0" applyAlignment="0" applyProtection="0"/>
    <xf numFmtId="41" fontId="11" fillId="0" borderId="0" applyFont="0" applyFill="0" applyBorder="0" applyAlignment="0" applyProtection="0"/>
    <xf numFmtId="184" fontId="28" fillId="0" borderId="0" applyFill="0" applyBorder="0"/>
    <xf numFmtId="0" fontId="145" fillId="0" borderId="0"/>
    <xf numFmtId="41" fontId="11" fillId="0" borderId="0" applyFont="0" applyFill="0" applyBorder="0" applyAlignment="0" applyProtection="0"/>
    <xf numFmtId="0" fontId="29" fillId="83" borderId="15" applyNumberFormat="0" applyAlignment="0" applyProtection="0"/>
    <xf numFmtId="0" fontId="145" fillId="0" borderId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0" fontId="43" fillId="0" borderId="73">
      <alignment horizontal="left" vertical="center"/>
    </xf>
    <xf numFmtId="0" fontId="145" fillId="0" borderId="0"/>
    <xf numFmtId="43" fontId="2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72" fillId="0" borderId="81"/>
    <xf numFmtId="41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1" fillId="0" borderId="0" applyFont="0" applyFill="0" applyBorder="0" applyAlignment="0" applyProtection="0"/>
    <xf numFmtId="185" fontId="37" fillId="0" borderId="72"/>
    <xf numFmtId="185" fontId="37" fillId="0" borderId="72"/>
    <xf numFmtId="185" fontId="37" fillId="0" borderId="72"/>
    <xf numFmtId="185" fontId="37" fillId="0" borderId="72"/>
    <xf numFmtId="43" fontId="21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1" fillId="0" borderId="0" applyFont="0" applyFill="0" applyBorder="0" applyAlignment="0" applyProtection="0"/>
    <xf numFmtId="0" fontId="67" fillId="0" borderId="82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1" fillId="0" borderId="0" applyFont="0" applyFill="0" applyBorder="0" applyAlignment="0" applyProtection="0"/>
    <xf numFmtId="10" fontId="34" fillId="34" borderId="72" applyNumberFormat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76" fontId="5" fillId="0" borderId="0"/>
    <xf numFmtId="43" fontId="59" fillId="0" borderId="0" applyFont="0" applyFill="0" applyBorder="0" applyAlignment="0" applyProtection="0"/>
    <xf numFmtId="41" fontId="59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59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9" fillId="0" borderId="0" applyFont="0" applyFill="0" applyBorder="0" applyAlignment="0" applyProtection="0"/>
    <xf numFmtId="41" fontId="59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11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1" fontId="32" fillId="0" borderId="0" applyFont="0" applyFill="0" applyBorder="0" applyAlignment="0" applyProtection="0"/>
    <xf numFmtId="43" fontId="1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5" fillId="0" borderId="0"/>
    <xf numFmtId="41" fontId="11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16" fillId="0" borderId="0" applyFont="0" applyFill="0" applyBorder="0" applyAlignment="0" applyProtection="0"/>
    <xf numFmtId="0" fontId="145" fillId="0" borderId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237" fontId="11" fillId="0" borderId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6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1" fillId="0" borderId="0" applyFont="0" applyFill="0" applyBorder="0" applyAlignment="0" applyProtection="0"/>
    <xf numFmtId="0" fontId="5" fillId="0" borderId="0"/>
    <xf numFmtId="41" fontId="21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11" fillId="0" borderId="0" applyFont="0" applyFill="0" applyBorder="0" applyAlignment="0" applyProtection="0"/>
    <xf numFmtId="198" fontId="148" fillId="0" borderId="0" applyFill="0" applyBorder="0" applyAlignment="0"/>
    <xf numFmtId="41" fontId="5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1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116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11" fillId="0" borderId="0" applyFont="0" applyFill="0" applyBorder="0" applyAlignment="0" applyProtection="0"/>
    <xf numFmtId="176" fontId="5" fillId="0" borderId="0"/>
    <xf numFmtId="40" fontId="159" fillId="0" borderId="0" applyBorder="0">
      <alignment horizontal="right"/>
    </xf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16" fillId="0" borderId="0" applyFont="0" applyFill="0" applyBorder="0" applyAlignment="0" applyProtection="0"/>
    <xf numFmtId="0" fontId="11" fillId="0" borderId="0"/>
    <xf numFmtId="0" fontId="5" fillId="0" borderId="0"/>
    <xf numFmtId="0" fontId="5" fillId="0" borderId="0"/>
    <xf numFmtId="43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1" fontId="11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5" fillId="0" borderId="0"/>
    <xf numFmtId="0" fontId="5" fillId="0" borderId="0"/>
    <xf numFmtId="41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1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1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5" fillId="0" borderId="0" applyFont="0" applyFill="0" applyBorder="0" applyAlignment="0" applyProtection="0"/>
    <xf numFmtId="176" fontId="5" fillId="0" borderId="0"/>
    <xf numFmtId="41" fontId="1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5" fillId="0" borderId="0" applyFont="0" applyFill="0" applyBorder="0" applyAlignment="0" applyProtection="0"/>
    <xf numFmtId="185" fontId="37" fillId="0" borderId="72"/>
    <xf numFmtId="185" fontId="37" fillId="0" borderId="72"/>
    <xf numFmtId="185" fontId="37" fillId="0" borderId="72"/>
    <xf numFmtId="41" fontId="5" fillId="0" borderId="0" applyFont="0" applyFill="0" applyBorder="0" applyAlignment="0" applyProtection="0"/>
    <xf numFmtId="41" fontId="21" fillId="0" borderId="0" applyFont="0" applyFill="0" applyBorder="0" applyAlignment="0" applyProtection="0"/>
    <xf numFmtId="185" fontId="37" fillId="0" borderId="72"/>
    <xf numFmtId="185" fontId="37" fillId="0" borderId="72"/>
    <xf numFmtId="41" fontId="59" fillId="0" borderId="0" applyFont="0" applyFill="0" applyBorder="0" applyAlignment="0" applyProtection="0"/>
    <xf numFmtId="41" fontId="59" fillId="0" borderId="0" applyFont="0" applyFill="0" applyBorder="0" applyAlignment="0" applyProtection="0"/>
    <xf numFmtId="0" fontId="5" fillId="0" borderId="0"/>
    <xf numFmtId="41" fontId="5" fillId="0" borderId="0" applyFont="0" applyFill="0" applyBorder="0" applyAlignment="0" applyProtection="0"/>
    <xf numFmtId="41" fontId="116" fillId="0" borderId="0" applyFont="0" applyFill="0" applyBorder="0" applyAlignment="0" applyProtection="0"/>
    <xf numFmtId="0" fontId="5" fillId="0" borderId="0"/>
    <xf numFmtId="41" fontId="116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11" fillId="0" borderId="0" applyFont="0" applyFill="0" applyBorder="0" applyAlignment="0" applyProtection="0"/>
    <xf numFmtId="176" fontId="5" fillId="0" borderId="0"/>
    <xf numFmtId="43" fontId="2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0" fontId="145" fillId="0" borderId="0"/>
    <xf numFmtId="41" fontId="1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11" fillId="0" borderId="0" applyFont="0" applyFill="0" applyBorder="0" applyAlignment="0" applyProtection="0"/>
    <xf numFmtId="0" fontId="147" fillId="0" borderId="72">
      <alignment horizontal="center"/>
    </xf>
    <xf numFmtId="41" fontId="11" fillId="0" borderId="0" applyFont="0" applyFill="0" applyBorder="0" applyAlignment="0" applyProtection="0"/>
    <xf numFmtId="41" fontId="59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1" fillId="0" borderId="0" applyFont="0" applyFill="0" applyBorder="0" applyAlignment="0" applyProtection="0"/>
    <xf numFmtId="0" fontId="11" fillId="0" borderId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5" fillId="0" borderId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11" fillId="0" borderId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0" fontId="5" fillId="0" borderId="0"/>
    <xf numFmtId="41" fontId="21" fillId="0" borderId="0" applyFont="0" applyFill="0" applyBorder="0" applyAlignment="0" applyProtection="0"/>
    <xf numFmtId="43" fontId="1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1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11" fillId="0" borderId="0" applyFont="0" applyFill="0" applyBorder="0" applyAlignment="0" applyProtection="0"/>
    <xf numFmtId="41" fontId="21" fillId="0" borderId="0" applyFont="0" applyFill="0" applyBorder="0" applyAlignment="0" applyProtection="0"/>
    <xf numFmtId="0" fontId="5" fillId="0" borderId="0"/>
    <xf numFmtId="0" fontId="5" fillId="0" borderId="0"/>
    <xf numFmtId="43" fontId="1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1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1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18" fillId="0" borderId="0" applyFont="0" applyFill="0" applyBorder="0" applyAlignment="0" applyProtection="0"/>
    <xf numFmtId="0" fontId="5" fillId="0" borderId="0"/>
    <xf numFmtId="0" fontId="43" fillId="0" borderId="73">
      <alignment horizontal="left" vertical="center"/>
    </xf>
    <xf numFmtId="0" fontId="5" fillId="0" borderId="0"/>
    <xf numFmtId="43" fontId="11" fillId="0" borderId="0" applyFont="0" applyFill="0" applyBorder="0" applyAlignment="0" applyProtection="0"/>
    <xf numFmtId="0" fontId="11" fillId="0" borderId="0"/>
    <xf numFmtId="43" fontId="118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5" fillId="0" borderId="0"/>
    <xf numFmtId="185" fontId="37" fillId="0" borderId="72"/>
    <xf numFmtId="43" fontId="2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5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2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87" fontId="162" fillId="0" borderId="0">
      <protection locked="0"/>
    </xf>
    <xf numFmtId="43" fontId="11" fillId="0" borderId="0" applyFont="0" applyFill="0" applyBorder="0" applyAlignment="0" applyProtection="0"/>
    <xf numFmtId="0" fontId="155" fillId="0" borderId="0"/>
    <xf numFmtId="43" fontId="11" fillId="0" borderId="0" applyFont="0" applyFill="0" applyBorder="0" applyAlignment="0" applyProtection="0"/>
    <xf numFmtId="220" fontId="5" fillId="0" borderId="0"/>
    <xf numFmtId="43" fontId="11" fillId="0" borderId="0" applyFont="0" applyFill="0" applyBorder="0" applyAlignment="0" applyProtection="0"/>
    <xf numFmtId="43" fontId="21" fillId="0" borderId="0" applyFont="0" applyFill="0" applyBorder="0" applyAlignment="0" applyProtection="0"/>
    <xf numFmtId="4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35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11" fillId="0" borderId="0"/>
    <xf numFmtId="43" fontId="2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55" fillId="0" borderId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1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0" fontId="34" fillId="34" borderId="72" applyNumberFormat="0" applyBorder="0" applyAlignment="0" applyProtection="0"/>
    <xf numFmtId="0" fontId="41" fillId="59" borderId="0" applyNumberFormat="0" applyBorder="0" applyAlignment="0" applyProtection="0"/>
    <xf numFmtId="43" fontId="2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1" fillId="0" borderId="0" applyFont="0" applyFill="0" applyBorder="0" applyAlignment="0" applyProtection="0"/>
    <xf numFmtId="22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5" fillId="0" borderId="0" applyFont="0" applyFill="0" applyBorder="0" applyAlignment="0" applyProtection="0"/>
    <xf numFmtId="187" fontId="163" fillId="0" borderId="0">
      <protection locked="0"/>
    </xf>
    <xf numFmtId="43" fontId="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14" fontId="160" fillId="0" borderId="0" applyNumberFormat="0" applyFill="0" applyBorder="0" applyAlignment="0" applyProtection="0">
      <alignment horizontal="left"/>
    </xf>
    <xf numFmtId="43" fontId="5" fillId="0" borderId="0" applyFont="0" applyFill="0" applyBorder="0" applyAlignment="0" applyProtection="0"/>
    <xf numFmtId="43" fontId="59" fillId="0" borderId="0" applyFont="0" applyFill="0" applyBorder="0" applyAlignment="0" applyProtection="0"/>
    <xf numFmtId="0" fontId="155" fillId="0" borderId="0" applyNumberFormat="0" applyFont="0" applyFill="0" applyBorder="0" applyAlignment="0" applyProtection="0">
      <alignment horizontal="left"/>
    </xf>
    <xf numFmtId="0" fontId="59" fillId="0" borderId="0">
      <alignment horizontal="justify" vertical="top" wrapText="1"/>
    </xf>
    <xf numFmtId="0" fontId="21" fillId="0" borderId="0"/>
    <xf numFmtId="43" fontId="5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21" fillId="0" borderId="0" applyFont="0" applyFill="0" applyBorder="0" applyAlignment="0" applyProtection="0"/>
    <xf numFmtId="0" fontId="5" fillId="0" borderId="0"/>
    <xf numFmtId="0" fontId="43" fillId="0" borderId="73">
      <alignment horizontal="left" vertical="center"/>
    </xf>
    <xf numFmtId="0" fontId="157" fillId="0" borderId="0" applyNumberFormat="0" applyAlignment="0">
      <alignment horizontal="left"/>
    </xf>
    <xf numFmtId="0" fontId="146" fillId="0" borderId="0" applyNumberFormat="0" applyAlignment="0"/>
    <xf numFmtId="0" fontId="145" fillId="0" borderId="0"/>
    <xf numFmtId="185" fontId="37" fillId="0" borderId="72"/>
    <xf numFmtId="185" fontId="37" fillId="0" borderId="72"/>
    <xf numFmtId="185" fontId="37" fillId="0" borderId="72"/>
    <xf numFmtId="185" fontId="37" fillId="0" borderId="72"/>
    <xf numFmtId="185" fontId="37" fillId="0" borderId="72"/>
    <xf numFmtId="185" fontId="37" fillId="0" borderId="72"/>
    <xf numFmtId="185" fontId="37" fillId="0" borderId="72"/>
    <xf numFmtId="185" fontId="37" fillId="0" borderId="72"/>
    <xf numFmtId="185" fontId="37" fillId="0" borderId="72"/>
    <xf numFmtId="185" fontId="37" fillId="0" borderId="72"/>
    <xf numFmtId="0" fontId="21" fillId="0" borderId="0" applyFont="0" applyFill="0" applyBorder="0" applyAlignment="0" applyProtection="0"/>
    <xf numFmtId="187" fontId="163" fillId="0" borderId="0">
      <protection locked="0"/>
    </xf>
    <xf numFmtId="0" fontId="146" fillId="0" borderId="0"/>
    <xf numFmtId="0" fontId="146" fillId="0" borderId="83"/>
    <xf numFmtId="0" fontId="146" fillId="0" borderId="83"/>
    <xf numFmtId="0" fontId="164" fillId="86" borderId="0"/>
    <xf numFmtId="0" fontId="21" fillId="0" borderId="0"/>
    <xf numFmtId="0" fontId="158" fillId="0" borderId="84"/>
    <xf numFmtId="0" fontId="43" fillId="0" borderId="73">
      <alignment horizontal="left" vertical="center"/>
    </xf>
    <xf numFmtId="0" fontId="158" fillId="0" borderId="83"/>
    <xf numFmtId="0" fontId="158" fillId="87" borderId="83"/>
    <xf numFmtId="0" fontId="43" fillId="0" borderId="73">
      <alignment horizontal="left" vertical="center"/>
    </xf>
    <xf numFmtId="0" fontId="59" fillId="0" borderId="0"/>
    <xf numFmtId="0" fontId="43" fillId="0" borderId="73">
      <alignment horizontal="left" vertical="center"/>
    </xf>
    <xf numFmtId="0" fontId="43" fillId="0" borderId="73">
      <alignment horizontal="left" vertical="center"/>
    </xf>
    <xf numFmtId="0" fontId="43" fillId="0" borderId="73">
      <alignment horizontal="left" vertical="center"/>
    </xf>
    <xf numFmtId="0" fontId="43" fillId="0" borderId="73">
      <alignment horizontal="left" vertical="center"/>
    </xf>
    <xf numFmtId="187" fontId="162" fillId="0" borderId="0">
      <protection locked="0"/>
    </xf>
    <xf numFmtId="0" fontId="21" fillId="0" borderId="0"/>
    <xf numFmtId="0" fontId="165" fillId="0" borderId="0" applyNumberFormat="0" applyFill="0" applyBorder="0" applyAlignment="0" applyProtection="0">
      <alignment vertical="top"/>
      <protection locked="0"/>
    </xf>
    <xf numFmtId="10" fontId="34" fillId="34" borderId="72" applyNumberFormat="0" applyBorder="0" applyAlignment="0" applyProtection="0"/>
    <xf numFmtId="10" fontId="34" fillId="34" borderId="72" applyNumberFormat="0" applyBorder="0" applyAlignment="0" applyProtection="0"/>
    <xf numFmtId="10" fontId="34" fillId="34" borderId="72" applyNumberFormat="0" applyBorder="0" applyAlignment="0" applyProtection="0"/>
    <xf numFmtId="10" fontId="34" fillId="34" borderId="72" applyNumberFormat="0" applyBorder="0" applyAlignment="0" applyProtection="0"/>
    <xf numFmtId="10" fontId="34" fillId="34" borderId="72" applyNumberFormat="0" applyBorder="0" applyAlignment="0" applyProtection="0"/>
    <xf numFmtId="10" fontId="34" fillId="34" borderId="72" applyNumberFormat="0" applyBorder="0" applyAlignment="0" applyProtection="0"/>
    <xf numFmtId="176" fontId="11" fillId="0" borderId="0"/>
    <xf numFmtId="10" fontId="34" fillId="34" borderId="72" applyNumberFormat="0" applyBorder="0" applyAlignment="0" applyProtection="0"/>
    <xf numFmtId="10" fontId="34" fillId="34" borderId="72" applyNumberFormat="0" applyBorder="0" applyAlignment="0" applyProtection="0"/>
    <xf numFmtId="10" fontId="34" fillId="34" borderId="72" applyNumberFormat="0" applyBorder="0" applyAlignment="0" applyProtection="0"/>
    <xf numFmtId="10" fontId="34" fillId="34" borderId="72" applyNumberFormat="0" applyBorder="0" applyAlignment="0" applyProtection="0"/>
    <xf numFmtId="5" fontId="148" fillId="0" borderId="0"/>
    <xf numFmtId="10" fontId="34" fillId="34" borderId="72" applyNumberFormat="0" applyBorder="0" applyAlignment="0" applyProtection="0"/>
    <xf numFmtId="10" fontId="34" fillId="34" borderId="72" applyNumberFormat="0" applyBorder="0" applyAlignment="0" applyProtection="0"/>
    <xf numFmtId="10" fontId="34" fillId="34" borderId="72" applyNumberFormat="0" applyBorder="0" applyAlignment="0" applyProtection="0"/>
    <xf numFmtId="10" fontId="34" fillId="34" borderId="72" applyNumberFormat="0" applyBorder="0" applyAlignment="0" applyProtection="0"/>
    <xf numFmtId="188" fontId="145" fillId="84" borderId="0"/>
    <xf numFmtId="188" fontId="150" fillId="74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59" fillId="0" borderId="0">
      <alignment horizontal="justify" vertical="top" wrapText="1"/>
    </xf>
    <xf numFmtId="0" fontId="11" fillId="0" borderId="0"/>
    <xf numFmtId="0" fontId="5" fillId="0" borderId="0"/>
    <xf numFmtId="0" fontId="11" fillId="0" borderId="0"/>
    <xf numFmtId="0" fontId="11" fillId="0" borderId="0"/>
    <xf numFmtId="0" fontId="149" fillId="0" borderId="0"/>
    <xf numFmtId="0" fontId="69" fillId="0" borderId="0"/>
    <xf numFmtId="0" fontId="5" fillId="0" borderId="0"/>
    <xf numFmtId="0" fontId="152" fillId="0" borderId="0"/>
    <xf numFmtId="178" fontId="5" fillId="0" borderId="0"/>
    <xf numFmtId="178" fontId="5" fillId="0" borderId="0"/>
    <xf numFmtId="5" fontId="148" fillId="0" borderId="0"/>
    <xf numFmtId="178" fontId="5" fillId="0" borderId="0"/>
    <xf numFmtId="178" fontId="5" fillId="0" borderId="0"/>
    <xf numFmtId="176" fontId="5" fillId="0" borderId="0"/>
    <xf numFmtId="178" fontId="5" fillId="0" borderId="0"/>
    <xf numFmtId="178" fontId="5" fillId="0" borderId="0"/>
    <xf numFmtId="178" fontId="5" fillId="0" borderId="0"/>
    <xf numFmtId="178" fontId="5" fillId="0" borderId="0"/>
    <xf numFmtId="178" fontId="5" fillId="0" borderId="0"/>
    <xf numFmtId="0" fontId="5" fillId="0" borderId="0"/>
    <xf numFmtId="0" fontId="119" fillId="0" borderId="0"/>
    <xf numFmtId="0" fontId="5" fillId="0" borderId="0"/>
    <xf numFmtId="0" fontId="152" fillId="0" borderId="0"/>
    <xf numFmtId="0" fontId="59" fillId="0" borderId="0">
      <alignment horizontal="justify" vertical="top" wrapText="1"/>
    </xf>
    <xf numFmtId="0" fontId="5" fillId="0" borderId="0"/>
    <xf numFmtId="0" fontId="152" fillId="0" borderId="0"/>
    <xf numFmtId="176" fontId="5" fillId="0" borderId="0"/>
    <xf numFmtId="0" fontId="11" fillId="0" borderId="0"/>
    <xf numFmtId="0" fontId="11" fillId="0" borderId="0"/>
    <xf numFmtId="0" fontId="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53" fillId="0" borderId="0"/>
    <xf numFmtId="0" fontId="21" fillId="0" borderId="0"/>
    <xf numFmtId="0" fontId="21" fillId="0" borderId="0"/>
    <xf numFmtId="0" fontId="153" fillId="0" borderId="0"/>
    <xf numFmtId="176" fontId="5" fillId="0" borderId="0"/>
    <xf numFmtId="0" fontId="152" fillId="0" borderId="0"/>
    <xf numFmtId="0" fontId="5" fillId="0" borderId="0"/>
    <xf numFmtId="0" fontId="5" fillId="0" borderId="0"/>
    <xf numFmtId="0" fontId="153" fillId="0" borderId="0"/>
    <xf numFmtId="0" fontId="5" fillId="0" borderId="0"/>
    <xf numFmtId="0" fontId="5" fillId="0" borderId="0"/>
    <xf numFmtId="176" fontId="5" fillId="0" borderId="0"/>
    <xf numFmtId="37" fontId="59" fillId="0" borderId="0"/>
    <xf numFmtId="0" fontId="152" fillId="0" borderId="0"/>
    <xf numFmtId="176" fontId="5" fillId="0" borderId="0"/>
    <xf numFmtId="176" fontId="5" fillId="0" borderId="0"/>
    <xf numFmtId="0" fontId="145" fillId="0" borderId="0"/>
    <xf numFmtId="0" fontId="116" fillId="0" borderId="0"/>
    <xf numFmtId="176" fontId="21" fillId="0" borderId="0"/>
    <xf numFmtId="176" fontId="5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11" fillId="85" borderId="0"/>
    <xf numFmtId="0" fontId="116" fillId="0" borderId="0"/>
    <xf numFmtId="0" fontId="5" fillId="0" borderId="0"/>
    <xf numFmtId="0" fontId="116" fillId="0" borderId="0"/>
    <xf numFmtId="0" fontId="5" fillId="0" borderId="0"/>
    <xf numFmtId="0" fontId="11" fillId="0" borderId="0"/>
    <xf numFmtId="0" fontId="21" fillId="0" borderId="0" applyNumberFormat="0" applyFill="0" applyBorder="0" applyProtection="0"/>
    <xf numFmtId="0" fontId="5" fillId="0" borderId="0"/>
    <xf numFmtId="9" fontId="5" fillId="0" borderId="0" applyFont="0" applyFill="0" applyBorder="0" applyAlignment="0" applyProtection="0"/>
    <xf numFmtId="0" fontId="147" fillId="0" borderId="72">
      <alignment horizontal="center"/>
    </xf>
    <xf numFmtId="0" fontId="5" fillId="0" borderId="0"/>
    <xf numFmtId="0" fontId="145" fillId="0" borderId="0"/>
    <xf numFmtId="0" fontId="5" fillId="0" borderId="0"/>
    <xf numFmtId="0" fontId="5" fillId="0" borderId="0"/>
    <xf numFmtId="0" fontId="5" fillId="0" borderId="0"/>
    <xf numFmtId="0" fontId="145" fillId="0" borderId="0"/>
    <xf numFmtId="0" fontId="5" fillId="0" borderId="0"/>
    <xf numFmtId="0" fontId="145" fillId="34" borderId="68" applyNumberFormat="0" applyFont="0" applyAlignment="0" applyProtection="0"/>
    <xf numFmtId="0" fontId="61" fillId="32" borderId="63" applyNumberFormat="0" applyAlignment="0" applyProtection="0"/>
    <xf numFmtId="183" fontId="148" fillId="0" borderId="0" applyFont="0" applyFill="0" applyBorder="0" applyAlignment="0" applyProtection="0"/>
    <xf numFmtId="6" fontId="148" fillId="0" borderId="0" applyFont="0" applyFill="0" applyBorder="0" applyAlignment="0" applyProtection="0"/>
    <xf numFmtId="6" fontId="148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6" fillId="0" borderId="0" applyFont="0" applyFill="0" applyBorder="0" applyAlignment="0" applyProtection="0"/>
    <xf numFmtId="9" fontId="116" fillId="0" borderId="0" applyFont="0" applyFill="0" applyBorder="0" applyAlignment="0" applyProtection="0"/>
    <xf numFmtId="9" fontId="116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166" fillId="0" borderId="0" applyNumberFormat="0" applyFill="0" applyBorder="0" applyAlignment="0" applyProtection="0"/>
    <xf numFmtId="9" fontId="33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155" fillId="0" borderId="27" applyNumberFormat="0" applyBorder="0"/>
    <xf numFmtId="0" fontId="146" fillId="0" borderId="0"/>
    <xf numFmtId="0" fontId="67" fillId="0" borderId="82"/>
    <xf numFmtId="0" fontId="67" fillId="0" borderId="82"/>
    <xf numFmtId="0" fontId="67" fillId="0" borderId="82"/>
    <xf numFmtId="0" fontId="67" fillId="0" borderId="82"/>
    <xf numFmtId="0" fontId="67" fillId="0" borderId="82"/>
    <xf numFmtId="0" fontId="67" fillId="0" borderId="82"/>
    <xf numFmtId="0" fontId="67" fillId="0" borderId="82"/>
    <xf numFmtId="0" fontId="67" fillId="0" borderId="82"/>
    <xf numFmtId="0" fontId="67" fillId="0" borderId="82"/>
    <xf numFmtId="0" fontId="161" fillId="0" borderId="0"/>
    <xf numFmtId="0" fontId="147" fillId="0" borderId="72">
      <alignment horizontal="center"/>
    </xf>
    <xf numFmtId="0" fontId="147" fillId="0" borderId="72">
      <alignment horizontal="center"/>
    </xf>
    <xf numFmtId="0" fontId="147" fillId="0" borderId="72">
      <alignment horizontal="center"/>
    </xf>
    <xf numFmtId="0" fontId="147" fillId="0" borderId="72">
      <alignment horizontal="center"/>
    </xf>
    <xf numFmtId="0" fontId="147" fillId="0" borderId="72">
      <alignment horizontal="center"/>
    </xf>
    <xf numFmtId="0" fontId="147" fillId="0" borderId="72">
      <alignment horizontal="center"/>
    </xf>
    <xf numFmtId="0" fontId="147" fillId="0" borderId="72">
      <alignment horizontal="center"/>
    </xf>
    <xf numFmtId="0" fontId="147" fillId="0" borderId="72">
      <alignment horizontal="center"/>
    </xf>
    <xf numFmtId="0" fontId="147" fillId="0" borderId="72">
      <alignment horizontal="center"/>
    </xf>
    <xf numFmtId="0" fontId="147" fillId="0" borderId="72">
      <alignment horizontal="center"/>
    </xf>
    <xf numFmtId="0" fontId="147" fillId="0" borderId="72">
      <alignment horizontal="center"/>
    </xf>
    <xf numFmtId="0" fontId="147" fillId="0" borderId="72">
      <alignment horizontal="center"/>
    </xf>
    <xf numFmtId="0" fontId="147" fillId="0" borderId="72">
      <alignment horizontal="center"/>
    </xf>
    <xf numFmtId="0" fontId="147" fillId="0" borderId="72">
      <alignment horizontal="center"/>
    </xf>
    <xf numFmtId="0" fontId="147" fillId="0" borderId="72">
      <alignment horizontal="center"/>
    </xf>
    <xf numFmtId="0" fontId="147" fillId="0" borderId="72">
      <alignment horizontal="center"/>
    </xf>
    <xf numFmtId="0" fontId="147" fillId="0" borderId="72">
      <alignment horizontal="center"/>
    </xf>
    <xf numFmtId="0" fontId="147" fillId="0" borderId="72">
      <alignment horizontal="center"/>
    </xf>
    <xf numFmtId="0" fontId="147" fillId="0" borderId="72">
      <alignment horizontal="center"/>
    </xf>
    <xf numFmtId="0" fontId="147" fillId="0" borderId="72">
      <alignment horizontal="center"/>
    </xf>
    <xf numFmtId="0" fontId="147" fillId="0" borderId="0">
      <alignment horizontal="center" vertical="center"/>
    </xf>
    <xf numFmtId="0" fontId="154" fillId="0" borderId="0" applyNumberFormat="0" applyFill="0">
      <alignment horizontal="left" vertical="center"/>
    </xf>
    <xf numFmtId="41" fontId="11" fillId="0" borderId="0" applyFont="0" applyFill="0" applyBorder="0" applyAlignment="0" applyProtection="0"/>
    <xf numFmtId="170" fontId="5" fillId="0" borderId="0" applyFont="0" applyFill="0" applyBorder="0" applyAlignment="0" applyProtection="0"/>
    <xf numFmtId="0" fontId="170" fillId="0" borderId="0"/>
    <xf numFmtId="168" fontId="5" fillId="0" borderId="0" applyFont="0" applyFill="0" applyBorder="0" applyAlignment="0" applyProtection="0">
      <alignment vertical="center"/>
    </xf>
    <xf numFmtId="168" fontId="5" fillId="0" borderId="0" applyFont="0" applyFill="0" applyBorder="0" applyAlignment="0" applyProtection="0">
      <alignment vertical="center"/>
    </xf>
    <xf numFmtId="168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8" fontId="5" fillId="0" borderId="0" applyFont="0" applyFill="0" applyBorder="0" applyAlignment="0" applyProtection="0">
      <alignment vertical="center"/>
    </xf>
    <xf numFmtId="0" fontId="178" fillId="0" borderId="0"/>
    <xf numFmtId="41" fontId="178" fillId="0" borderId="0" applyFont="0" applyFill="0" applyBorder="0" applyAlignment="0" applyProtection="0"/>
    <xf numFmtId="175" fontId="2" fillId="0" borderId="0"/>
    <xf numFmtId="177" fontId="2" fillId="0" borderId="0"/>
    <xf numFmtId="0" fontId="21" fillId="38" borderId="114" applyNumberFormat="0" applyFont="0" applyAlignment="0" applyProtection="0"/>
    <xf numFmtId="6" fontId="11" fillId="0" borderId="0" applyFill="0" applyBorder="0" applyAlignment="0"/>
    <xf numFmtId="6" fontId="11" fillId="0" borderId="0" applyFill="0" applyBorder="0" applyAlignment="0"/>
    <xf numFmtId="5" fontId="11" fillId="0" borderId="0" applyFill="0" applyBorder="0" applyAlignment="0"/>
    <xf numFmtId="5" fontId="11" fillId="0" borderId="0" applyFill="0" applyBorder="0" applyAlignment="0"/>
    <xf numFmtId="41" fontId="11" fillId="0" borderId="0" applyFill="0" applyBorder="0" applyAlignment="0"/>
    <xf numFmtId="41" fontId="11" fillId="0" borderId="0" applyFill="0" applyBorder="0" applyAlignment="0"/>
    <xf numFmtId="6" fontId="11" fillId="0" borderId="0" applyFill="0" applyBorder="0" applyAlignment="0"/>
    <xf numFmtId="6" fontId="11" fillId="0" borderId="0" applyFill="0" applyBorder="0" applyAlignment="0"/>
    <xf numFmtId="0" fontId="27" fillId="30" borderId="80" applyNumberFormat="0" applyAlignment="0" applyProtection="0"/>
    <xf numFmtId="0" fontId="29" fillId="31" borderId="106" applyNumberFormat="0" applyAlignment="0" applyProtection="0"/>
    <xf numFmtId="41" fontId="31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5" fontId="11" fillId="0" borderId="0" applyFont="0" applyFill="0" applyBorder="0" applyAlignment="0" applyProtection="0"/>
    <xf numFmtId="5" fontId="11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1" fillId="0" borderId="0" applyFont="0" applyFill="0" applyBorder="0" applyAlignment="0" applyProtection="0"/>
    <xf numFmtId="185" fontId="37" fillId="0" borderId="66"/>
    <xf numFmtId="185" fontId="37" fillId="0" borderId="66"/>
    <xf numFmtId="185" fontId="37" fillId="0" borderId="66"/>
    <xf numFmtId="185" fontId="37" fillId="0" borderId="66"/>
    <xf numFmtId="185" fontId="37" fillId="0" borderId="66"/>
    <xf numFmtId="185" fontId="37" fillId="0" borderId="66"/>
    <xf numFmtId="185" fontId="37" fillId="0" borderId="66"/>
    <xf numFmtId="185" fontId="37" fillId="0" borderId="66"/>
    <xf numFmtId="185" fontId="37" fillId="0" borderId="66"/>
    <xf numFmtId="185" fontId="37" fillId="0" borderId="66"/>
    <xf numFmtId="185" fontId="37" fillId="0" borderId="66"/>
    <xf numFmtId="185" fontId="37" fillId="0" borderId="66"/>
    <xf numFmtId="185" fontId="37" fillId="0" borderId="66"/>
    <xf numFmtId="185" fontId="37" fillId="0" borderId="66"/>
    <xf numFmtId="185" fontId="37" fillId="0" borderId="66"/>
    <xf numFmtId="185" fontId="37" fillId="0" borderId="66"/>
    <xf numFmtId="185" fontId="37" fillId="0" borderId="66"/>
    <xf numFmtId="185" fontId="37" fillId="0" borderId="66"/>
    <xf numFmtId="185" fontId="37" fillId="0" borderId="66"/>
    <xf numFmtId="6" fontId="11" fillId="0" borderId="0" applyFont="0" applyFill="0" applyBorder="0" applyAlignment="0" applyProtection="0"/>
    <xf numFmtId="6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5" fillId="0" borderId="0" applyFont="0" applyFill="0" applyBorder="0" applyAlignment="0" applyProtection="0"/>
    <xf numFmtId="5" fontId="11" fillId="0" borderId="0" applyFill="0" applyBorder="0" applyAlignment="0"/>
    <xf numFmtId="5" fontId="11" fillId="0" borderId="0" applyFill="0" applyBorder="0" applyAlignment="0"/>
    <xf numFmtId="6" fontId="11" fillId="0" borderId="0" applyFill="0" applyBorder="0" applyAlignment="0"/>
    <xf numFmtId="6" fontId="11" fillId="0" borderId="0" applyFill="0" applyBorder="0" applyAlignment="0"/>
    <xf numFmtId="5" fontId="11" fillId="0" borderId="0" applyFill="0" applyBorder="0" applyAlignment="0"/>
    <xf numFmtId="5" fontId="11" fillId="0" borderId="0" applyFill="0" applyBorder="0" applyAlignment="0"/>
    <xf numFmtId="41" fontId="11" fillId="0" borderId="0" applyFill="0" applyBorder="0" applyAlignment="0"/>
    <xf numFmtId="41" fontId="11" fillId="0" borderId="0" applyFill="0" applyBorder="0" applyAlignment="0"/>
    <xf numFmtId="6" fontId="11" fillId="0" borderId="0" applyFill="0" applyBorder="0" applyAlignment="0"/>
    <xf numFmtId="6" fontId="11" fillId="0" borderId="0" applyFill="0" applyBorder="0" applyAlignment="0"/>
    <xf numFmtId="10" fontId="34" fillId="34" borderId="66" applyNumberFormat="0" applyBorder="0" applyAlignment="0" applyProtection="0"/>
    <xf numFmtId="10" fontId="34" fillId="34" borderId="66" applyNumberFormat="0" applyBorder="0" applyAlignment="0" applyProtection="0"/>
    <xf numFmtId="10" fontId="34" fillId="34" borderId="66" applyNumberFormat="0" applyBorder="0" applyAlignment="0" applyProtection="0"/>
    <xf numFmtId="10" fontId="34" fillId="34" borderId="66" applyNumberFormat="0" applyBorder="0" applyAlignment="0" applyProtection="0"/>
    <xf numFmtId="10" fontId="34" fillId="34" borderId="66" applyNumberFormat="0" applyBorder="0" applyAlignment="0" applyProtection="0"/>
    <xf numFmtId="10" fontId="34" fillId="34" borderId="66" applyNumberFormat="0" applyBorder="0" applyAlignment="0" applyProtection="0"/>
    <xf numFmtId="10" fontId="34" fillId="34" borderId="66" applyNumberFormat="0" applyBorder="0" applyAlignment="0" applyProtection="0"/>
    <xf numFmtId="10" fontId="34" fillId="34" borderId="66" applyNumberFormat="0" applyBorder="0" applyAlignment="0" applyProtection="0"/>
    <xf numFmtId="10" fontId="34" fillId="34" borderId="66" applyNumberFormat="0" applyBorder="0" applyAlignment="0" applyProtection="0"/>
    <xf numFmtId="10" fontId="34" fillId="34" borderId="66" applyNumberFormat="0" applyBorder="0" applyAlignment="0" applyProtection="0"/>
    <xf numFmtId="10" fontId="34" fillId="34" borderId="66" applyNumberFormat="0" applyBorder="0" applyAlignment="0" applyProtection="0"/>
    <xf numFmtId="10" fontId="34" fillId="34" borderId="66" applyNumberFormat="0" applyBorder="0" applyAlignment="0" applyProtection="0"/>
    <xf numFmtId="10" fontId="34" fillId="34" borderId="66" applyNumberFormat="0" applyBorder="0" applyAlignment="0" applyProtection="0"/>
    <xf numFmtId="10" fontId="34" fillId="34" borderId="66" applyNumberFormat="0" applyBorder="0" applyAlignment="0" applyProtection="0"/>
    <xf numFmtId="10" fontId="34" fillId="34" borderId="66" applyNumberFormat="0" applyBorder="0" applyAlignment="0" applyProtection="0"/>
    <xf numFmtId="10" fontId="34" fillId="34" borderId="66" applyNumberFormat="0" applyBorder="0" applyAlignment="0" applyProtection="0"/>
    <xf numFmtId="10" fontId="34" fillId="34" borderId="66" applyNumberFormat="0" applyBorder="0" applyAlignment="0" applyProtection="0"/>
    <xf numFmtId="10" fontId="34" fillId="34" borderId="66" applyNumberFormat="0" applyBorder="0" applyAlignment="0" applyProtection="0"/>
    <xf numFmtId="10" fontId="34" fillId="34" borderId="66" applyNumberFormat="0" applyBorder="0" applyAlignment="0" applyProtection="0"/>
    <xf numFmtId="0" fontId="50" fillId="19" borderId="80" applyNumberFormat="0" applyAlignment="0" applyProtection="0"/>
    <xf numFmtId="0" fontId="50" fillId="19" borderId="80" applyNumberFormat="0" applyAlignment="0" applyProtection="0"/>
    <xf numFmtId="0" fontId="50" fillId="19" borderId="80" applyNumberFormat="0" applyAlignment="0" applyProtection="0"/>
    <xf numFmtId="0" fontId="50" fillId="19" borderId="80" applyNumberFormat="0" applyAlignment="0" applyProtection="0"/>
    <xf numFmtId="5" fontId="11" fillId="0" borderId="0" applyFill="0" applyBorder="0" applyAlignment="0"/>
    <xf numFmtId="5" fontId="11" fillId="0" borderId="0" applyFill="0" applyBorder="0" applyAlignment="0"/>
    <xf numFmtId="6" fontId="11" fillId="0" borderId="0" applyFill="0" applyBorder="0" applyAlignment="0"/>
    <xf numFmtId="6" fontId="11" fillId="0" borderId="0" applyFill="0" applyBorder="0" applyAlignment="0"/>
    <xf numFmtId="5" fontId="11" fillId="0" borderId="0" applyFill="0" applyBorder="0" applyAlignment="0"/>
    <xf numFmtId="5" fontId="11" fillId="0" borderId="0" applyFill="0" applyBorder="0" applyAlignment="0"/>
    <xf numFmtId="41" fontId="11" fillId="0" borderId="0" applyFill="0" applyBorder="0" applyAlignment="0"/>
    <xf numFmtId="41" fontId="11" fillId="0" borderId="0" applyFill="0" applyBorder="0" applyAlignment="0"/>
    <xf numFmtId="6" fontId="11" fillId="0" borderId="0" applyFill="0" applyBorder="0" applyAlignment="0"/>
    <xf numFmtId="6" fontId="11" fillId="0" borderId="0" applyFill="0" applyBorder="0" applyAlignment="0"/>
    <xf numFmtId="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176" fontId="2" fillId="0" borderId="0"/>
    <xf numFmtId="0" fontId="2" fillId="0" borderId="0"/>
    <xf numFmtId="0" fontId="2" fillId="0" borderId="0"/>
    <xf numFmtId="0" fontId="75" fillId="0" borderId="119" applyNumberFormat="0" applyFill="0" applyAlignment="0" applyProtection="0"/>
    <xf numFmtId="182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6" fontId="2" fillId="0" borderId="0"/>
    <xf numFmtId="176" fontId="2" fillId="0" borderId="0"/>
    <xf numFmtId="42" fontId="2" fillId="0" borderId="0"/>
    <xf numFmtId="6" fontId="2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5" fontId="11" fillId="0" borderId="0" applyFill="0" applyBorder="0" applyAlignment="0"/>
    <xf numFmtId="5" fontId="11" fillId="0" borderId="0" applyFill="0" applyBorder="0" applyAlignment="0"/>
    <xf numFmtId="6" fontId="11" fillId="0" borderId="0" applyFill="0" applyBorder="0" applyAlignment="0"/>
    <xf numFmtId="6" fontId="11" fillId="0" borderId="0" applyFill="0" applyBorder="0" applyAlignment="0"/>
    <xf numFmtId="5" fontId="11" fillId="0" borderId="0" applyFill="0" applyBorder="0" applyAlignment="0"/>
    <xf numFmtId="5" fontId="11" fillId="0" borderId="0" applyFill="0" applyBorder="0" applyAlignment="0"/>
    <xf numFmtId="41" fontId="11" fillId="0" borderId="0" applyFill="0" applyBorder="0" applyAlignment="0"/>
    <xf numFmtId="41" fontId="11" fillId="0" borderId="0" applyFill="0" applyBorder="0" applyAlignment="0"/>
    <xf numFmtId="6" fontId="11" fillId="0" borderId="0" applyFill="0" applyBorder="0" applyAlignment="0"/>
    <xf numFmtId="6" fontId="11" fillId="0" borderId="0" applyFill="0" applyBorder="0" applyAlignment="0"/>
    <xf numFmtId="5" fontId="65" fillId="0" borderId="0"/>
    <xf numFmtId="5" fontId="65" fillId="0" borderId="0"/>
    <xf numFmtId="0" fontId="67" fillId="0" borderId="51"/>
    <xf numFmtId="0" fontId="67" fillId="0" borderId="51"/>
    <xf numFmtId="0" fontId="67" fillId="0" borderId="51"/>
    <xf numFmtId="0" fontId="67" fillId="0" borderId="51"/>
    <xf numFmtId="0" fontId="67" fillId="0" borderId="51"/>
    <xf numFmtId="0" fontId="67" fillId="0" borderId="51"/>
    <xf numFmtId="0" fontId="67" fillId="0" borderId="51"/>
    <xf numFmtId="0" fontId="67" fillId="0" borderId="51"/>
    <xf numFmtId="0" fontId="67" fillId="0" borderId="51"/>
    <xf numFmtId="0" fontId="67" fillId="0" borderId="51"/>
    <xf numFmtId="0" fontId="70" fillId="0" borderId="66">
      <alignment horizontal="center"/>
    </xf>
    <xf numFmtId="0" fontId="70" fillId="0" borderId="66">
      <alignment horizontal="center"/>
    </xf>
    <xf numFmtId="0" fontId="70" fillId="0" borderId="66">
      <alignment horizontal="center"/>
    </xf>
    <xf numFmtId="0" fontId="70" fillId="0" borderId="66">
      <alignment horizontal="center"/>
    </xf>
    <xf numFmtId="0" fontId="70" fillId="0" borderId="66">
      <alignment horizontal="center"/>
    </xf>
    <xf numFmtId="0" fontId="70" fillId="0" borderId="66">
      <alignment horizontal="center"/>
    </xf>
    <xf numFmtId="0" fontId="70" fillId="0" borderId="66">
      <alignment horizontal="center"/>
    </xf>
    <xf numFmtId="0" fontId="70" fillId="0" borderId="66">
      <alignment horizontal="center"/>
    </xf>
    <xf numFmtId="0" fontId="70" fillId="0" borderId="66">
      <alignment horizontal="center"/>
    </xf>
    <xf numFmtId="0" fontId="70" fillId="0" borderId="66">
      <alignment horizontal="center"/>
    </xf>
    <xf numFmtId="0" fontId="70" fillId="0" borderId="66">
      <alignment horizontal="center"/>
    </xf>
    <xf numFmtId="0" fontId="70" fillId="0" borderId="66">
      <alignment horizontal="center"/>
    </xf>
    <xf numFmtId="0" fontId="70" fillId="0" borderId="66">
      <alignment horizontal="center"/>
    </xf>
    <xf numFmtId="0" fontId="70" fillId="0" borderId="66">
      <alignment horizontal="center"/>
    </xf>
    <xf numFmtId="0" fontId="70" fillId="0" borderId="66">
      <alignment horizontal="center"/>
    </xf>
    <xf numFmtId="0" fontId="70" fillId="0" borderId="66">
      <alignment horizontal="center"/>
    </xf>
    <xf numFmtId="0" fontId="70" fillId="0" borderId="66">
      <alignment horizontal="center"/>
    </xf>
    <xf numFmtId="0" fontId="70" fillId="0" borderId="66">
      <alignment horizontal="center"/>
    </xf>
    <xf numFmtId="0" fontId="70" fillId="0" borderId="66">
      <alignment horizontal="center"/>
    </xf>
    <xf numFmtId="0" fontId="70" fillId="0" borderId="66">
      <alignment horizontal="center"/>
    </xf>
    <xf numFmtId="0" fontId="72" fillId="0" borderId="107"/>
    <xf numFmtId="43" fontId="11" fillId="0" borderId="0" applyFill="0" applyBorder="0" applyAlignment="0"/>
    <xf numFmtId="43" fontId="11" fillId="0" borderId="0" applyFill="0" applyBorder="0" applyAlignment="0"/>
    <xf numFmtId="41" fontId="11" fillId="0" borderId="0" applyFont="0" applyFill="0" applyBorder="0" applyAlignment="0" applyProtection="0"/>
    <xf numFmtId="178" fontId="2" fillId="0" borderId="0"/>
    <xf numFmtId="178" fontId="2" fillId="0" borderId="0"/>
    <xf numFmtId="178" fontId="2" fillId="0" borderId="0"/>
    <xf numFmtId="176" fontId="2" fillId="0" borderId="0"/>
    <xf numFmtId="6" fontId="2" fillId="0" borderId="0"/>
    <xf numFmtId="0" fontId="2" fillId="0" borderId="0"/>
    <xf numFmtId="176" fontId="2" fillId="0" borderId="0"/>
    <xf numFmtId="6" fontId="2" fillId="0" borderId="0"/>
    <xf numFmtId="0" fontId="2" fillId="0" borderId="0"/>
    <xf numFmtId="0" fontId="2" fillId="0" borderId="0"/>
    <xf numFmtId="180" fontId="2" fillId="0" borderId="0"/>
    <xf numFmtId="176" fontId="2" fillId="0" borderId="0"/>
    <xf numFmtId="176" fontId="27" fillId="30" borderId="113" applyNumberFormat="0" applyAlignment="0" applyProtection="0"/>
    <xf numFmtId="0" fontId="27" fillId="30" borderId="113" applyNumberFormat="0" applyAlignment="0" applyProtection="0"/>
    <xf numFmtId="177" fontId="27" fillId="30" borderId="80" applyNumberFormat="0" applyAlignment="0" applyProtection="0"/>
    <xf numFmtId="0" fontId="27" fillId="30" borderId="80" applyNumberFormat="0" applyAlignment="0" applyProtection="0"/>
    <xf numFmtId="176" fontId="27" fillId="30" borderId="80" applyNumberFormat="0" applyAlignment="0" applyProtection="0"/>
    <xf numFmtId="177" fontId="29" fillId="31" borderId="106" applyNumberFormat="0" applyAlignment="0" applyProtection="0"/>
    <xf numFmtId="0" fontId="29" fillId="31" borderId="106" applyNumberFormat="0" applyAlignment="0" applyProtection="0"/>
    <xf numFmtId="41" fontId="3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85" fontId="37" fillId="0" borderId="66"/>
    <xf numFmtId="185" fontId="37" fillId="0" borderId="66"/>
    <xf numFmtId="177" fontId="27" fillId="30" borderId="113" applyNumberFormat="0" applyAlignment="0" applyProtection="0"/>
    <xf numFmtId="177" fontId="43" fillId="0" borderId="73">
      <alignment horizontal="left" vertical="center"/>
    </xf>
    <xf numFmtId="177" fontId="43" fillId="0" borderId="73">
      <alignment horizontal="left" vertical="center"/>
    </xf>
    <xf numFmtId="10" fontId="34" fillId="34" borderId="66" applyNumberFormat="0" applyBorder="0" applyAlignment="0" applyProtection="0"/>
    <xf numFmtId="10" fontId="34" fillId="34" borderId="66" applyNumberFormat="0" applyBorder="0" applyAlignment="0" applyProtection="0"/>
    <xf numFmtId="0" fontId="34" fillId="34" borderId="66" applyNumberFormat="0" applyBorder="0" applyAlignment="0" applyProtection="0"/>
    <xf numFmtId="177" fontId="50" fillId="19" borderId="80" applyNumberFormat="0" applyAlignment="0" applyProtection="0"/>
    <xf numFmtId="0" fontId="50" fillId="19" borderId="80" applyNumberFormat="0" applyAlignment="0" applyProtection="0"/>
    <xf numFmtId="176" fontId="50" fillId="19" borderId="80" applyNumberFormat="0" applyAlignment="0" applyProtection="0"/>
    <xf numFmtId="177" fontId="50" fillId="19" borderId="80" applyNumberFormat="0" applyAlignment="0" applyProtection="0"/>
    <xf numFmtId="0" fontId="50" fillId="19" borderId="80" applyNumberFormat="0" applyAlignment="0" applyProtection="0"/>
    <xf numFmtId="176" fontId="50" fillId="19" borderId="80" applyNumberFormat="0" applyAlignment="0" applyProtection="0"/>
    <xf numFmtId="177" fontId="50" fillId="19" borderId="80" applyNumberFormat="0" applyAlignment="0" applyProtection="0"/>
    <xf numFmtId="0" fontId="50" fillId="19" borderId="80" applyNumberFormat="0" applyAlignment="0" applyProtection="0"/>
    <xf numFmtId="176" fontId="50" fillId="19" borderId="80" applyNumberFormat="0" applyAlignment="0" applyProtection="0"/>
    <xf numFmtId="177" fontId="50" fillId="19" borderId="80" applyNumberFormat="0" applyAlignment="0" applyProtection="0"/>
    <xf numFmtId="0" fontId="50" fillId="19" borderId="80" applyNumberFormat="0" applyAlignment="0" applyProtection="0"/>
    <xf numFmtId="176" fontId="50" fillId="19" borderId="80" applyNumberFormat="0" applyAlignment="0" applyProtection="0"/>
    <xf numFmtId="0" fontId="21" fillId="38" borderId="49" applyNumberFormat="0" applyFont="0" applyAlignment="0" applyProtection="0"/>
    <xf numFmtId="0" fontId="21" fillId="38" borderId="49" applyNumberFormat="0" applyFont="0" applyAlignment="0" applyProtection="0"/>
    <xf numFmtId="0" fontId="50" fillId="19" borderId="113" applyNumberFormat="0" applyAlignment="0" applyProtection="0"/>
    <xf numFmtId="177" fontId="11" fillId="38" borderId="49" applyNumberFormat="0" applyFont="0" applyAlignment="0" applyProtection="0"/>
    <xf numFmtId="0" fontId="61" fillId="30" borderId="50" applyNumberFormat="0" applyAlignment="0" applyProtection="0"/>
    <xf numFmtId="177" fontId="67" fillId="0" borderId="51"/>
    <xf numFmtId="177" fontId="67" fillId="0" borderId="51"/>
    <xf numFmtId="177" fontId="70" fillId="0" borderId="66">
      <alignment horizontal="center"/>
    </xf>
    <xf numFmtId="177" fontId="70" fillId="0" borderId="66">
      <alignment horizontal="center"/>
    </xf>
    <xf numFmtId="176" fontId="70" fillId="0" borderId="66">
      <alignment horizontal="center"/>
    </xf>
    <xf numFmtId="177" fontId="72" fillId="0" borderId="107"/>
    <xf numFmtId="177" fontId="72" fillId="0" borderId="107"/>
    <xf numFmtId="41" fontId="31" fillId="0" borderId="0"/>
    <xf numFmtId="41" fontId="31" fillId="0" borderId="0"/>
    <xf numFmtId="41" fontId="31" fillId="0" borderId="0"/>
    <xf numFmtId="44" fontId="31" fillId="0" borderId="0"/>
    <xf numFmtId="41" fontId="31" fillId="0" borderId="0"/>
    <xf numFmtId="41" fontId="31" fillId="0" borderId="0"/>
    <xf numFmtId="41" fontId="31" fillId="0" borderId="0"/>
    <xf numFmtId="41" fontId="5" fillId="0" borderId="0" applyFont="0" applyFill="0" applyBorder="0" applyAlignment="0" applyProtection="0"/>
    <xf numFmtId="177" fontId="27" fillId="30" borderId="113" applyNumberFormat="0" applyAlignment="0" applyProtection="0"/>
    <xf numFmtId="0" fontId="75" fillId="0" borderId="119" applyNumberFormat="0" applyFill="0" applyAlignment="0" applyProtection="0"/>
    <xf numFmtId="177" fontId="75" fillId="0" borderId="119" applyNumberFormat="0" applyFill="0" applyAlignment="0" applyProtection="0"/>
    <xf numFmtId="177" fontId="67" fillId="0" borderId="116"/>
    <xf numFmtId="177" fontId="67" fillId="0" borderId="116"/>
    <xf numFmtId="0" fontId="21" fillId="38" borderId="114" applyNumberFormat="0" applyFont="0" applyAlignment="0" applyProtection="0"/>
    <xf numFmtId="0" fontId="27" fillId="30" borderId="80" applyNumberFormat="0" applyAlignment="0" applyProtection="0"/>
    <xf numFmtId="177" fontId="27" fillId="30" borderId="80" applyNumberFormat="0" applyAlignment="0" applyProtection="0"/>
    <xf numFmtId="176" fontId="27" fillId="30" borderId="80" applyNumberFormat="0" applyAlignment="0" applyProtection="0"/>
    <xf numFmtId="177" fontId="29" fillId="31" borderId="106" applyNumberFormat="0" applyAlignment="0" applyProtection="0"/>
    <xf numFmtId="41" fontId="31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115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11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115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top"/>
    </xf>
    <xf numFmtId="41" fontId="2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117" fillId="0" borderId="0">
      <protection locked="0"/>
    </xf>
    <xf numFmtId="41" fontId="30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5" fontId="11" fillId="0" borderId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19" fillId="0" borderId="0" applyFont="0">
      <protection locked="0"/>
    </xf>
    <xf numFmtId="43" fontId="5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50" fillId="19" borderId="113" applyNumberFormat="0" applyAlignment="0" applyProtection="0"/>
    <xf numFmtId="0" fontId="50" fillId="19" borderId="113" applyNumberFormat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5" fontId="21" fillId="0" borderId="0" applyFont="0" applyFill="0" applyBorder="0" applyAlignment="0" applyProtection="0"/>
    <xf numFmtId="43" fontId="110" fillId="0" borderId="0" applyFont="0" applyFill="0" applyBorder="0" applyAlignment="0" applyProtection="0"/>
    <xf numFmtId="5" fontId="21" fillId="0" borderId="0" applyFont="0" applyFill="0" applyBorder="0" applyAlignment="0" applyProtection="0"/>
    <xf numFmtId="43" fontId="11" fillId="0" borderId="0" applyFont="0" applyFill="0" applyBorder="0" applyAlignment="0" applyProtection="0"/>
    <xf numFmtId="176" fontId="50" fillId="19" borderId="113" applyNumberFormat="0" applyAlignment="0" applyProtection="0"/>
    <xf numFmtId="43" fontId="2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50" fillId="19" borderId="113" applyNumberFormat="0" applyAlignment="0" applyProtection="0"/>
    <xf numFmtId="43" fontId="3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176" fontId="50" fillId="19" borderId="113" applyNumberFormat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7" fillId="0" borderId="0">
      <protection locked="0"/>
    </xf>
    <xf numFmtId="43" fontId="1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85" fontId="37" fillId="0" borderId="66"/>
    <xf numFmtId="185" fontId="37" fillId="0" borderId="66"/>
    <xf numFmtId="185" fontId="37" fillId="0" borderId="66"/>
    <xf numFmtId="185" fontId="37" fillId="0" borderId="66"/>
    <xf numFmtId="185" fontId="37" fillId="0" borderId="66"/>
    <xf numFmtId="185" fontId="37" fillId="0" borderId="66"/>
    <xf numFmtId="185" fontId="37" fillId="0" borderId="66"/>
    <xf numFmtId="185" fontId="37" fillId="0" borderId="66"/>
    <xf numFmtId="185" fontId="37" fillId="0" borderId="66"/>
    <xf numFmtId="185" fontId="37" fillId="0" borderId="66"/>
    <xf numFmtId="185" fontId="37" fillId="0" borderId="66"/>
    <xf numFmtId="185" fontId="37" fillId="0" borderId="66"/>
    <xf numFmtId="185" fontId="37" fillId="0" borderId="66"/>
    <xf numFmtId="185" fontId="37" fillId="0" borderId="66"/>
    <xf numFmtId="185" fontId="37" fillId="0" borderId="66"/>
    <xf numFmtId="185" fontId="37" fillId="0" borderId="66"/>
    <xf numFmtId="185" fontId="37" fillId="0" borderId="66"/>
    <xf numFmtId="185" fontId="37" fillId="0" borderId="66"/>
    <xf numFmtId="185" fontId="37" fillId="0" borderId="66"/>
    <xf numFmtId="185" fontId="37" fillId="0" borderId="66"/>
    <xf numFmtId="185" fontId="37" fillId="0" borderId="66"/>
    <xf numFmtId="44" fontId="5" fillId="0" borderId="0" applyFont="0" applyFill="0" applyBorder="0" applyAlignment="0" applyProtection="0"/>
    <xf numFmtId="0" fontId="43" fillId="0" borderId="112">
      <alignment horizontal="left" vertical="center"/>
    </xf>
    <xf numFmtId="0" fontId="43" fillId="0" borderId="112">
      <alignment horizontal="left" vertical="center"/>
    </xf>
    <xf numFmtId="177" fontId="43" fillId="0" borderId="112">
      <alignment horizontal="left" vertical="center"/>
    </xf>
    <xf numFmtId="177" fontId="43" fillId="0" borderId="112">
      <alignment horizontal="left" vertical="center"/>
    </xf>
    <xf numFmtId="0" fontId="43" fillId="0" borderId="112">
      <alignment horizontal="left" vertical="center"/>
    </xf>
    <xf numFmtId="177" fontId="43" fillId="0" borderId="112">
      <alignment horizontal="left" vertical="center"/>
    </xf>
    <xf numFmtId="0" fontId="43" fillId="0" borderId="112">
      <alignment horizontal="left" vertical="center"/>
    </xf>
    <xf numFmtId="0" fontId="43" fillId="0" borderId="112">
      <alignment horizontal="left" vertical="center"/>
    </xf>
    <xf numFmtId="0" fontId="43" fillId="0" borderId="112">
      <alignment horizontal="left" vertical="center"/>
    </xf>
    <xf numFmtId="0" fontId="43" fillId="0" borderId="112">
      <alignment horizontal="left" vertical="center"/>
    </xf>
    <xf numFmtId="0" fontId="43" fillId="0" borderId="112">
      <alignment horizontal="left" vertical="center"/>
    </xf>
    <xf numFmtId="0" fontId="43" fillId="0" borderId="112">
      <alignment horizontal="left" vertical="center"/>
    </xf>
    <xf numFmtId="10" fontId="34" fillId="34" borderId="66" applyNumberFormat="0" applyBorder="0" applyAlignment="0" applyProtection="0"/>
    <xf numFmtId="10" fontId="34" fillId="34" borderId="66" applyNumberFormat="0" applyBorder="0" applyAlignment="0" applyProtection="0"/>
    <xf numFmtId="10" fontId="34" fillId="34" borderId="66" applyNumberFormat="0" applyBorder="0" applyAlignment="0" applyProtection="0"/>
    <xf numFmtId="10" fontId="34" fillId="34" borderId="66" applyNumberFormat="0" applyBorder="0" applyAlignment="0" applyProtection="0"/>
    <xf numFmtId="10" fontId="34" fillId="34" borderId="66" applyNumberFormat="0" applyBorder="0" applyAlignment="0" applyProtection="0"/>
    <xf numFmtId="10" fontId="34" fillId="34" borderId="66" applyNumberFormat="0" applyBorder="0" applyAlignment="0" applyProtection="0"/>
    <xf numFmtId="10" fontId="34" fillId="34" borderId="66" applyNumberFormat="0" applyBorder="0" applyAlignment="0" applyProtection="0"/>
    <xf numFmtId="10" fontId="34" fillId="34" borderId="66" applyNumberFormat="0" applyBorder="0" applyAlignment="0" applyProtection="0"/>
    <xf numFmtId="10" fontId="34" fillId="34" borderId="66" applyNumberFormat="0" applyBorder="0" applyAlignment="0" applyProtection="0"/>
    <xf numFmtId="10" fontId="34" fillId="34" borderId="66" applyNumberFormat="0" applyBorder="0" applyAlignment="0" applyProtection="0"/>
    <xf numFmtId="10" fontId="34" fillId="34" borderId="66" applyNumberFormat="0" applyBorder="0" applyAlignment="0" applyProtection="0"/>
    <xf numFmtId="10" fontId="34" fillId="34" borderId="66" applyNumberFormat="0" applyBorder="0" applyAlignment="0" applyProtection="0"/>
    <xf numFmtId="10" fontId="34" fillId="34" borderId="66" applyNumberFormat="0" applyBorder="0" applyAlignment="0" applyProtection="0"/>
    <xf numFmtId="10" fontId="34" fillId="34" borderId="66" applyNumberFormat="0" applyBorder="0" applyAlignment="0" applyProtection="0"/>
    <xf numFmtId="10" fontId="34" fillId="34" borderId="66" applyNumberFormat="0" applyBorder="0" applyAlignment="0" applyProtection="0"/>
    <xf numFmtId="10" fontId="34" fillId="34" borderId="66" applyNumberFormat="0" applyBorder="0" applyAlignment="0" applyProtection="0"/>
    <xf numFmtId="10" fontId="34" fillId="34" borderId="66" applyNumberFormat="0" applyBorder="0" applyAlignment="0" applyProtection="0"/>
    <xf numFmtId="0" fontId="34" fillId="34" borderId="66" applyNumberFormat="0" applyBorder="0" applyAlignment="0" applyProtection="0"/>
    <xf numFmtId="10" fontId="34" fillId="34" borderId="66" applyNumberFormat="0" applyBorder="0" applyAlignment="0" applyProtection="0"/>
    <xf numFmtId="10" fontId="34" fillId="34" borderId="66" applyNumberFormat="0" applyBorder="0" applyAlignment="0" applyProtection="0"/>
    <xf numFmtId="10" fontId="34" fillId="34" borderId="66" applyNumberFormat="0" applyBorder="0" applyAlignment="0" applyProtection="0"/>
    <xf numFmtId="10" fontId="34" fillId="34" borderId="66" applyNumberFormat="0" applyBorder="0" applyAlignment="0" applyProtection="0"/>
    <xf numFmtId="0" fontId="50" fillId="19" borderId="113" applyNumberFormat="0" applyAlignment="0" applyProtection="0"/>
    <xf numFmtId="177" fontId="50" fillId="19" borderId="113" applyNumberFormat="0" applyAlignment="0" applyProtection="0"/>
    <xf numFmtId="176" fontId="50" fillId="19" borderId="113" applyNumberFormat="0" applyAlignment="0" applyProtection="0"/>
    <xf numFmtId="177" fontId="50" fillId="19" borderId="113" applyNumberFormat="0" applyAlignment="0" applyProtection="0"/>
    <xf numFmtId="177" fontId="50" fillId="19" borderId="113" applyNumberFormat="0" applyAlignment="0" applyProtection="0"/>
    <xf numFmtId="177" fontId="50" fillId="19" borderId="113" applyNumberFormat="0" applyAlignment="0" applyProtection="0"/>
    <xf numFmtId="6" fontId="2" fillId="0" borderId="0"/>
    <xf numFmtId="6" fontId="2" fillId="0" borderId="0"/>
    <xf numFmtId="6" fontId="2" fillId="0" borderId="0"/>
    <xf numFmtId="6" fontId="2" fillId="0" borderId="0"/>
    <xf numFmtId="0" fontId="70" fillId="0" borderId="66">
      <alignment horizontal="center"/>
    </xf>
    <xf numFmtId="42" fontId="2" fillId="0" borderId="0"/>
    <xf numFmtId="6" fontId="2" fillId="0" borderId="0"/>
    <xf numFmtId="0" fontId="21" fillId="38" borderId="114" applyNumberFormat="0" applyFont="0" applyAlignment="0" applyProtection="0"/>
    <xf numFmtId="177" fontId="11" fillId="38" borderId="114" applyNumberFormat="0" applyFont="0" applyAlignment="0" applyProtection="0"/>
    <xf numFmtId="0" fontId="11" fillId="38" borderId="114" applyNumberFormat="0" applyFont="0" applyAlignment="0" applyProtection="0"/>
    <xf numFmtId="0" fontId="11" fillId="38" borderId="114" applyNumberFormat="0" applyFont="0" applyAlignment="0" applyProtection="0"/>
    <xf numFmtId="0" fontId="21" fillId="38" borderId="114" applyNumberFormat="0" applyFont="0" applyAlignment="0" applyProtection="0"/>
    <xf numFmtId="177" fontId="11" fillId="38" borderId="114" applyNumberFormat="0" applyFont="0" applyAlignment="0" applyProtection="0"/>
    <xf numFmtId="0" fontId="11" fillId="38" borderId="114" applyNumberFormat="0" applyFont="0" applyAlignment="0" applyProtection="0"/>
    <xf numFmtId="0" fontId="11" fillId="38" borderId="114" applyNumberFormat="0" applyFont="0" applyAlignment="0" applyProtection="0"/>
    <xf numFmtId="177" fontId="21" fillId="38" borderId="114" applyNumberFormat="0" applyFont="0" applyAlignment="0" applyProtection="0"/>
    <xf numFmtId="177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177" fontId="21" fillId="38" borderId="114" applyNumberFormat="0" applyFont="0" applyAlignment="0" applyProtection="0"/>
    <xf numFmtId="177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31" fillId="38" borderId="114" applyNumberFormat="0" applyFont="0" applyAlignment="0" applyProtection="0"/>
    <xf numFmtId="0" fontId="3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30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177" fontId="21" fillId="38" borderId="114" applyNumberFormat="0" applyFont="0" applyAlignment="0" applyProtection="0"/>
    <xf numFmtId="0" fontId="50" fillId="19" borderId="113" applyNumberFormat="0" applyAlignment="0" applyProtection="0"/>
    <xf numFmtId="177" fontId="21" fillId="38" borderId="114" applyNumberFormat="0" applyFont="0" applyAlignment="0" applyProtection="0"/>
    <xf numFmtId="0" fontId="30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31" fillId="38" borderId="114" applyNumberFormat="0" applyFont="0" applyAlignment="0" applyProtection="0"/>
    <xf numFmtId="0" fontId="3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177" fontId="21" fillId="38" borderId="114" applyNumberFormat="0" applyFont="0" applyAlignment="0" applyProtection="0"/>
    <xf numFmtId="177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31" fillId="38" borderId="114" applyNumberFormat="0" applyFont="0" applyAlignment="0" applyProtection="0"/>
    <xf numFmtId="0" fontId="3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31" fillId="38" borderId="114" applyNumberFormat="0" applyFont="0" applyAlignment="0" applyProtection="0"/>
    <xf numFmtId="0" fontId="31" fillId="38" borderId="114" applyNumberFormat="0" applyFont="0" applyAlignment="0" applyProtection="0"/>
    <xf numFmtId="0" fontId="21" fillId="38" borderId="114" applyNumberFormat="0" applyFont="0" applyAlignment="0" applyProtection="0"/>
    <xf numFmtId="0" fontId="31" fillId="38" borderId="114" applyNumberFormat="0" applyFont="0" applyAlignment="0" applyProtection="0"/>
    <xf numFmtId="0" fontId="31" fillId="38" borderId="114" applyNumberFormat="0" applyFont="0" applyAlignment="0" applyProtection="0"/>
    <xf numFmtId="177" fontId="21" fillId="38" borderId="114" applyNumberFormat="0" applyFont="0" applyAlignment="0" applyProtection="0"/>
    <xf numFmtId="177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31" fillId="38" borderId="114" applyNumberFormat="0" applyFont="0" applyAlignment="0" applyProtection="0"/>
    <xf numFmtId="0" fontId="31" fillId="38" borderId="114" applyNumberFormat="0" applyFont="0" applyAlignment="0" applyProtection="0"/>
    <xf numFmtId="0" fontId="31" fillId="38" borderId="114" applyNumberFormat="0" applyFont="0" applyAlignment="0" applyProtection="0"/>
    <xf numFmtId="0" fontId="31" fillId="38" borderId="114" applyNumberFormat="0" applyFont="0" applyAlignment="0" applyProtection="0"/>
    <xf numFmtId="0" fontId="31" fillId="38" borderId="114" applyNumberFormat="0" applyFont="0" applyAlignment="0" applyProtection="0"/>
    <xf numFmtId="0" fontId="31" fillId="38" borderId="114" applyNumberFormat="0" applyFont="0" applyAlignment="0" applyProtection="0"/>
    <xf numFmtId="0" fontId="31" fillId="38" borderId="114" applyNumberFormat="0" applyFont="0" applyAlignment="0" applyProtection="0"/>
    <xf numFmtId="0" fontId="31" fillId="38" borderId="114" applyNumberFormat="0" applyFont="0" applyAlignment="0" applyProtection="0"/>
    <xf numFmtId="0" fontId="31" fillId="38" borderId="114" applyNumberFormat="0" applyFont="0" applyAlignment="0" applyProtection="0"/>
    <xf numFmtId="0" fontId="31" fillId="38" borderId="114" applyNumberFormat="0" applyFont="0" applyAlignment="0" applyProtection="0"/>
    <xf numFmtId="0" fontId="31" fillId="38" borderId="114" applyNumberFormat="0" applyFont="0" applyAlignment="0" applyProtection="0"/>
    <xf numFmtId="0" fontId="31" fillId="38" borderId="114" applyNumberFormat="0" applyFont="0" applyAlignment="0" applyProtection="0"/>
    <xf numFmtId="0" fontId="31" fillId="38" borderId="114" applyNumberFormat="0" applyFont="0" applyAlignment="0" applyProtection="0"/>
    <xf numFmtId="0" fontId="31" fillId="38" borderId="114" applyNumberFormat="0" applyFont="0" applyAlignment="0" applyProtection="0"/>
    <xf numFmtId="0" fontId="31" fillId="38" borderId="114" applyNumberFormat="0" applyFont="0" applyAlignment="0" applyProtection="0"/>
    <xf numFmtId="0" fontId="31" fillId="38" borderId="114" applyNumberFormat="0" applyFont="0" applyAlignment="0" applyProtection="0"/>
    <xf numFmtId="0" fontId="31" fillId="38" borderId="114" applyNumberFormat="0" applyFont="0" applyAlignment="0" applyProtection="0"/>
    <xf numFmtId="0" fontId="31" fillId="38" borderId="114" applyNumberFormat="0" applyFont="0" applyAlignment="0" applyProtection="0"/>
    <xf numFmtId="0" fontId="31" fillId="38" borderId="114" applyNumberFormat="0" applyFont="0" applyAlignment="0" applyProtection="0"/>
    <xf numFmtId="0" fontId="31" fillId="38" borderId="114" applyNumberFormat="0" applyFont="0" applyAlignment="0" applyProtection="0"/>
    <xf numFmtId="0" fontId="11" fillId="38" borderId="114" applyNumberFormat="0" applyFont="0" applyAlignment="0" applyProtection="0"/>
    <xf numFmtId="0" fontId="31" fillId="38" borderId="114" applyNumberFormat="0" applyFont="0" applyAlignment="0" applyProtection="0"/>
    <xf numFmtId="0" fontId="31" fillId="38" borderId="114" applyNumberFormat="0" applyFont="0" applyAlignment="0" applyProtection="0"/>
    <xf numFmtId="177" fontId="11" fillId="38" borderId="114" applyNumberFormat="0" applyFont="0" applyAlignment="0" applyProtection="0"/>
    <xf numFmtId="177" fontId="11" fillId="38" borderId="114" applyNumberFormat="0" applyFont="0" applyAlignment="0" applyProtection="0"/>
    <xf numFmtId="177" fontId="11" fillId="38" borderId="114" applyNumberFormat="0" applyFont="0" applyAlignment="0" applyProtection="0"/>
    <xf numFmtId="0" fontId="21" fillId="38" borderId="114" applyNumberFormat="0" applyFont="0" applyAlignment="0" applyProtection="0"/>
    <xf numFmtId="0" fontId="21" fillId="38" borderId="114" applyNumberFormat="0" applyFont="0" applyAlignment="0" applyProtection="0"/>
    <xf numFmtId="0" fontId="11" fillId="38" borderId="114" applyNumberFormat="0" applyFont="0" applyAlignment="0" applyProtection="0"/>
    <xf numFmtId="0" fontId="11" fillId="38" borderId="114" applyNumberFormat="0" applyFont="0" applyAlignment="0" applyProtection="0"/>
    <xf numFmtId="0" fontId="11" fillId="38" borderId="114" applyNumberFormat="0" applyFont="0" applyAlignment="0" applyProtection="0"/>
    <xf numFmtId="0" fontId="11" fillId="38" borderId="114" applyNumberFormat="0" applyFont="0" applyAlignment="0" applyProtection="0"/>
    <xf numFmtId="0" fontId="11" fillId="38" borderId="114" applyNumberFormat="0" applyFont="0" applyAlignment="0" applyProtection="0"/>
    <xf numFmtId="0" fontId="11" fillId="38" borderId="114" applyNumberFormat="0" applyFont="0" applyAlignment="0" applyProtection="0"/>
    <xf numFmtId="0" fontId="11" fillId="38" borderId="114" applyNumberFormat="0" applyFont="0" applyAlignment="0" applyProtection="0"/>
    <xf numFmtId="0" fontId="11" fillId="38" borderId="114" applyNumberFormat="0" applyFont="0" applyAlignment="0" applyProtection="0"/>
    <xf numFmtId="0" fontId="31" fillId="38" borderId="114" applyNumberFormat="0" applyFont="0" applyAlignment="0" applyProtection="0"/>
    <xf numFmtId="0" fontId="31" fillId="38" borderId="114" applyNumberFormat="0" applyFont="0" applyAlignment="0" applyProtection="0"/>
    <xf numFmtId="177" fontId="11" fillId="38" borderId="114" applyNumberFormat="0" applyFont="0" applyAlignment="0" applyProtection="0"/>
    <xf numFmtId="0" fontId="21" fillId="38" borderId="114" applyNumberFormat="0" applyFont="0" applyAlignment="0" applyProtection="0"/>
    <xf numFmtId="0" fontId="11" fillId="38" borderId="114" applyNumberFormat="0" applyFont="0" applyAlignment="0" applyProtection="0"/>
    <xf numFmtId="0" fontId="11" fillId="38" borderId="114" applyNumberFormat="0" applyFont="0" applyAlignment="0" applyProtection="0"/>
    <xf numFmtId="0" fontId="11" fillId="38" borderId="114" applyNumberFormat="0" applyFont="0" applyAlignment="0" applyProtection="0"/>
    <xf numFmtId="0" fontId="11" fillId="38" borderId="114" applyNumberFormat="0" applyFont="0" applyAlignment="0" applyProtection="0"/>
    <xf numFmtId="0" fontId="11" fillId="38" borderId="114" applyNumberFormat="0" applyFont="0" applyAlignment="0" applyProtection="0"/>
    <xf numFmtId="0" fontId="11" fillId="38" borderId="114" applyNumberFormat="0" applyFont="0" applyAlignment="0" applyProtection="0"/>
    <xf numFmtId="0" fontId="11" fillId="38" borderId="114" applyNumberFormat="0" applyFont="0" applyAlignment="0" applyProtection="0"/>
    <xf numFmtId="0" fontId="21" fillId="38" borderId="114" applyNumberFormat="0" applyFont="0" applyAlignment="0" applyProtection="0"/>
    <xf numFmtId="177" fontId="11" fillId="38" borderId="114" applyNumberFormat="0" applyFont="0" applyAlignment="0" applyProtection="0"/>
    <xf numFmtId="0" fontId="11" fillId="38" borderId="114" applyNumberFormat="0" applyFont="0" applyAlignment="0" applyProtection="0"/>
    <xf numFmtId="0" fontId="11" fillId="38" borderId="114" applyNumberFormat="0" applyFont="0" applyAlignment="0" applyProtection="0"/>
    <xf numFmtId="0" fontId="21" fillId="38" borderId="114" applyNumberFormat="0" applyFont="0" applyAlignment="0" applyProtection="0"/>
    <xf numFmtId="177" fontId="11" fillId="38" borderId="114" applyNumberFormat="0" applyFont="0" applyAlignment="0" applyProtection="0"/>
    <xf numFmtId="0" fontId="11" fillId="38" borderId="114" applyNumberFormat="0" applyFont="0" applyAlignment="0" applyProtection="0"/>
    <xf numFmtId="0" fontId="11" fillId="38" borderId="114" applyNumberFormat="0" applyFont="0" applyAlignment="0" applyProtection="0"/>
    <xf numFmtId="0" fontId="21" fillId="38" borderId="114" applyNumberFormat="0" applyFont="0" applyAlignment="0" applyProtection="0"/>
    <xf numFmtId="177" fontId="11" fillId="38" borderId="114" applyNumberFormat="0" applyFont="0" applyAlignment="0" applyProtection="0"/>
    <xf numFmtId="0" fontId="11" fillId="38" borderId="114" applyNumberFormat="0" applyFont="0" applyAlignment="0" applyProtection="0"/>
    <xf numFmtId="0" fontId="11" fillId="38" borderId="114" applyNumberFormat="0" applyFont="0" applyAlignment="0" applyProtection="0"/>
    <xf numFmtId="0" fontId="61" fillId="30" borderId="115" applyNumberFormat="0" applyAlignment="0" applyProtection="0"/>
    <xf numFmtId="177" fontId="61" fillId="30" borderId="115" applyNumberFormat="0" applyAlignment="0" applyProtection="0"/>
    <xf numFmtId="0" fontId="122" fillId="30" borderId="115" applyNumberFormat="0" applyAlignment="0" applyProtection="0"/>
    <xf numFmtId="177" fontId="67" fillId="0" borderId="116"/>
    <xf numFmtId="177" fontId="67" fillId="0" borderId="116"/>
    <xf numFmtId="177" fontId="67" fillId="0" borderId="116"/>
    <xf numFmtId="177" fontId="67" fillId="0" borderId="116"/>
    <xf numFmtId="0" fontId="70" fillId="0" borderId="22">
      <alignment horizontal="center"/>
    </xf>
    <xf numFmtId="0" fontId="70" fillId="0" borderId="22">
      <alignment horizontal="center"/>
    </xf>
    <xf numFmtId="0" fontId="70" fillId="0" borderId="22">
      <alignment horizontal="center"/>
    </xf>
    <xf numFmtId="0" fontId="70" fillId="0" borderId="22">
      <alignment horizontal="center"/>
    </xf>
    <xf numFmtId="0" fontId="70" fillId="0" borderId="22">
      <alignment horizontal="center"/>
    </xf>
    <xf numFmtId="0" fontId="70" fillId="0" borderId="22">
      <alignment horizontal="center"/>
    </xf>
    <xf numFmtId="0" fontId="70" fillId="0" borderId="22">
      <alignment horizontal="center"/>
    </xf>
    <xf numFmtId="0" fontId="70" fillId="0" borderId="22">
      <alignment horizontal="center"/>
    </xf>
    <xf numFmtId="0" fontId="70" fillId="0" borderId="22">
      <alignment horizontal="center"/>
    </xf>
    <xf numFmtId="0" fontId="70" fillId="0" borderId="22">
      <alignment horizontal="center"/>
    </xf>
    <xf numFmtId="177" fontId="70" fillId="0" borderId="22">
      <alignment horizontal="center"/>
    </xf>
    <xf numFmtId="177" fontId="70" fillId="0" borderId="22">
      <alignment horizontal="center"/>
    </xf>
    <xf numFmtId="0" fontId="70" fillId="0" borderId="22">
      <alignment horizontal="center"/>
    </xf>
    <xf numFmtId="0" fontId="70" fillId="0" borderId="22">
      <alignment horizontal="center"/>
    </xf>
    <xf numFmtId="0" fontId="70" fillId="0" borderId="22">
      <alignment horizontal="center"/>
    </xf>
    <xf numFmtId="0" fontId="70" fillId="0" borderId="22">
      <alignment horizontal="center"/>
    </xf>
    <xf numFmtId="0" fontId="70" fillId="0" borderId="22">
      <alignment horizontal="center"/>
    </xf>
    <xf numFmtId="177" fontId="70" fillId="0" borderId="22">
      <alignment horizontal="center"/>
    </xf>
    <xf numFmtId="177" fontId="70" fillId="0" borderId="22">
      <alignment horizontal="center"/>
    </xf>
    <xf numFmtId="177" fontId="70" fillId="0" borderId="22">
      <alignment horizontal="center"/>
    </xf>
    <xf numFmtId="0" fontId="70" fillId="0" borderId="22">
      <alignment horizontal="center"/>
    </xf>
    <xf numFmtId="0" fontId="70" fillId="0" borderId="22">
      <alignment horizontal="center"/>
    </xf>
    <xf numFmtId="177" fontId="70" fillId="0" borderId="22">
      <alignment horizontal="center"/>
    </xf>
    <xf numFmtId="0" fontId="70" fillId="0" borderId="22">
      <alignment horizontal="center"/>
    </xf>
    <xf numFmtId="177" fontId="70" fillId="0" borderId="22">
      <alignment horizontal="center"/>
    </xf>
    <xf numFmtId="0" fontId="70" fillId="0" borderId="22">
      <alignment horizontal="center"/>
    </xf>
    <xf numFmtId="177" fontId="70" fillId="0" borderId="22">
      <alignment horizontal="center"/>
    </xf>
    <xf numFmtId="0" fontId="70" fillId="0" borderId="22">
      <alignment horizontal="center"/>
    </xf>
    <xf numFmtId="176" fontId="70" fillId="0" borderId="22">
      <alignment horizontal="center"/>
    </xf>
    <xf numFmtId="0" fontId="70" fillId="0" borderId="22">
      <alignment horizontal="center"/>
    </xf>
    <xf numFmtId="0" fontId="70" fillId="0" borderId="22">
      <alignment horizontal="center"/>
    </xf>
    <xf numFmtId="0" fontId="70" fillId="0" borderId="22">
      <alignment horizontal="center"/>
    </xf>
    <xf numFmtId="177" fontId="72" fillId="0" borderId="107"/>
    <xf numFmtId="0" fontId="75" fillId="0" borderId="41" applyNumberFormat="0" applyFill="0" applyAlignment="0" applyProtection="0"/>
    <xf numFmtId="0" fontId="75" fillId="0" borderId="41" applyNumberFormat="0" applyFill="0" applyAlignment="0" applyProtection="0"/>
    <xf numFmtId="0" fontId="123" fillId="0" borderId="41" applyNumberFormat="0" applyFill="0" applyAlignment="0" applyProtection="0"/>
    <xf numFmtId="0" fontId="123" fillId="0" borderId="41" applyNumberFormat="0" applyFill="0" applyAlignment="0" applyProtection="0"/>
    <xf numFmtId="0" fontId="75" fillId="0" borderId="41" applyNumberFormat="0" applyFill="0" applyAlignment="0" applyProtection="0"/>
    <xf numFmtId="0" fontId="75" fillId="0" borderId="41" applyNumberFormat="0" applyFill="0" applyAlignment="0" applyProtection="0"/>
    <xf numFmtId="0" fontId="75" fillId="0" borderId="41" applyNumberFormat="0" applyFill="0" applyAlignment="0" applyProtection="0"/>
    <xf numFmtId="0" fontId="75" fillId="0" borderId="41" applyNumberFormat="0" applyFill="0" applyAlignment="0" applyProtection="0"/>
    <xf numFmtId="0" fontId="75" fillId="0" borderId="41" applyNumberFormat="0" applyFill="0" applyAlignment="0" applyProtection="0"/>
    <xf numFmtId="0" fontId="75" fillId="0" borderId="41" applyNumberFormat="0" applyFill="0" applyAlignment="0" applyProtection="0"/>
    <xf numFmtId="0" fontId="75" fillId="0" borderId="41" applyNumberFormat="0" applyFill="0" applyAlignment="0" applyProtection="0"/>
    <xf numFmtId="177" fontId="75" fillId="0" borderId="41" applyNumberFormat="0" applyFill="0" applyAlignment="0" applyProtection="0"/>
    <xf numFmtId="177" fontId="11" fillId="38" borderId="114" applyNumberFormat="0" applyFont="0" applyAlignment="0" applyProtection="0"/>
    <xf numFmtId="6" fontId="11" fillId="0" borderId="0" applyFill="0" applyBorder="0" applyAlignment="0"/>
    <xf numFmtId="5" fontId="11" fillId="0" borderId="0" applyFill="0" applyBorder="0" applyAlignment="0"/>
    <xf numFmtId="41" fontId="11" fillId="0" borderId="0" applyFill="0" applyBorder="0" applyAlignment="0"/>
    <xf numFmtId="6" fontId="11" fillId="0" borderId="0" applyFill="0" applyBorder="0" applyAlignment="0"/>
    <xf numFmtId="0" fontId="27" fillId="30" borderId="113" applyNumberFormat="0" applyAlignment="0" applyProtection="0"/>
    <xf numFmtId="0" fontId="27" fillId="30" borderId="113" applyNumberFormat="0" applyAlignment="0" applyProtection="0"/>
    <xf numFmtId="0" fontId="29" fillId="31" borderId="106" applyNumberFormat="0" applyAlignment="0" applyProtection="0"/>
    <xf numFmtId="43" fontId="2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5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5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1" fillId="0" borderId="0" applyProtection="0"/>
    <xf numFmtId="41" fontId="115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3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5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5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115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115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5" fontId="11" fillId="0" borderId="0" applyFont="0" applyFill="0" applyBorder="0" applyAlignment="0" applyProtection="0"/>
    <xf numFmtId="43" fontId="21" fillId="0" borderId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1" fillId="0" borderId="0" applyProtection="0"/>
    <xf numFmtId="43" fontId="115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1" fillId="0" borderId="0" applyProtection="0"/>
    <xf numFmtId="43" fontId="1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21" fillId="0" borderId="0" applyProtection="0"/>
    <xf numFmtId="43" fontId="11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21" fillId="0" borderId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1" fillId="0" borderId="0" applyProtection="0"/>
    <xf numFmtId="43" fontId="115" fillId="0" borderId="0" applyFont="0" applyFill="0" applyBorder="0" applyAlignment="0" applyProtection="0"/>
    <xf numFmtId="43" fontId="21" fillId="0" borderId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1" fillId="0" borderId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185" fontId="37" fillId="0" borderId="66"/>
    <xf numFmtId="6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5" fontId="11" fillId="0" borderId="0" applyFill="0" applyBorder="0" applyAlignment="0"/>
    <xf numFmtId="6" fontId="11" fillId="0" borderId="0" applyFill="0" applyBorder="0" applyAlignment="0"/>
    <xf numFmtId="5" fontId="11" fillId="0" borderId="0" applyFill="0" applyBorder="0" applyAlignment="0"/>
    <xf numFmtId="41" fontId="11" fillId="0" borderId="0" applyFill="0" applyBorder="0" applyAlignment="0"/>
    <xf numFmtId="6" fontId="11" fillId="0" borderId="0" applyFill="0" applyBorder="0" applyAlignment="0"/>
    <xf numFmtId="0" fontId="43" fillId="0" borderId="73">
      <alignment horizontal="left" vertical="center"/>
    </xf>
    <xf numFmtId="10" fontId="34" fillId="34" borderId="66" applyNumberFormat="0" applyBorder="0" applyAlignment="0" applyProtection="0"/>
    <xf numFmtId="0" fontId="50" fillId="19" borderId="113" applyNumberFormat="0" applyAlignment="0" applyProtection="0"/>
    <xf numFmtId="5" fontId="11" fillId="0" borderId="0" applyFill="0" applyBorder="0" applyAlignment="0"/>
    <xf numFmtId="6" fontId="11" fillId="0" borderId="0" applyFill="0" applyBorder="0" applyAlignment="0"/>
    <xf numFmtId="5" fontId="11" fillId="0" borderId="0" applyFill="0" applyBorder="0" applyAlignment="0"/>
    <xf numFmtId="41" fontId="11" fillId="0" borderId="0" applyFill="0" applyBorder="0" applyAlignment="0"/>
    <xf numFmtId="6" fontId="11" fillId="0" borderId="0" applyFill="0" applyBorder="0" applyAlignment="0"/>
    <xf numFmtId="43" fontId="21" fillId="0" borderId="0" applyFont="0" applyFill="0" applyBorder="0" applyAlignment="0" applyProtection="0"/>
    <xf numFmtId="0" fontId="27" fillId="30" borderId="80" applyNumberFormat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31" fillId="38" borderId="49" applyNumberFormat="0" applyFont="0" applyAlignment="0" applyProtection="0"/>
    <xf numFmtId="0" fontId="31" fillId="38" borderId="49" applyNumberFormat="0" applyFont="0" applyAlignment="0" applyProtection="0"/>
    <xf numFmtId="0" fontId="31" fillId="38" borderId="49" applyNumberFormat="0" applyFont="0" applyAlignment="0" applyProtection="0"/>
    <xf numFmtId="0" fontId="31" fillId="38" borderId="49" applyNumberFormat="0" applyFont="0" applyAlignment="0" applyProtection="0"/>
    <xf numFmtId="0" fontId="31" fillId="38" borderId="49" applyNumberFormat="0" applyFont="0" applyAlignment="0" applyProtection="0"/>
    <xf numFmtId="0" fontId="31" fillId="38" borderId="114" applyNumberFormat="0" applyFont="0" applyAlignment="0" applyProtection="0"/>
    <xf numFmtId="0" fontId="31" fillId="38" borderId="114" applyNumberFormat="0" applyFont="0" applyAlignment="0" applyProtection="0"/>
    <xf numFmtId="0" fontId="61" fillId="30" borderId="50" applyNumberFormat="0" applyAlignment="0" applyProtection="0"/>
    <xf numFmtId="0" fontId="61" fillId="30" borderId="50" applyNumberFormat="0" applyAlignment="0" applyProtection="0"/>
    <xf numFmtId="0" fontId="31" fillId="38" borderId="49" applyNumberFormat="0" applyFont="0" applyAlignment="0" applyProtection="0"/>
    <xf numFmtId="6" fontId="26" fillId="0" borderId="0" applyFont="0" applyFill="0" applyBorder="0" applyAlignment="0" applyProtection="0"/>
    <xf numFmtId="0" fontId="31" fillId="38" borderId="49" applyNumberFormat="0" applyFont="0" applyAlignment="0" applyProtection="0"/>
    <xf numFmtId="0" fontId="31" fillId="38" borderId="49" applyNumberFormat="0" applyFont="0" applyAlignment="0" applyProtection="0"/>
    <xf numFmtId="5" fontId="11" fillId="0" borderId="0" applyFill="0" applyBorder="0" applyAlignment="0"/>
    <xf numFmtId="6" fontId="11" fillId="0" borderId="0" applyFill="0" applyBorder="0" applyAlignment="0"/>
    <xf numFmtId="5" fontId="11" fillId="0" borderId="0" applyFill="0" applyBorder="0" applyAlignment="0"/>
    <xf numFmtId="41" fontId="11" fillId="0" borderId="0" applyFill="0" applyBorder="0" applyAlignment="0"/>
    <xf numFmtId="6" fontId="11" fillId="0" borderId="0" applyFill="0" applyBorder="0" applyAlignment="0"/>
    <xf numFmtId="0" fontId="67" fillId="0" borderId="51"/>
    <xf numFmtId="0" fontId="70" fillId="0" borderId="66">
      <alignment horizontal="center"/>
    </xf>
    <xf numFmtId="43" fontId="11" fillId="0" borderId="0" applyFill="0" applyBorder="0" applyAlignment="0"/>
    <xf numFmtId="41" fontId="11" fillId="0" borderId="0" applyFont="0" applyFill="0" applyBorder="0" applyAlignment="0" applyProtection="0"/>
    <xf numFmtId="0" fontId="75" fillId="0" borderId="41" applyNumberFormat="0" applyFill="0" applyAlignment="0" applyProtection="0"/>
    <xf numFmtId="0" fontId="75" fillId="0" borderId="41" applyNumberFormat="0" applyFill="0" applyAlignment="0" applyProtection="0"/>
    <xf numFmtId="0" fontId="43" fillId="0" borderId="73">
      <alignment horizontal="left" vertical="center"/>
    </xf>
    <xf numFmtId="0" fontId="50" fillId="19" borderId="80" applyNumberFormat="0" applyAlignment="0" applyProtection="0"/>
    <xf numFmtId="0" fontId="50" fillId="19" borderId="80" applyNumberFormat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31" fillId="38" borderId="49" applyNumberFormat="0" applyFont="0" applyAlignment="0" applyProtection="0"/>
    <xf numFmtId="0" fontId="31" fillId="38" borderId="49" applyNumberFormat="0" applyFont="0" applyAlignment="0" applyProtection="0"/>
    <xf numFmtId="0" fontId="31" fillId="38" borderId="49" applyNumberFormat="0" applyFont="0" applyAlignment="0" applyProtection="0"/>
    <xf numFmtId="0" fontId="31" fillId="38" borderId="49" applyNumberFormat="0" applyFont="0" applyAlignment="0" applyProtection="0"/>
    <xf numFmtId="0" fontId="31" fillId="38" borderId="49" applyNumberFormat="0" applyFont="0" applyAlignment="0" applyProtection="0"/>
    <xf numFmtId="0" fontId="31" fillId="38" borderId="49" applyNumberFormat="0" applyFont="0" applyAlignment="0" applyProtection="0"/>
    <xf numFmtId="0" fontId="31" fillId="38" borderId="49" applyNumberFormat="0" applyFont="0" applyAlignment="0" applyProtection="0"/>
    <xf numFmtId="0" fontId="31" fillId="38" borderId="49" applyNumberFormat="0" applyFont="0" applyAlignment="0" applyProtection="0"/>
    <xf numFmtId="0" fontId="75" fillId="0" borderId="41" applyNumberFormat="0" applyFill="0" applyAlignment="0" applyProtection="0"/>
    <xf numFmtId="0" fontId="75" fillId="0" borderId="41" applyNumberFormat="0" applyFill="0" applyAlignment="0" applyProtection="0"/>
    <xf numFmtId="0" fontId="75" fillId="0" borderId="41" applyNumberFormat="0" applyFill="0" applyAlignment="0" applyProtection="0"/>
    <xf numFmtId="0" fontId="11" fillId="0" borderId="0"/>
    <xf numFmtId="0" fontId="11" fillId="0" borderId="0"/>
    <xf numFmtId="6" fontId="11" fillId="0" borderId="0" applyFill="0" applyBorder="0" applyAlignment="0"/>
    <xf numFmtId="6" fontId="11" fillId="0" borderId="0" applyFill="0" applyBorder="0" applyAlignment="0"/>
    <xf numFmtId="6" fontId="11" fillId="0" borderId="0" applyFill="0" applyBorder="0" applyAlignment="0"/>
    <xf numFmtId="5" fontId="11" fillId="0" borderId="0" applyFill="0" applyBorder="0" applyAlignment="0"/>
    <xf numFmtId="5" fontId="11" fillId="0" borderId="0" applyFill="0" applyBorder="0" applyAlignment="0"/>
    <xf numFmtId="5" fontId="11" fillId="0" borderId="0" applyFill="0" applyBorder="0" applyAlignment="0"/>
    <xf numFmtId="41" fontId="11" fillId="0" borderId="0" applyFill="0" applyBorder="0" applyAlignment="0"/>
    <xf numFmtId="41" fontId="11" fillId="0" borderId="0" applyFill="0" applyBorder="0" applyAlignment="0"/>
    <xf numFmtId="41" fontId="11" fillId="0" borderId="0" applyFill="0" applyBorder="0" applyAlignment="0"/>
    <xf numFmtId="6" fontId="11" fillId="0" borderId="0" applyFill="0" applyBorder="0" applyAlignment="0"/>
    <xf numFmtId="6" fontId="11" fillId="0" borderId="0" applyFill="0" applyBorder="0" applyAlignment="0"/>
    <xf numFmtId="6" fontId="11" fillId="0" borderId="0" applyFill="0" applyBorder="0" applyAlignment="0"/>
    <xf numFmtId="0" fontId="27" fillId="30" borderId="113" applyNumberFormat="0" applyAlignment="0" applyProtection="0"/>
    <xf numFmtId="0" fontId="27" fillId="30" borderId="113" applyNumberFormat="0" applyAlignment="0" applyProtection="0"/>
    <xf numFmtId="0" fontId="27" fillId="30" borderId="113" applyNumberFormat="0" applyAlignment="0" applyProtection="0"/>
    <xf numFmtId="0" fontId="27" fillId="30" borderId="113" applyNumberFormat="0" applyAlignment="0" applyProtection="0"/>
    <xf numFmtId="0" fontId="27" fillId="30" borderId="113" applyNumberFormat="0" applyAlignment="0" applyProtection="0"/>
    <xf numFmtId="0" fontId="27" fillId="30" borderId="113" applyNumberFormat="0" applyAlignment="0" applyProtection="0"/>
    <xf numFmtId="43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115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5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5" fillId="0" borderId="0" applyFont="0" applyFill="0" applyBorder="0" applyAlignment="0" applyProtection="0"/>
    <xf numFmtId="41" fontId="3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5" fillId="0" borderId="0" applyFont="0" applyFill="0" applyBorder="0" applyAlignment="0" applyProtection="0"/>
    <xf numFmtId="41" fontId="21" fillId="0" borderId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115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5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5" fontId="11" fillId="0" borderId="0" applyFont="0" applyFill="0" applyBorder="0" applyAlignment="0" applyProtection="0"/>
    <xf numFmtId="5" fontId="11" fillId="0" borderId="0" applyFont="0" applyFill="0" applyBorder="0" applyAlignment="0" applyProtection="0"/>
    <xf numFmtId="5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1" fillId="0" borderId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1" fillId="0" borderId="0" applyProtection="0"/>
    <xf numFmtId="43" fontId="21" fillId="0" borderId="0" applyProtection="0"/>
    <xf numFmtId="43" fontId="3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1" fillId="0" borderId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1" fillId="0" borderId="0" applyProtection="0"/>
    <xf numFmtId="43" fontId="2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21" fillId="0" borderId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21" fillId="0" borderId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21" fillId="0" borderId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1" fillId="0" borderId="0" applyProtection="0"/>
    <xf numFmtId="43" fontId="11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1" fillId="0" borderId="0" applyProtection="0"/>
    <xf numFmtId="6" fontId="11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5" fontId="11" fillId="0" borderId="0" applyFill="0" applyBorder="0" applyAlignment="0"/>
    <xf numFmtId="5" fontId="11" fillId="0" borderId="0" applyFill="0" applyBorder="0" applyAlignment="0"/>
    <xf numFmtId="5" fontId="11" fillId="0" borderId="0" applyFill="0" applyBorder="0" applyAlignment="0"/>
    <xf numFmtId="6" fontId="11" fillId="0" borderId="0" applyFill="0" applyBorder="0" applyAlignment="0"/>
    <xf numFmtId="6" fontId="11" fillId="0" borderId="0" applyFill="0" applyBorder="0" applyAlignment="0"/>
    <xf numFmtId="6" fontId="11" fillId="0" borderId="0" applyFill="0" applyBorder="0" applyAlignment="0"/>
    <xf numFmtId="5" fontId="11" fillId="0" borderId="0" applyFill="0" applyBorder="0" applyAlignment="0"/>
    <xf numFmtId="5" fontId="11" fillId="0" borderId="0" applyFill="0" applyBorder="0" applyAlignment="0"/>
    <xf numFmtId="5" fontId="11" fillId="0" borderId="0" applyFill="0" applyBorder="0" applyAlignment="0"/>
    <xf numFmtId="41" fontId="11" fillId="0" borderId="0" applyFill="0" applyBorder="0" applyAlignment="0"/>
    <xf numFmtId="41" fontId="11" fillId="0" borderId="0" applyFill="0" applyBorder="0" applyAlignment="0"/>
    <xf numFmtId="41" fontId="11" fillId="0" borderId="0" applyFill="0" applyBorder="0" applyAlignment="0"/>
    <xf numFmtId="6" fontId="11" fillId="0" borderId="0" applyFill="0" applyBorder="0" applyAlignment="0"/>
    <xf numFmtId="6" fontId="11" fillId="0" borderId="0" applyFill="0" applyBorder="0" applyAlignment="0"/>
    <xf numFmtId="6" fontId="11" fillId="0" borderId="0" applyFill="0" applyBorder="0" applyAlignment="0"/>
    <xf numFmtId="0" fontId="43" fillId="0" borderId="73">
      <alignment horizontal="left" vertical="center"/>
    </xf>
    <xf numFmtId="0" fontId="43" fillId="0" borderId="73">
      <alignment horizontal="left" vertical="center"/>
    </xf>
    <xf numFmtId="0" fontId="50" fillId="19" borderId="113" applyNumberFormat="0" applyAlignment="0" applyProtection="0"/>
    <xf numFmtId="0" fontId="50" fillId="19" borderId="113" applyNumberFormat="0" applyAlignment="0" applyProtection="0"/>
    <xf numFmtId="0" fontId="50" fillId="19" borderId="113" applyNumberFormat="0" applyAlignment="0" applyProtection="0"/>
    <xf numFmtId="0" fontId="50" fillId="19" borderId="113" applyNumberFormat="0" applyAlignment="0" applyProtection="0"/>
    <xf numFmtId="0" fontId="50" fillId="19" borderId="113" applyNumberFormat="0" applyAlignment="0" applyProtection="0"/>
    <xf numFmtId="5" fontId="11" fillId="0" borderId="0" applyFill="0" applyBorder="0" applyAlignment="0"/>
    <xf numFmtId="5" fontId="11" fillId="0" borderId="0" applyFill="0" applyBorder="0" applyAlignment="0"/>
    <xf numFmtId="5" fontId="11" fillId="0" borderId="0" applyFill="0" applyBorder="0" applyAlignment="0"/>
    <xf numFmtId="6" fontId="11" fillId="0" borderId="0" applyFill="0" applyBorder="0" applyAlignment="0"/>
    <xf numFmtId="6" fontId="11" fillId="0" borderId="0" applyFill="0" applyBorder="0" applyAlignment="0"/>
    <xf numFmtId="6" fontId="11" fillId="0" borderId="0" applyFill="0" applyBorder="0" applyAlignment="0"/>
    <xf numFmtId="5" fontId="11" fillId="0" borderId="0" applyFill="0" applyBorder="0" applyAlignment="0"/>
    <xf numFmtId="5" fontId="11" fillId="0" borderId="0" applyFill="0" applyBorder="0" applyAlignment="0"/>
    <xf numFmtId="5" fontId="11" fillId="0" borderId="0" applyFill="0" applyBorder="0" applyAlignment="0"/>
    <xf numFmtId="41" fontId="11" fillId="0" borderId="0" applyFill="0" applyBorder="0" applyAlignment="0"/>
    <xf numFmtId="41" fontId="11" fillId="0" borderId="0" applyFill="0" applyBorder="0" applyAlignment="0"/>
    <xf numFmtId="41" fontId="11" fillId="0" borderId="0" applyFill="0" applyBorder="0" applyAlignment="0"/>
    <xf numFmtId="6" fontId="11" fillId="0" borderId="0" applyFill="0" applyBorder="0" applyAlignment="0"/>
    <xf numFmtId="6" fontId="11" fillId="0" borderId="0" applyFill="0" applyBorder="0" applyAlignment="0"/>
    <xf numFmtId="6" fontId="11" fillId="0" borderId="0" applyFill="0" applyBorder="0" applyAlignment="0"/>
    <xf numFmtId="0" fontId="31" fillId="38" borderId="49" applyNumberFormat="0" applyFont="0" applyAlignment="0" applyProtection="0"/>
    <xf numFmtId="0" fontId="31" fillId="38" borderId="49" applyNumberFormat="0" applyFont="0" applyAlignment="0" applyProtection="0"/>
    <xf numFmtId="0" fontId="31" fillId="38" borderId="49" applyNumberFormat="0" applyFont="0" applyAlignment="0" applyProtection="0"/>
    <xf numFmtId="0" fontId="31" fillId="38" borderId="49" applyNumberFormat="0" applyFont="0" applyAlignment="0" applyProtection="0"/>
    <xf numFmtId="0" fontId="31" fillId="38" borderId="49" applyNumberFormat="0" applyFont="0" applyAlignment="0" applyProtection="0"/>
    <xf numFmtId="0" fontId="31" fillId="38" borderId="49" applyNumberFormat="0" applyFont="0" applyAlignment="0" applyProtection="0"/>
    <xf numFmtId="0" fontId="31" fillId="38" borderId="49" applyNumberFormat="0" applyFont="0" applyAlignment="0" applyProtection="0"/>
    <xf numFmtId="0" fontId="31" fillId="38" borderId="49" applyNumberFormat="0" applyFont="0" applyAlignment="0" applyProtection="0"/>
    <xf numFmtId="0" fontId="61" fillId="30" borderId="50" applyNumberFormat="0" applyAlignment="0" applyProtection="0"/>
    <xf numFmtId="0" fontId="61" fillId="30" borderId="50" applyNumberFormat="0" applyAlignment="0" applyProtection="0"/>
    <xf numFmtId="0" fontId="61" fillId="30" borderId="50" applyNumberFormat="0" applyAlignment="0" applyProtection="0"/>
    <xf numFmtId="0" fontId="61" fillId="30" borderId="50" applyNumberFormat="0" applyAlignment="0" applyProtection="0"/>
    <xf numFmtId="0" fontId="61" fillId="30" borderId="50" applyNumberFormat="0" applyAlignment="0" applyProtection="0"/>
    <xf numFmtId="0" fontId="61" fillId="30" borderId="50" applyNumberFormat="0" applyAlignment="0" applyProtection="0"/>
    <xf numFmtId="6" fontId="26" fillId="0" borderId="0" applyFont="0" applyFill="0" applyBorder="0" applyAlignment="0" applyProtection="0"/>
    <xf numFmtId="6" fontId="26" fillId="0" borderId="0" applyFont="0" applyFill="0" applyBorder="0" applyAlignment="0" applyProtection="0"/>
    <xf numFmtId="6" fontId="26" fillId="0" borderId="0" applyFont="0" applyFill="0" applyBorder="0" applyAlignment="0" applyProtection="0"/>
    <xf numFmtId="5" fontId="11" fillId="0" borderId="0" applyFill="0" applyBorder="0" applyAlignment="0"/>
    <xf numFmtId="5" fontId="11" fillId="0" borderId="0" applyFill="0" applyBorder="0" applyAlignment="0"/>
    <xf numFmtId="5" fontId="11" fillId="0" borderId="0" applyFill="0" applyBorder="0" applyAlignment="0"/>
    <xf numFmtId="6" fontId="11" fillId="0" borderId="0" applyFill="0" applyBorder="0" applyAlignment="0"/>
    <xf numFmtId="6" fontId="11" fillId="0" borderId="0" applyFill="0" applyBorder="0" applyAlignment="0"/>
    <xf numFmtId="6" fontId="11" fillId="0" borderId="0" applyFill="0" applyBorder="0" applyAlignment="0"/>
    <xf numFmtId="5" fontId="11" fillId="0" borderId="0" applyFill="0" applyBorder="0" applyAlignment="0"/>
    <xf numFmtId="5" fontId="11" fillId="0" borderId="0" applyFill="0" applyBorder="0" applyAlignment="0"/>
    <xf numFmtId="5" fontId="11" fillId="0" borderId="0" applyFill="0" applyBorder="0" applyAlignment="0"/>
    <xf numFmtId="41" fontId="11" fillId="0" borderId="0" applyFill="0" applyBorder="0" applyAlignment="0"/>
    <xf numFmtId="41" fontId="11" fillId="0" borderId="0" applyFill="0" applyBorder="0" applyAlignment="0"/>
    <xf numFmtId="41" fontId="11" fillId="0" borderId="0" applyFill="0" applyBorder="0" applyAlignment="0"/>
    <xf numFmtId="6" fontId="11" fillId="0" borderId="0" applyFill="0" applyBorder="0" applyAlignment="0"/>
    <xf numFmtId="6" fontId="11" fillId="0" borderId="0" applyFill="0" applyBorder="0" applyAlignment="0"/>
    <xf numFmtId="6" fontId="11" fillId="0" borderId="0" applyFill="0" applyBorder="0" applyAlignment="0"/>
    <xf numFmtId="0" fontId="67" fillId="0" borderId="51"/>
    <xf numFmtId="0" fontId="67" fillId="0" borderId="51"/>
    <xf numFmtId="0" fontId="67" fillId="0" borderId="51"/>
    <xf numFmtId="43" fontId="11" fillId="0" borderId="0" applyFill="0" applyBorder="0" applyAlignment="0"/>
    <xf numFmtId="43" fontId="11" fillId="0" borderId="0" applyFill="0" applyBorder="0" applyAlignment="0"/>
    <xf numFmtId="43" fontId="11" fillId="0" borderId="0" applyFill="0" applyBorder="0" applyAlignment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0" fontId="75" fillId="0" borderId="41" applyNumberFormat="0" applyFill="0" applyAlignment="0" applyProtection="0"/>
    <xf numFmtId="0" fontId="75" fillId="0" borderId="41" applyNumberFormat="0" applyFill="0" applyAlignment="0" applyProtection="0"/>
    <xf numFmtId="0" fontId="75" fillId="0" borderId="41" applyNumberFormat="0" applyFill="0" applyAlignment="0" applyProtection="0"/>
    <xf numFmtId="0" fontId="75" fillId="0" borderId="41" applyNumberFormat="0" applyFill="0" applyAlignment="0" applyProtection="0"/>
    <xf numFmtId="0" fontId="75" fillId="0" borderId="41" applyNumberFormat="0" applyFill="0" applyAlignment="0" applyProtection="0"/>
    <xf numFmtId="0" fontId="75" fillId="0" borderId="41" applyNumberFormat="0" applyFill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/>
    <xf numFmtId="178" fontId="21" fillId="0" borderId="0"/>
    <xf numFmtId="181" fontId="5" fillId="0" borderId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1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44" fillId="0" borderId="0" applyFont="0" applyFill="0" applyBorder="0" applyAlignment="0" applyProtection="0"/>
    <xf numFmtId="41" fontId="144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9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5" fontId="37" fillId="0" borderId="22"/>
    <xf numFmtId="41" fontId="21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1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11" fillId="0" borderId="0" applyFont="0" applyFill="0" applyBorder="0" applyAlignment="0" applyProtection="0"/>
    <xf numFmtId="10" fontId="34" fillId="34" borderId="22" applyNumberFormat="0" applyBorder="0" applyAlignment="0" applyProtection="0"/>
    <xf numFmtId="10" fontId="34" fillId="34" borderId="22" applyNumberFormat="0" applyBorder="0" applyAlignment="0" applyProtection="0"/>
    <xf numFmtId="41" fontId="11" fillId="0" borderId="0" applyFont="0" applyFill="0" applyBorder="0" applyAlignment="0" applyProtection="0"/>
    <xf numFmtId="41" fontId="5" fillId="0" borderId="0" applyFont="0" applyFill="0" applyBorder="0" applyAlignment="0" applyProtection="0"/>
    <xf numFmtId="10" fontId="34" fillId="34" borderId="22" applyNumberFormat="0" applyBorder="0" applyAlignment="0" applyProtection="0"/>
    <xf numFmtId="10" fontId="34" fillId="34" borderId="22" applyNumberFormat="0" applyBorder="0" applyAlignment="0" applyProtection="0"/>
    <xf numFmtId="41" fontId="5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119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0" fontId="34" fillId="34" borderId="22" applyNumberFormat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1" fillId="0" borderId="0" applyFont="0" applyFill="0" applyBorder="0" applyAlignment="0" applyProtection="0"/>
    <xf numFmtId="10" fontId="34" fillId="34" borderId="22" applyNumberFormat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0" fontId="61" fillId="30" borderId="115" applyNumberFormat="0" applyAlignment="0" applyProtection="0"/>
    <xf numFmtId="41" fontId="21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1" fillId="0" borderId="0" applyFont="0" applyFill="0" applyBorder="0" applyAlignment="0" applyProtection="0"/>
    <xf numFmtId="41" fontId="119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1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85" fontId="37" fillId="0" borderId="22"/>
    <xf numFmtId="43" fontId="21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0" fontId="43" fillId="0" borderId="112">
      <alignment horizontal="left"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59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0" fontId="29" fillId="83" borderId="106" applyNumberFormat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0" fontId="43" fillId="0" borderId="112">
      <alignment horizontal="left" vertical="center"/>
    </xf>
    <xf numFmtId="43" fontId="2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72" fillId="0" borderId="107"/>
    <xf numFmtId="41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1" fillId="0" borderId="0" applyFont="0" applyFill="0" applyBorder="0" applyAlignment="0" applyProtection="0"/>
    <xf numFmtId="185" fontId="37" fillId="0" borderId="22"/>
    <xf numFmtId="185" fontId="37" fillId="0" borderId="22"/>
    <xf numFmtId="185" fontId="37" fillId="0" borderId="22"/>
    <xf numFmtId="185" fontId="37" fillId="0" borderId="22"/>
    <xf numFmtId="43" fontId="21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1" fillId="0" borderId="0" applyFont="0" applyFill="0" applyBorder="0" applyAlignment="0" applyProtection="0"/>
    <xf numFmtId="0" fontId="67" fillId="0" borderId="116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1" fillId="0" borderId="0" applyFont="0" applyFill="0" applyBorder="0" applyAlignment="0" applyProtection="0"/>
    <xf numFmtId="10" fontId="34" fillId="34" borderId="22" applyNumberFormat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59" fillId="0" borderId="0" applyFont="0" applyFill="0" applyBorder="0" applyAlignment="0" applyProtection="0"/>
    <xf numFmtId="41" fontId="59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59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9" fillId="0" borderId="0" applyFont="0" applyFill="0" applyBorder="0" applyAlignment="0" applyProtection="0"/>
    <xf numFmtId="41" fontId="59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11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1" fontId="32" fillId="0" borderId="0" applyFont="0" applyFill="0" applyBorder="0" applyAlignment="0" applyProtection="0"/>
    <xf numFmtId="43" fontId="1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16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6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1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116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5" fillId="0" borderId="0" applyFont="0" applyFill="0" applyBorder="0" applyAlignment="0" applyProtection="0"/>
    <xf numFmtId="185" fontId="37" fillId="0" borderId="22"/>
    <xf numFmtId="185" fontId="37" fillId="0" borderId="22"/>
    <xf numFmtId="185" fontId="37" fillId="0" borderId="22"/>
    <xf numFmtId="41" fontId="5" fillId="0" borderId="0" applyFont="0" applyFill="0" applyBorder="0" applyAlignment="0" applyProtection="0"/>
    <xf numFmtId="41" fontId="21" fillId="0" borderId="0" applyFont="0" applyFill="0" applyBorder="0" applyAlignment="0" applyProtection="0"/>
    <xf numFmtId="185" fontId="37" fillId="0" borderId="22"/>
    <xf numFmtId="185" fontId="37" fillId="0" borderId="22"/>
    <xf numFmtId="41" fontId="59" fillId="0" borderId="0" applyFont="0" applyFill="0" applyBorder="0" applyAlignment="0" applyProtection="0"/>
    <xf numFmtId="41" fontId="59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116" fillId="0" borderId="0" applyFont="0" applyFill="0" applyBorder="0" applyAlignment="0" applyProtection="0"/>
    <xf numFmtId="41" fontId="116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11" fillId="0" borderId="0" applyFont="0" applyFill="0" applyBorder="0" applyAlignment="0" applyProtection="0"/>
    <xf numFmtId="0" fontId="147" fillId="0" borderId="22">
      <alignment horizontal="center"/>
    </xf>
    <xf numFmtId="41" fontId="11" fillId="0" borderId="0" applyFont="0" applyFill="0" applyBorder="0" applyAlignment="0" applyProtection="0"/>
    <xf numFmtId="41" fontId="59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1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1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1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1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1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1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18" fillId="0" borderId="0" applyFont="0" applyFill="0" applyBorder="0" applyAlignment="0" applyProtection="0"/>
    <xf numFmtId="0" fontId="43" fillId="0" borderId="112">
      <alignment horizontal="left" vertical="center"/>
    </xf>
    <xf numFmtId="43" fontId="11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85" fontId="37" fillId="0" borderId="22"/>
    <xf numFmtId="43" fontId="2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1" fillId="0" borderId="0" applyFont="0" applyFill="0" applyBorder="0" applyAlignment="0" applyProtection="0"/>
    <xf numFmtId="4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0" fontId="34" fillId="34" borderId="22" applyNumberFormat="0" applyBorder="0" applyAlignment="0" applyProtection="0"/>
    <xf numFmtId="43" fontId="2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43" fillId="0" borderId="112">
      <alignment horizontal="left" vertical="center"/>
    </xf>
    <xf numFmtId="185" fontId="37" fillId="0" borderId="22"/>
    <xf numFmtId="185" fontId="37" fillId="0" borderId="22"/>
    <xf numFmtId="185" fontId="37" fillId="0" borderId="22"/>
    <xf numFmtId="185" fontId="37" fillId="0" borderId="22"/>
    <xf numFmtId="185" fontId="37" fillId="0" borderId="22"/>
    <xf numFmtId="185" fontId="37" fillId="0" borderId="22"/>
    <xf numFmtId="185" fontId="37" fillId="0" borderId="22"/>
    <xf numFmtId="185" fontId="37" fillId="0" borderId="22"/>
    <xf numFmtId="185" fontId="37" fillId="0" borderId="22"/>
    <xf numFmtId="185" fontId="37" fillId="0" borderId="22"/>
    <xf numFmtId="0" fontId="146" fillId="0" borderId="117"/>
    <xf numFmtId="0" fontId="146" fillId="0" borderId="117"/>
    <xf numFmtId="176" fontId="27" fillId="30" borderId="113" applyNumberFormat="0" applyAlignment="0" applyProtection="0"/>
    <xf numFmtId="0" fontId="43" fillId="0" borderId="112">
      <alignment horizontal="left" vertical="center"/>
    </xf>
    <xf numFmtId="0" fontId="158" fillId="0" borderId="117"/>
    <xf numFmtId="0" fontId="158" fillId="87" borderId="117"/>
    <xf numFmtId="0" fontId="43" fillId="0" borderId="112">
      <alignment horizontal="left" vertical="center"/>
    </xf>
    <xf numFmtId="0" fontId="43" fillId="0" borderId="112">
      <alignment horizontal="left" vertical="center"/>
    </xf>
    <xf numFmtId="0" fontId="43" fillId="0" borderId="112">
      <alignment horizontal="left" vertical="center"/>
    </xf>
    <xf numFmtId="0" fontId="43" fillId="0" borderId="112">
      <alignment horizontal="left" vertical="center"/>
    </xf>
    <xf numFmtId="0" fontId="43" fillId="0" borderId="112">
      <alignment horizontal="left" vertical="center"/>
    </xf>
    <xf numFmtId="10" fontId="34" fillId="34" borderId="22" applyNumberFormat="0" applyBorder="0" applyAlignment="0" applyProtection="0"/>
    <xf numFmtId="10" fontId="34" fillId="34" borderId="22" applyNumberFormat="0" applyBorder="0" applyAlignment="0" applyProtection="0"/>
    <xf numFmtId="10" fontId="34" fillId="34" borderId="22" applyNumberFormat="0" applyBorder="0" applyAlignment="0" applyProtection="0"/>
    <xf numFmtId="10" fontId="34" fillId="34" borderId="22" applyNumberFormat="0" applyBorder="0" applyAlignment="0" applyProtection="0"/>
    <xf numFmtId="10" fontId="34" fillId="34" borderId="22" applyNumberFormat="0" applyBorder="0" applyAlignment="0" applyProtection="0"/>
    <xf numFmtId="10" fontId="34" fillId="34" borderId="22" applyNumberFormat="0" applyBorder="0" applyAlignment="0" applyProtection="0"/>
    <xf numFmtId="10" fontId="34" fillId="34" borderId="22" applyNumberFormat="0" applyBorder="0" applyAlignment="0" applyProtection="0"/>
    <xf numFmtId="10" fontId="34" fillId="34" borderId="22" applyNumberFormat="0" applyBorder="0" applyAlignment="0" applyProtection="0"/>
    <xf numFmtId="10" fontId="34" fillId="34" borderId="22" applyNumberFormat="0" applyBorder="0" applyAlignment="0" applyProtection="0"/>
    <xf numFmtId="10" fontId="34" fillId="34" borderId="22" applyNumberFormat="0" applyBorder="0" applyAlignment="0" applyProtection="0"/>
    <xf numFmtId="5" fontId="148" fillId="0" borderId="0"/>
    <xf numFmtId="10" fontId="34" fillId="34" borderId="22" applyNumberFormat="0" applyBorder="0" applyAlignment="0" applyProtection="0"/>
    <xf numFmtId="10" fontId="34" fillId="34" borderId="22" applyNumberFormat="0" applyBorder="0" applyAlignment="0" applyProtection="0"/>
    <xf numFmtId="10" fontId="34" fillId="34" borderId="22" applyNumberFormat="0" applyBorder="0" applyAlignment="0" applyProtection="0"/>
    <xf numFmtId="10" fontId="34" fillId="34" borderId="22" applyNumberFormat="0" applyBorder="0" applyAlignment="0" applyProtection="0"/>
    <xf numFmtId="5" fontId="148" fillId="0" borderId="0"/>
    <xf numFmtId="0" fontId="147" fillId="0" borderId="22">
      <alignment horizontal="center"/>
    </xf>
    <xf numFmtId="0" fontId="145" fillId="34" borderId="49" applyNumberFormat="0" applyFont="0" applyAlignment="0" applyProtection="0"/>
    <xf numFmtId="0" fontId="61" fillId="32" borderId="50" applyNumberFormat="0" applyAlignment="0" applyProtection="0"/>
    <xf numFmtId="6" fontId="148" fillId="0" borderId="0" applyFont="0" applyFill="0" applyBorder="0" applyAlignment="0" applyProtection="0"/>
    <xf numFmtId="6" fontId="148" fillId="0" borderId="0" applyFont="0" applyFill="0" applyBorder="0" applyAlignment="0" applyProtection="0"/>
    <xf numFmtId="0" fontId="67" fillId="0" borderId="116"/>
    <xf numFmtId="0" fontId="67" fillId="0" borderId="116"/>
    <xf numFmtId="0" fontId="67" fillId="0" borderId="116"/>
    <xf numFmtId="0" fontId="67" fillId="0" borderId="116"/>
    <xf numFmtId="0" fontId="67" fillId="0" borderId="116"/>
    <xf numFmtId="0" fontId="67" fillId="0" borderId="116"/>
    <xf numFmtId="0" fontId="67" fillId="0" borderId="116"/>
    <xf numFmtId="0" fontId="67" fillId="0" borderId="116"/>
    <xf numFmtId="0" fontId="67" fillId="0" borderId="116"/>
    <xf numFmtId="0" fontId="147" fillId="0" borderId="22">
      <alignment horizontal="center"/>
    </xf>
    <xf numFmtId="0" fontId="147" fillId="0" borderId="22">
      <alignment horizontal="center"/>
    </xf>
    <xf numFmtId="0" fontId="147" fillId="0" borderId="22">
      <alignment horizontal="center"/>
    </xf>
    <xf numFmtId="0" fontId="147" fillId="0" borderId="22">
      <alignment horizontal="center"/>
    </xf>
    <xf numFmtId="0" fontId="147" fillId="0" borderId="22">
      <alignment horizontal="center"/>
    </xf>
    <xf numFmtId="0" fontId="147" fillId="0" borderId="22">
      <alignment horizontal="center"/>
    </xf>
    <xf numFmtId="0" fontId="147" fillId="0" borderId="22">
      <alignment horizontal="center"/>
    </xf>
    <xf numFmtId="0" fontId="147" fillId="0" borderId="22">
      <alignment horizontal="center"/>
    </xf>
    <xf numFmtId="0" fontId="147" fillId="0" borderId="22">
      <alignment horizontal="center"/>
    </xf>
    <xf numFmtId="0" fontId="147" fillId="0" borderId="22">
      <alignment horizontal="center"/>
    </xf>
    <xf numFmtId="0" fontId="147" fillId="0" borderId="22">
      <alignment horizontal="center"/>
    </xf>
    <xf numFmtId="0" fontId="147" fillId="0" borderId="22">
      <alignment horizontal="center"/>
    </xf>
    <xf numFmtId="0" fontId="147" fillId="0" borderId="22">
      <alignment horizontal="center"/>
    </xf>
    <xf numFmtId="0" fontId="147" fillId="0" borderId="22">
      <alignment horizontal="center"/>
    </xf>
    <xf numFmtId="0" fontId="147" fillId="0" borderId="22">
      <alignment horizontal="center"/>
    </xf>
    <xf numFmtId="0" fontId="147" fillId="0" borderId="22">
      <alignment horizontal="center"/>
    </xf>
    <xf numFmtId="0" fontId="147" fillId="0" borderId="22">
      <alignment horizontal="center"/>
    </xf>
    <xf numFmtId="0" fontId="147" fillId="0" borderId="22">
      <alignment horizontal="center"/>
    </xf>
    <xf numFmtId="0" fontId="147" fillId="0" borderId="22">
      <alignment horizontal="center"/>
    </xf>
    <xf numFmtId="0" fontId="147" fillId="0" borderId="22">
      <alignment horizontal="center"/>
    </xf>
    <xf numFmtId="41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178" fillId="0" borderId="0" applyFont="0" applyFill="0" applyBorder="0" applyAlignment="0" applyProtection="0"/>
    <xf numFmtId="0" fontId="43" fillId="0" borderId="120">
      <alignment horizontal="left" vertical="center"/>
    </xf>
    <xf numFmtId="0" fontId="43" fillId="0" borderId="120">
      <alignment horizontal="left" vertical="center"/>
    </xf>
    <xf numFmtId="177" fontId="43" fillId="0" borderId="120">
      <alignment horizontal="left" vertical="center"/>
    </xf>
    <xf numFmtId="177" fontId="43" fillId="0" borderId="120">
      <alignment horizontal="left" vertical="center"/>
    </xf>
    <xf numFmtId="0" fontId="43" fillId="0" borderId="120">
      <alignment horizontal="left" vertical="center"/>
    </xf>
    <xf numFmtId="177" fontId="43" fillId="0" borderId="120">
      <alignment horizontal="left" vertical="center"/>
    </xf>
    <xf numFmtId="0" fontId="43" fillId="0" borderId="120">
      <alignment horizontal="left" vertical="center"/>
    </xf>
    <xf numFmtId="0" fontId="43" fillId="0" borderId="120">
      <alignment horizontal="left" vertical="center"/>
    </xf>
    <xf numFmtId="0" fontId="43" fillId="0" borderId="120">
      <alignment horizontal="left" vertical="center"/>
    </xf>
    <xf numFmtId="0" fontId="43" fillId="0" borderId="120">
      <alignment horizontal="left" vertical="center"/>
    </xf>
    <xf numFmtId="0" fontId="43" fillId="0" borderId="120">
      <alignment horizontal="left" vertical="center"/>
    </xf>
    <xf numFmtId="0" fontId="43" fillId="0" borderId="120">
      <alignment horizontal="left" vertical="center"/>
    </xf>
    <xf numFmtId="0" fontId="70" fillId="0" borderId="66">
      <alignment horizontal="center"/>
    </xf>
    <xf numFmtId="0" fontId="70" fillId="0" borderId="66">
      <alignment horizontal="center"/>
    </xf>
    <xf numFmtId="0" fontId="70" fillId="0" borderId="66">
      <alignment horizontal="center"/>
    </xf>
    <xf numFmtId="0" fontId="70" fillId="0" borderId="66">
      <alignment horizontal="center"/>
    </xf>
    <xf numFmtId="0" fontId="70" fillId="0" borderId="66">
      <alignment horizontal="center"/>
    </xf>
    <xf numFmtId="0" fontId="70" fillId="0" borderId="66">
      <alignment horizontal="center"/>
    </xf>
    <xf numFmtId="0" fontId="70" fillId="0" borderId="66">
      <alignment horizontal="center"/>
    </xf>
    <xf numFmtId="0" fontId="70" fillId="0" borderId="66">
      <alignment horizontal="center"/>
    </xf>
    <xf numFmtId="0" fontId="70" fillId="0" borderId="66">
      <alignment horizontal="center"/>
    </xf>
    <xf numFmtId="0" fontId="70" fillId="0" borderId="66">
      <alignment horizontal="center"/>
    </xf>
    <xf numFmtId="177" fontId="70" fillId="0" borderId="66">
      <alignment horizontal="center"/>
    </xf>
    <xf numFmtId="177" fontId="70" fillId="0" borderId="66">
      <alignment horizontal="center"/>
    </xf>
    <xf numFmtId="0" fontId="70" fillId="0" borderId="66">
      <alignment horizontal="center"/>
    </xf>
    <xf numFmtId="0" fontId="70" fillId="0" borderId="66">
      <alignment horizontal="center"/>
    </xf>
    <xf numFmtId="0" fontId="70" fillId="0" borderId="66">
      <alignment horizontal="center"/>
    </xf>
    <xf numFmtId="0" fontId="70" fillId="0" borderId="66">
      <alignment horizontal="center"/>
    </xf>
    <xf numFmtId="0" fontId="70" fillId="0" borderId="66">
      <alignment horizontal="center"/>
    </xf>
    <xf numFmtId="177" fontId="70" fillId="0" borderId="66">
      <alignment horizontal="center"/>
    </xf>
    <xf numFmtId="177" fontId="70" fillId="0" borderId="66">
      <alignment horizontal="center"/>
    </xf>
    <xf numFmtId="177" fontId="70" fillId="0" borderId="66">
      <alignment horizontal="center"/>
    </xf>
    <xf numFmtId="0" fontId="70" fillId="0" borderId="66">
      <alignment horizontal="center"/>
    </xf>
    <xf numFmtId="0" fontId="70" fillId="0" borderId="66">
      <alignment horizontal="center"/>
    </xf>
    <xf numFmtId="177" fontId="70" fillId="0" borderId="66">
      <alignment horizontal="center"/>
    </xf>
    <xf numFmtId="0" fontId="70" fillId="0" borderId="66">
      <alignment horizontal="center"/>
    </xf>
    <xf numFmtId="177" fontId="70" fillId="0" borderId="66">
      <alignment horizontal="center"/>
    </xf>
    <xf numFmtId="0" fontId="70" fillId="0" borderId="66">
      <alignment horizontal="center"/>
    </xf>
    <xf numFmtId="177" fontId="70" fillId="0" borderId="66">
      <alignment horizontal="center"/>
    </xf>
    <xf numFmtId="0" fontId="70" fillId="0" borderId="66">
      <alignment horizontal="center"/>
    </xf>
    <xf numFmtId="176" fontId="70" fillId="0" borderId="66">
      <alignment horizontal="center"/>
    </xf>
    <xf numFmtId="0" fontId="70" fillId="0" borderId="66">
      <alignment horizontal="center"/>
    </xf>
    <xf numFmtId="0" fontId="70" fillId="0" borderId="66">
      <alignment horizontal="center"/>
    </xf>
    <xf numFmtId="0" fontId="70" fillId="0" borderId="66">
      <alignment horizontal="center"/>
    </xf>
    <xf numFmtId="0" fontId="75" fillId="0" borderId="119" applyNumberFormat="0" applyFill="0" applyAlignment="0" applyProtection="0"/>
    <xf numFmtId="0" fontId="75" fillId="0" borderId="119" applyNumberFormat="0" applyFill="0" applyAlignment="0" applyProtection="0"/>
    <xf numFmtId="0" fontId="123" fillId="0" borderId="119" applyNumberFormat="0" applyFill="0" applyAlignment="0" applyProtection="0"/>
    <xf numFmtId="0" fontId="123" fillId="0" borderId="119" applyNumberFormat="0" applyFill="0" applyAlignment="0" applyProtection="0"/>
    <xf numFmtId="0" fontId="75" fillId="0" borderId="119" applyNumberFormat="0" applyFill="0" applyAlignment="0" applyProtection="0"/>
    <xf numFmtId="0" fontId="75" fillId="0" borderId="119" applyNumberFormat="0" applyFill="0" applyAlignment="0" applyProtection="0"/>
    <xf numFmtId="0" fontId="75" fillId="0" borderId="119" applyNumberFormat="0" applyFill="0" applyAlignment="0" applyProtection="0"/>
    <xf numFmtId="0" fontId="75" fillId="0" borderId="119" applyNumberFormat="0" applyFill="0" applyAlignment="0" applyProtection="0"/>
    <xf numFmtId="0" fontId="75" fillId="0" borderId="119" applyNumberFormat="0" applyFill="0" applyAlignment="0" applyProtection="0"/>
    <xf numFmtId="0" fontId="75" fillId="0" borderId="119" applyNumberFormat="0" applyFill="0" applyAlignment="0" applyProtection="0"/>
    <xf numFmtId="0" fontId="75" fillId="0" borderId="119" applyNumberFormat="0" applyFill="0" applyAlignment="0" applyProtection="0"/>
    <xf numFmtId="177" fontId="75" fillId="0" borderId="119" applyNumberFormat="0" applyFill="0" applyAlignment="0" applyProtection="0"/>
    <xf numFmtId="0" fontId="43" fillId="0" borderId="120">
      <alignment horizontal="left" vertical="center"/>
    </xf>
    <xf numFmtId="0" fontId="31" fillId="38" borderId="124" applyNumberFormat="0" applyFont="0" applyAlignment="0" applyProtection="0"/>
    <xf numFmtId="0" fontId="31" fillId="38" borderId="124" applyNumberFormat="0" applyFont="0" applyAlignment="0" applyProtection="0"/>
    <xf numFmtId="0" fontId="31" fillId="38" borderId="124" applyNumberFormat="0" applyFont="0" applyAlignment="0" applyProtection="0"/>
    <xf numFmtId="0" fontId="31" fillId="38" borderId="124" applyNumberFormat="0" applyFont="0" applyAlignment="0" applyProtection="0"/>
    <xf numFmtId="0" fontId="31" fillId="38" borderId="124" applyNumberFormat="0" applyFont="0" applyAlignment="0" applyProtection="0"/>
    <xf numFmtId="0" fontId="61" fillId="30" borderId="121" applyNumberFormat="0" applyAlignment="0" applyProtection="0"/>
    <xf numFmtId="0" fontId="61" fillId="30" borderId="121" applyNumberFormat="0" applyAlignment="0" applyProtection="0"/>
    <xf numFmtId="0" fontId="31" fillId="38" borderId="124" applyNumberFormat="0" applyFont="0" applyAlignment="0" applyProtection="0"/>
    <xf numFmtId="0" fontId="31" fillId="38" borderId="124" applyNumberFormat="0" applyFont="0" applyAlignment="0" applyProtection="0"/>
    <xf numFmtId="0" fontId="31" fillId="38" borderId="124" applyNumberFormat="0" applyFont="0" applyAlignment="0" applyProtection="0"/>
    <xf numFmtId="0" fontId="67" fillId="0" borderId="122"/>
    <xf numFmtId="0" fontId="75" fillId="0" borderId="123" applyNumberFormat="0" applyFill="0" applyAlignment="0" applyProtection="0"/>
    <xf numFmtId="0" fontId="75" fillId="0" borderId="123" applyNumberFormat="0" applyFill="0" applyAlignment="0" applyProtection="0"/>
    <xf numFmtId="0" fontId="43" fillId="0" borderId="120">
      <alignment horizontal="left" vertical="center"/>
    </xf>
    <xf numFmtId="0" fontId="50" fillId="19" borderId="113" applyNumberFormat="0" applyAlignment="0" applyProtection="0"/>
    <xf numFmtId="0" fontId="50" fillId="19" borderId="113" applyNumberFormat="0" applyAlignment="0" applyProtection="0"/>
    <xf numFmtId="0" fontId="31" fillId="38" borderId="124" applyNumberFormat="0" applyFont="0" applyAlignment="0" applyProtection="0"/>
    <xf numFmtId="0" fontId="31" fillId="38" borderId="124" applyNumberFormat="0" applyFont="0" applyAlignment="0" applyProtection="0"/>
    <xf numFmtId="0" fontId="31" fillId="38" borderId="124" applyNumberFormat="0" applyFont="0" applyAlignment="0" applyProtection="0"/>
    <xf numFmtId="0" fontId="31" fillId="38" borderId="124" applyNumberFormat="0" applyFont="0" applyAlignment="0" applyProtection="0"/>
    <xf numFmtId="0" fontId="31" fillId="38" borderId="124" applyNumberFormat="0" applyFont="0" applyAlignment="0" applyProtection="0"/>
    <xf numFmtId="0" fontId="31" fillId="38" borderId="124" applyNumberFormat="0" applyFont="0" applyAlignment="0" applyProtection="0"/>
    <xf numFmtId="0" fontId="31" fillId="38" borderId="124" applyNumberFormat="0" applyFont="0" applyAlignment="0" applyProtection="0"/>
    <xf numFmtId="0" fontId="31" fillId="38" borderId="124" applyNumberFormat="0" applyFont="0" applyAlignment="0" applyProtection="0"/>
    <xf numFmtId="0" fontId="75" fillId="0" borderId="123" applyNumberFormat="0" applyFill="0" applyAlignment="0" applyProtection="0"/>
    <xf numFmtId="0" fontId="75" fillId="0" borderId="123" applyNumberFormat="0" applyFill="0" applyAlignment="0" applyProtection="0"/>
    <xf numFmtId="0" fontId="75" fillId="0" borderId="123" applyNumberFormat="0" applyFill="0" applyAlignment="0" applyProtection="0"/>
    <xf numFmtId="0" fontId="43" fillId="0" borderId="120">
      <alignment horizontal="left" vertical="center"/>
    </xf>
    <xf numFmtId="0" fontId="43" fillId="0" borderId="120">
      <alignment horizontal="left" vertical="center"/>
    </xf>
    <xf numFmtId="0" fontId="31" fillId="38" borderId="124" applyNumberFormat="0" applyFont="0" applyAlignment="0" applyProtection="0"/>
    <xf numFmtId="0" fontId="31" fillId="38" borderId="124" applyNumberFormat="0" applyFont="0" applyAlignment="0" applyProtection="0"/>
    <xf numFmtId="0" fontId="31" fillId="38" borderId="124" applyNumberFormat="0" applyFont="0" applyAlignment="0" applyProtection="0"/>
    <xf numFmtId="0" fontId="31" fillId="38" borderId="124" applyNumberFormat="0" applyFont="0" applyAlignment="0" applyProtection="0"/>
    <xf numFmtId="0" fontId="31" fillId="38" borderId="124" applyNumberFormat="0" applyFont="0" applyAlignment="0" applyProtection="0"/>
    <xf numFmtId="0" fontId="31" fillId="38" borderId="124" applyNumberFormat="0" applyFont="0" applyAlignment="0" applyProtection="0"/>
    <xf numFmtId="0" fontId="31" fillId="38" borderId="124" applyNumberFormat="0" applyFont="0" applyAlignment="0" applyProtection="0"/>
    <xf numFmtId="0" fontId="31" fillId="38" borderId="124" applyNumberFormat="0" applyFont="0" applyAlignment="0" applyProtection="0"/>
    <xf numFmtId="0" fontId="61" fillId="30" borderId="121" applyNumberFormat="0" applyAlignment="0" applyProtection="0"/>
    <xf numFmtId="0" fontId="61" fillId="30" borderId="121" applyNumberFormat="0" applyAlignment="0" applyProtection="0"/>
    <xf numFmtId="0" fontId="61" fillId="30" borderId="121" applyNumberFormat="0" applyAlignment="0" applyProtection="0"/>
    <xf numFmtId="0" fontId="61" fillId="30" borderId="121" applyNumberFormat="0" applyAlignment="0" applyProtection="0"/>
    <xf numFmtId="0" fontId="61" fillId="30" borderId="121" applyNumberFormat="0" applyAlignment="0" applyProtection="0"/>
    <xf numFmtId="0" fontId="61" fillId="30" borderId="121" applyNumberFormat="0" applyAlignment="0" applyProtection="0"/>
    <xf numFmtId="0" fontId="67" fillId="0" borderId="122"/>
    <xf numFmtId="0" fontId="67" fillId="0" borderId="122"/>
    <xf numFmtId="0" fontId="67" fillId="0" borderId="122"/>
    <xf numFmtId="0" fontId="75" fillId="0" borderId="123" applyNumberFormat="0" applyFill="0" applyAlignment="0" applyProtection="0"/>
    <xf numFmtId="0" fontId="75" fillId="0" borderId="123" applyNumberFormat="0" applyFill="0" applyAlignment="0" applyProtection="0"/>
    <xf numFmtId="0" fontId="75" fillId="0" borderId="123" applyNumberFormat="0" applyFill="0" applyAlignment="0" applyProtection="0"/>
    <xf numFmtId="0" fontId="75" fillId="0" borderId="123" applyNumberFormat="0" applyFill="0" applyAlignment="0" applyProtection="0"/>
    <xf numFmtId="0" fontId="75" fillId="0" borderId="123" applyNumberFormat="0" applyFill="0" applyAlignment="0" applyProtection="0"/>
    <xf numFmtId="0" fontId="75" fillId="0" borderId="123" applyNumberFormat="0" applyFill="0" applyAlignment="0" applyProtection="0"/>
    <xf numFmtId="185" fontId="37" fillId="0" borderId="125"/>
    <xf numFmtId="10" fontId="34" fillId="34" borderId="125" applyNumberFormat="0" applyBorder="0" applyAlignment="0" applyProtection="0"/>
    <xf numFmtId="10" fontId="34" fillId="34" borderId="125" applyNumberFormat="0" applyBorder="0" applyAlignment="0" applyProtection="0"/>
    <xf numFmtId="10" fontId="34" fillId="34" borderId="125" applyNumberFormat="0" applyBorder="0" applyAlignment="0" applyProtection="0"/>
    <xf numFmtId="10" fontId="34" fillId="34" borderId="125" applyNumberFormat="0" applyBorder="0" applyAlignment="0" applyProtection="0"/>
    <xf numFmtId="10" fontId="34" fillId="34" borderId="125" applyNumberFormat="0" applyBorder="0" applyAlignment="0" applyProtection="0"/>
    <xf numFmtId="10" fontId="34" fillId="34" borderId="125" applyNumberFormat="0" applyBorder="0" applyAlignment="0" applyProtection="0"/>
    <xf numFmtId="0" fontId="27" fillId="32" borderId="129" applyNumberFormat="0" applyAlignment="0" applyProtection="0"/>
    <xf numFmtId="185" fontId="37" fillId="0" borderId="125"/>
    <xf numFmtId="0" fontId="43" fillId="0" borderId="127">
      <alignment horizontal="left" vertical="center"/>
    </xf>
    <xf numFmtId="0" fontId="50" fillId="73" borderId="129" applyNumberFormat="0" applyAlignment="0" applyProtection="0"/>
    <xf numFmtId="0" fontId="43" fillId="0" borderId="127">
      <alignment horizontal="left" vertical="center"/>
    </xf>
    <xf numFmtId="185" fontId="37" fillId="0" borderId="125"/>
    <xf numFmtId="185" fontId="37" fillId="0" borderId="125"/>
    <xf numFmtId="185" fontId="37" fillId="0" borderId="125"/>
    <xf numFmtId="185" fontId="37" fillId="0" borderId="125"/>
    <xf numFmtId="10" fontId="34" fillId="34" borderId="125" applyNumberFormat="0" applyBorder="0" applyAlignment="0" applyProtection="0"/>
    <xf numFmtId="185" fontId="37" fillId="0" borderId="125"/>
    <xf numFmtId="185" fontId="37" fillId="0" borderId="125"/>
    <xf numFmtId="185" fontId="37" fillId="0" borderId="125"/>
    <xf numFmtId="185" fontId="37" fillId="0" borderId="125"/>
    <xf numFmtId="185" fontId="37" fillId="0" borderId="125"/>
    <xf numFmtId="0" fontId="147" fillId="0" borderId="125">
      <alignment horizontal="center"/>
    </xf>
    <xf numFmtId="0" fontId="43" fillId="0" borderId="127">
      <alignment horizontal="left" vertical="center"/>
    </xf>
    <xf numFmtId="185" fontId="37" fillId="0" borderId="125"/>
    <xf numFmtId="10" fontId="34" fillId="34" borderId="125" applyNumberFormat="0" applyBorder="0" applyAlignment="0" applyProtection="0"/>
    <xf numFmtId="0" fontId="43" fillId="0" borderId="127">
      <alignment horizontal="left" vertical="center"/>
    </xf>
    <xf numFmtId="185" fontId="37" fillId="0" borderId="125"/>
    <xf numFmtId="185" fontId="37" fillId="0" borderId="125"/>
    <xf numFmtId="185" fontId="37" fillId="0" borderId="125"/>
    <xf numFmtId="185" fontId="37" fillId="0" borderId="125"/>
    <xf numFmtId="185" fontId="37" fillId="0" borderId="125"/>
    <xf numFmtId="185" fontId="37" fillId="0" borderId="125"/>
    <xf numFmtId="185" fontId="37" fillId="0" borderId="125"/>
    <xf numFmtId="185" fontId="37" fillId="0" borderId="125"/>
    <xf numFmtId="185" fontId="37" fillId="0" borderId="125"/>
    <xf numFmtId="185" fontId="37" fillId="0" borderId="125"/>
    <xf numFmtId="0" fontId="146" fillId="0" borderId="130"/>
    <xf numFmtId="0" fontId="146" fillId="0" borderId="130"/>
    <xf numFmtId="0" fontId="43" fillId="0" borderId="127">
      <alignment horizontal="left" vertical="center"/>
    </xf>
    <xf numFmtId="0" fontId="158" fillId="0" borderId="130"/>
    <xf numFmtId="0" fontId="158" fillId="87" borderId="130"/>
    <xf numFmtId="0" fontId="43" fillId="0" borderId="127">
      <alignment horizontal="left" vertical="center"/>
    </xf>
    <xf numFmtId="0" fontId="43" fillId="0" borderId="127">
      <alignment horizontal="left" vertical="center"/>
    </xf>
    <xf numFmtId="0" fontId="43" fillId="0" borderId="127">
      <alignment horizontal="left" vertical="center"/>
    </xf>
    <xf numFmtId="0" fontId="43" fillId="0" borderId="127">
      <alignment horizontal="left" vertical="center"/>
    </xf>
    <xf numFmtId="0" fontId="43" fillId="0" borderId="127">
      <alignment horizontal="left" vertical="center"/>
    </xf>
    <xf numFmtId="10" fontId="34" fillId="34" borderId="125" applyNumberFormat="0" applyBorder="0" applyAlignment="0" applyProtection="0"/>
    <xf numFmtId="10" fontId="34" fillId="34" borderId="125" applyNumberFormat="0" applyBorder="0" applyAlignment="0" applyProtection="0"/>
    <xf numFmtId="10" fontId="34" fillId="34" borderId="125" applyNumberFormat="0" applyBorder="0" applyAlignment="0" applyProtection="0"/>
    <xf numFmtId="10" fontId="34" fillId="34" borderId="125" applyNumberFormat="0" applyBorder="0" applyAlignment="0" applyProtection="0"/>
    <xf numFmtId="10" fontId="34" fillId="34" borderId="125" applyNumberFormat="0" applyBorder="0" applyAlignment="0" applyProtection="0"/>
    <xf numFmtId="10" fontId="34" fillId="34" borderId="125" applyNumberFormat="0" applyBorder="0" applyAlignment="0" applyProtection="0"/>
    <xf numFmtId="10" fontId="34" fillId="34" borderId="125" applyNumberFormat="0" applyBorder="0" applyAlignment="0" applyProtection="0"/>
    <xf numFmtId="10" fontId="34" fillId="34" borderId="125" applyNumberFormat="0" applyBorder="0" applyAlignment="0" applyProtection="0"/>
    <xf numFmtId="10" fontId="34" fillId="34" borderId="125" applyNumberFormat="0" applyBorder="0" applyAlignment="0" applyProtection="0"/>
    <xf numFmtId="10" fontId="34" fillId="34" borderId="125" applyNumberFormat="0" applyBorder="0" applyAlignment="0" applyProtection="0"/>
    <xf numFmtId="10" fontId="34" fillId="34" borderId="125" applyNumberFormat="0" applyBorder="0" applyAlignment="0" applyProtection="0"/>
    <xf numFmtId="10" fontId="34" fillId="34" borderId="125" applyNumberFormat="0" applyBorder="0" applyAlignment="0" applyProtection="0"/>
    <xf numFmtId="10" fontId="34" fillId="34" borderId="125" applyNumberFormat="0" applyBorder="0" applyAlignment="0" applyProtection="0"/>
    <xf numFmtId="10" fontId="34" fillId="34" borderId="125" applyNumberFormat="0" applyBorder="0" applyAlignment="0" applyProtection="0"/>
    <xf numFmtId="0" fontId="147" fillId="0" borderId="125">
      <alignment horizontal="center"/>
    </xf>
    <xf numFmtId="0" fontId="145" fillId="34" borderId="124" applyNumberFormat="0" applyFont="0" applyAlignment="0" applyProtection="0"/>
    <xf numFmtId="0" fontId="61" fillId="32" borderId="121" applyNumberFormat="0" applyAlignment="0" applyProtection="0"/>
    <xf numFmtId="0" fontId="147" fillId="0" borderId="125">
      <alignment horizontal="center"/>
    </xf>
    <xf numFmtId="0" fontId="147" fillId="0" borderId="125">
      <alignment horizontal="center"/>
    </xf>
    <xf numFmtId="0" fontId="147" fillId="0" borderId="125">
      <alignment horizontal="center"/>
    </xf>
    <xf numFmtId="0" fontId="147" fillId="0" borderId="125">
      <alignment horizontal="center"/>
    </xf>
    <xf numFmtId="0" fontId="147" fillId="0" borderId="125">
      <alignment horizontal="center"/>
    </xf>
    <xf numFmtId="0" fontId="147" fillId="0" borderId="125">
      <alignment horizontal="center"/>
    </xf>
    <xf numFmtId="0" fontId="147" fillId="0" borderId="125">
      <alignment horizontal="center"/>
    </xf>
    <xf numFmtId="0" fontId="147" fillId="0" borderId="125">
      <alignment horizontal="center"/>
    </xf>
    <xf numFmtId="0" fontId="147" fillId="0" borderId="125">
      <alignment horizontal="center"/>
    </xf>
    <xf numFmtId="0" fontId="147" fillId="0" borderId="125">
      <alignment horizontal="center"/>
    </xf>
    <xf numFmtId="0" fontId="147" fillId="0" borderId="125">
      <alignment horizontal="center"/>
    </xf>
    <xf numFmtId="0" fontId="147" fillId="0" borderId="125">
      <alignment horizontal="center"/>
    </xf>
    <xf numFmtId="0" fontId="147" fillId="0" borderId="125">
      <alignment horizontal="center"/>
    </xf>
    <xf numFmtId="0" fontId="147" fillId="0" borderId="125">
      <alignment horizontal="center"/>
    </xf>
    <xf numFmtId="0" fontId="147" fillId="0" borderId="125">
      <alignment horizontal="center"/>
    </xf>
    <xf numFmtId="0" fontId="147" fillId="0" borderId="125">
      <alignment horizontal="center"/>
    </xf>
    <xf numFmtId="0" fontId="147" fillId="0" borderId="125">
      <alignment horizontal="center"/>
    </xf>
    <xf numFmtId="0" fontId="147" fillId="0" borderId="125">
      <alignment horizontal="center"/>
    </xf>
    <xf numFmtId="0" fontId="147" fillId="0" borderId="125">
      <alignment horizontal="center"/>
    </xf>
    <xf numFmtId="0" fontId="147" fillId="0" borderId="125">
      <alignment horizontal="center"/>
    </xf>
    <xf numFmtId="43" fontId="5" fillId="0" borderId="0" applyFont="0" applyFill="0" applyBorder="0" applyAlignment="0" applyProtection="0"/>
  </cellStyleXfs>
  <cellXfs count="869">
    <xf numFmtId="0" fontId="0" fillId="0" borderId="0" xfId="0"/>
    <xf numFmtId="176" fontId="9" fillId="0" borderId="0" xfId="3" applyFont="1" applyAlignment="1">
      <alignment vertical="center"/>
    </xf>
    <xf numFmtId="0" fontId="9" fillId="4" borderId="0" xfId="10" applyNumberFormat="1" applyFont="1" applyFill="1" applyAlignment="1">
      <alignment horizontal="center" vertical="center"/>
    </xf>
    <xf numFmtId="0" fontId="8" fillId="4" borderId="0" xfId="10" applyNumberFormat="1" applyFont="1" applyFill="1" applyAlignment="1">
      <alignment vertical="center"/>
    </xf>
    <xf numFmtId="37" fontId="12" fillId="4" borderId="0" xfId="1" applyNumberFormat="1" applyFont="1" applyFill="1" applyAlignment="1">
      <alignment horizontal="center" vertical="center"/>
    </xf>
    <xf numFmtId="176" fontId="9" fillId="4" borderId="0" xfId="10" applyFont="1" applyFill="1" applyAlignment="1">
      <alignment vertical="center"/>
    </xf>
    <xf numFmtId="0" fontId="17" fillId="0" borderId="0" xfId="3" applyNumberFormat="1" applyFont="1" applyAlignment="1">
      <alignment horizontal="left" vertical="center"/>
    </xf>
    <xf numFmtId="176" fontId="9" fillId="0" borderId="0" xfId="3" applyFont="1" applyAlignment="1">
      <alignment horizontal="center" vertical="center"/>
    </xf>
    <xf numFmtId="0" fontId="18" fillId="0" borderId="0" xfId="3" applyNumberFormat="1" applyFont="1" applyAlignment="1">
      <alignment vertical="center"/>
    </xf>
    <xf numFmtId="176" fontId="19" fillId="12" borderId="0" xfId="3" applyFont="1" applyFill="1" applyAlignment="1">
      <alignment horizontal="center" vertical="center"/>
    </xf>
    <xf numFmtId="176" fontId="20" fillId="0" borderId="0" xfId="3" applyFont="1" applyAlignment="1">
      <alignment horizontal="left" vertical="center"/>
    </xf>
    <xf numFmtId="176" fontId="8" fillId="0" borderId="0" xfId="3" applyFont="1" applyAlignment="1">
      <alignment horizontal="center" vertical="center" wrapText="1"/>
    </xf>
    <xf numFmtId="176" fontId="8" fillId="0" borderId="0" xfId="3" applyFont="1" applyAlignment="1">
      <alignment vertical="center"/>
    </xf>
    <xf numFmtId="176" fontId="9" fillId="0" borderId="0" xfId="11" applyNumberFormat="1" applyFont="1" applyAlignment="1">
      <alignment vertical="center"/>
    </xf>
    <xf numFmtId="176" fontId="8" fillId="0" borderId="0" xfId="11" applyNumberFormat="1" applyFont="1" applyAlignment="1">
      <alignment horizontal="center" vertical="center" wrapText="1"/>
    </xf>
    <xf numFmtId="176" fontId="8" fillId="0" borderId="0" xfId="11" applyNumberFormat="1" applyFont="1" applyAlignment="1">
      <alignment vertical="center"/>
    </xf>
    <xf numFmtId="0" fontId="5" fillId="0" borderId="0" xfId="3" applyNumberFormat="1" applyFont="1" applyAlignment="1">
      <alignment vertical="center"/>
    </xf>
    <xf numFmtId="0" fontId="6" fillId="0" borderId="0" xfId="12" applyAlignment="1">
      <alignment horizontal="left" vertical="top"/>
    </xf>
    <xf numFmtId="0" fontId="6" fillId="0" borderId="0" xfId="12"/>
    <xf numFmtId="0" fontId="6" fillId="0" borderId="0" xfId="12" applyAlignment="1">
      <alignment vertical="center"/>
    </xf>
    <xf numFmtId="2" fontId="6" fillId="0" borderId="0" xfId="12" applyNumberFormat="1"/>
    <xf numFmtId="0" fontId="15" fillId="0" borderId="0" xfId="0" applyFont="1"/>
    <xf numFmtId="168" fontId="9" fillId="0" borderId="0" xfId="1" applyFont="1" applyFill="1" applyAlignment="1">
      <alignment vertical="center"/>
    </xf>
    <xf numFmtId="176" fontId="9" fillId="0" borderId="0" xfId="792" applyNumberFormat="1" applyFont="1" applyAlignment="1">
      <alignment vertical="center"/>
    </xf>
    <xf numFmtId="176" fontId="9" fillId="0" borderId="0" xfId="792" applyNumberFormat="1" applyFont="1" applyAlignment="1">
      <alignment horizontal="center" vertical="center"/>
    </xf>
    <xf numFmtId="176" fontId="86" fillId="0" borderId="0" xfId="792" applyNumberFormat="1" applyFont="1" applyAlignment="1">
      <alignment horizontal="center" vertical="center"/>
    </xf>
    <xf numFmtId="176" fontId="86" fillId="0" borderId="0" xfId="792" applyNumberFormat="1" applyFont="1" applyAlignment="1">
      <alignment vertical="center"/>
    </xf>
    <xf numFmtId="168" fontId="9" fillId="0" borderId="0" xfId="1" applyFont="1" applyAlignment="1">
      <alignment horizontal="center" vertical="center"/>
    </xf>
    <xf numFmtId="176" fontId="9" fillId="0" borderId="0" xfId="1051" applyNumberFormat="1" applyFont="1" applyAlignment="1">
      <alignment horizontal="center" vertical="center"/>
    </xf>
    <xf numFmtId="176" fontId="88" fillId="0" borderId="0" xfId="1051" applyNumberFormat="1" applyFont="1" applyAlignment="1">
      <alignment horizontal="left" vertical="center"/>
    </xf>
    <xf numFmtId="176" fontId="9" fillId="0" borderId="0" xfId="1051" applyNumberFormat="1" applyFont="1" applyAlignment="1">
      <alignment vertical="center"/>
    </xf>
    <xf numFmtId="176" fontId="87" fillId="0" borderId="0" xfId="1051" applyNumberFormat="1" applyFont="1" applyAlignment="1">
      <alignment vertical="center"/>
    </xf>
    <xf numFmtId="176" fontId="7" fillId="0" borderId="0" xfId="1051" applyNumberFormat="1" applyFont="1" applyAlignment="1">
      <alignment horizontal="center" vertical="center" wrapText="1"/>
    </xf>
    <xf numFmtId="176" fontId="8" fillId="0" borderId="0" xfId="1051" applyNumberFormat="1" applyFont="1" applyAlignment="1">
      <alignment horizontal="center" vertical="center" wrapText="1"/>
    </xf>
    <xf numFmtId="176" fontId="7" fillId="0" borderId="0" xfId="1051" applyNumberFormat="1" applyFont="1" applyAlignment="1">
      <alignment vertical="center"/>
    </xf>
    <xf numFmtId="176" fontId="8" fillId="0" borderId="0" xfId="1051" applyNumberFormat="1" applyFont="1" applyAlignment="1">
      <alignment vertical="center"/>
    </xf>
    <xf numFmtId="168" fontId="87" fillId="0" borderId="0" xfId="1" applyFont="1" applyFill="1" applyAlignment="1">
      <alignment vertical="center"/>
    </xf>
    <xf numFmtId="0" fontId="9" fillId="0" borderId="0" xfId="1051" applyNumberFormat="1" applyFont="1" applyAlignment="1">
      <alignment horizontal="center" vertical="center"/>
    </xf>
    <xf numFmtId="176" fontId="9" fillId="0" borderId="0" xfId="1056" applyNumberFormat="1" applyFont="1" applyAlignment="1">
      <alignment horizontal="center" vertical="center"/>
    </xf>
    <xf numFmtId="176" fontId="88" fillId="0" borderId="0" xfId="1056" applyNumberFormat="1" applyFont="1" applyAlignment="1">
      <alignment horizontal="left" vertical="center"/>
    </xf>
    <xf numFmtId="176" fontId="9" fillId="0" borderId="0" xfId="1056" applyNumberFormat="1" applyFont="1" applyAlignment="1">
      <alignment vertical="center"/>
    </xf>
    <xf numFmtId="0" fontId="15" fillId="4" borderId="11" xfId="0" applyFont="1" applyFill="1" applyBorder="1" applyAlignment="1">
      <alignment horizontal="center" vertical="center"/>
    </xf>
    <xf numFmtId="176" fontId="20" fillId="0" borderId="0" xfId="1056" applyNumberFormat="1" applyFont="1" applyAlignment="1">
      <alignment horizontal="left" vertical="center"/>
    </xf>
    <xf numFmtId="0" fontId="9" fillId="0" borderId="0" xfId="1034" applyNumberFormat="1" applyFont="1" applyAlignment="1">
      <alignment vertical="center"/>
    </xf>
    <xf numFmtId="176" fontId="86" fillId="0" borderId="0" xfId="1005" applyFont="1" applyAlignment="1">
      <alignment vertical="center"/>
    </xf>
    <xf numFmtId="0" fontId="2" fillId="0" borderId="0" xfId="1034" applyNumberFormat="1" applyAlignment="1">
      <alignment vertical="center"/>
    </xf>
    <xf numFmtId="0" fontId="5" fillId="0" borderId="0" xfId="1034" applyNumberFormat="1" applyFont="1" applyAlignment="1">
      <alignment vertical="center"/>
    </xf>
    <xf numFmtId="0" fontId="103" fillId="3" borderId="2" xfId="2329" applyNumberFormat="1" applyFont="1" applyFill="1" applyBorder="1" applyAlignment="1">
      <alignment horizontal="center" vertical="center"/>
    </xf>
    <xf numFmtId="0" fontId="103" fillId="3" borderId="12" xfId="2087" applyNumberFormat="1" applyFont="1" applyFill="1" applyBorder="1" applyAlignment="1">
      <alignment horizontal="left" vertical="center"/>
    </xf>
    <xf numFmtId="0" fontId="103" fillId="3" borderId="10" xfId="2087" applyNumberFormat="1" applyFont="1" applyFill="1" applyBorder="1" applyAlignment="1">
      <alignment horizontal="left" vertical="center"/>
    </xf>
    <xf numFmtId="0" fontId="103" fillId="3" borderId="13" xfId="2087" applyNumberFormat="1" applyFont="1" applyFill="1" applyBorder="1" applyAlignment="1">
      <alignment horizontal="left" vertical="center"/>
    </xf>
    <xf numFmtId="0" fontId="104" fillId="0" borderId="3" xfId="2329" applyNumberFormat="1" applyFont="1" applyBorder="1" applyAlignment="1">
      <alignment horizontal="center" vertical="center"/>
    </xf>
    <xf numFmtId="0" fontId="104" fillId="0" borderId="4" xfId="2329" applyNumberFormat="1" applyFont="1" applyBorder="1" applyAlignment="1">
      <alignment horizontal="left" vertical="center" wrapText="1"/>
    </xf>
    <xf numFmtId="0" fontId="104" fillId="0" borderId="4" xfId="2329" applyNumberFormat="1" applyFont="1" applyBorder="1" applyAlignment="1">
      <alignment horizontal="center" vertical="center" wrapText="1"/>
    </xf>
    <xf numFmtId="0" fontId="103" fillId="3" borderId="3" xfId="2329" applyNumberFormat="1" applyFont="1" applyFill="1" applyBorder="1" applyAlignment="1">
      <alignment horizontal="center" vertical="center"/>
    </xf>
    <xf numFmtId="0" fontId="103" fillId="3" borderId="4" xfId="2087" applyNumberFormat="1" applyFont="1" applyFill="1" applyBorder="1" applyAlignment="1">
      <alignment horizontal="left" vertical="center"/>
    </xf>
    <xf numFmtId="0" fontId="103" fillId="3" borderId="4" xfId="2329" applyNumberFormat="1" applyFont="1" applyFill="1" applyBorder="1" applyAlignment="1">
      <alignment horizontal="left" vertical="center" wrapText="1"/>
    </xf>
    <xf numFmtId="0" fontId="103" fillId="3" borderId="4" xfId="2329" applyNumberFormat="1" applyFont="1" applyFill="1" applyBorder="1" applyAlignment="1">
      <alignment horizontal="center" vertical="center" wrapText="1"/>
    </xf>
    <xf numFmtId="0" fontId="103" fillId="3" borderId="6" xfId="2329" applyNumberFormat="1" applyFont="1" applyFill="1" applyBorder="1" applyAlignment="1">
      <alignment horizontal="center" vertical="center"/>
    </xf>
    <xf numFmtId="0" fontId="103" fillId="3" borderId="7" xfId="2329" applyNumberFormat="1" applyFont="1" applyFill="1" applyBorder="1" applyAlignment="1">
      <alignment horizontal="left" vertical="center" wrapText="1"/>
    </xf>
    <xf numFmtId="0" fontId="103" fillId="3" borderId="7" xfId="2329" applyNumberFormat="1" applyFont="1" applyFill="1" applyBorder="1" applyAlignment="1">
      <alignment horizontal="center" vertical="center" wrapText="1"/>
    </xf>
    <xf numFmtId="0" fontId="104" fillId="0" borderId="4" xfId="2329" applyNumberFormat="1" applyFont="1" applyBorder="1" applyAlignment="1">
      <alignment horizontal="center" vertical="center"/>
    </xf>
    <xf numFmtId="0" fontId="103" fillId="3" borderId="43" xfId="2087" applyNumberFormat="1" applyFont="1" applyFill="1" applyBorder="1" applyAlignment="1">
      <alignment horizontal="center" vertical="center"/>
    </xf>
    <xf numFmtId="176" fontId="106" fillId="0" borderId="0" xfId="792" applyNumberFormat="1" applyFont="1" applyAlignment="1">
      <alignment horizontal="left" vertical="center"/>
    </xf>
    <xf numFmtId="0" fontId="0" fillId="0" borderId="0" xfId="792" applyNumberFormat="1" applyFont="1" applyAlignment="1">
      <alignment vertical="center"/>
    </xf>
    <xf numFmtId="0" fontId="107" fillId="3" borderId="2" xfId="2329" applyNumberFormat="1" applyFont="1" applyFill="1" applyBorder="1" applyAlignment="1">
      <alignment horizontal="center" vertical="center"/>
    </xf>
    <xf numFmtId="0" fontId="107" fillId="3" borderId="12" xfId="2087" applyNumberFormat="1" applyFont="1" applyFill="1" applyBorder="1" applyAlignment="1">
      <alignment horizontal="left" vertical="center"/>
    </xf>
    <xf numFmtId="0" fontId="107" fillId="3" borderId="10" xfId="2087" applyNumberFormat="1" applyFont="1" applyFill="1" applyBorder="1" applyAlignment="1">
      <alignment horizontal="left" vertical="center"/>
    </xf>
    <xf numFmtId="0" fontId="107" fillId="3" borderId="43" xfId="2087" applyNumberFormat="1" applyFont="1" applyFill="1" applyBorder="1" applyAlignment="1">
      <alignment horizontal="center" vertical="center"/>
    </xf>
    <xf numFmtId="0" fontId="108" fillId="0" borderId="3" xfId="2329" applyNumberFormat="1" applyFont="1" applyBorder="1" applyAlignment="1">
      <alignment horizontal="center" vertical="center"/>
    </xf>
    <xf numFmtId="0" fontId="107" fillId="3" borderId="3" xfId="2329" applyNumberFormat="1" applyFont="1" applyFill="1" applyBorder="1" applyAlignment="1">
      <alignment horizontal="center" vertical="center"/>
    </xf>
    <xf numFmtId="0" fontId="107" fillId="3" borderId="4" xfId="2087" applyNumberFormat="1" applyFont="1" applyFill="1" applyBorder="1" applyAlignment="1">
      <alignment horizontal="left" vertical="center"/>
    </xf>
    <xf numFmtId="0" fontId="107" fillId="3" borderId="12" xfId="2087" applyNumberFormat="1" applyFont="1" applyFill="1" applyBorder="1" applyAlignment="1">
      <alignment horizontal="center" vertical="center"/>
    </xf>
    <xf numFmtId="0" fontId="107" fillId="3" borderId="6" xfId="2329" applyNumberFormat="1" applyFont="1" applyFill="1" applyBorder="1" applyAlignment="1">
      <alignment horizontal="center" vertical="center"/>
    </xf>
    <xf numFmtId="0" fontId="108" fillId="0" borderId="4" xfId="2329" applyNumberFormat="1" applyFont="1" applyBorder="1" applyAlignment="1">
      <alignment horizontal="left" vertical="center"/>
    </xf>
    <xf numFmtId="1" fontId="109" fillId="0" borderId="5" xfId="579" applyNumberFormat="1" applyFont="1" applyBorder="1" applyAlignment="1">
      <alignment horizontal="center" vertical="center"/>
    </xf>
    <xf numFmtId="0" fontId="108" fillId="0" borderId="42" xfId="2329" applyNumberFormat="1" applyFont="1" applyBorder="1" applyAlignment="1">
      <alignment horizontal="center" vertical="center"/>
    </xf>
    <xf numFmtId="0" fontId="108" fillId="0" borderId="4" xfId="2329" applyNumberFormat="1" applyFont="1" applyBorder="1" applyAlignment="1">
      <alignment horizontal="center" vertical="center"/>
    </xf>
    <xf numFmtId="0" fontId="108" fillId="0" borderId="12" xfId="2329" applyNumberFormat="1" applyFont="1" applyBorder="1" applyAlignment="1">
      <alignment horizontal="center" vertical="center"/>
    </xf>
    <xf numFmtId="176" fontId="110" fillId="0" borderId="3" xfId="2331" applyNumberFormat="1" applyFont="1" applyBorder="1" applyAlignment="1">
      <alignment horizontal="center" vertical="center"/>
    </xf>
    <xf numFmtId="0" fontId="107" fillId="3" borderId="4" xfId="2329" applyNumberFormat="1" applyFont="1" applyFill="1" applyBorder="1" applyAlignment="1">
      <alignment horizontal="left" vertical="center"/>
    </xf>
    <xf numFmtId="0" fontId="107" fillId="3" borderId="42" xfId="2329" applyNumberFormat="1" applyFont="1" applyFill="1" applyBorder="1" applyAlignment="1">
      <alignment horizontal="center" vertical="center"/>
    </xf>
    <xf numFmtId="0" fontId="107" fillId="3" borderId="4" xfId="2329" applyNumberFormat="1" applyFont="1" applyFill="1" applyBorder="1" applyAlignment="1">
      <alignment horizontal="center" vertical="center"/>
    </xf>
    <xf numFmtId="0" fontId="107" fillId="3" borderId="7" xfId="2329" applyNumberFormat="1" applyFont="1" applyFill="1" applyBorder="1" applyAlignment="1">
      <alignment horizontal="left" vertical="center"/>
    </xf>
    <xf numFmtId="0" fontId="107" fillId="3" borderId="34" xfId="2329" applyNumberFormat="1" applyFont="1" applyFill="1" applyBorder="1" applyAlignment="1">
      <alignment horizontal="left" vertical="center"/>
    </xf>
    <xf numFmtId="0" fontId="107" fillId="3" borderId="8" xfId="2329" applyNumberFormat="1" applyFont="1" applyFill="1" applyBorder="1" applyAlignment="1">
      <alignment horizontal="center" vertical="center"/>
    </xf>
    <xf numFmtId="0" fontId="107" fillId="3" borderId="7" xfId="2329" applyNumberFormat="1" applyFont="1" applyFill="1" applyBorder="1" applyAlignment="1">
      <alignment horizontal="center" vertical="center"/>
    </xf>
    <xf numFmtId="0" fontId="103" fillId="40" borderId="0" xfId="2329" applyNumberFormat="1" applyFont="1" applyFill="1" applyAlignment="1">
      <alignment horizontal="center" vertical="center" wrapText="1"/>
    </xf>
    <xf numFmtId="3" fontId="104" fillId="0" borderId="4" xfId="2329" applyNumberFormat="1" applyFont="1" applyBorder="1" applyAlignment="1">
      <alignment horizontal="center" vertical="center" wrapText="1"/>
    </xf>
    <xf numFmtId="4" fontId="104" fillId="0" borderId="4" xfId="2329" applyNumberFormat="1" applyFont="1" applyBorder="1" applyAlignment="1">
      <alignment horizontal="center" vertical="center" wrapText="1"/>
    </xf>
    <xf numFmtId="4" fontId="104" fillId="0" borderId="3" xfId="2329" applyNumberFormat="1" applyFont="1" applyBorder="1" applyAlignment="1">
      <alignment horizontal="center" vertical="center"/>
    </xf>
    <xf numFmtId="3" fontId="104" fillId="0" borderId="3" xfId="2329" applyNumberFormat="1" applyFont="1" applyBorder="1" applyAlignment="1">
      <alignment horizontal="center" vertical="center"/>
    </xf>
    <xf numFmtId="4" fontId="108" fillId="0" borderId="4" xfId="2329" applyNumberFormat="1" applyFont="1" applyBorder="1" applyAlignment="1">
      <alignment horizontal="center" vertical="center"/>
    </xf>
    <xf numFmtId="3" fontId="108" fillId="0" borderId="4" xfId="2329" applyNumberFormat="1" applyFont="1" applyBorder="1" applyAlignment="1">
      <alignment horizontal="center" vertical="center"/>
    </xf>
    <xf numFmtId="2" fontId="104" fillId="0" borderId="3" xfId="2329" applyNumberFormat="1" applyFont="1" applyBorder="1" applyAlignment="1">
      <alignment horizontal="center" vertical="center"/>
    </xf>
    <xf numFmtId="2" fontId="104" fillId="0" borderId="3" xfId="2329" applyNumberFormat="1" applyFont="1" applyBorder="1" applyAlignment="1">
      <alignment horizontal="center" vertical="center" wrapText="1"/>
    </xf>
    <xf numFmtId="2" fontId="105" fillId="0" borderId="3" xfId="3" applyNumberFormat="1" applyFont="1" applyBorder="1" applyAlignment="1">
      <alignment horizontal="center" vertical="center"/>
    </xf>
    <xf numFmtId="0" fontId="108" fillId="40" borderId="42" xfId="2329" applyNumberFormat="1" applyFont="1" applyFill="1" applyBorder="1" applyAlignment="1">
      <alignment horizontal="center" vertical="center"/>
    </xf>
    <xf numFmtId="4" fontId="104" fillId="40" borderId="3" xfId="2329" applyNumberFormat="1" applyFont="1" applyFill="1" applyBorder="1" applyAlignment="1">
      <alignment horizontal="center" vertical="center"/>
    </xf>
    <xf numFmtId="2" fontId="105" fillId="40" borderId="3" xfId="3" applyNumberFormat="1" applyFont="1" applyFill="1" applyBorder="1" applyAlignment="1">
      <alignment horizontal="center" vertical="center"/>
    </xf>
    <xf numFmtId="0" fontId="108" fillId="40" borderId="12" xfId="2087" applyNumberFormat="1" applyFont="1" applyFill="1" applyBorder="1" applyAlignment="1">
      <alignment horizontal="center" vertical="center"/>
    </xf>
    <xf numFmtId="3" fontId="104" fillId="40" borderId="3" xfId="2329" applyNumberFormat="1" applyFont="1" applyFill="1" applyBorder="1" applyAlignment="1">
      <alignment horizontal="center" vertical="center"/>
    </xf>
    <xf numFmtId="2" fontId="107" fillId="3" borderId="33" xfId="2087" applyNumberFormat="1" applyFont="1" applyFill="1" applyBorder="1" applyAlignment="1">
      <alignment horizontal="center" vertical="center"/>
    </xf>
    <xf numFmtId="2" fontId="104" fillId="40" borderId="3" xfId="2329" applyNumberFormat="1" applyFont="1" applyFill="1" applyBorder="1" applyAlignment="1">
      <alignment horizontal="center" vertical="center"/>
    </xf>
    <xf numFmtId="2" fontId="107" fillId="3" borderId="3" xfId="2329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4" fontId="108" fillId="0" borderId="12" xfId="2329" applyNumberFormat="1" applyFont="1" applyBorder="1" applyAlignment="1">
      <alignment horizontal="center" vertical="center"/>
    </xf>
    <xf numFmtId="0" fontId="107" fillId="3" borderId="33" xfId="2087" applyNumberFormat="1" applyFont="1" applyFill="1" applyBorder="1" applyAlignment="1">
      <alignment horizontal="center" vertical="center"/>
    </xf>
    <xf numFmtId="4" fontId="108" fillId="0" borderId="3" xfId="2329" applyNumberFormat="1" applyFont="1" applyBorder="1" applyAlignment="1">
      <alignment horizontal="center" vertical="center"/>
    </xf>
    <xf numFmtId="4" fontId="108" fillId="0" borderId="2" xfId="2329" applyNumberFormat="1" applyFont="1" applyBorder="1" applyAlignment="1">
      <alignment horizontal="center" vertical="center"/>
    </xf>
    <xf numFmtId="2" fontId="103" fillId="3" borderId="33" xfId="2087" applyNumberFormat="1" applyFont="1" applyFill="1" applyBorder="1" applyAlignment="1">
      <alignment horizontal="center" vertical="center"/>
    </xf>
    <xf numFmtId="4" fontId="104" fillId="0" borderId="3" xfId="2329" applyNumberFormat="1" applyFont="1" applyBorder="1" applyAlignment="1">
      <alignment horizontal="center" vertical="center" wrapText="1"/>
    </xf>
    <xf numFmtId="0" fontId="6" fillId="0" borderId="0" xfId="12" applyAlignment="1">
      <alignment horizontal="center"/>
    </xf>
    <xf numFmtId="0" fontId="7" fillId="2" borderId="44" xfId="1005" applyNumberFormat="1" applyFont="1" applyFill="1" applyBorder="1" applyAlignment="1">
      <alignment horizontal="center" vertical="center" wrapText="1"/>
    </xf>
    <xf numFmtId="0" fontId="9" fillId="4" borderId="0" xfId="1005" applyNumberFormat="1" applyFont="1" applyFill="1" applyAlignment="1">
      <alignment horizontal="center" vertical="center"/>
    </xf>
    <xf numFmtId="0" fontId="8" fillId="4" borderId="0" xfId="1005" applyNumberFormat="1" applyFont="1" applyFill="1" applyAlignment="1">
      <alignment vertical="center"/>
    </xf>
    <xf numFmtId="176" fontId="9" fillId="4" borderId="0" xfId="1005" applyFont="1" applyFill="1" applyAlignment="1">
      <alignment vertical="center"/>
    </xf>
    <xf numFmtId="176" fontId="106" fillId="0" borderId="0" xfId="2340" applyNumberFormat="1" applyFont="1" applyAlignment="1">
      <alignment horizontal="left" vertical="center"/>
    </xf>
    <xf numFmtId="176" fontId="86" fillId="0" borderId="0" xfId="2340" applyNumberFormat="1" applyFont="1" applyAlignment="1">
      <alignment vertical="center"/>
    </xf>
    <xf numFmtId="176" fontId="86" fillId="0" borderId="0" xfId="2340" applyNumberFormat="1" applyFont="1" applyAlignment="1">
      <alignment horizontal="center" vertical="center"/>
    </xf>
    <xf numFmtId="0" fontId="0" fillId="0" borderId="0" xfId="2340" applyNumberFormat="1" applyFont="1" applyAlignment="1">
      <alignment vertical="center"/>
    </xf>
    <xf numFmtId="176" fontId="9" fillId="0" borderId="0" xfId="2340" applyNumberFormat="1" applyFont="1" applyAlignment="1">
      <alignment horizontal="center" vertical="center"/>
    </xf>
    <xf numFmtId="176" fontId="9" fillId="0" borderId="0" xfId="2340" applyNumberFormat="1" applyFont="1" applyAlignment="1">
      <alignment vertical="center"/>
    </xf>
    <xf numFmtId="3" fontId="108" fillId="0" borderId="3" xfId="2329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2" fontId="0" fillId="0" borderId="0" xfId="0" applyNumberFormat="1"/>
    <xf numFmtId="0" fontId="107" fillId="3" borderId="5" xfId="2329" applyNumberFormat="1" applyFont="1" applyFill="1" applyBorder="1" applyAlignment="1">
      <alignment horizontal="left" vertical="center"/>
    </xf>
    <xf numFmtId="0" fontId="103" fillId="3" borderId="42" xfId="2087" applyNumberFormat="1" applyFont="1" applyFill="1" applyBorder="1" applyAlignment="1">
      <alignment horizontal="left" vertical="center"/>
    </xf>
    <xf numFmtId="2" fontId="103" fillId="3" borderId="3" xfId="2329" applyNumberFormat="1" applyFont="1" applyFill="1" applyBorder="1" applyAlignment="1">
      <alignment horizontal="center" vertical="center" wrapText="1"/>
    </xf>
    <xf numFmtId="0" fontId="2" fillId="0" borderId="0" xfId="2342"/>
    <xf numFmtId="4" fontId="2" fillId="0" borderId="0" xfId="2342" applyNumberFormat="1"/>
    <xf numFmtId="0" fontId="15" fillId="0" borderId="0" xfId="2342" applyFont="1"/>
    <xf numFmtId="9" fontId="2" fillId="0" borderId="0" xfId="2342" applyNumberFormat="1"/>
    <xf numFmtId="10" fontId="2" fillId="0" borderId="0" xfId="2342" applyNumberFormat="1"/>
    <xf numFmtId="176" fontId="110" fillId="0" borderId="12" xfId="2331" applyNumberFormat="1" applyFont="1" applyBorder="1" applyAlignment="1">
      <alignment horizontal="center" vertical="center"/>
    </xf>
    <xf numFmtId="0" fontId="125" fillId="0" borderId="0" xfId="0" applyFont="1"/>
    <xf numFmtId="176" fontId="88" fillId="0" borderId="0" xfId="1056" applyNumberFormat="1" applyFont="1" applyAlignment="1">
      <alignment vertical="center"/>
    </xf>
    <xf numFmtId="0" fontId="103" fillId="3" borderId="4" xfId="2087" applyNumberFormat="1" applyFont="1" applyFill="1" applyBorder="1" applyAlignment="1">
      <alignment horizontal="center" vertical="center"/>
    </xf>
    <xf numFmtId="0" fontId="2" fillId="0" borderId="11" xfId="3" applyNumberFormat="1" applyFont="1" applyBorder="1" applyAlignment="1" applyProtection="1">
      <alignment horizontal="center" vertical="center"/>
      <protection locked="0"/>
    </xf>
    <xf numFmtId="0" fontId="0" fillId="12" borderId="0" xfId="0" applyFill="1"/>
    <xf numFmtId="2" fontId="104" fillId="0" borderId="4" xfId="2329" applyNumberFormat="1" applyFont="1" applyBorder="1" applyAlignment="1">
      <alignment horizontal="center" vertical="center" wrapText="1"/>
    </xf>
    <xf numFmtId="217" fontId="104" fillId="40" borderId="3" xfId="2329" applyNumberFormat="1" applyFont="1" applyFill="1" applyBorder="1" applyAlignment="1">
      <alignment horizontal="center" vertical="center"/>
    </xf>
    <xf numFmtId="217" fontId="2" fillId="0" borderId="0" xfId="2342" applyNumberFormat="1"/>
    <xf numFmtId="229" fontId="2" fillId="0" borderId="0" xfId="2342" applyNumberFormat="1"/>
    <xf numFmtId="2" fontId="107" fillId="3" borderId="6" xfId="2329" applyNumberFormat="1" applyFont="1" applyFill="1" applyBorder="1" applyAlignment="1">
      <alignment horizontal="center" vertical="center"/>
    </xf>
    <xf numFmtId="0" fontId="103" fillId="3" borderId="8" xfId="2087" applyNumberFormat="1" applyFont="1" applyFill="1" applyBorder="1" applyAlignment="1">
      <alignment horizontal="left" vertical="center"/>
    </xf>
    <xf numFmtId="2" fontId="103" fillId="3" borderId="6" xfId="2329" applyNumberFormat="1" applyFont="1" applyFill="1" applyBorder="1" applyAlignment="1">
      <alignment horizontal="center" vertical="center" wrapText="1"/>
    </xf>
    <xf numFmtId="3" fontId="2" fillId="0" borderId="0" xfId="2342" applyNumberFormat="1"/>
    <xf numFmtId="176" fontId="86" fillId="0" borderId="0" xfId="3" applyFont="1" applyAlignment="1">
      <alignment vertical="center"/>
    </xf>
    <xf numFmtId="168" fontId="9" fillId="0" borderId="0" xfId="1" applyFont="1" applyBorder="1" applyAlignment="1">
      <alignment horizontal="center" vertical="center"/>
    </xf>
    <xf numFmtId="168" fontId="86" fillId="0" borderId="0" xfId="1" applyFont="1" applyFill="1" applyAlignment="1">
      <alignment vertical="center"/>
    </xf>
    <xf numFmtId="0" fontId="108" fillId="0" borderId="4" xfId="2329" applyNumberFormat="1" applyFont="1" applyBorder="1" applyAlignment="1">
      <alignment horizontal="left" vertical="center" wrapText="1"/>
    </xf>
    <xf numFmtId="4" fontId="104" fillId="0" borderId="9" xfId="2329" applyNumberFormat="1" applyFont="1" applyBorder="1" applyAlignment="1">
      <alignment horizontal="center" vertical="center" wrapText="1"/>
    </xf>
    <xf numFmtId="0" fontId="103" fillId="3" borderId="5" xfId="2087" applyNumberFormat="1" applyFont="1" applyFill="1" applyBorder="1" applyAlignment="1">
      <alignment horizontal="left" vertical="center"/>
    </xf>
    <xf numFmtId="0" fontId="0" fillId="0" borderId="57" xfId="0" applyBorder="1"/>
    <xf numFmtId="2" fontId="105" fillId="40" borderId="3" xfId="1034" applyNumberFormat="1" applyFont="1" applyFill="1" applyBorder="1" applyAlignment="1">
      <alignment horizontal="center" vertical="center"/>
    </xf>
    <xf numFmtId="0" fontId="107" fillId="3" borderId="4" xfId="2087" applyNumberFormat="1" applyFont="1" applyFill="1" applyBorder="1" applyAlignment="1">
      <alignment horizontal="center" vertical="center"/>
    </xf>
    <xf numFmtId="0" fontId="107" fillId="3" borderId="3" xfId="2087" applyNumberFormat="1" applyFont="1" applyFill="1" applyBorder="1" applyAlignment="1">
      <alignment horizontal="center" vertical="center"/>
    </xf>
    <xf numFmtId="4" fontId="104" fillId="40" borderId="55" xfId="2329" applyNumberFormat="1" applyFont="1" applyFill="1" applyBorder="1" applyAlignment="1">
      <alignment horizontal="center" vertical="center"/>
    </xf>
    <xf numFmtId="4" fontId="104" fillId="0" borderId="55" xfId="2329" applyNumberFormat="1" applyFont="1" applyBorder="1" applyAlignment="1">
      <alignment horizontal="center" vertical="center"/>
    </xf>
    <xf numFmtId="2" fontId="105" fillId="40" borderId="55" xfId="3" applyNumberFormat="1" applyFont="1" applyFill="1" applyBorder="1" applyAlignment="1">
      <alignment horizontal="center" vertical="center"/>
    </xf>
    <xf numFmtId="2" fontId="103" fillId="3" borderId="3" xfId="2087" applyNumberFormat="1" applyFont="1" applyFill="1" applyBorder="1" applyAlignment="1">
      <alignment horizontal="center" vertical="center"/>
    </xf>
    <xf numFmtId="0" fontId="128" fillId="0" borderId="0" xfId="12" applyFont="1" applyAlignment="1">
      <alignment horizontal="left" vertical="top"/>
    </xf>
    <xf numFmtId="0" fontId="128" fillId="0" borderId="0" xfId="12" applyFont="1"/>
    <xf numFmtId="0" fontId="128" fillId="0" borderId="0" xfId="12" applyFont="1" applyAlignment="1">
      <alignment vertical="center"/>
    </xf>
    <xf numFmtId="0" fontId="86" fillId="0" borderId="0" xfId="0" applyFont="1"/>
    <xf numFmtId="0" fontId="103" fillId="3" borderId="3" xfId="2087" applyNumberFormat="1" applyFont="1" applyFill="1" applyBorder="1" applyAlignment="1">
      <alignment horizontal="center" vertical="center"/>
    </xf>
    <xf numFmtId="0" fontId="114" fillId="0" borderId="0" xfId="3" applyNumberFormat="1" applyFont="1" applyAlignment="1" applyProtection="1">
      <alignment horizontal="center" vertical="center"/>
      <protection locked="0"/>
    </xf>
    <xf numFmtId="176" fontId="106" fillId="0" borderId="0" xfId="3" applyFont="1" applyAlignment="1">
      <alignment vertical="center"/>
    </xf>
    <xf numFmtId="176" fontId="133" fillId="12" borderId="0" xfId="3" applyFont="1" applyFill="1" applyAlignment="1">
      <alignment horizontal="center" vertical="center"/>
    </xf>
    <xf numFmtId="176" fontId="134" fillId="0" borderId="0" xfId="3" applyFont="1" applyAlignment="1">
      <alignment horizontal="center" vertical="center" wrapText="1"/>
    </xf>
    <xf numFmtId="217" fontId="104" fillId="0" borderId="3" xfId="2329" applyNumberFormat="1" applyFont="1" applyBorder="1" applyAlignment="1">
      <alignment horizontal="center" vertical="center"/>
    </xf>
    <xf numFmtId="0" fontId="87" fillId="0" borderId="0" xfId="12" applyFont="1"/>
    <xf numFmtId="0" fontId="87" fillId="0" borderId="0" xfId="12" applyFont="1" applyAlignment="1">
      <alignment horizontal="center"/>
    </xf>
    <xf numFmtId="0" fontId="87" fillId="0" borderId="0" xfId="12" applyFont="1" applyAlignment="1">
      <alignment horizontal="left" vertical="top"/>
    </xf>
    <xf numFmtId="0" fontId="87" fillId="0" borderId="0" xfId="12" applyFont="1" applyAlignment="1">
      <alignment horizontal="center" vertical="top"/>
    </xf>
    <xf numFmtId="0" fontId="87" fillId="0" borderId="0" xfId="12" applyFont="1" applyAlignment="1">
      <alignment vertical="center"/>
    </xf>
    <xf numFmtId="2" fontId="87" fillId="0" borderId="0" xfId="12" applyNumberFormat="1" applyFont="1"/>
    <xf numFmtId="0" fontId="135" fillId="3" borderId="12" xfId="2087" applyNumberFormat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2" fontId="0" fillId="0" borderId="0" xfId="0" applyNumberFormat="1" applyAlignment="1">
      <alignment horizontal="left" vertical="center"/>
    </xf>
    <xf numFmtId="2" fontId="128" fillId="0" borderId="0" xfId="12" applyNumberFormat="1" applyFont="1" applyAlignment="1">
      <alignment vertical="center"/>
    </xf>
    <xf numFmtId="0" fontId="128" fillId="0" borderId="0" xfId="12" applyFont="1" applyAlignment="1">
      <alignment horizontal="center"/>
    </xf>
    <xf numFmtId="2" fontId="128" fillId="0" borderId="0" xfId="12" applyNumberFormat="1" applyFont="1" applyAlignment="1">
      <alignment horizontal="center"/>
    </xf>
    <xf numFmtId="0" fontId="108" fillId="0" borderId="55" xfId="2329" applyNumberFormat="1" applyFont="1" applyBorder="1" applyAlignment="1">
      <alignment horizontal="center" vertical="center"/>
    </xf>
    <xf numFmtId="0" fontId="108" fillId="0" borderId="2" xfId="2329" applyNumberFormat="1" applyFont="1" applyBorder="1" applyAlignment="1">
      <alignment horizontal="center" vertical="center"/>
    </xf>
    <xf numFmtId="0" fontId="108" fillId="40" borderId="4" xfId="2087" applyNumberFormat="1" applyFont="1" applyFill="1" applyBorder="1" applyAlignment="1">
      <alignment horizontal="center" vertical="center"/>
    </xf>
    <xf numFmtId="0" fontId="107" fillId="0" borderId="4" xfId="2087" applyNumberFormat="1" applyFont="1" applyBorder="1" applyAlignment="1">
      <alignment horizontal="center" vertical="center"/>
    </xf>
    <xf numFmtId="2" fontId="107" fillId="0" borderId="3" xfId="2087" applyNumberFormat="1" applyFont="1" applyBorder="1" applyAlignment="1">
      <alignment horizontal="center" vertical="center"/>
    </xf>
    <xf numFmtId="176" fontId="14" fillId="0" borderId="0" xfId="1051" applyNumberFormat="1" applyFont="1" applyAlignment="1">
      <alignment horizontal="center" vertical="center" wrapText="1"/>
    </xf>
    <xf numFmtId="176" fontId="12" fillId="0" borderId="0" xfId="1051" applyNumberFormat="1" applyFont="1" applyAlignment="1">
      <alignment horizontal="center" vertical="center" wrapText="1"/>
    </xf>
    <xf numFmtId="0" fontId="14" fillId="2" borderId="44" xfId="1005" applyNumberFormat="1" applyFont="1" applyFill="1" applyBorder="1" applyAlignment="1">
      <alignment horizontal="center" vertical="center" wrapText="1"/>
    </xf>
    <xf numFmtId="0" fontId="12" fillId="3" borderId="13" xfId="2087" applyNumberFormat="1" applyFont="1" applyFill="1" applyBorder="1" applyAlignment="1">
      <alignment horizontal="left" vertical="center"/>
    </xf>
    <xf numFmtId="176" fontId="14" fillId="0" borderId="0" xfId="1051" applyNumberFormat="1" applyFont="1" applyAlignment="1">
      <alignment vertical="center"/>
    </xf>
    <xf numFmtId="176" fontId="12" fillId="0" borderId="0" xfId="1051" applyNumberFormat="1" applyFont="1" applyAlignment="1">
      <alignment vertical="center"/>
    </xf>
    <xf numFmtId="168" fontId="16" fillId="0" borderId="0" xfId="1" applyFont="1" applyFill="1" applyAlignment="1">
      <alignment vertical="center"/>
    </xf>
    <xf numFmtId="176" fontId="86" fillId="0" borderId="0" xfId="1051" applyNumberFormat="1" applyFont="1" applyAlignment="1">
      <alignment vertical="center"/>
    </xf>
    <xf numFmtId="0" fontId="12" fillId="3" borderId="5" xfId="2087" applyNumberFormat="1" applyFont="1" applyFill="1" applyBorder="1" applyAlignment="1">
      <alignment horizontal="left" vertical="center"/>
    </xf>
    <xf numFmtId="176" fontId="16" fillId="0" borderId="0" xfId="1051" applyNumberFormat="1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86" fillId="4" borderId="0" xfId="1005" applyNumberFormat="1" applyFont="1" applyFill="1" applyAlignment="1">
      <alignment horizontal="center" vertical="center"/>
    </xf>
    <xf numFmtId="0" fontId="12" fillId="4" borderId="0" xfId="1005" applyNumberFormat="1" applyFont="1" applyFill="1" applyAlignment="1">
      <alignment vertical="center"/>
    </xf>
    <xf numFmtId="176" fontId="86" fillId="4" borderId="0" xfId="1005" applyFont="1" applyFill="1" applyAlignment="1">
      <alignment vertical="center"/>
    </xf>
    <xf numFmtId="0" fontId="5" fillId="0" borderId="0" xfId="2340" applyNumberFormat="1" applyFont="1" applyAlignment="1">
      <alignment vertical="center"/>
    </xf>
    <xf numFmtId="0" fontId="12" fillId="3" borderId="12" xfId="2087" applyNumberFormat="1" applyFont="1" applyFill="1" applyBorder="1" applyAlignment="1">
      <alignment horizontal="center" vertical="center"/>
    </xf>
    <xf numFmtId="0" fontId="12" fillId="3" borderId="43" xfId="2087" applyNumberFormat="1" applyFont="1" applyFill="1" applyBorder="1" applyAlignment="1">
      <alignment horizontal="center" vertical="center"/>
    </xf>
    <xf numFmtId="0" fontId="12" fillId="3" borderId="33" xfId="2087" applyNumberFormat="1" applyFont="1" applyFill="1" applyBorder="1" applyAlignment="1">
      <alignment horizontal="center" vertical="center"/>
    </xf>
    <xf numFmtId="0" fontId="86" fillId="0" borderId="42" xfId="2329" applyNumberFormat="1" applyFont="1" applyBorder="1" applyAlignment="1">
      <alignment horizontal="center" vertical="center"/>
    </xf>
    <xf numFmtId="0" fontId="86" fillId="0" borderId="4" xfId="2329" applyNumberFormat="1" applyFont="1" applyBorder="1" applyAlignment="1">
      <alignment horizontal="center" vertical="center"/>
    </xf>
    <xf numFmtId="4" fontId="86" fillId="0" borderId="4" xfId="2329" applyNumberFormat="1" applyFont="1" applyBorder="1" applyAlignment="1">
      <alignment horizontal="center" vertical="center"/>
    </xf>
    <xf numFmtId="4" fontId="86" fillId="0" borderId="3" xfId="2329" applyNumberFormat="1" applyFont="1" applyBorder="1" applyAlignment="1">
      <alignment horizontal="center" vertical="center"/>
    </xf>
    <xf numFmtId="0" fontId="12" fillId="3" borderId="4" xfId="2087" applyNumberFormat="1" applyFont="1" applyFill="1" applyBorder="1" applyAlignment="1">
      <alignment horizontal="center" vertical="center"/>
    </xf>
    <xf numFmtId="0" fontId="12" fillId="3" borderId="3" xfId="2087" applyNumberFormat="1" applyFont="1" applyFill="1" applyBorder="1" applyAlignment="1">
      <alignment horizontal="center" vertical="center"/>
    </xf>
    <xf numFmtId="176" fontId="139" fillId="0" borderId="55" xfId="2331" applyNumberFormat="1" applyFont="1" applyBorder="1" applyAlignment="1">
      <alignment horizontal="center" vertical="center"/>
    </xf>
    <xf numFmtId="176" fontId="139" fillId="0" borderId="3" xfId="2331" applyNumberFormat="1" applyFont="1" applyBorder="1" applyAlignment="1">
      <alignment horizontal="center" vertical="center"/>
    </xf>
    <xf numFmtId="176" fontId="139" fillId="0" borderId="12" xfId="2331" applyNumberFormat="1" applyFont="1" applyBorder="1" applyAlignment="1">
      <alignment horizontal="center" vertical="center"/>
    </xf>
    <xf numFmtId="3" fontId="86" fillId="0" borderId="4" xfId="2329" applyNumberFormat="1" applyFont="1" applyBorder="1" applyAlignment="1">
      <alignment horizontal="center" vertical="center"/>
    </xf>
    <xf numFmtId="0" fontId="86" fillId="0" borderId="12" xfId="2087" applyNumberFormat="1" applyFont="1" applyBorder="1" applyAlignment="1">
      <alignment horizontal="center" vertical="center"/>
    </xf>
    <xf numFmtId="0" fontId="12" fillId="3" borderId="6" xfId="2329" applyNumberFormat="1" applyFont="1" applyFill="1" applyBorder="1" applyAlignment="1">
      <alignment horizontal="center" vertical="center"/>
    </xf>
    <xf numFmtId="0" fontId="12" fillId="3" borderId="8" xfId="2329" applyNumberFormat="1" applyFont="1" applyFill="1" applyBorder="1" applyAlignment="1">
      <alignment horizontal="center" vertical="center"/>
    </xf>
    <xf numFmtId="0" fontId="12" fillId="3" borderId="7" xfId="2329" applyNumberFormat="1" applyFont="1" applyFill="1" applyBorder="1" applyAlignment="1">
      <alignment horizontal="center" vertical="center"/>
    </xf>
    <xf numFmtId="196" fontId="107" fillId="3" borderId="3" xfId="2087" applyNumberFormat="1" applyFont="1" applyFill="1" applyBorder="1" applyAlignment="1">
      <alignment horizontal="center" vertical="center"/>
    </xf>
    <xf numFmtId="1" fontId="104" fillId="0" borderId="9" xfId="2329" applyNumberFormat="1" applyFont="1" applyBorder="1" applyAlignment="1">
      <alignment horizontal="center" vertical="center" wrapText="1"/>
    </xf>
    <xf numFmtId="1" fontId="104" fillId="0" borderId="4" xfId="2329" applyNumberFormat="1" applyFont="1" applyBorder="1" applyAlignment="1">
      <alignment horizontal="center" vertical="center" wrapText="1"/>
    </xf>
    <xf numFmtId="1" fontId="104" fillId="0" borderId="3" xfId="2329" applyNumberFormat="1" applyFont="1" applyBorder="1" applyAlignment="1">
      <alignment horizontal="center" vertical="center" wrapText="1"/>
    </xf>
    <xf numFmtId="0" fontId="7" fillId="43" borderId="73" xfId="1056" applyNumberFormat="1" applyFont="1" applyFill="1" applyBorder="1" applyAlignment="1">
      <alignment horizontal="center" vertical="center" wrapText="1"/>
    </xf>
    <xf numFmtId="0" fontId="108" fillId="40" borderId="5" xfId="2329" applyNumberFormat="1" applyFont="1" applyFill="1" applyBorder="1" applyAlignment="1">
      <alignment horizontal="center" vertical="center"/>
    </xf>
    <xf numFmtId="0" fontId="107" fillId="3" borderId="5" xfId="2329" applyNumberFormat="1" applyFont="1" applyFill="1" applyBorder="1" applyAlignment="1">
      <alignment horizontal="center" vertical="center"/>
    </xf>
    <xf numFmtId="0" fontId="107" fillId="3" borderId="34" xfId="2329" applyNumberFormat="1" applyFont="1" applyFill="1" applyBorder="1" applyAlignment="1">
      <alignment horizontal="center" vertical="center"/>
    </xf>
    <xf numFmtId="22" fontId="0" fillId="0" borderId="0" xfId="0" applyNumberFormat="1"/>
    <xf numFmtId="0" fontId="0" fillId="0" borderId="76" xfId="0" applyBorder="1"/>
    <xf numFmtId="0" fontId="0" fillId="0" borderId="76" xfId="0" applyBorder="1" applyAlignment="1">
      <alignment horizontal="center"/>
    </xf>
    <xf numFmtId="0" fontId="0" fillId="0" borderId="77" xfId="0" applyBorder="1"/>
    <xf numFmtId="0" fontId="0" fillId="0" borderId="77" xfId="0" applyBorder="1" applyAlignment="1">
      <alignment horizontal="center"/>
    </xf>
    <xf numFmtId="0" fontId="0" fillId="0" borderId="78" xfId="0" applyBorder="1"/>
    <xf numFmtId="0" fontId="0" fillId="0" borderId="78" xfId="0" applyBorder="1" applyAlignment="1">
      <alignment horizontal="center"/>
    </xf>
    <xf numFmtId="2" fontId="0" fillId="0" borderId="76" xfId="0" applyNumberFormat="1" applyBorder="1" applyAlignment="1">
      <alignment horizontal="center"/>
    </xf>
    <xf numFmtId="0" fontId="9" fillId="0" borderId="0" xfId="3" applyNumberFormat="1" applyFont="1" applyAlignment="1">
      <alignment horizontal="center" vertical="center"/>
    </xf>
    <xf numFmtId="2" fontId="6" fillId="0" borderId="0" xfId="12" applyNumberFormat="1" applyAlignment="1">
      <alignment horizontal="center"/>
    </xf>
    <xf numFmtId="2" fontId="107" fillId="3" borderId="3" xfId="2087" applyNumberFormat="1" applyFont="1" applyFill="1" applyBorder="1" applyAlignment="1">
      <alignment horizontal="center" vertical="center"/>
    </xf>
    <xf numFmtId="4" fontId="0" fillId="0" borderId="0" xfId="0" applyNumberFormat="1"/>
    <xf numFmtId="168" fontId="0" fillId="0" borderId="0" xfId="1" applyFont="1"/>
    <xf numFmtId="176" fontId="140" fillId="0" borderId="0" xfId="3" applyFont="1" applyAlignment="1">
      <alignment vertical="center"/>
    </xf>
    <xf numFmtId="176" fontId="139" fillId="0" borderId="12" xfId="2331" applyNumberFormat="1" applyFont="1" applyBorder="1" applyAlignment="1">
      <alignment horizontal="center" vertical="center" wrapText="1"/>
    </xf>
    <xf numFmtId="0" fontId="12" fillId="4" borderId="0" xfId="1005" applyNumberFormat="1" applyFont="1" applyFill="1" applyAlignment="1">
      <alignment horizontal="center" vertical="center"/>
    </xf>
    <xf numFmtId="0" fontId="108" fillId="0" borderId="3" xfId="2329" applyNumberFormat="1" applyFont="1" applyBorder="1" applyAlignment="1">
      <alignment horizontal="center"/>
    </xf>
    <xf numFmtId="0" fontId="107" fillId="3" borderId="3" xfId="2329" applyNumberFormat="1" applyFont="1" applyFill="1" applyBorder="1" applyAlignment="1">
      <alignment horizontal="center"/>
    </xf>
    <xf numFmtId="0" fontId="108" fillId="0" borderId="55" xfId="2329" applyNumberFormat="1" applyFont="1" applyBorder="1" applyAlignment="1">
      <alignment horizontal="center"/>
    </xf>
    <xf numFmtId="0" fontId="108" fillId="0" borderId="61" xfId="2329" applyNumberFormat="1" applyFont="1" applyBorder="1" applyAlignment="1">
      <alignment horizontal="center"/>
    </xf>
    <xf numFmtId="0" fontId="108" fillId="0" borderId="2" xfId="2329" applyNumberFormat="1" applyFont="1" applyBorder="1" applyAlignment="1">
      <alignment horizontal="center"/>
    </xf>
    <xf numFmtId="4" fontId="104" fillId="40" borderId="12" xfId="2329" applyNumberFormat="1" applyFont="1" applyFill="1" applyBorder="1" applyAlignment="1">
      <alignment horizontal="center" vertical="center"/>
    </xf>
    <xf numFmtId="0" fontId="108" fillId="40" borderId="42" xfId="2329" applyNumberFormat="1" applyFont="1" applyFill="1" applyBorder="1" applyAlignment="1">
      <alignment horizontal="center" vertical="center" wrapText="1"/>
    </xf>
    <xf numFmtId="4" fontId="104" fillId="40" borderId="4" xfId="2329" applyNumberFormat="1" applyFont="1" applyFill="1" applyBorder="1" applyAlignment="1">
      <alignment horizontal="center" vertical="center"/>
    </xf>
    <xf numFmtId="2" fontId="105" fillId="40" borderId="9" xfId="3" applyNumberFormat="1" applyFont="1" applyFill="1" applyBorder="1" applyAlignment="1">
      <alignment horizontal="center" vertical="center"/>
    </xf>
    <xf numFmtId="4" fontId="104" fillId="0" borderId="4" xfId="2329" applyNumberFormat="1" applyFont="1" applyBorder="1" applyAlignment="1">
      <alignment horizontal="center" vertical="center"/>
    </xf>
    <xf numFmtId="2" fontId="105" fillId="40" borderId="4" xfId="1034" applyNumberFormat="1" applyFont="1" applyFill="1" applyBorder="1" applyAlignment="1">
      <alignment horizontal="center" vertical="center"/>
    </xf>
    <xf numFmtId="1" fontId="104" fillId="0" borderId="4" xfId="2329" applyNumberFormat="1" applyFont="1" applyBorder="1" applyAlignment="1">
      <alignment horizontal="center" vertical="center"/>
    </xf>
    <xf numFmtId="0" fontId="103" fillId="3" borderId="33" xfId="2087" applyNumberFormat="1" applyFont="1" applyFill="1" applyBorder="1" applyAlignment="1">
      <alignment horizontal="center" vertical="center"/>
    </xf>
    <xf numFmtId="2" fontId="105" fillId="55" borderId="3" xfId="1034" applyNumberFormat="1" applyFont="1" applyFill="1" applyBorder="1" applyAlignment="1">
      <alignment horizontal="center" vertical="center"/>
    </xf>
    <xf numFmtId="0" fontId="0" fillId="0" borderId="0" xfId="0" quotePrefix="1"/>
    <xf numFmtId="0" fontId="0" fillId="0" borderId="0" xfId="0" applyAlignment="1">
      <alignment horizontal="left"/>
    </xf>
    <xf numFmtId="0" fontId="15" fillId="0" borderId="0" xfId="0" applyFont="1" applyAlignment="1">
      <alignment horizontal="center" vertical="center"/>
    </xf>
    <xf numFmtId="0" fontId="107" fillId="0" borderId="4" xfId="2329" applyNumberFormat="1" applyFont="1" applyBorder="1" applyAlignment="1">
      <alignment horizontal="left" vertical="center"/>
    </xf>
    <xf numFmtId="0" fontId="107" fillId="0" borderId="4" xfId="2329" applyNumberFormat="1" applyFont="1" applyBorder="1" applyAlignment="1">
      <alignment horizontal="left" vertical="center" wrapText="1"/>
    </xf>
    <xf numFmtId="0" fontId="103" fillId="0" borderId="4" xfId="2329" applyNumberFormat="1" applyFont="1" applyBorder="1" applyAlignment="1">
      <alignment horizontal="left" vertical="center" wrapText="1"/>
    </xf>
    <xf numFmtId="170" fontId="104" fillId="0" borderId="4" xfId="7181" applyFont="1" applyBorder="1" applyAlignment="1">
      <alignment horizontal="center" vertical="center" wrapText="1"/>
    </xf>
    <xf numFmtId="0" fontId="103" fillId="3" borderId="12" xfId="2329" applyNumberFormat="1" applyFont="1" applyFill="1" applyBorder="1" applyAlignment="1">
      <alignment horizontal="left" vertical="center"/>
    </xf>
    <xf numFmtId="0" fontId="103" fillId="3" borderId="12" xfId="2087" applyNumberFormat="1" applyFont="1" applyFill="1" applyBorder="1" applyAlignment="1">
      <alignment horizontal="center" vertical="center"/>
    </xf>
    <xf numFmtId="0" fontId="103" fillId="0" borderId="4" xfId="2329" applyNumberFormat="1" applyFont="1" applyBorder="1" applyAlignment="1">
      <alignment horizontal="left" vertical="center"/>
    </xf>
    <xf numFmtId="1" fontId="105" fillId="0" borderId="5" xfId="579" applyNumberFormat="1" applyFont="1" applyBorder="1" applyAlignment="1">
      <alignment horizontal="center" vertical="center"/>
    </xf>
    <xf numFmtId="0" fontId="104" fillId="0" borderId="42" xfId="2329" applyNumberFormat="1" applyFont="1" applyBorder="1" applyAlignment="1">
      <alignment horizontal="center" vertical="center"/>
    </xf>
    <xf numFmtId="3" fontId="104" fillId="0" borderId="4" xfId="2329" applyNumberFormat="1" applyFont="1" applyBorder="1" applyAlignment="1">
      <alignment horizontal="center" vertical="center"/>
    </xf>
    <xf numFmtId="0" fontId="104" fillId="0" borderId="4" xfId="2329" applyNumberFormat="1" applyFont="1" applyBorder="1" applyAlignment="1">
      <alignment horizontal="left" vertical="center"/>
    </xf>
    <xf numFmtId="0" fontId="103" fillId="3" borderId="7" xfId="2329" applyNumberFormat="1" applyFont="1" applyFill="1" applyBorder="1" applyAlignment="1">
      <alignment horizontal="left" vertical="center"/>
    </xf>
    <xf numFmtId="0" fontId="103" fillId="3" borderId="34" xfId="2329" applyNumberFormat="1" applyFont="1" applyFill="1" applyBorder="1" applyAlignment="1">
      <alignment horizontal="left" vertical="center"/>
    </xf>
    <xf numFmtId="0" fontId="103" fillId="3" borderId="8" xfId="2329" applyNumberFormat="1" applyFont="1" applyFill="1" applyBorder="1" applyAlignment="1">
      <alignment horizontal="center" vertical="center"/>
    </xf>
    <xf numFmtId="0" fontId="103" fillId="3" borderId="7" xfId="2329" applyNumberFormat="1" applyFont="1" applyFill="1" applyBorder="1" applyAlignment="1">
      <alignment horizontal="center" vertical="center"/>
    </xf>
    <xf numFmtId="2" fontId="104" fillId="0" borderId="9" xfId="2329" applyNumberFormat="1" applyFont="1" applyBorder="1" applyAlignment="1">
      <alignment horizontal="center" vertical="center" wrapText="1"/>
    </xf>
    <xf numFmtId="2" fontId="86" fillId="0" borderId="4" xfId="6362" applyNumberFormat="1" applyFont="1" applyBorder="1" applyAlignment="1">
      <alignment horizontal="center" vertical="center"/>
    </xf>
    <xf numFmtId="2" fontId="86" fillId="0" borderId="9" xfId="6362" applyNumberFormat="1" applyFont="1" applyBorder="1" applyAlignment="1">
      <alignment horizontal="center" vertical="center"/>
    </xf>
    <xf numFmtId="178" fontId="104" fillId="40" borderId="3" xfId="2329" applyFont="1" applyFill="1" applyBorder="1" applyAlignment="1">
      <alignment horizontal="center" vertical="center"/>
    </xf>
    <xf numFmtId="0" fontId="108" fillId="0" borderId="61" xfId="2329" applyNumberFormat="1" applyFont="1" applyBorder="1" applyAlignment="1">
      <alignment horizontal="center" vertical="center"/>
    </xf>
    <xf numFmtId="217" fontId="104" fillId="0" borderId="4" xfId="2329" applyNumberFormat="1" applyFont="1" applyBorder="1" applyAlignment="1">
      <alignment horizontal="center" vertical="center"/>
    </xf>
    <xf numFmtId="0" fontId="104" fillId="0" borderId="55" xfId="2329" applyNumberFormat="1" applyFont="1" applyBorder="1" applyAlignment="1">
      <alignment horizontal="center" vertical="center"/>
    </xf>
    <xf numFmtId="0" fontId="104" fillId="0" borderId="9" xfId="2329" applyNumberFormat="1" applyFont="1" applyBorder="1" applyAlignment="1">
      <alignment horizontal="left" vertical="center"/>
    </xf>
    <xf numFmtId="0" fontId="104" fillId="0" borderId="57" xfId="2329" applyNumberFormat="1" applyFont="1" applyBorder="1" applyAlignment="1">
      <alignment horizontal="center" vertical="center"/>
    </xf>
    <xf numFmtId="176" fontId="167" fillId="0" borderId="55" xfId="2331" applyNumberFormat="1" applyFont="1" applyBorder="1" applyAlignment="1">
      <alignment horizontal="center" vertical="center"/>
    </xf>
    <xf numFmtId="0" fontId="104" fillId="0" borderId="9" xfId="2329" applyNumberFormat="1" applyFont="1" applyBorder="1" applyAlignment="1">
      <alignment horizontal="center" vertical="center"/>
    </xf>
    <xf numFmtId="4" fontId="104" fillId="0" borderId="9" xfId="2329" applyNumberFormat="1" applyFont="1" applyBorder="1" applyAlignment="1">
      <alignment horizontal="center" vertical="center"/>
    </xf>
    <xf numFmtId="176" fontId="167" fillId="0" borderId="3" xfId="2331" applyNumberFormat="1" applyFont="1" applyBorder="1" applyAlignment="1">
      <alignment horizontal="center" vertical="center"/>
    </xf>
    <xf numFmtId="0" fontId="104" fillId="0" borderId="13" xfId="2329" applyNumberFormat="1" applyFont="1" applyBorder="1" applyAlignment="1">
      <alignment horizontal="center" vertical="center"/>
    </xf>
    <xf numFmtId="176" fontId="167" fillId="0" borderId="12" xfId="2331" applyNumberFormat="1" applyFont="1" applyBorder="1" applyAlignment="1">
      <alignment horizontal="center" vertical="center"/>
    </xf>
    <xf numFmtId="0" fontId="104" fillId="0" borderId="12" xfId="2329" applyNumberFormat="1" applyFont="1" applyBorder="1" applyAlignment="1">
      <alignment horizontal="center" vertical="center"/>
    </xf>
    <xf numFmtId="176" fontId="167" fillId="0" borderId="12" xfId="2331" applyNumberFormat="1" applyFont="1" applyBorder="1" applyAlignment="1">
      <alignment horizontal="center" vertical="center" wrapText="1"/>
    </xf>
    <xf numFmtId="0" fontId="104" fillId="0" borderId="12" xfId="2087" applyNumberFormat="1" applyFont="1" applyBorder="1" applyAlignment="1">
      <alignment horizontal="center" vertical="center"/>
    </xf>
    <xf numFmtId="0" fontId="103" fillId="0" borderId="4" xfId="2329" quotePrefix="1" applyNumberFormat="1" applyFont="1" applyBorder="1" applyAlignment="1">
      <alignment horizontal="left" vertical="center" wrapText="1"/>
    </xf>
    <xf numFmtId="0" fontId="86" fillId="0" borderId="0" xfId="2340" applyNumberFormat="1" applyFont="1" applyAlignment="1">
      <alignment horizontal="center" vertical="center"/>
    </xf>
    <xf numFmtId="240" fontId="169" fillId="0" borderId="5" xfId="579" applyNumberFormat="1" applyFont="1" applyBorder="1" applyAlignment="1">
      <alignment horizontal="center" vertical="center"/>
    </xf>
    <xf numFmtId="1" fontId="168" fillId="0" borderId="5" xfId="579" applyNumberFormat="1" applyFont="1" applyBorder="1" applyAlignment="1">
      <alignment horizontal="center" vertical="center"/>
    </xf>
    <xf numFmtId="240" fontId="169" fillId="0" borderId="0" xfId="579" applyNumberFormat="1" applyFont="1" applyAlignment="1">
      <alignment horizontal="center" vertical="center"/>
    </xf>
    <xf numFmtId="2" fontId="105" fillId="40" borderId="5" xfId="1034" applyNumberFormat="1" applyFont="1" applyFill="1" applyBorder="1" applyAlignment="1">
      <alignment horizontal="center" vertical="center"/>
    </xf>
    <xf numFmtId="4" fontId="104" fillId="40" borderId="2" xfId="2329" applyNumberFormat="1" applyFont="1" applyFill="1" applyBorder="1" applyAlignment="1">
      <alignment horizontal="center" vertical="center"/>
    </xf>
    <xf numFmtId="178" fontId="104" fillId="0" borderId="3" xfId="2329" applyFont="1" applyBorder="1" applyAlignment="1">
      <alignment horizontal="center" vertical="center"/>
    </xf>
    <xf numFmtId="0" fontId="104" fillId="0" borderId="0" xfId="2329" applyNumberFormat="1" applyFont="1" applyAlignment="1">
      <alignment horizontal="center" vertical="center"/>
    </xf>
    <xf numFmtId="0" fontId="104" fillId="0" borderId="13" xfId="2329" applyNumberFormat="1" applyFont="1" applyBorder="1" applyAlignment="1">
      <alignment horizontal="center" vertical="center" wrapText="1"/>
    </xf>
    <xf numFmtId="3" fontId="108" fillId="0" borderId="12" xfId="2329" applyNumberFormat="1" applyFont="1" applyBorder="1" applyAlignment="1">
      <alignment horizontal="center" vertical="center"/>
    </xf>
    <xf numFmtId="0" fontId="86" fillId="0" borderId="57" xfId="2329" applyNumberFormat="1" applyFont="1" applyBorder="1" applyAlignment="1">
      <alignment horizontal="center" vertical="center"/>
    </xf>
    <xf numFmtId="176" fontId="139" fillId="0" borderId="60" xfId="2331" applyNumberFormat="1" applyFont="1" applyBorder="1" applyAlignment="1">
      <alignment horizontal="center" vertical="center"/>
    </xf>
    <xf numFmtId="3" fontId="86" fillId="0" borderId="9" xfId="2329" applyNumberFormat="1" applyFont="1" applyBorder="1" applyAlignment="1">
      <alignment horizontal="center" vertical="center"/>
    </xf>
    <xf numFmtId="4" fontId="86" fillId="0" borderId="9" xfId="2329" applyNumberFormat="1" applyFont="1" applyBorder="1" applyAlignment="1">
      <alignment horizontal="center" vertical="center"/>
    </xf>
    <xf numFmtId="4" fontId="86" fillId="0" borderId="55" xfId="2329" applyNumberFormat="1" applyFont="1" applyBorder="1" applyAlignment="1">
      <alignment horizontal="center" vertical="center"/>
    </xf>
    <xf numFmtId="0" fontId="86" fillId="0" borderId="42" xfId="2329" applyNumberFormat="1" applyFont="1" applyBorder="1" applyAlignment="1">
      <alignment horizontal="center" vertical="center" wrapText="1"/>
    </xf>
    <xf numFmtId="176" fontId="12" fillId="0" borderId="0" xfId="1051" applyNumberFormat="1" applyFont="1" applyAlignment="1">
      <alignment horizontal="left" vertical="center"/>
    </xf>
    <xf numFmtId="0" fontId="0" fillId="0" borderId="0" xfId="0" applyAlignment="1">
      <alignment horizontal="center" vertical="center" wrapText="1"/>
    </xf>
    <xf numFmtId="178" fontId="86" fillId="0" borderId="4" xfId="2329" applyFont="1" applyBorder="1" applyAlignment="1">
      <alignment horizontal="center" vertical="center"/>
    </xf>
    <xf numFmtId="9" fontId="0" fillId="0" borderId="0" xfId="6362" applyFont="1"/>
    <xf numFmtId="4" fontId="105" fillId="40" borderId="3" xfId="1034" applyNumberFormat="1" applyFont="1" applyFill="1" applyBorder="1" applyAlignment="1">
      <alignment horizontal="center" vertical="center"/>
    </xf>
    <xf numFmtId="0" fontId="2" fillId="0" borderId="0" xfId="12" applyFont="1" applyAlignment="1">
      <alignment horizontal="center" vertical="center"/>
    </xf>
    <xf numFmtId="0" fontId="2" fillId="0" borderId="0" xfId="12" applyFont="1" applyAlignment="1">
      <alignment vertical="center"/>
    </xf>
    <xf numFmtId="2" fontId="2" fillId="0" borderId="0" xfId="12" applyNumberFormat="1" applyFont="1" applyAlignment="1">
      <alignment vertical="center"/>
    </xf>
    <xf numFmtId="0" fontId="2" fillId="0" borderId="0" xfId="12" applyFont="1" applyAlignment="1">
      <alignment horizontal="center"/>
    </xf>
    <xf numFmtId="0" fontId="2" fillId="0" borderId="0" xfId="12" applyFont="1"/>
    <xf numFmtId="0" fontId="0" fillId="88" borderId="0" xfId="0" applyFill="1"/>
    <xf numFmtId="1" fontId="168" fillId="0" borderId="56" xfId="579" applyNumberFormat="1" applyFont="1" applyBorder="1" applyAlignment="1">
      <alignment horizontal="center" vertical="center"/>
    </xf>
    <xf numFmtId="1" fontId="168" fillId="0" borderId="10" xfId="579" applyNumberFormat="1" applyFont="1" applyBorder="1" applyAlignment="1">
      <alignment horizontal="center" vertical="center"/>
    </xf>
    <xf numFmtId="239" fontId="168" fillId="0" borderId="5" xfId="579" applyNumberFormat="1" applyFont="1" applyBorder="1" applyAlignment="1">
      <alignment horizontal="center" vertical="center"/>
    </xf>
    <xf numFmtId="240" fontId="171" fillId="0" borderId="10" xfId="579" applyNumberFormat="1" applyFont="1" applyBorder="1" applyAlignment="1">
      <alignment horizontal="center" vertical="center"/>
    </xf>
    <xf numFmtId="240" fontId="171" fillId="0" borderId="5" xfId="579" applyNumberFormat="1" applyFont="1" applyBorder="1" applyAlignment="1">
      <alignment horizontal="center" vertical="center"/>
    </xf>
    <xf numFmtId="1" fontId="172" fillId="0" borderId="5" xfId="579" applyNumberFormat="1" applyFont="1" applyBorder="1" applyAlignment="1">
      <alignment horizontal="center" vertical="center"/>
    </xf>
    <xf numFmtId="0" fontId="104" fillId="0" borderId="4" xfId="2087" applyNumberFormat="1" applyFont="1" applyBorder="1" applyAlignment="1">
      <alignment horizontal="left" vertical="center"/>
    </xf>
    <xf numFmtId="0" fontId="104" fillId="0" borderId="4" xfId="2329" quotePrefix="1" applyNumberFormat="1" applyFont="1" applyBorder="1" applyAlignment="1">
      <alignment horizontal="left" vertical="center"/>
    </xf>
    <xf numFmtId="0" fontId="104" fillId="0" borderId="4" xfId="2329" quotePrefix="1" applyNumberFormat="1" applyFont="1" applyBorder="1" applyAlignment="1">
      <alignment horizontal="left" vertical="center" wrapText="1"/>
    </xf>
    <xf numFmtId="0" fontId="108" fillId="0" borderId="9" xfId="2329" applyNumberFormat="1" applyFont="1" applyBorder="1" applyAlignment="1">
      <alignment horizontal="center" vertical="center"/>
    </xf>
    <xf numFmtId="176" fontId="9" fillId="0" borderId="0" xfId="1051" applyNumberFormat="1" applyFont="1" applyAlignment="1">
      <alignment horizontal="center" vertical="center" wrapText="1"/>
    </xf>
    <xf numFmtId="0" fontId="107" fillId="3" borderId="12" xfId="2087" applyNumberFormat="1" applyFont="1" applyFill="1" applyBorder="1" applyAlignment="1">
      <alignment horizontal="center" vertical="center" wrapText="1"/>
    </xf>
    <xf numFmtId="0" fontId="108" fillId="0" borderId="4" xfId="2329" applyNumberFormat="1" applyFont="1" applyBorder="1" applyAlignment="1">
      <alignment horizontal="center" vertical="center" wrapText="1"/>
    </xf>
    <xf numFmtId="0" fontId="107" fillId="3" borderId="4" xfId="2087" applyNumberFormat="1" applyFont="1" applyFill="1" applyBorder="1" applyAlignment="1">
      <alignment horizontal="center" vertical="center" wrapText="1"/>
    </xf>
    <xf numFmtId="176" fontId="110" fillId="0" borderId="3" xfId="2331" applyNumberFormat="1" applyFont="1" applyBorder="1" applyAlignment="1">
      <alignment horizontal="center" vertical="center" wrapText="1"/>
    </xf>
    <xf numFmtId="176" fontId="110" fillId="0" borderId="12" xfId="2331" applyNumberFormat="1" applyFont="1" applyBorder="1" applyAlignment="1">
      <alignment horizontal="center" vertical="center" wrapText="1"/>
    </xf>
    <xf numFmtId="0" fontId="107" fillId="3" borderId="7" xfId="2329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9" fillId="4" borderId="0" xfId="1005" applyNumberFormat="1" applyFont="1" applyFill="1" applyAlignment="1">
      <alignment horizontal="center" vertical="center" wrapText="1"/>
    </xf>
    <xf numFmtId="176" fontId="86" fillId="0" borderId="0" xfId="2340" applyNumberFormat="1" applyFont="1" applyAlignment="1">
      <alignment horizontal="center" vertical="center" wrapText="1"/>
    </xf>
    <xf numFmtId="176" fontId="9" fillId="0" borderId="0" xfId="2340" applyNumberFormat="1" applyFont="1" applyAlignment="1">
      <alignment horizontal="center" vertical="center" wrapText="1"/>
    </xf>
    <xf numFmtId="0" fontId="9" fillId="0" borderId="0" xfId="1051" applyNumberFormat="1" applyFont="1" applyAlignment="1">
      <alignment horizontal="center" vertical="center" wrapText="1"/>
    </xf>
    <xf numFmtId="176" fontId="88" fillId="0" borderId="0" xfId="1051" applyNumberFormat="1" applyFont="1" applyAlignment="1">
      <alignment horizontal="left" vertical="center" wrapText="1"/>
    </xf>
    <xf numFmtId="0" fontId="107" fillId="3" borderId="12" xfId="2087" applyNumberFormat="1" applyFont="1" applyFill="1" applyBorder="1" applyAlignment="1">
      <alignment horizontal="left" vertical="center" wrapText="1"/>
    </xf>
    <xf numFmtId="0" fontId="107" fillId="3" borderId="4" xfId="2087" applyNumberFormat="1" applyFont="1" applyFill="1" applyBorder="1" applyAlignment="1">
      <alignment horizontal="left" vertical="center" wrapText="1"/>
    </xf>
    <xf numFmtId="0" fontId="107" fillId="3" borderId="7" xfId="2329" applyNumberFormat="1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8" fillId="4" borderId="0" xfId="1005" applyNumberFormat="1" applyFont="1" applyFill="1" applyAlignment="1">
      <alignment vertical="center" wrapText="1"/>
    </xf>
    <xf numFmtId="176" fontId="86" fillId="0" borderId="0" xfId="2340" applyNumberFormat="1" applyFont="1" applyAlignment="1">
      <alignment vertical="center" wrapText="1"/>
    </xf>
    <xf numFmtId="0" fontId="0" fillId="0" borderId="0" xfId="2340" applyNumberFormat="1" applyFont="1" applyAlignment="1">
      <alignment vertical="center" wrapText="1"/>
    </xf>
    <xf numFmtId="176" fontId="9" fillId="0" borderId="0" xfId="2340" applyNumberFormat="1" applyFont="1" applyAlignment="1">
      <alignment vertical="center" wrapText="1"/>
    </xf>
    <xf numFmtId="176" fontId="9" fillId="0" borderId="0" xfId="1051" applyNumberFormat="1" applyFont="1" applyAlignment="1">
      <alignment vertical="center" wrapText="1"/>
    </xf>
    <xf numFmtId="0" fontId="103" fillId="3" borderId="13" xfId="2087" applyNumberFormat="1" applyFont="1" applyFill="1" applyBorder="1" applyAlignment="1">
      <alignment horizontal="left" vertical="center" wrapText="1"/>
    </xf>
    <xf numFmtId="0" fontId="103" fillId="3" borderId="42" xfId="2087" applyNumberFormat="1" applyFont="1" applyFill="1" applyBorder="1" applyAlignment="1">
      <alignment horizontal="left" vertical="center" wrapText="1"/>
    </xf>
    <xf numFmtId="37" fontId="12" fillId="4" borderId="0" xfId="1" applyNumberFormat="1" applyFont="1" applyFill="1" applyAlignment="1">
      <alignment horizontal="center" vertical="center" wrapText="1"/>
    </xf>
    <xf numFmtId="0" fontId="5" fillId="0" borderId="0" xfId="0" applyFont="1" applyAlignment="1">
      <alignment vertical="center"/>
    </xf>
    <xf numFmtId="176" fontId="173" fillId="0" borderId="0" xfId="1051" applyNumberFormat="1" applyFont="1" applyAlignment="1">
      <alignment horizontal="center" vertical="center"/>
    </xf>
    <xf numFmtId="0" fontId="174" fillId="3" borderId="10" xfId="2087" applyNumberFormat="1" applyFont="1" applyFill="1" applyBorder="1" applyAlignment="1">
      <alignment horizontal="left" vertical="center"/>
    </xf>
    <xf numFmtId="1" fontId="168" fillId="0" borderId="5" xfId="579" applyNumberFormat="1" applyFont="1" applyBorder="1" applyAlignment="1">
      <alignment horizontal="center" vertical="center" wrapText="1"/>
    </xf>
    <xf numFmtId="0" fontId="174" fillId="3" borderId="5" xfId="2087" applyNumberFormat="1" applyFont="1" applyFill="1" applyBorder="1" applyAlignment="1">
      <alignment horizontal="left" vertical="center"/>
    </xf>
    <xf numFmtId="0" fontId="168" fillId="0" borderId="0" xfId="0" applyFont="1"/>
    <xf numFmtId="0" fontId="174" fillId="4" borderId="0" xfId="10" applyNumberFormat="1" applyFont="1" applyFill="1" applyAlignment="1">
      <alignment vertical="center"/>
    </xf>
    <xf numFmtId="176" fontId="173" fillId="0" borderId="0" xfId="792" applyNumberFormat="1" applyFont="1" applyAlignment="1">
      <alignment vertical="center"/>
    </xf>
    <xf numFmtId="0" fontId="176" fillId="3" borderId="10" xfId="2087" applyNumberFormat="1" applyFont="1" applyFill="1" applyBorder="1" applyAlignment="1">
      <alignment horizontal="left" vertical="center"/>
    </xf>
    <xf numFmtId="1" fontId="171" fillId="0" borderId="5" xfId="579" applyNumberFormat="1" applyFont="1" applyBorder="1" applyAlignment="1">
      <alignment horizontal="center" vertical="center"/>
    </xf>
    <xf numFmtId="0" fontId="177" fillId="0" borderId="5" xfId="2329" applyNumberFormat="1" applyFont="1" applyBorder="1" applyAlignment="1">
      <alignment horizontal="left" vertical="center"/>
    </xf>
    <xf numFmtId="0" fontId="176" fillId="3" borderId="5" xfId="2087" applyNumberFormat="1" applyFont="1" applyFill="1" applyBorder="1" applyAlignment="1">
      <alignment horizontal="left" vertical="center"/>
    </xf>
    <xf numFmtId="1" fontId="171" fillId="0" borderId="10" xfId="579" applyNumberFormat="1" applyFont="1" applyBorder="1" applyAlignment="1">
      <alignment horizontal="center" vertical="center"/>
    </xf>
    <xf numFmtId="0" fontId="176" fillId="3" borderId="34" xfId="2329" applyNumberFormat="1" applyFont="1" applyFill="1" applyBorder="1" applyAlignment="1">
      <alignment horizontal="left" vertical="center"/>
    </xf>
    <xf numFmtId="0" fontId="174" fillId="4" borderId="0" xfId="1005" applyNumberFormat="1" applyFont="1" applyFill="1" applyAlignment="1">
      <alignment vertical="center"/>
    </xf>
    <xf numFmtId="176" fontId="173" fillId="0" borderId="0" xfId="2340" applyNumberFormat="1" applyFont="1" applyAlignment="1">
      <alignment vertical="center"/>
    </xf>
    <xf numFmtId="176" fontId="173" fillId="0" borderId="0" xfId="1051" applyNumberFormat="1" applyFont="1" applyAlignment="1">
      <alignment vertical="center"/>
    </xf>
    <xf numFmtId="176" fontId="173" fillId="0" borderId="0" xfId="1056" applyNumberFormat="1" applyFont="1" applyAlignment="1">
      <alignment horizontal="center" vertical="center"/>
    </xf>
    <xf numFmtId="176" fontId="173" fillId="0" borderId="0" xfId="1056" applyNumberFormat="1" applyFont="1" applyAlignment="1">
      <alignment vertical="center"/>
    </xf>
    <xf numFmtId="0" fontId="176" fillId="3" borderId="5" xfId="2329" applyNumberFormat="1" applyFont="1" applyFill="1" applyBorder="1" applyAlignment="1">
      <alignment horizontal="left" vertical="center"/>
    </xf>
    <xf numFmtId="176" fontId="173" fillId="0" borderId="0" xfId="3" applyFont="1" applyAlignment="1">
      <alignment vertical="center"/>
    </xf>
    <xf numFmtId="176" fontId="173" fillId="0" borderId="0" xfId="3" applyFont="1" applyAlignment="1">
      <alignment horizontal="center" vertical="center"/>
    </xf>
    <xf numFmtId="0" fontId="175" fillId="2" borderId="71" xfId="3" applyNumberFormat="1" applyFont="1" applyFill="1" applyBorder="1" applyAlignment="1">
      <alignment horizontal="center" vertical="center" wrapText="1"/>
    </xf>
    <xf numFmtId="0" fontId="175" fillId="2" borderId="70" xfId="3" applyNumberFormat="1" applyFont="1" applyFill="1" applyBorder="1" applyAlignment="1">
      <alignment horizontal="center" vertical="center" wrapText="1"/>
    </xf>
    <xf numFmtId="0" fontId="175" fillId="2" borderId="73" xfId="3" applyNumberFormat="1" applyFont="1" applyFill="1" applyBorder="1" applyAlignment="1">
      <alignment horizontal="center" vertical="center" wrapText="1"/>
    </xf>
    <xf numFmtId="0" fontId="174" fillId="3" borderId="5" xfId="2329" applyNumberFormat="1" applyFont="1" applyFill="1" applyBorder="1" applyAlignment="1">
      <alignment horizontal="left" vertical="center" wrapText="1"/>
    </xf>
    <xf numFmtId="0" fontId="174" fillId="3" borderId="34" xfId="2329" applyNumberFormat="1" applyFont="1" applyFill="1" applyBorder="1" applyAlignment="1">
      <alignment horizontal="left" vertical="center" wrapText="1"/>
    </xf>
    <xf numFmtId="178" fontId="104" fillId="0" borderId="4" xfId="2329" applyFont="1" applyBorder="1" applyAlignment="1">
      <alignment horizontal="center" vertical="center"/>
    </xf>
    <xf numFmtId="3" fontId="108" fillId="0" borderId="2" xfId="2329" applyNumberFormat="1" applyFont="1" applyBorder="1" applyAlignment="1">
      <alignment horizontal="center" vertical="center"/>
    </xf>
    <xf numFmtId="176" fontId="9" fillId="0" borderId="89" xfId="1051" applyNumberFormat="1" applyFont="1" applyBorder="1" applyAlignment="1">
      <alignment vertical="center"/>
    </xf>
    <xf numFmtId="2" fontId="9" fillId="0" borderId="0" xfId="3" applyNumberFormat="1" applyFont="1" applyAlignment="1">
      <alignment vertical="center"/>
    </xf>
    <xf numFmtId="0" fontId="108" fillId="40" borderId="4" xfId="2087" applyNumberFormat="1" applyFont="1" applyFill="1" applyBorder="1" applyAlignment="1">
      <alignment horizontal="center" vertical="center" wrapText="1"/>
    </xf>
    <xf numFmtId="0" fontId="7" fillId="43" borderId="79" xfId="1056" applyNumberFormat="1" applyFont="1" applyFill="1" applyBorder="1" applyAlignment="1">
      <alignment horizontal="center" vertical="center" wrapText="1"/>
    </xf>
    <xf numFmtId="0" fontId="89" fillId="43" borderId="85" xfId="1034" applyNumberFormat="1" applyFont="1" applyFill="1" applyBorder="1" applyAlignment="1">
      <alignment horizontal="center" vertical="center" wrapText="1"/>
    </xf>
    <xf numFmtId="0" fontId="15" fillId="13" borderId="61" xfId="0" applyFont="1" applyFill="1" applyBorder="1" applyAlignment="1">
      <alignment horizontal="center" vertical="center"/>
    </xf>
    <xf numFmtId="0" fontId="175" fillId="43" borderId="73" xfId="1056" applyNumberFormat="1" applyFont="1" applyFill="1" applyBorder="1" applyAlignment="1">
      <alignment horizontal="center" vertical="center" wrapText="1"/>
    </xf>
    <xf numFmtId="0" fontId="7" fillId="2" borderId="79" xfId="3" applyNumberFormat="1" applyFont="1" applyFill="1" applyBorder="1" applyAlignment="1">
      <alignment horizontal="center" vertical="center" wrapText="1"/>
    </xf>
    <xf numFmtId="0" fontId="14" fillId="2" borderId="79" xfId="1051" applyNumberFormat="1" applyFont="1" applyFill="1" applyBorder="1" applyAlignment="1">
      <alignment horizontal="center" vertical="center" wrapText="1"/>
    </xf>
    <xf numFmtId="0" fontId="14" fillId="2" borderId="73" xfId="1051" applyNumberFormat="1" applyFont="1" applyFill="1" applyBorder="1" applyAlignment="1">
      <alignment horizontal="center" vertical="center" wrapText="1"/>
    </xf>
    <xf numFmtId="0" fontId="175" fillId="2" borderId="73" xfId="1051" applyNumberFormat="1" applyFont="1" applyFill="1" applyBorder="1" applyAlignment="1">
      <alignment horizontal="center" vertical="center" wrapText="1"/>
    </xf>
    <xf numFmtId="10" fontId="0" fillId="0" borderId="0" xfId="6362" applyNumberFormat="1" applyFont="1" applyAlignment="1">
      <alignment horizontal="left" vertical="center"/>
    </xf>
    <xf numFmtId="0" fontId="0" fillId="0" borderId="66" xfId="0" applyBorder="1"/>
    <xf numFmtId="0" fontId="15" fillId="0" borderId="66" xfId="0" applyFont="1" applyBorder="1"/>
    <xf numFmtId="0" fontId="85" fillId="0" borderId="66" xfId="12" applyFont="1" applyBorder="1" applyAlignment="1">
      <alignment horizontal="left" vertical="center" indent="1"/>
    </xf>
    <xf numFmtId="0" fontId="19" fillId="44" borderId="66" xfId="12" applyFont="1" applyFill="1" applyBorder="1" applyAlignment="1">
      <alignment horizontal="left" vertical="center" indent="1"/>
    </xf>
    <xf numFmtId="0" fontId="112" fillId="44" borderId="66" xfId="0" applyFont="1" applyFill="1" applyBorder="1" applyAlignment="1">
      <alignment horizontal="center" vertical="center" wrapText="1"/>
    </xf>
    <xf numFmtId="0" fontId="113" fillId="3" borderId="66" xfId="0" applyFont="1" applyFill="1" applyBorder="1" applyAlignment="1">
      <alignment horizontal="center" vertical="center"/>
    </xf>
    <xf numFmtId="0" fontId="111" fillId="3" borderId="66" xfId="0" applyFont="1" applyFill="1" applyBorder="1" applyAlignment="1">
      <alignment horizontal="center"/>
    </xf>
    <xf numFmtId="0" fontId="113" fillId="0" borderId="66" xfId="0" applyFont="1" applyBorder="1" applyAlignment="1">
      <alignment horizontal="center" vertical="center"/>
    </xf>
    <xf numFmtId="0" fontId="113" fillId="0" borderId="66" xfId="0" applyFont="1" applyBorder="1" applyAlignment="1">
      <alignment vertical="center"/>
    </xf>
    <xf numFmtId="2" fontId="137" fillId="0" borderId="66" xfId="0" applyNumberFormat="1" applyFont="1" applyBorder="1" applyAlignment="1">
      <alignment horizontal="center"/>
    </xf>
    <xf numFmtId="0" fontId="137" fillId="0" borderId="66" xfId="0" applyFont="1" applyBorder="1" applyAlignment="1">
      <alignment horizontal="center"/>
    </xf>
    <xf numFmtId="0" fontId="137" fillId="3" borderId="66" xfId="0" applyFont="1" applyFill="1" applyBorder="1" applyAlignment="1">
      <alignment horizontal="center"/>
    </xf>
    <xf numFmtId="0" fontId="113" fillId="0" borderId="66" xfId="0" applyFont="1" applyBorder="1" applyAlignment="1">
      <alignment vertical="center" wrapText="1"/>
    </xf>
    <xf numFmtId="0" fontId="137" fillId="0" borderId="66" xfId="0" applyFont="1" applyBorder="1" applyAlignment="1">
      <alignment horizontal="center" vertical="center"/>
    </xf>
    <xf numFmtId="2" fontId="137" fillId="3" borderId="66" xfId="0" applyNumberFormat="1" applyFont="1" applyFill="1" applyBorder="1" applyAlignment="1">
      <alignment horizontal="center"/>
    </xf>
    <xf numFmtId="0" fontId="14" fillId="43" borderId="66" xfId="1034" applyNumberFormat="1" applyFont="1" applyFill="1" applyBorder="1" applyAlignment="1">
      <alignment horizontal="center" vertical="center" wrapText="1"/>
    </xf>
    <xf numFmtId="2" fontId="15" fillId="0" borderId="66" xfId="0" applyNumberFormat="1" applyFont="1" applyBorder="1"/>
    <xf numFmtId="0" fontId="89" fillId="43" borderId="66" xfId="1034" applyNumberFormat="1" applyFont="1" applyFill="1" applyBorder="1" applyAlignment="1">
      <alignment horizontal="center" vertical="center" wrapText="1"/>
    </xf>
    <xf numFmtId="0" fontId="7" fillId="43" borderId="66" xfId="1056" applyNumberFormat="1" applyFont="1" applyFill="1" applyBorder="1" applyAlignment="1">
      <alignment horizontal="center" vertical="center" wrapText="1"/>
    </xf>
    <xf numFmtId="0" fontId="8" fillId="13" borderId="66" xfId="0" applyFont="1" applyFill="1" applyBorder="1" applyAlignment="1">
      <alignment horizontal="center" vertical="center"/>
    </xf>
    <xf numFmtId="0" fontId="15" fillId="13" borderId="66" xfId="0" applyFont="1" applyFill="1" applyBorder="1" applyAlignment="1">
      <alignment horizontal="center" vertical="center"/>
    </xf>
    <xf numFmtId="176" fontId="12" fillId="13" borderId="66" xfId="1005" applyFont="1" applyFill="1" applyBorder="1" applyAlignment="1">
      <alignment horizontal="center" vertical="center"/>
    </xf>
    <xf numFmtId="0" fontId="7" fillId="2" borderId="66" xfId="3" applyNumberFormat="1" applyFont="1" applyFill="1" applyBorder="1" applyAlignment="1">
      <alignment horizontal="center" vertical="center" wrapText="1"/>
    </xf>
    <xf numFmtId="0" fontId="7" fillId="2" borderId="66" xfId="3" applyNumberFormat="1" applyFont="1" applyFill="1" applyBorder="1" applyAlignment="1">
      <alignment horizontal="center" vertical="center"/>
    </xf>
    <xf numFmtId="0" fontId="15" fillId="13" borderId="66" xfId="12" applyFont="1" applyFill="1" applyBorder="1" applyAlignment="1">
      <alignment horizontal="center" vertical="center"/>
    </xf>
    <xf numFmtId="0" fontId="7" fillId="2" borderId="66" xfId="2" applyNumberFormat="1" applyFont="1" applyFill="1" applyBorder="1" applyAlignment="1">
      <alignment horizontal="center" vertical="center" wrapText="1"/>
    </xf>
    <xf numFmtId="0" fontId="7" fillId="2" borderId="66" xfId="1051" applyNumberFormat="1" applyFont="1" applyFill="1" applyBorder="1" applyAlignment="1">
      <alignment horizontal="center" vertical="center" wrapText="1"/>
    </xf>
    <xf numFmtId="0" fontId="7" fillId="2" borderId="66" xfId="1005" applyNumberFormat="1" applyFont="1" applyFill="1" applyBorder="1" applyAlignment="1">
      <alignment horizontal="center" vertical="center" wrapText="1"/>
    </xf>
    <xf numFmtId="0" fontId="0" fillId="0" borderId="91" xfId="0" applyBorder="1"/>
    <xf numFmtId="0" fontId="0" fillId="0" borderId="27" xfId="0" applyBorder="1"/>
    <xf numFmtId="0" fontId="0" fillId="0" borderId="92" xfId="0" applyBorder="1"/>
    <xf numFmtId="0" fontId="0" fillId="0" borderId="93" xfId="0" applyBorder="1"/>
    <xf numFmtId="0" fontId="0" fillId="0" borderId="94" xfId="0" applyBorder="1"/>
    <xf numFmtId="0" fontId="0" fillId="0" borderId="95" xfId="0" applyBorder="1"/>
    <xf numFmtId="0" fontId="0" fillId="0" borderId="96" xfId="0" applyBorder="1"/>
    <xf numFmtId="0" fontId="0" fillId="0" borderId="97" xfId="0" applyBorder="1"/>
    <xf numFmtId="242" fontId="0" fillId="0" borderId="0" xfId="0" applyNumberFormat="1"/>
    <xf numFmtId="243" fontId="0" fillId="0" borderId="0" xfId="0" applyNumberFormat="1"/>
    <xf numFmtId="170" fontId="0" fillId="0" borderId="0" xfId="7181" applyFont="1"/>
    <xf numFmtId="0" fontId="179" fillId="0" borderId="0" xfId="0" applyFont="1"/>
    <xf numFmtId="244" fontId="0" fillId="0" borderId="0" xfId="7181" applyNumberFormat="1" applyFont="1"/>
    <xf numFmtId="179" fontId="0" fillId="0" borderId="0" xfId="7181" applyNumberFormat="1" applyFont="1"/>
    <xf numFmtId="179" fontId="0" fillId="0" borderId="0" xfId="7181" applyNumberFormat="1" applyFont="1" applyAlignment="1">
      <alignment horizontal="center"/>
    </xf>
    <xf numFmtId="170" fontId="0" fillId="0" borderId="66" xfId="7181" applyFont="1" applyBorder="1"/>
    <xf numFmtId="242" fontId="0" fillId="0" borderId="66" xfId="0" applyNumberFormat="1" applyBorder="1"/>
    <xf numFmtId="170" fontId="0" fillId="0" borderId="0" xfId="0" applyNumberFormat="1"/>
    <xf numFmtId="43" fontId="0" fillId="0" borderId="0" xfId="0" applyNumberFormat="1"/>
    <xf numFmtId="0" fontId="185" fillId="0" borderId="0" xfId="0" applyFont="1" applyAlignment="1">
      <alignment vertical="center"/>
    </xf>
    <xf numFmtId="0" fontId="19" fillId="44" borderId="66" xfId="12" applyFont="1" applyFill="1" applyBorder="1" applyAlignment="1">
      <alignment horizontal="center" vertical="center"/>
    </xf>
    <xf numFmtId="0" fontId="85" fillId="0" borderId="66" xfId="12" applyFont="1" applyBorder="1" applyAlignment="1">
      <alignment horizontal="center" vertical="center"/>
    </xf>
    <xf numFmtId="0" fontId="14" fillId="43" borderId="85" xfId="1034" applyNumberFormat="1" applyFont="1" applyFill="1" applyBorder="1" applyAlignment="1">
      <alignment horizontal="center" vertical="center" wrapText="1"/>
    </xf>
    <xf numFmtId="0" fontId="0" fillId="52" borderId="11" xfId="0" applyFill="1" applyBorder="1" applyAlignment="1">
      <alignment horizontal="center"/>
    </xf>
    <xf numFmtId="0" fontId="14" fillId="2" borderId="66" xfId="1051" applyNumberFormat="1" applyFont="1" applyFill="1" applyBorder="1" applyAlignment="1">
      <alignment horizontal="center" vertical="center" wrapText="1"/>
    </xf>
    <xf numFmtId="0" fontId="7" fillId="2" borderId="86" xfId="2" applyNumberFormat="1" applyFont="1" applyFill="1" applyBorder="1" applyAlignment="1">
      <alignment horizontal="center" vertical="center" wrapText="1"/>
    </xf>
    <xf numFmtId="0" fontId="7" fillId="2" borderId="79" xfId="1051" applyNumberFormat="1" applyFont="1" applyFill="1" applyBorder="1" applyAlignment="1">
      <alignment horizontal="center" vertical="center" wrapText="1"/>
    </xf>
    <xf numFmtId="0" fontId="14" fillId="90" borderId="0" xfId="0" applyFont="1" applyFill="1" applyAlignment="1">
      <alignment horizontal="center"/>
    </xf>
    <xf numFmtId="0" fontId="0" fillId="0" borderId="27" xfId="0" applyBorder="1" applyAlignment="1">
      <alignment horizontal="left"/>
    </xf>
    <xf numFmtId="0" fontId="0" fillId="0" borderId="92" xfId="0" applyBorder="1" applyAlignment="1">
      <alignment horizontal="left"/>
    </xf>
    <xf numFmtId="0" fontId="0" fillId="0" borderId="94" xfId="0" applyBorder="1" applyAlignment="1">
      <alignment horizontal="left"/>
    </xf>
    <xf numFmtId="0" fontId="104" fillId="0" borderId="2" xfId="2329" applyNumberFormat="1" applyFont="1" applyBorder="1" applyAlignment="1">
      <alignment horizontal="center" vertical="center"/>
    </xf>
    <xf numFmtId="176" fontId="8" fillId="0" borderId="66" xfId="3" applyFont="1" applyBorder="1" applyAlignment="1">
      <alignment vertical="center"/>
    </xf>
    <xf numFmtId="170" fontId="0" fillId="0" borderId="0" xfId="7181" applyFont="1" applyBorder="1"/>
    <xf numFmtId="242" fontId="0" fillId="0" borderId="94" xfId="0" applyNumberFormat="1" applyBorder="1"/>
    <xf numFmtId="179" fontId="0" fillId="0" borderId="0" xfId="7181" applyNumberFormat="1" applyFont="1" applyBorder="1"/>
    <xf numFmtId="179" fontId="0" fillId="0" borderId="94" xfId="7181" applyNumberFormat="1" applyFont="1" applyBorder="1"/>
    <xf numFmtId="179" fontId="0" fillId="0" borderId="96" xfId="7181" applyNumberFormat="1" applyFont="1" applyBorder="1"/>
    <xf numFmtId="179" fontId="0" fillId="0" borderId="97" xfId="7181" applyNumberFormat="1" applyFont="1" applyBorder="1"/>
    <xf numFmtId="179" fontId="0" fillId="0" borderId="27" xfId="7181" applyNumberFormat="1" applyFont="1" applyBorder="1"/>
    <xf numFmtId="179" fontId="0" fillId="0" borderId="92" xfId="7181" applyNumberFormat="1" applyFont="1" applyBorder="1"/>
    <xf numFmtId="0" fontId="15" fillId="4" borderId="17" xfId="0" applyFont="1" applyFill="1" applyBorder="1" applyAlignment="1">
      <alignment horizontal="center"/>
    </xf>
    <xf numFmtId="0" fontId="15" fillId="4" borderId="17" xfId="0" applyFont="1" applyFill="1" applyBorder="1"/>
    <xf numFmtId="0" fontId="0" fillId="4" borderId="17" xfId="0" applyFill="1" applyBorder="1"/>
    <xf numFmtId="0" fontId="0" fillId="4" borderId="99" xfId="0" applyFill="1" applyBorder="1"/>
    <xf numFmtId="0" fontId="15" fillId="4" borderId="98" xfId="0" applyFont="1" applyFill="1" applyBorder="1" applyAlignment="1">
      <alignment horizontal="center" vertical="center"/>
    </xf>
    <xf numFmtId="243" fontId="15" fillId="0" borderId="100" xfId="0" applyNumberFormat="1" applyFont="1" applyBorder="1" applyAlignment="1">
      <alignment horizontal="center"/>
    </xf>
    <xf numFmtId="0" fontId="15" fillId="0" borderId="101" xfId="0" applyFont="1" applyBorder="1"/>
    <xf numFmtId="179" fontId="0" fillId="0" borderId="102" xfId="7181" applyNumberFormat="1" applyFont="1" applyFill="1" applyBorder="1"/>
    <xf numFmtId="179" fontId="0" fillId="0" borderId="104" xfId="7181" applyNumberFormat="1" applyFont="1" applyFill="1" applyBorder="1"/>
    <xf numFmtId="179" fontId="0" fillId="0" borderId="103" xfId="7181" applyNumberFormat="1" applyFont="1" applyFill="1" applyBorder="1" applyAlignment="1">
      <alignment horizontal="center"/>
    </xf>
    <xf numFmtId="179" fontId="0" fillId="0" borderId="105" xfId="7181" applyNumberFormat="1" applyFont="1" applyFill="1" applyBorder="1" applyAlignment="1">
      <alignment horizontal="center"/>
    </xf>
    <xf numFmtId="179" fontId="0" fillId="0" borderId="0" xfId="0" applyNumberFormat="1"/>
    <xf numFmtId="0" fontId="14" fillId="2" borderId="66" xfId="1005" applyNumberFormat="1" applyFont="1" applyFill="1" applyBorder="1" applyAlignment="1">
      <alignment horizontal="center" vertical="center" wrapText="1"/>
    </xf>
    <xf numFmtId="2" fontId="86" fillId="0" borderId="3" xfId="6362" applyNumberFormat="1" applyFont="1" applyBorder="1" applyAlignment="1">
      <alignment horizontal="center" vertical="center"/>
    </xf>
    <xf numFmtId="2" fontId="86" fillId="0" borderId="55" xfId="6362" applyNumberFormat="1" applyFont="1" applyBorder="1" applyAlignment="1">
      <alignment horizontal="center" vertical="center"/>
    </xf>
    <xf numFmtId="3" fontId="86" fillId="0" borderId="3" xfId="2329" applyNumberFormat="1" applyFont="1" applyBorder="1" applyAlignment="1">
      <alignment horizontal="center" vertical="center"/>
    </xf>
    <xf numFmtId="0" fontId="103" fillId="0" borderId="42" xfId="2329" applyNumberFormat="1" applyFont="1" applyBorder="1" applyAlignment="1">
      <alignment horizontal="center" vertical="center"/>
    </xf>
    <xf numFmtId="0" fontId="103" fillId="0" borderId="4" xfId="2329" applyNumberFormat="1" applyFont="1" applyBorder="1" applyAlignment="1">
      <alignment horizontal="center" vertical="center"/>
    </xf>
    <xf numFmtId="4" fontId="103" fillId="0" borderId="4" xfId="2329" applyNumberFormat="1" applyFont="1" applyBorder="1" applyAlignment="1">
      <alignment horizontal="center" vertical="center"/>
    </xf>
    <xf numFmtId="0" fontId="103" fillId="0" borderId="3" xfId="2329" applyNumberFormat="1" applyFont="1" applyBorder="1" applyAlignment="1">
      <alignment horizontal="center" vertical="center"/>
    </xf>
    <xf numFmtId="1" fontId="188" fillId="0" borderId="5" xfId="579" applyNumberFormat="1" applyFont="1" applyBorder="1" applyAlignment="1">
      <alignment horizontal="center" vertical="center"/>
    </xf>
    <xf numFmtId="217" fontId="103" fillId="0" borderId="4" xfId="2329" applyNumberFormat="1" applyFont="1" applyBorder="1" applyAlignment="1">
      <alignment horizontal="center" vertical="center"/>
    </xf>
    <xf numFmtId="0" fontId="103" fillId="0" borderId="57" xfId="2329" applyNumberFormat="1" applyFont="1" applyBorder="1" applyAlignment="1">
      <alignment horizontal="center" vertical="center"/>
    </xf>
    <xf numFmtId="176" fontId="189" fillId="0" borderId="3" xfId="2331" applyNumberFormat="1" applyFont="1" applyBorder="1" applyAlignment="1">
      <alignment horizontal="center" vertical="center"/>
    </xf>
    <xf numFmtId="3" fontId="103" fillId="0" borderId="4" xfId="2329" applyNumberFormat="1" applyFont="1" applyBorder="1" applyAlignment="1">
      <alignment horizontal="center" vertical="center"/>
    </xf>
    <xf numFmtId="1" fontId="172" fillId="0" borderId="10" xfId="579" applyNumberFormat="1" applyFont="1" applyBorder="1" applyAlignment="1">
      <alignment horizontal="center" vertical="center"/>
    </xf>
    <xf numFmtId="0" fontId="103" fillId="0" borderId="13" xfId="2329" applyNumberFormat="1" applyFont="1" applyBorder="1" applyAlignment="1">
      <alignment horizontal="center" vertical="center"/>
    </xf>
    <xf numFmtId="176" fontId="189" fillId="0" borderId="12" xfId="2331" applyNumberFormat="1" applyFont="1" applyBorder="1" applyAlignment="1">
      <alignment horizontal="center" vertical="center"/>
    </xf>
    <xf numFmtId="0" fontId="103" fillId="0" borderId="12" xfId="2329" applyNumberFormat="1" applyFont="1" applyBorder="1" applyAlignment="1">
      <alignment horizontal="center" vertical="center"/>
    </xf>
    <xf numFmtId="0" fontId="103" fillId="0" borderId="13" xfId="2329" applyNumberFormat="1" applyFont="1" applyBorder="1" applyAlignment="1">
      <alignment horizontal="center" vertical="center" wrapText="1"/>
    </xf>
    <xf numFmtId="176" fontId="189" fillId="0" borderId="12" xfId="2331" applyNumberFormat="1" applyFont="1" applyBorder="1" applyAlignment="1">
      <alignment horizontal="center" vertical="center" wrapText="1"/>
    </xf>
    <xf numFmtId="170" fontId="86" fillId="0" borderId="4" xfId="7181" applyFont="1" applyBorder="1" applyAlignment="1">
      <alignment horizontal="center" vertical="center"/>
    </xf>
    <xf numFmtId="170" fontId="86" fillId="0" borderId="3" xfId="7181" applyFont="1" applyBorder="1" applyAlignment="1">
      <alignment horizontal="center" vertical="center"/>
    </xf>
    <xf numFmtId="170" fontId="12" fillId="0" borderId="4" xfId="7181" applyFont="1" applyBorder="1" applyAlignment="1">
      <alignment horizontal="center" vertical="center"/>
    </xf>
    <xf numFmtId="170" fontId="12" fillId="0" borderId="3" xfId="7181" applyFont="1" applyBorder="1" applyAlignment="1">
      <alignment horizontal="center" vertical="center"/>
    </xf>
    <xf numFmtId="170" fontId="12" fillId="3" borderId="4" xfId="7181" applyFont="1" applyFill="1" applyBorder="1" applyAlignment="1">
      <alignment horizontal="center" vertical="center"/>
    </xf>
    <xf numFmtId="170" fontId="12" fillId="3" borderId="3" xfId="7181" applyFont="1" applyFill="1" applyBorder="1" applyAlignment="1">
      <alignment horizontal="center" vertical="center"/>
    </xf>
    <xf numFmtId="170" fontId="86" fillId="0" borderId="9" xfId="7181" applyFont="1" applyBorder="1" applyAlignment="1">
      <alignment horizontal="center" vertical="center"/>
    </xf>
    <xf numFmtId="170" fontId="86" fillId="0" borderId="55" xfId="7181" applyFont="1" applyBorder="1" applyAlignment="1">
      <alignment horizontal="center" vertical="center"/>
    </xf>
    <xf numFmtId="2" fontId="104" fillId="0" borderId="4" xfId="2329" applyNumberFormat="1" applyFont="1" applyBorder="1" applyAlignment="1">
      <alignment horizontal="center" vertical="center"/>
    </xf>
    <xf numFmtId="170" fontId="12" fillId="3" borderId="7" xfId="2329" applyNumberFormat="1" applyFont="1" applyFill="1" applyBorder="1" applyAlignment="1">
      <alignment horizontal="center" vertical="center"/>
    </xf>
    <xf numFmtId="176" fontId="9" fillId="0" borderId="61" xfId="1051" applyNumberFormat="1" applyFont="1" applyBorder="1" applyAlignment="1">
      <alignment vertical="center"/>
    </xf>
    <xf numFmtId="0" fontId="103" fillId="0" borderId="4" xfId="2329" applyNumberFormat="1" applyFont="1" applyBorder="1" applyAlignment="1">
      <alignment horizontal="center" vertical="center" wrapText="1"/>
    </xf>
    <xf numFmtId="4" fontId="103" fillId="3" borderId="3" xfId="2087" applyNumberFormat="1" applyFont="1" applyFill="1" applyBorder="1" applyAlignment="1">
      <alignment horizontal="center" vertical="center"/>
    </xf>
    <xf numFmtId="0" fontId="103" fillId="3" borderId="12" xfId="2087" applyNumberFormat="1" applyFont="1" applyFill="1" applyBorder="1" applyAlignment="1">
      <alignment horizontal="center" vertical="center" wrapText="1"/>
    </xf>
    <xf numFmtId="0" fontId="104" fillId="0" borderId="3" xfId="2329" applyNumberFormat="1" applyFont="1" applyBorder="1" applyAlignment="1">
      <alignment horizontal="center"/>
    </xf>
    <xf numFmtId="0" fontId="104" fillId="0" borderId="55" xfId="2329" applyNumberFormat="1" applyFont="1" applyBorder="1" applyAlignment="1">
      <alignment horizontal="center"/>
    </xf>
    <xf numFmtId="0" fontId="173" fillId="0" borderId="5" xfId="2329" applyNumberFormat="1" applyFont="1" applyBorder="1" applyAlignment="1">
      <alignment horizontal="left" vertical="center"/>
    </xf>
    <xf numFmtId="0" fontId="104" fillId="0" borderId="61" xfId="2329" applyNumberFormat="1" applyFont="1" applyBorder="1" applyAlignment="1">
      <alignment horizontal="center"/>
    </xf>
    <xf numFmtId="0" fontId="104" fillId="0" borderId="2" xfId="2329" applyNumberFormat="1" applyFont="1" applyBorder="1" applyAlignment="1">
      <alignment horizontal="center"/>
    </xf>
    <xf numFmtId="0" fontId="103" fillId="3" borderId="3" xfId="2329" applyNumberFormat="1" applyFont="1" applyFill="1" applyBorder="1" applyAlignment="1">
      <alignment horizontal="center"/>
    </xf>
    <xf numFmtId="0" fontId="103" fillId="3" borderId="4" xfId="2087" applyNumberFormat="1" applyFont="1" applyFill="1" applyBorder="1" applyAlignment="1">
      <alignment horizontal="center" vertical="center" wrapText="1"/>
    </xf>
    <xf numFmtId="176" fontId="167" fillId="0" borderId="3" xfId="2331" applyNumberFormat="1" applyFont="1" applyBorder="1" applyAlignment="1">
      <alignment horizontal="center" vertical="center" wrapText="1"/>
    </xf>
    <xf numFmtId="0" fontId="104" fillId="0" borderId="42" xfId="2329" applyNumberFormat="1" applyFont="1" applyBorder="1" applyAlignment="1">
      <alignment horizontal="center" vertical="center" wrapText="1"/>
    </xf>
    <xf numFmtId="3" fontId="104" fillId="0" borderId="12" xfId="2329" applyNumberFormat="1" applyFont="1" applyBorder="1" applyAlignment="1">
      <alignment horizontal="center" vertical="center"/>
    </xf>
    <xf numFmtId="3" fontId="104" fillId="0" borderId="2" xfId="2329" applyNumberFormat="1" applyFont="1" applyBorder="1" applyAlignment="1">
      <alignment horizontal="center" vertical="center"/>
    </xf>
    <xf numFmtId="4" fontId="104" fillId="0" borderId="12" xfId="2329" applyNumberFormat="1" applyFont="1" applyBorder="1" applyAlignment="1">
      <alignment horizontal="center" vertical="center"/>
    </xf>
    <xf numFmtId="4" fontId="104" fillId="0" borderId="2" xfId="2329" applyNumberFormat="1" applyFont="1" applyBorder="1" applyAlignment="1">
      <alignment horizontal="center" vertical="center"/>
    </xf>
    <xf numFmtId="0" fontId="104" fillId="0" borderId="61" xfId="2329" applyNumberFormat="1" applyFont="1" applyBorder="1" applyAlignment="1">
      <alignment horizontal="center" vertical="center"/>
    </xf>
    <xf numFmtId="0" fontId="174" fillId="3" borderId="34" xfId="2329" applyNumberFormat="1" applyFont="1" applyFill="1" applyBorder="1" applyAlignment="1">
      <alignment horizontal="left" vertical="center"/>
    </xf>
    <xf numFmtId="0" fontId="104" fillId="0" borderId="12" xfId="2329" applyNumberFormat="1" applyFont="1" applyBorder="1" applyAlignment="1">
      <alignment horizontal="center" vertical="center" wrapText="1"/>
    </xf>
    <xf numFmtId="1" fontId="104" fillId="0" borderId="55" xfId="2329" applyNumberFormat="1" applyFont="1" applyBorder="1" applyAlignment="1">
      <alignment horizontal="center" vertical="center" wrapText="1"/>
    </xf>
    <xf numFmtId="2" fontId="103" fillId="3" borderId="4" xfId="2087" applyNumberFormat="1" applyFont="1" applyFill="1" applyBorder="1" applyAlignment="1">
      <alignment horizontal="center" vertical="center"/>
    </xf>
    <xf numFmtId="2" fontId="104" fillId="0" borderId="55" xfId="2329" applyNumberFormat="1" applyFont="1" applyBorder="1" applyAlignment="1">
      <alignment horizontal="center" vertical="center" wrapText="1"/>
    </xf>
    <xf numFmtId="0" fontId="103" fillId="3" borderId="12" xfId="2087" applyNumberFormat="1" applyFont="1" applyFill="1" applyBorder="1" applyAlignment="1">
      <alignment horizontal="left" vertical="center" wrapText="1"/>
    </xf>
    <xf numFmtId="0" fontId="103" fillId="3" borderId="85" xfId="2087" applyNumberFormat="1" applyFont="1" applyFill="1" applyBorder="1" applyAlignment="1">
      <alignment horizontal="center" vertical="center"/>
    </xf>
    <xf numFmtId="4" fontId="104" fillId="0" borderId="33" xfId="2329" applyNumberFormat="1" applyFont="1" applyBorder="1" applyAlignment="1">
      <alignment horizontal="center" vertical="center"/>
    </xf>
    <xf numFmtId="0" fontId="103" fillId="3" borderId="4" xfId="2087" applyNumberFormat="1" applyFont="1" applyFill="1" applyBorder="1" applyAlignment="1">
      <alignment horizontal="left" vertical="center" wrapText="1"/>
    </xf>
    <xf numFmtId="0" fontId="190" fillId="0" borderId="88" xfId="0" applyFont="1" applyBorder="1" applyAlignment="1">
      <alignment vertical="center" wrapText="1"/>
    </xf>
    <xf numFmtId="0" fontId="10" fillId="0" borderId="88" xfId="0" applyFont="1" applyBorder="1" applyAlignment="1">
      <alignment vertical="center" wrapText="1"/>
    </xf>
    <xf numFmtId="0" fontId="174" fillId="3" borderId="10" xfId="2087" applyNumberFormat="1" applyFont="1" applyFill="1" applyBorder="1" applyAlignment="1">
      <alignment horizontal="center" vertical="center"/>
    </xf>
    <xf numFmtId="0" fontId="173" fillId="0" borderId="5" xfId="2329" applyNumberFormat="1" applyFont="1" applyBorder="1" applyAlignment="1">
      <alignment horizontal="center" vertical="center"/>
    </xf>
    <xf numFmtId="0" fontId="174" fillId="3" borderId="5" xfId="2087" applyNumberFormat="1" applyFont="1" applyFill="1" applyBorder="1" applyAlignment="1">
      <alignment horizontal="center" vertical="center"/>
    </xf>
    <xf numFmtId="0" fontId="108" fillId="0" borderId="12" xfId="2329" applyNumberFormat="1" applyFont="1" applyBorder="1" applyAlignment="1">
      <alignment horizontal="center" vertical="center" wrapText="1"/>
    </xf>
    <xf numFmtId="0" fontId="103" fillId="3" borderId="8" xfId="2329" applyNumberFormat="1" applyFont="1" applyFill="1" applyBorder="1" applyAlignment="1">
      <alignment horizontal="center" vertical="center" wrapText="1"/>
    </xf>
    <xf numFmtId="3" fontId="104" fillId="0" borderId="3" xfId="2329" applyNumberFormat="1" applyFont="1" applyBorder="1" applyAlignment="1">
      <alignment horizontal="center" vertical="center" wrapText="1"/>
    </xf>
    <xf numFmtId="4" fontId="104" fillId="0" borderId="55" xfId="2329" applyNumberFormat="1" applyFont="1" applyBorder="1" applyAlignment="1">
      <alignment horizontal="center" vertical="center" wrapText="1"/>
    </xf>
    <xf numFmtId="0" fontId="0" fillId="0" borderId="79" xfId="0" applyBorder="1" applyAlignment="1">
      <alignment horizontal="left"/>
    </xf>
    <xf numFmtId="0" fontId="0" fillId="0" borderId="86" xfId="0" applyBorder="1" applyAlignment="1">
      <alignment horizontal="left"/>
    </xf>
    <xf numFmtId="0" fontId="0" fillId="54" borderId="79" xfId="0" applyFill="1" applyBorder="1" applyAlignment="1">
      <alignment horizontal="left"/>
    </xf>
    <xf numFmtId="0" fontId="0" fillId="54" borderId="86" xfId="0" applyFill="1" applyBorder="1" applyAlignment="1">
      <alignment horizontal="left"/>
    </xf>
    <xf numFmtId="0" fontId="14" fillId="53" borderId="66" xfId="0" applyFont="1" applyFill="1" applyBorder="1" applyAlignment="1">
      <alignment horizontal="center"/>
    </xf>
    <xf numFmtId="0" fontId="14" fillId="53" borderId="79" xfId="0" applyFont="1" applyFill="1" applyBorder="1" applyAlignment="1">
      <alignment horizontal="center"/>
    </xf>
    <xf numFmtId="0" fontId="14" fillId="53" borderId="86" xfId="0" applyFont="1" applyFill="1" applyBorder="1" applyAlignment="1">
      <alignment horizontal="center"/>
    </xf>
    <xf numFmtId="0" fontId="0" fillId="0" borderId="44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15" fillId="0" borderId="66" xfId="0" applyFont="1" applyBorder="1" applyAlignment="1">
      <alignment horizontal="center" vertical="center"/>
    </xf>
    <xf numFmtId="0" fontId="15" fillId="0" borderId="61" xfId="0" applyFont="1" applyBorder="1" applyAlignment="1">
      <alignment vertical="center"/>
    </xf>
    <xf numFmtId="0" fontId="15" fillId="0" borderId="44" xfId="0" applyFont="1" applyBorder="1" applyAlignment="1">
      <alignment vertical="center"/>
    </xf>
    <xf numFmtId="170" fontId="0" fillId="0" borderId="105" xfId="7181" applyFont="1" applyFill="1" applyBorder="1" applyAlignment="1">
      <alignment horizontal="center"/>
    </xf>
    <xf numFmtId="0" fontId="15" fillId="0" borderId="131" xfId="0" applyFont="1" applyBorder="1" applyAlignment="1">
      <alignment vertical="center"/>
    </xf>
    <xf numFmtId="41" fontId="9" fillId="0" borderId="0" xfId="6595" applyFont="1" applyAlignment="1">
      <alignment horizontal="center" vertical="center"/>
    </xf>
    <xf numFmtId="41" fontId="9" fillId="0" borderId="0" xfId="6595" applyFont="1" applyFill="1" applyAlignment="1">
      <alignment horizontal="center" vertical="center"/>
    </xf>
    <xf numFmtId="0" fontId="0" fillId="0" borderId="66" xfId="0" applyBorder="1" applyAlignment="1">
      <alignment horizontal="center"/>
    </xf>
    <xf numFmtId="4" fontId="0" fillId="0" borderId="66" xfId="0" applyNumberFormat="1" applyBorder="1" applyAlignment="1">
      <alignment horizontal="center"/>
    </xf>
    <xf numFmtId="0" fontId="0" fillId="0" borderId="86" xfId="0" applyBorder="1"/>
    <xf numFmtId="176" fontId="9" fillId="12" borderId="0" xfId="1051" applyNumberFormat="1" applyFont="1" applyFill="1" applyAlignment="1">
      <alignment vertical="center"/>
    </xf>
    <xf numFmtId="4" fontId="0" fillId="0" borderId="0" xfId="0" applyNumberFormat="1" applyAlignment="1">
      <alignment horizontal="center"/>
    </xf>
    <xf numFmtId="0" fontId="0" fillId="0" borderId="66" xfId="0" applyBorder="1" applyAlignment="1">
      <alignment horizontal="left"/>
    </xf>
    <xf numFmtId="3" fontId="0" fillId="0" borderId="66" xfId="0" applyNumberFormat="1" applyBorder="1" applyAlignment="1">
      <alignment horizontal="center"/>
    </xf>
    <xf numFmtId="41" fontId="0" fillId="0" borderId="66" xfId="6595" applyFont="1" applyBorder="1" applyAlignment="1">
      <alignment horizontal="center"/>
    </xf>
    <xf numFmtId="176" fontId="126" fillId="0" borderId="0" xfId="1051" applyNumberFormat="1" applyFont="1" applyAlignment="1">
      <alignment horizontal="left" vertical="center"/>
    </xf>
    <xf numFmtId="2" fontId="0" fillId="0" borderId="0" xfId="0" applyNumberFormat="1" applyAlignment="1">
      <alignment horizontal="center"/>
    </xf>
    <xf numFmtId="41" fontId="0" fillId="0" borderId="0" xfId="6595" applyFont="1" applyAlignment="1">
      <alignment horizontal="center"/>
    </xf>
    <xf numFmtId="41" fontId="0" fillId="0" borderId="0" xfId="0" applyNumberFormat="1"/>
    <xf numFmtId="41" fontId="0" fillId="0" borderId="0" xfId="6595" applyFont="1" applyFill="1" applyBorder="1" applyAlignment="1">
      <alignment horizontal="center"/>
    </xf>
    <xf numFmtId="41" fontId="0" fillId="0" borderId="0" xfId="0" applyNumberFormat="1" applyAlignment="1">
      <alignment horizontal="center"/>
    </xf>
    <xf numFmtId="0" fontId="86" fillId="0" borderId="0" xfId="0" applyFont="1" applyAlignment="1">
      <alignment horizontal="center"/>
    </xf>
    <xf numFmtId="0" fontId="129" fillId="0" borderId="0" xfId="0" applyFont="1" applyAlignment="1">
      <alignment horizontal="center"/>
    </xf>
    <xf numFmtId="41" fontId="0" fillId="0" borderId="66" xfId="6595" applyFont="1" applyBorder="1" applyAlignment="1">
      <alignment horizontal="left"/>
    </xf>
    <xf numFmtId="41" fontId="86" fillId="0" borderId="0" xfId="6595" applyFont="1" applyFill="1" applyAlignment="1">
      <alignment horizontal="center"/>
    </xf>
    <xf numFmtId="3" fontId="86" fillId="0" borderId="66" xfId="2329" applyNumberFormat="1" applyFont="1" applyBorder="1" applyAlignment="1">
      <alignment horizontal="center" vertical="center"/>
    </xf>
    <xf numFmtId="3" fontId="0" fillId="0" borderId="0" xfId="0" applyNumberFormat="1"/>
    <xf numFmtId="3" fontId="0" fillId="0" borderId="0" xfId="0" applyNumberFormat="1" applyAlignment="1">
      <alignment horizontal="center"/>
    </xf>
    <xf numFmtId="3" fontId="0" fillId="0" borderId="109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3" fontId="86" fillId="0" borderId="0" xfId="2329" applyNumberFormat="1" applyFont="1" applyAlignment="1">
      <alignment horizontal="center" vertical="center"/>
    </xf>
    <xf numFmtId="3" fontId="86" fillId="0" borderId="60" xfId="2329" applyNumberFormat="1" applyFont="1" applyBorder="1" applyAlignment="1">
      <alignment horizontal="center" vertical="center"/>
    </xf>
    <xf numFmtId="0" fontId="114" fillId="54" borderId="86" xfId="0" applyFont="1" applyFill="1" applyBorder="1" applyAlignment="1">
      <alignment horizontal="left"/>
    </xf>
    <xf numFmtId="4" fontId="114" fillId="54" borderId="66" xfId="0" applyNumberFormat="1" applyFont="1" applyFill="1" applyBorder="1" applyAlignment="1">
      <alignment horizontal="center"/>
    </xf>
    <xf numFmtId="0" fontId="0" fillId="54" borderId="66" xfId="0" applyFill="1" applyBorder="1" applyAlignment="1">
      <alignment horizontal="left"/>
    </xf>
    <xf numFmtId="41" fontId="0" fillId="54" borderId="66" xfId="6595" applyFont="1" applyFill="1" applyBorder="1" applyAlignment="1">
      <alignment horizontal="center"/>
    </xf>
    <xf numFmtId="41" fontId="0" fillId="54" borderId="66" xfId="6595" applyFont="1" applyFill="1" applyBorder="1" applyAlignment="1">
      <alignment horizontal="left"/>
    </xf>
    <xf numFmtId="4" fontId="0" fillId="54" borderId="66" xfId="0" applyNumberFormat="1" applyFill="1" applyBorder="1" applyAlignment="1">
      <alignment horizontal="center"/>
    </xf>
    <xf numFmtId="3" fontId="86" fillId="54" borderId="66" xfId="2329" applyNumberFormat="1" applyFont="1" applyFill="1" applyBorder="1" applyAlignment="1">
      <alignment horizontal="center" vertical="center"/>
    </xf>
    <xf numFmtId="41" fontId="0" fillId="0" borderId="66" xfId="6595" applyFont="1" applyFill="1" applyBorder="1" applyAlignment="1">
      <alignment horizontal="center"/>
    </xf>
    <xf numFmtId="2" fontId="5" fillId="0" borderId="22" xfId="0" applyNumberFormat="1" applyFont="1" applyBorder="1" applyAlignment="1">
      <alignment horizontal="center" vertical="center"/>
    </xf>
    <xf numFmtId="178" fontId="0" fillId="0" borderId="66" xfId="0" applyNumberFormat="1" applyBorder="1" applyAlignment="1">
      <alignment horizontal="center"/>
    </xf>
    <xf numFmtId="1" fontId="0" fillId="0" borderId="66" xfId="0" applyNumberFormat="1" applyBorder="1" applyAlignment="1">
      <alignment horizontal="center"/>
    </xf>
    <xf numFmtId="2" fontId="0" fillId="0" borderId="66" xfId="0" applyNumberFormat="1" applyBorder="1" applyAlignment="1">
      <alignment horizontal="center"/>
    </xf>
    <xf numFmtId="196" fontId="0" fillId="0" borderId="66" xfId="0" applyNumberFormat="1" applyBorder="1" applyAlignment="1">
      <alignment horizontal="center"/>
    </xf>
    <xf numFmtId="233" fontId="0" fillId="54" borderId="66" xfId="6595" applyNumberFormat="1" applyFont="1" applyFill="1" applyBorder="1" applyAlignment="1">
      <alignment horizontal="center"/>
    </xf>
    <xf numFmtId="234" fontId="0" fillId="54" borderId="66" xfId="6595" applyNumberFormat="1" applyFont="1" applyFill="1" applyBorder="1" applyAlignment="1">
      <alignment horizontal="center"/>
    </xf>
    <xf numFmtId="194" fontId="0" fillId="54" borderId="66" xfId="6595" applyNumberFormat="1" applyFont="1" applyFill="1" applyBorder="1" applyAlignment="1">
      <alignment horizontal="center"/>
    </xf>
    <xf numFmtId="233" fontId="0" fillId="0" borderId="0" xfId="6595" applyNumberFormat="1" applyFont="1" applyFill="1" applyBorder="1" applyAlignment="1">
      <alignment horizontal="center"/>
    </xf>
    <xf numFmtId="234" fontId="0" fillId="0" borderId="0" xfId="6595" applyNumberFormat="1" applyFont="1" applyFill="1" applyBorder="1" applyAlignment="1">
      <alignment horizontal="center"/>
    </xf>
    <xf numFmtId="0" fontId="0" fillId="0" borderId="118" xfId="0" applyBorder="1" applyAlignment="1">
      <alignment horizontal="center" vertical="center"/>
    </xf>
    <xf numFmtId="0" fontId="0" fillId="0" borderId="66" xfId="0" applyBorder="1" applyAlignment="1">
      <alignment vertical="center" wrapText="1"/>
    </xf>
    <xf numFmtId="233" fontId="0" fillId="0" borderId="66" xfId="6595" applyNumberFormat="1" applyFont="1" applyBorder="1" applyAlignment="1">
      <alignment horizontal="center"/>
    </xf>
    <xf numFmtId="234" fontId="0" fillId="0" borderId="66" xfId="6595" applyNumberFormat="1" applyFont="1" applyBorder="1" applyAlignment="1">
      <alignment horizontal="center"/>
    </xf>
    <xf numFmtId="0" fontId="0" fillId="0" borderId="66" xfId="6595" applyNumberFormat="1" applyFont="1" applyBorder="1" applyAlignment="1">
      <alignment horizontal="center"/>
    </xf>
    <xf numFmtId="4" fontId="0" fillId="0" borderId="66" xfId="6595" applyNumberFormat="1" applyFont="1" applyBorder="1" applyAlignment="1">
      <alignment horizontal="right"/>
    </xf>
    <xf numFmtId="234" fontId="0" fillId="54" borderId="66" xfId="6595" applyNumberFormat="1" applyFont="1" applyFill="1" applyBorder="1" applyAlignment="1">
      <alignment horizontal="left"/>
    </xf>
    <xf numFmtId="234" fontId="0" fillId="54" borderId="66" xfId="6595" applyNumberFormat="1" applyFont="1" applyFill="1" applyBorder="1" applyAlignment="1">
      <alignment horizontal="left" indent="1"/>
    </xf>
    <xf numFmtId="0" fontId="0" fillId="88" borderId="0" xfId="0" applyFill="1" applyAlignment="1">
      <alignment horizontal="center"/>
    </xf>
    <xf numFmtId="1" fontId="15" fillId="88" borderId="66" xfId="0" applyNumberFormat="1" applyFont="1" applyFill="1" applyBorder="1" applyAlignment="1">
      <alignment horizontal="center"/>
    </xf>
    <xf numFmtId="0" fontId="15" fillId="88" borderId="66" xfId="0" applyFont="1" applyFill="1" applyBorder="1" applyAlignment="1">
      <alignment horizontal="center" vertical="center"/>
    </xf>
    <xf numFmtId="0" fontId="0" fillId="88" borderId="66" xfId="0" applyFill="1" applyBorder="1"/>
    <xf numFmtId="1" fontId="0" fillId="88" borderId="66" xfId="0" applyNumberFormat="1" applyFill="1" applyBorder="1" applyAlignment="1">
      <alignment horizontal="center"/>
    </xf>
    <xf numFmtId="196" fontId="0" fillId="88" borderId="66" xfId="0" applyNumberFormat="1" applyFill="1" applyBorder="1" applyAlignment="1">
      <alignment horizontal="center"/>
    </xf>
    <xf numFmtId="2" fontId="86" fillId="0" borderId="66" xfId="6362" applyNumberFormat="1" applyFont="1" applyBorder="1" applyAlignment="1">
      <alignment horizontal="center" vertical="center"/>
    </xf>
    <xf numFmtId="0" fontId="0" fillId="0" borderId="111" xfId="0" applyBorder="1" applyAlignment="1">
      <alignment horizontal="left"/>
    </xf>
    <xf numFmtId="2" fontId="86" fillId="54" borderId="66" xfId="6362" applyNumberFormat="1" applyFont="1" applyFill="1" applyBorder="1" applyAlignment="1">
      <alignment horizontal="center" vertical="center"/>
    </xf>
    <xf numFmtId="178" fontId="86" fillId="54" borderId="66" xfId="2329" applyFont="1" applyFill="1" applyBorder="1" applyAlignment="1">
      <alignment horizontal="center" vertical="center"/>
    </xf>
    <xf numFmtId="178" fontId="86" fillId="0" borderId="66" xfId="2329" applyFont="1" applyBorder="1" applyAlignment="1">
      <alignment horizontal="center" vertical="center"/>
    </xf>
    <xf numFmtId="170" fontId="0" fillId="0" borderId="103" xfId="7181" applyFont="1" applyFill="1" applyBorder="1" applyAlignment="1">
      <alignment horizontal="center"/>
    </xf>
    <xf numFmtId="0" fontId="0" fillId="55" borderId="0" xfId="0" applyFill="1"/>
    <xf numFmtId="245" fontId="0" fillId="0" borderId="0" xfId="0" applyNumberFormat="1"/>
    <xf numFmtId="41" fontId="9" fillId="0" borderId="0" xfId="6595" applyFont="1" applyBorder="1" applyAlignment="1">
      <alignment horizontal="center" vertical="center"/>
    </xf>
    <xf numFmtId="176" fontId="86" fillId="0" borderId="0" xfId="1051" applyNumberFormat="1" applyFont="1" applyAlignment="1">
      <alignment horizontal="left" vertical="center"/>
    </xf>
    <xf numFmtId="0" fontId="0" fillId="0" borderId="66" xfId="0" applyBorder="1" applyAlignment="1">
      <alignment horizontal="left" vertical="center"/>
    </xf>
    <xf numFmtId="0" fontId="0" fillId="0" borderId="66" xfId="0" applyBorder="1" applyAlignment="1">
      <alignment horizontal="left" vertical="center" wrapText="1"/>
    </xf>
    <xf numFmtId="0" fontId="0" fillId="54" borderId="66" xfId="0" applyFill="1" applyBorder="1" applyAlignment="1">
      <alignment horizontal="left" vertical="center"/>
    </xf>
    <xf numFmtId="0" fontId="0" fillId="54" borderId="66" xfId="0" applyFill="1" applyBorder="1" applyAlignment="1">
      <alignment horizontal="left" vertical="center" wrapText="1"/>
    </xf>
    <xf numFmtId="0" fontId="0" fillId="0" borderId="128" xfId="0" applyBorder="1" applyAlignment="1">
      <alignment horizontal="left"/>
    </xf>
    <xf numFmtId="217" fontId="0" fillId="0" borderId="66" xfId="0" applyNumberFormat="1" applyBorder="1" applyAlignment="1">
      <alignment horizontal="center"/>
    </xf>
    <xf numFmtId="0" fontId="0" fillId="54" borderId="128" xfId="0" applyFill="1" applyBorder="1" applyAlignment="1">
      <alignment horizontal="left"/>
    </xf>
    <xf numFmtId="217" fontId="0" fillId="54" borderId="66" xfId="0" applyNumberFormat="1" applyFill="1" applyBorder="1" applyAlignment="1">
      <alignment horizontal="center"/>
    </xf>
    <xf numFmtId="0" fontId="15" fillId="54" borderId="66" xfId="0" applyFont="1" applyFill="1" applyBorder="1"/>
    <xf numFmtId="2" fontId="15" fillId="54" borderId="66" xfId="0" applyNumberFormat="1" applyFont="1" applyFill="1" applyBorder="1" applyAlignment="1">
      <alignment horizontal="center"/>
    </xf>
    <xf numFmtId="41" fontId="0" fillId="0" borderId="66" xfId="6595" applyFont="1" applyFill="1" applyBorder="1" applyAlignment="1">
      <alignment horizontal="center" vertical="center"/>
    </xf>
    <xf numFmtId="3" fontId="0" fillId="54" borderId="66" xfId="0" applyNumberFormat="1" applyFill="1" applyBorder="1" applyAlignment="1">
      <alignment horizontal="center"/>
    </xf>
    <xf numFmtId="231" fontId="105" fillId="0" borderId="44" xfId="0" applyNumberFormat="1" applyFont="1" applyBorder="1" applyAlignment="1">
      <alignment horizontal="center" vertical="center"/>
    </xf>
    <xf numFmtId="0" fontId="0" fillId="0" borderId="61" xfId="0" applyBorder="1" applyAlignment="1">
      <alignment horizontal="center"/>
    </xf>
    <xf numFmtId="2" fontId="15" fillId="54" borderId="66" xfId="6362" applyNumberFormat="1" applyFont="1" applyFill="1" applyBorder="1" applyAlignment="1">
      <alignment horizontal="center"/>
    </xf>
    <xf numFmtId="196" fontId="15" fillId="54" borderId="66" xfId="0" applyNumberFormat="1" applyFont="1" applyFill="1" applyBorder="1" applyAlignment="1">
      <alignment horizontal="center"/>
    </xf>
    <xf numFmtId="41" fontId="0" fillId="0" borderId="0" xfId="6595" applyFont="1" applyFill="1" applyBorder="1" applyAlignment="1">
      <alignment horizontal="center" vertical="center"/>
    </xf>
    <xf numFmtId="41" fontId="0" fillId="0" borderId="66" xfId="6595" applyFont="1" applyBorder="1" applyAlignment="1">
      <alignment horizontal="center" vertical="center"/>
    </xf>
    <xf numFmtId="41" fontId="9" fillId="0" borderId="0" xfId="6595" applyFont="1" applyFill="1" applyBorder="1" applyAlignment="1">
      <alignment horizontal="center" vertical="center"/>
    </xf>
    <xf numFmtId="41" fontId="9" fillId="0" borderId="0" xfId="1051" applyNumberFormat="1" applyFont="1" applyAlignment="1">
      <alignment horizontal="center" vertical="center"/>
    </xf>
    <xf numFmtId="232" fontId="0" fillId="0" borderId="0" xfId="0" applyNumberFormat="1" applyAlignment="1">
      <alignment horizontal="center"/>
    </xf>
    <xf numFmtId="41" fontId="0" fillId="54" borderId="66" xfId="6595" applyFont="1" applyFill="1" applyBorder="1" applyAlignment="1">
      <alignment horizontal="center" vertical="center"/>
    </xf>
    <xf numFmtId="176" fontId="130" fillId="0" borderId="0" xfId="1051" applyNumberFormat="1" applyFont="1" applyAlignment="1">
      <alignment horizontal="left" vertical="center"/>
    </xf>
    <xf numFmtId="0" fontId="0" fillId="0" borderId="128" xfId="0" applyBorder="1" applyAlignment="1">
      <alignment vertical="center"/>
    </xf>
    <xf numFmtId="0" fontId="0" fillId="0" borderId="128" xfId="0" applyBorder="1"/>
    <xf numFmtId="4" fontId="104" fillId="0" borderId="66" xfId="2329" applyNumberFormat="1" applyFont="1" applyBorder="1" applyAlignment="1">
      <alignment horizontal="center" vertical="center"/>
    </xf>
    <xf numFmtId="4" fontId="105" fillId="0" borderId="66" xfId="0" applyNumberFormat="1" applyFont="1" applyBorder="1" applyAlignment="1">
      <alignment horizontal="center"/>
    </xf>
    <xf numFmtId="0" fontId="0" fillId="54" borderId="128" xfId="0" applyFill="1" applyBorder="1"/>
    <xf numFmtId="4" fontId="104" fillId="54" borderId="66" xfId="2329" applyNumberFormat="1" applyFont="1" applyFill="1" applyBorder="1" applyAlignment="1">
      <alignment horizontal="center" vertical="center"/>
    </xf>
    <xf numFmtId="0" fontId="0" fillId="0" borderId="126" xfId="0" applyBorder="1" applyAlignment="1">
      <alignment vertical="center"/>
    </xf>
    <xf numFmtId="41" fontId="0" fillId="0" borderId="0" xfId="6595" applyFont="1" applyBorder="1" applyAlignment="1">
      <alignment horizontal="center"/>
    </xf>
    <xf numFmtId="4" fontId="86" fillId="0" borderId="66" xfId="2329" applyNumberFormat="1" applyFont="1" applyBorder="1" applyAlignment="1">
      <alignment horizontal="center" vertical="center"/>
    </xf>
    <xf numFmtId="4" fontId="86" fillId="54" borderId="66" xfId="2329" applyNumberFormat="1" applyFont="1" applyFill="1" applyBorder="1" applyAlignment="1">
      <alignment horizontal="center" vertical="center"/>
    </xf>
    <xf numFmtId="43" fontId="0" fillId="0" borderId="0" xfId="0" applyNumberFormat="1" applyAlignment="1">
      <alignment horizontal="center"/>
    </xf>
    <xf numFmtId="2" fontId="127" fillId="0" borderId="0" xfId="0" applyNumberFormat="1" applyFont="1" applyAlignment="1">
      <alignment horizontal="center"/>
    </xf>
    <xf numFmtId="0" fontId="114" fillId="0" borderId="0" xfId="0" applyFont="1" applyAlignment="1">
      <alignment horizontal="right"/>
    </xf>
    <xf numFmtId="0" fontId="0" fillId="0" borderId="66" xfId="0" applyBorder="1" applyAlignment="1">
      <alignment vertical="center"/>
    </xf>
    <xf numFmtId="234" fontId="0" fillId="0" borderId="66" xfId="6595" applyNumberFormat="1" applyFont="1" applyFill="1" applyBorder="1" applyAlignment="1">
      <alignment horizontal="center" vertical="center"/>
    </xf>
    <xf numFmtId="0" fontId="0" fillId="0" borderId="66" xfId="6595" applyNumberFormat="1" applyFont="1" applyFill="1" applyBorder="1" applyAlignment="1">
      <alignment horizontal="center" vertical="center"/>
    </xf>
    <xf numFmtId="0" fontId="0" fillId="54" borderId="66" xfId="0" applyFill="1" applyBorder="1"/>
    <xf numFmtId="0" fontId="0" fillId="54" borderId="0" xfId="0" applyFill="1" applyAlignment="1">
      <alignment horizontal="center"/>
    </xf>
    <xf numFmtId="0" fontId="15" fillId="0" borderId="66" xfId="0" applyFont="1" applyBorder="1" applyAlignment="1">
      <alignment horizontal="left"/>
    </xf>
    <xf numFmtId="0" fontId="15" fillId="0" borderId="128" xfId="0" applyFont="1" applyBorder="1" applyAlignment="1">
      <alignment horizontal="center" vertical="center"/>
    </xf>
    <xf numFmtId="41" fontId="0" fillId="0" borderId="66" xfId="0" applyNumberFormat="1" applyBorder="1" applyAlignment="1">
      <alignment horizontal="center"/>
    </xf>
    <xf numFmtId="2" fontId="5" fillId="54" borderId="66" xfId="6362" applyNumberFormat="1" applyFont="1" applyFill="1" applyBorder="1" applyAlignment="1">
      <alignment horizontal="center"/>
    </xf>
    <xf numFmtId="2" fontId="0" fillId="54" borderId="66" xfId="0" applyNumberFormat="1" applyFill="1" applyBorder="1" applyAlignment="1">
      <alignment horizontal="center"/>
    </xf>
    <xf numFmtId="0" fontId="12" fillId="0" borderId="128" xfId="0" applyFont="1" applyBorder="1" applyAlignment="1">
      <alignment horizontal="center" vertical="center"/>
    </xf>
    <xf numFmtId="196" fontId="0" fillId="54" borderId="66" xfId="0" applyNumberFormat="1" applyFill="1" applyBorder="1" applyAlignment="1">
      <alignment horizontal="center"/>
    </xf>
    <xf numFmtId="196" fontId="0" fillId="54" borderId="66" xfId="6362" applyNumberFormat="1" applyFont="1" applyFill="1" applyBorder="1" applyAlignment="1">
      <alignment horizontal="right"/>
    </xf>
    <xf numFmtId="196" fontId="0" fillId="0" borderId="66" xfId="6595" applyNumberFormat="1" applyFont="1" applyFill="1" applyBorder="1" applyAlignment="1">
      <alignment horizontal="right" vertical="center"/>
    </xf>
    <xf numFmtId="196" fontId="0" fillId="54" borderId="66" xfId="6595" applyNumberFormat="1" applyFont="1" applyFill="1" applyBorder="1" applyAlignment="1">
      <alignment horizontal="right"/>
    </xf>
    <xf numFmtId="219" fontId="15" fillId="54" borderId="66" xfId="0" applyNumberFormat="1" applyFont="1" applyFill="1" applyBorder="1" applyAlignment="1">
      <alignment horizontal="center"/>
    </xf>
    <xf numFmtId="0" fontId="15" fillId="54" borderId="66" xfId="0" applyFont="1" applyFill="1" applyBorder="1" applyAlignment="1">
      <alignment vertical="center"/>
    </xf>
    <xf numFmtId="2" fontId="15" fillId="54" borderId="66" xfId="0" applyNumberFormat="1" applyFont="1" applyFill="1" applyBorder="1" applyAlignment="1">
      <alignment horizontal="center" vertical="center"/>
    </xf>
    <xf numFmtId="2" fontId="5" fillId="54" borderId="66" xfId="6362" applyNumberFormat="1" applyFont="1" applyFill="1" applyBorder="1" applyAlignment="1">
      <alignment horizontal="center" vertical="center"/>
    </xf>
    <xf numFmtId="0" fontId="0" fillId="12" borderId="0" xfId="0" applyFill="1" applyAlignment="1">
      <alignment vertical="center"/>
    </xf>
    <xf numFmtId="0" fontId="15" fillId="0" borderId="0" xfId="0" applyFont="1" applyAlignment="1">
      <alignment horizontal="left" vertical="center"/>
    </xf>
    <xf numFmtId="0" fontId="15" fillId="0" borderId="126" xfId="0" applyFont="1" applyBorder="1" applyAlignment="1">
      <alignment horizontal="center" vertical="center" wrapText="1"/>
    </xf>
    <xf numFmtId="2" fontId="0" fillId="54" borderId="66" xfId="6362" applyNumberFormat="1" applyFont="1" applyFill="1" applyBorder="1" applyAlignment="1">
      <alignment horizontal="right"/>
    </xf>
    <xf numFmtId="0" fontId="0" fillId="0" borderId="0" xfId="0" applyAlignment="1">
      <alignment horizontal="right"/>
    </xf>
    <xf numFmtId="217" fontId="104" fillId="54" borderId="66" xfId="2329" applyNumberFormat="1" applyFont="1" applyFill="1" applyBorder="1" applyAlignment="1">
      <alignment horizontal="center" vertical="center"/>
    </xf>
    <xf numFmtId="219" fontId="15" fillId="54" borderId="66" xfId="6362" applyNumberFormat="1" applyFont="1" applyFill="1" applyBorder="1" applyAlignment="1">
      <alignment horizontal="center"/>
    </xf>
    <xf numFmtId="0" fontId="0" fillId="0" borderId="66" xfId="6595" applyNumberFormat="1" applyFont="1" applyFill="1" applyBorder="1" applyAlignment="1">
      <alignment horizontal="right" vertical="center"/>
    </xf>
    <xf numFmtId="2" fontId="0" fillId="54" borderId="66" xfId="6362" applyNumberFormat="1" applyFont="1" applyFill="1" applyBorder="1" applyAlignment="1">
      <alignment horizontal="center" vertical="center"/>
    </xf>
    <xf numFmtId="4" fontId="0" fillId="0" borderId="61" xfId="0" applyNumberFormat="1" applyBorder="1" applyAlignment="1">
      <alignment horizontal="center"/>
    </xf>
    <xf numFmtId="43" fontId="0" fillId="0" borderId="125" xfId="9891" applyFont="1" applyFill="1" applyBorder="1" applyAlignment="1">
      <alignment horizontal="center" vertical="center" wrapText="1"/>
    </xf>
    <xf numFmtId="3" fontId="104" fillId="0" borderId="66" xfId="2329" applyNumberFormat="1" applyFont="1" applyBorder="1" applyAlignment="1">
      <alignment horizontal="center" vertical="center"/>
    </xf>
    <xf numFmtId="3" fontId="104" fillId="54" borderId="66" xfId="2329" applyNumberFormat="1" applyFont="1" applyFill="1" applyBorder="1" applyAlignment="1">
      <alignment horizontal="center" vertical="center"/>
    </xf>
    <xf numFmtId="0" fontId="86" fillId="54" borderId="66" xfId="6362" applyNumberFormat="1" applyFont="1" applyFill="1" applyBorder="1" applyAlignment="1">
      <alignment horizontal="center" vertical="center"/>
    </xf>
    <xf numFmtId="176" fontId="129" fillId="0" borderId="0" xfId="1051" applyNumberFormat="1" applyFont="1" applyAlignment="1">
      <alignment horizontal="left" vertical="center"/>
    </xf>
    <xf numFmtId="0" fontId="0" fillId="54" borderId="0" xfId="0" applyFill="1" applyAlignment="1">
      <alignment horizontal="left"/>
    </xf>
    <xf numFmtId="233" fontId="0" fillId="54" borderId="0" xfId="6595" applyNumberFormat="1" applyFont="1" applyFill="1" applyBorder="1" applyAlignment="1">
      <alignment horizontal="center"/>
    </xf>
    <xf numFmtId="41" fontId="0" fillId="54" borderId="0" xfId="6595" applyFont="1" applyFill="1" applyBorder="1" applyAlignment="1">
      <alignment horizontal="center"/>
    </xf>
    <xf numFmtId="234" fontId="0" fillId="54" borderId="0" xfId="6595" applyNumberFormat="1" applyFont="1" applyFill="1" applyBorder="1" applyAlignment="1">
      <alignment horizontal="center"/>
    </xf>
    <xf numFmtId="0" fontId="0" fillId="54" borderId="0" xfId="0" applyFill="1"/>
    <xf numFmtId="4" fontId="104" fillId="54" borderId="0" xfId="2329" applyNumberFormat="1" applyFont="1" applyFill="1" applyAlignment="1">
      <alignment horizontal="center" vertical="center"/>
    </xf>
    <xf numFmtId="4" fontId="0" fillId="54" borderId="0" xfId="0" applyNumberFormat="1" applyFill="1" applyAlignment="1">
      <alignment horizontal="center"/>
    </xf>
    <xf numFmtId="1" fontId="15" fillId="0" borderId="0" xfId="0" applyNumberFormat="1" applyFont="1" applyAlignment="1">
      <alignment horizontal="center"/>
    </xf>
    <xf numFmtId="196" fontId="0" fillId="0" borderId="0" xfId="0" applyNumberFormat="1" applyAlignment="1">
      <alignment horizontal="center"/>
    </xf>
    <xf numFmtId="233" fontId="5" fillId="0" borderId="66" xfId="6595" applyNumberFormat="1" applyFont="1" applyBorder="1" applyAlignment="1">
      <alignment horizontal="left" indent="3"/>
    </xf>
    <xf numFmtId="233" fontId="5" fillId="54" borderId="66" xfId="6595" applyNumberFormat="1" applyFont="1" applyFill="1" applyBorder="1" applyAlignment="1">
      <alignment horizontal="left" indent="3"/>
    </xf>
    <xf numFmtId="233" fontId="5" fillId="0" borderId="66" xfId="6595" applyNumberFormat="1" applyFont="1" applyBorder="1" applyAlignment="1">
      <alignment horizontal="center"/>
    </xf>
    <xf numFmtId="233" fontId="5" fillId="54" borderId="66" xfId="6595" applyNumberFormat="1" applyFont="1" applyFill="1" applyBorder="1" applyAlignment="1">
      <alignment horizontal="center"/>
    </xf>
    <xf numFmtId="0" fontId="0" fillId="0" borderId="0" xfId="6595" applyNumberFormat="1" applyFont="1" applyFill="1" applyBorder="1" applyAlignment="1">
      <alignment horizontal="right" vertical="center"/>
    </xf>
    <xf numFmtId="0" fontId="0" fillId="0" borderId="0" xfId="6595" applyNumberFormat="1" applyFont="1" applyFill="1" applyBorder="1" applyAlignment="1">
      <alignment horizontal="center" vertical="center"/>
    </xf>
    <xf numFmtId="234" fontId="0" fillId="0" borderId="0" xfId="6595" applyNumberFormat="1" applyFont="1" applyFill="1" applyBorder="1" applyAlignment="1">
      <alignment horizontal="center" vertical="center"/>
    </xf>
    <xf numFmtId="0" fontId="0" fillId="0" borderId="128" xfId="0" applyBorder="1" applyAlignment="1">
      <alignment vertical="center" wrapText="1"/>
    </xf>
    <xf numFmtId="0" fontId="0" fillId="40" borderId="0" xfId="0" applyFill="1" applyAlignment="1">
      <alignment horizontal="center" vertical="center"/>
    </xf>
    <xf numFmtId="4" fontId="86" fillId="54" borderId="0" xfId="2329" applyNumberFormat="1" applyFont="1" applyFill="1" applyAlignment="1">
      <alignment horizontal="center" vertical="center"/>
    </xf>
    <xf numFmtId="0" fontId="0" fillId="54" borderId="0" xfId="0" applyFill="1" applyAlignment="1">
      <alignment horizontal="center" vertical="center"/>
    </xf>
    <xf numFmtId="0" fontId="86" fillId="54" borderId="0" xfId="6362" applyNumberFormat="1" applyFont="1" applyFill="1" applyBorder="1" applyAlignment="1">
      <alignment horizontal="center" vertical="center"/>
    </xf>
    <xf numFmtId="9" fontId="0" fillId="0" borderId="66" xfId="6362" applyFont="1" applyBorder="1" applyAlignment="1">
      <alignment horizontal="center"/>
    </xf>
    <xf numFmtId="9" fontId="0" fillId="54" borderId="66" xfId="6362" applyFont="1" applyFill="1" applyBorder="1" applyAlignment="1">
      <alignment horizontal="center"/>
    </xf>
    <xf numFmtId="0" fontId="12" fillId="0" borderId="66" xfId="0" applyFont="1" applyBorder="1" applyAlignment="1">
      <alignment horizontal="center" vertical="center"/>
    </xf>
    <xf numFmtId="241" fontId="85" fillId="0" borderId="125" xfId="9694" applyNumberFormat="1" applyFont="1" applyFill="1" applyBorder="1" applyAlignment="1">
      <alignment vertical="center"/>
    </xf>
    <xf numFmtId="0" fontId="9" fillId="0" borderId="0" xfId="6595" applyNumberFormat="1" applyFont="1" applyBorder="1" applyAlignment="1">
      <alignment horizontal="center" vertical="center"/>
    </xf>
    <xf numFmtId="0" fontId="0" fillId="0" borderId="66" xfId="0" applyBorder="1" applyAlignment="1">
      <alignment horizontal="center" vertical="center" wrapText="1"/>
    </xf>
    <xf numFmtId="0" fontId="84" fillId="0" borderId="0" xfId="12" applyFont="1" applyAlignment="1">
      <alignment horizontal="center" vertical="top"/>
    </xf>
    <xf numFmtId="2" fontId="19" fillId="44" borderId="66" xfId="12" applyNumberFormat="1" applyFont="1" applyFill="1" applyBorder="1" applyAlignment="1">
      <alignment horizontal="center" vertical="center"/>
    </xf>
    <xf numFmtId="0" fontId="19" fillId="44" borderId="66" xfId="12" applyFont="1" applyFill="1" applyBorder="1" applyAlignment="1">
      <alignment horizontal="center" vertical="center"/>
    </xf>
    <xf numFmtId="2" fontId="85" fillId="0" borderId="66" xfId="12" applyNumberFormat="1" applyFont="1" applyBorder="1" applyAlignment="1">
      <alignment horizontal="center" vertical="center"/>
    </xf>
    <xf numFmtId="0" fontId="85" fillId="0" borderId="66" xfId="12" applyFont="1" applyBorder="1" applyAlignment="1">
      <alignment horizontal="center" vertical="center"/>
    </xf>
    <xf numFmtId="0" fontId="136" fillId="3" borderId="66" xfId="0" applyFont="1" applyFill="1" applyBorder="1" applyAlignment="1">
      <alignment horizontal="center" vertical="center"/>
    </xf>
    <xf numFmtId="0" fontId="14" fillId="43" borderId="79" xfId="1034" applyNumberFormat="1" applyFont="1" applyFill="1" applyBorder="1" applyAlignment="1">
      <alignment horizontal="center" vertical="center" wrapText="1"/>
    </xf>
    <xf numFmtId="0" fontId="14" fillId="43" borderId="73" xfId="1034" applyNumberFormat="1" applyFont="1" applyFill="1" applyBorder="1" applyAlignment="1">
      <alignment horizontal="center" vertical="center" wrapText="1"/>
    </xf>
    <xf numFmtId="0" fontId="14" fillId="43" borderId="86" xfId="1034" applyNumberFormat="1" applyFont="1" applyFill="1" applyBorder="1" applyAlignment="1">
      <alignment horizontal="center" vertical="center" wrapText="1"/>
    </xf>
    <xf numFmtId="0" fontId="14" fillId="43" borderId="85" xfId="1034" applyNumberFormat="1" applyFont="1" applyFill="1" applyBorder="1" applyAlignment="1">
      <alignment horizontal="center" vertical="center" wrapText="1"/>
    </xf>
    <xf numFmtId="0" fontId="14" fillId="43" borderId="44" xfId="1034" applyNumberFormat="1" applyFont="1" applyFill="1" applyBorder="1" applyAlignment="1">
      <alignment horizontal="center" vertical="center" wrapText="1"/>
    </xf>
    <xf numFmtId="0" fontId="14" fillId="43" borderId="87" xfId="1034" applyNumberFormat="1" applyFont="1" applyFill="1" applyBorder="1" applyAlignment="1">
      <alignment horizontal="center" vertical="center" wrapText="1"/>
    </xf>
    <xf numFmtId="0" fontId="14" fillId="43" borderId="71" xfId="1034" applyNumberFormat="1" applyFont="1" applyFill="1" applyBorder="1" applyAlignment="1">
      <alignment horizontal="center" vertical="center" wrapText="1"/>
    </xf>
    <xf numFmtId="0" fontId="14" fillId="43" borderId="90" xfId="1034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7" fillId="43" borderId="85" xfId="1056" applyNumberFormat="1" applyFont="1" applyFill="1" applyBorder="1" applyAlignment="1">
      <alignment horizontal="center" vertical="center" wrapText="1"/>
    </xf>
    <xf numFmtId="0" fontId="7" fillId="43" borderId="44" xfId="1056" applyNumberFormat="1" applyFont="1" applyFill="1" applyBorder="1" applyAlignment="1">
      <alignment horizontal="center" vertical="center" wrapText="1"/>
    </xf>
    <xf numFmtId="0" fontId="7" fillId="43" borderId="87" xfId="1056" applyNumberFormat="1" applyFont="1" applyFill="1" applyBorder="1" applyAlignment="1">
      <alignment horizontal="center" vertical="center" wrapText="1"/>
    </xf>
    <xf numFmtId="0" fontId="7" fillId="43" borderId="90" xfId="1056" applyNumberFormat="1" applyFont="1" applyFill="1" applyBorder="1" applyAlignment="1">
      <alignment horizontal="center" vertical="center" wrapText="1"/>
    </xf>
    <xf numFmtId="0" fontId="7" fillId="43" borderId="54" xfId="1056" applyNumberFormat="1" applyFont="1" applyFill="1" applyBorder="1" applyAlignment="1">
      <alignment horizontal="center" vertical="center" wrapText="1"/>
    </xf>
    <xf numFmtId="0" fontId="7" fillId="43" borderId="62" xfId="1056" applyNumberFormat="1" applyFont="1" applyFill="1" applyBorder="1" applyAlignment="1">
      <alignment horizontal="center" vertical="center" wrapText="1"/>
    </xf>
    <xf numFmtId="0" fontId="0" fillId="52" borderId="74" xfId="0" applyFill="1" applyBorder="1" applyAlignment="1">
      <alignment horizontal="center" vertical="center"/>
    </xf>
    <xf numFmtId="0" fontId="0" fillId="52" borderId="75" xfId="0" applyFill="1" applyBorder="1" applyAlignment="1">
      <alignment horizontal="center" vertical="center"/>
    </xf>
    <xf numFmtId="0" fontId="0" fillId="52" borderId="11" xfId="0" applyFill="1" applyBorder="1" applyAlignment="1">
      <alignment horizontal="center"/>
    </xf>
    <xf numFmtId="0" fontId="14" fillId="53" borderId="66" xfId="0" applyFont="1" applyFill="1" applyBorder="1" applyAlignment="1">
      <alignment horizontal="center"/>
    </xf>
    <xf numFmtId="0" fontId="15" fillId="0" borderId="111" xfId="0" applyFont="1" applyBorder="1" applyAlignment="1">
      <alignment horizontal="left" vertical="center"/>
    </xf>
    <xf numFmtId="0" fontId="15" fillId="0" borderId="86" xfId="0" applyFont="1" applyBorder="1" applyAlignment="1">
      <alignment horizontal="left" vertical="center"/>
    </xf>
    <xf numFmtId="0" fontId="14" fillId="53" borderId="79" xfId="0" applyFont="1" applyFill="1" applyBorder="1" applyAlignment="1">
      <alignment horizontal="center"/>
    </xf>
    <xf numFmtId="0" fontId="14" fillId="53" borderId="86" xfId="0" applyFont="1" applyFill="1" applyBorder="1" applyAlignment="1">
      <alignment horizontal="center"/>
    </xf>
    <xf numFmtId="0" fontId="0" fillId="0" borderId="79" xfId="0" applyBorder="1" applyAlignment="1">
      <alignment horizontal="left"/>
    </xf>
    <xf numFmtId="0" fontId="0" fillId="0" borderId="86" xfId="0" applyBorder="1" applyAlignment="1">
      <alignment horizontal="left"/>
    </xf>
    <xf numFmtId="0" fontId="0" fillId="0" borderId="110" xfId="0" applyBorder="1" applyAlignment="1">
      <alignment horizontal="center" vertical="center"/>
    </xf>
    <xf numFmtId="0" fontId="0" fillId="0" borderId="109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15" fillId="0" borderId="66" xfId="0" applyFont="1" applyBorder="1" applyAlignment="1">
      <alignment horizontal="center" vertical="center"/>
    </xf>
    <xf numFmtId="0" fontId="15" fillId="88" borderId="111" xfId="0" applyFont="1" applyFill="1" applyBorder="1" applyAlignment="1">
      <alignment horizontal="left" vertical="center"/>
    </xf>
    <xf numFmtId="0" fontId="15" fillId="88" borderId="86" xfId="0" applyFont="1" applyFill="1" applyBorder="1" applyAlignment="1">
      <alignment horizontal="left" vertical="center"/>
    </xf>
    <xf numFmtId="0" fontId="0" fillId="54" borderId="79" xfId="0" applyFill="1" applyBorder="1" applyAlignment="1">
      <alignment horizontal="left"/>
    </xf>
    <xf numFmtId="0" fontId="0" fillId="54" borderId="86" xfId="0" applyFill="1" applyBorder="1" applyAlignment="1">
      <alignment horizontal="left"/>
    </xf>
    <xf numFmtId="0" fontId="14" fillId="53" borderId="126" xfId="0" applyFont="1" applyFill="1" applyBorder="1" applyAlignment="1">
      <alignment horizontal="center"/>
    </xf>
    <xf numFmtId="0" fontId="14" fillId="53" borderId="128" xfId="0" applyFont="1" applyFill="1" applyBorder="1" applyAlignment="1">
      <alignment horizontal="center"/>
    </xf>
    <xf numFmtId="0" fontId="15" fillId="0" borderId="131" xfId="0" applyFont="1" applyBorder="1" applyAlignment="1">
      <alignment vertical="center"/>
    </xf>
    <xf numFmtId="0" fontId="15" fillId="0" borderId="61" xfId="0" applyFont="1" applyBorder="1" applyAlignment="1">
      <alignment vertical="center"/>
    </xf>
    <xf numFmtId="0" fontId="15" fillId="0" borderId="44" xfId="0" applyFont="1" applyBorder="1" applyAlignment="1">
      <alignment vertical="center"/>
    </xf>
    <xf numFmtId="0" fontId="0" fillId="0" borderId="131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131" xfId="0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132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108" xfId="0" applyBorder="1" applyAlignment="1">
      <alignment horizontal="center" vertical="center"/>
    </xf>
    <xf numFmtId="0" fontId="0" fillId="0" borderId="126" xfId="0" applyBorder="1" applyAlignment="1">
      <alignment horizontal="left" vertical="center"/>
    </xf>
    <xf numFmtId="0" fontId="0" fillId="0" borderId="128" xfId="0" applyBorder="1" applyAlignment="1">
      <alignment horizontal="left" vertical="center"/>
    </xf>
    <xf numFmtId="0" fontId="0" fillId="40" borderId="132" xfId="0" applyFill="1" applyBorder="1" applyAlignment="1">
      <alignment horizontal="center" vertical="center"/>
    </xf>
    <xf numFmtId="0" fontId="0" fillId="40" borderId="60" xfId="0" applyFill="1" applyBorder="1" applyAlignment="1">
      <alignment horizontal="center" vertical="center"/>
    </xf>
    <xf numFmtId="0" fontId="0" fillId="40" borderId="108" xfId="0" applyFill="1" applyBorder="1" applyAlignment="1">
      <alignment horizontal="center" vertical="center"/>
    </xf>
    <xf numFmtId="0" fontId="0" fillId="54" borderId="132" xfId="0" applyFill="1" applyBorder="1" applyAlignment="1">
      <alignment horizontal="center" vertical="center"/>
    </xf>
    <xf numFmtId="0" fontId="0" fillId="54" borderId="60" xfId="0" applyFill="1" applyBorder="1" applyAlignment="1">
      <alignment horizontal="center" vertical="center"/>
    </xf>
    <xf numFmtId="0" fontId="0" fillId="54" borderId="108" xfId="0" applyFill="1" applyBorder="1" applyAlignment="1">
      <alignment horizontal="center" vertical="center"/>
    </xf>
    <xf numFmtId="0" fontId="15" fillId="0" borderId="66" xfId="0" applyFont="1" applyBorder="1" applyAlignment="1">
      <alignment vertical="center"/>
    </xf>
    <xf numFmtId="0" fontId="7" fillId="2" borderId="85" xfId="3" applyNumberFormat="1" applyFont="1" applyFill="1" applyBorder="1" applyAlignment="1">
      <alignment horizontal="center" vertical="center" wrapText="1"/>
    </xf>
    <xf numFmtId="0" fontId="7" fillId="2" borderId="44" xfId="3" applyNumberFormat="1" applyFont="1" applyFill="1" applyBorder="1" applyAlignment="1">
      <alignment horizontal="center" vertical="center" wrapText="1"/>
    </xf>
    <xf numFmtId="0" fontId="14" fillId="2" borderId="66" xfId="3" applyNumberFormat="1" applyFont="1" applyFill="1" applyBorder="1" applyAlignment="1">
      <alignment horizontal="center" vertical="center" wrapText="1"/>
    </xf>
    <xf numFmtId="0" fontId="7" fillId="2" borderId="87" xfId="3" applyNumberFormat="1" applyFont="1" applyFill="1" applyBorder="1" applyAlignment="1">
      <alignment horizontal="center" vertical="center" wrapText="1"/>
    </xf>
    <xf numFmtId="0" fontId="7" fillId="2" borderId="54" xfId="3" applyNumberFormat="1" applyFont="1" applyFill="1" applyBorder="1" applyAlignment="1">
      <alignment horizontal="center" vertical="center" wrapText="1"/>
    </xf>
    <xf numFmtId="0" fontId="7" fillId="2" borderId="85" xfId="3" applyNumberFormat="1" applyFont="1" applyFill="1" applyBorder="1" applyAlignment="1">
      <alignment horizontal="center" vertical="center"/>
    </xf>
    <xf numFmtId="0" fontId="7" fillId="2" borderId="44" xfId="3" applyNumberFormat="1" applyFont="1" applyFill="1" applyBorder="1" applyAlignment="1">
      <alignment horizontal="center" vertical="center"/>
    </xf>
    <xf numFmtId="0" fontId="14" fillId="2" borderId="66" xfId="1051" applyNumberFormat="1" applyFont="1" applyFill="1" applyBorder="1" applyAlignment="1">
      <alignment horizontal="center" vertical="center" wrapText="1"/>
    </xf>
    <xf numFmtId="0" fontId="14" fillId="2" borderId="79" xfId="1005" applyNumberFormat="1" applyFont="1" applyFill="1" applyBorder="1" applyAlignment="1">
      <alignment horizontal="center" vertical="center" wrapText="1"/>
    </xf>
    <xf numFmtId="0" fontId="14" fillId="2" borderId="73" xfId="1005" applyNumberFormat="1" applyFont="1" applyFill="1" applyBorder="1" applyAlignment="1">
      <alignment horizontal="center" vertical="center" wrapText="1"/>
    </xf>
    <xf numFmtId="0" fontId="14" fillId="2" borderId="86" xfId="1005" applyNumberFormat="1" applyFont="1" applyFill="1" applyBorder="1" applyAlignment="1">
      <alignment horizontal="center" vertical="center" wrapText="1"/>
    </xf>
    <xf numFmtId="0" fontId="14" fillId="2" borderId="85" xfId="1051" applyNumberFormat="1" applyFont="1" applyFill="1" applyBorder="1" applyAlignment="1">
      <alignment horizontal="center" vertical="center" wrapText="1"/>
    </xf>
    <xf numFmtId="0" fontId="14" fillId="2" borderId="44" xfId="1051" applyNumberFormat="1" applyFont="1" applyFill="1" applyBorder="1" applyAlignment="1">
      <alignment horizontal="center" vertical="center" wrapText="1"/>
    </xf>
    <xf numFmtId="0" fontId="14" fillId="2" borderId="87" xfId="1051" applyNumberFormat="1" applyFont="1" applyFill="1" applyBorder="1" applyAlignment="1">
      <alignment horizontal="center" vertical="center" wrapText="1"/>
    </xf>
    <xf numFmtId="0" fontId="14" fillId="2" borderId="90" xfId="1051" applyNumberFormat="1" applyFont="1" applyFill="1" applyBorder="1" applyAlignment="1">
      <alignment horizontal="center" vertical="center" wrapText="1"/>
    </xf>
    <xf numFmtId="0" fontId="14" fillId="2" borderId="54" xfId="1051" applyNumberFormat="1" applyFont="1" applyFill="1" applyBorder="1" applyAlignment="1">
      <alignment horizontal="center" vertical="center" wrapText="1"/>
    </xf>
    <xf numFmtId="0" fontId="14" fillId="2" borderId="62" xfId="1051" applyNumberFormat="1" applyFont="1" applyFill="1" applyBorder="1" applyAlignment="1">
      <alignment horizontal="center" vertical="center" wrapText="1"/>
    </xf>
    <xf numFmtId="0" fontId="7" fillId="2" borderId="79" xfId="1005" applyNumberFormat="1" applyFont="1" applyFill="1" applyBorder="1" applyAlignment="1">
      <alignment horizontal="center" vertical="center" wrapText="1"/>
    </xf>
    <xf numFmtId="0" fontId="7" fillId="2" borderId="73" xfId="1005" applyNumberFormat="1" applyFont="1" applyFill="1" applyBorder="1" applyAlignment="1">
      <alignment horizontal="center" vertical="center" wrapText="1"/>
    </xf>
    <xf numFmtId="0" fontId="7" fillId="2" borderId="86" xfId="1005" applyNumberFormat="1" applyFont="1" applyFill="1" applyBorder="1" applyAlignment="1">
      <alignment horizontal="center" vertical="center" wrapText="1"/>
    </xf>
    <xf numFmtId="0" fontId="7" fillId="2" borderId="79" xfId="2" applyNumberFormat="1" applyFont="1" applyFill="1" applyBorder="1" applyAlignment="1">
      <alignment horizontal="center" vertical="center" wrapText="1"/>
    </xf>
    <xf numFmtId="0" fontId="7" fillId="2" borderId="86" xfId="2" applyNumberFormat="1" applyFont="1" applyFill="1" applyBorder="1" applyAlignment="1">
      <alignment horizontal="center" vertical="center" wrapText="1"/>
    </xf>
    <xf numFmtId="0" fontId="7" fillId="2" borderId="85" xfId="2" applyNumberFormat="1" applyFont="1" applyFill="1" applyBorder="1" applyAlignment="1">
      <alignment horizontal="center" vertical="center" wrapText="1"/>
    </xf>
    <xf numFmtId="0" fontId="7" fillId="2" borderId="44" xfId="2" applyNumberFormat="1" applyFont="1" applyFill="1" applyBorder="1" applyAlignment="1">
      <alignment horizontal="center" vertical="center" wrapText="1"/>
    </xf>
    <xf numFmtId="0" fontId="7" fillId="2" borderId="87" xfId="2" applyNumberFormat="1" applyFont="1" applyFill="1" applyBorder="1" applyAlignment="1">
      <alignment horizontal="center" vertical="center" wrapText="1"/>
    </xf>
    <xf numFmtId="0" fontId="7" fillId="2" borderId="90" xfId="2" applyNumberFormat="1" applyFont="1" applyFill="1" applyBorder="1" applyAlignment="1">
      <alignment horizontal="center" vertical="center" wrapText="1"/>
    </xf>
    <xf numFmtId="0" fontId="7" fillId="2" borderId="54" xfId="2" applyNumberFormat="1" applyFont="1" applyFill="1" applyBorder="1" applyAlignment="1">
      <alignment horizontal="center" vertical="center" wrapText="1"/>
    </xf>
    <xf numFmtId="0" fontId="7" fillId="2" borderId="62" xfId="2" applyNumberFormat="1" applyFont="1" applyFill="1" applyBorder="1" applyAlignment="1">
      <alignment horizontal="center" vertical="center" wrapText="1"/>
    </xf>
    <xf numFmtId="0" fontId="7" fillId="2" borderId="85" xfId="1051" applyNumberFormat="1" applyFont="1" applyFill="1" applyBorder="1" applyAlignment="1">
      <alignment horizontal="center" vertical="center" wrapText="1"/>
    </xf>
    <xf numFmtId="0" fontId="7" fillId="2" borderId="44" xfId="1051" applyNumberFormat="1" applyFont="1" applyFill="1" applyBorder="1" applyAlignment="1">
      <alignment horizontal="center" vertical="center" wrapText="1"/>
    </xf>
    <xf numFmtId="0" fontId="7" fillId="2" borderId="87" xfId="1051" applyNumberFormat="1" applyFont="1" applyFill="1" applyBorder="1" applyAlignment="1">
      <alignment horizontal="center" vertical="center" wrapText="1"/>
    </xf>
    <xf numFmtId="0" fontId="7" fillId="2" borderId="90" xfId="1051" applyNumberFormat="1" applyFont="1" applyFill="1" applyBorder="1" applyAlignment="1">
      <alignment horizontal="center" vertical="center" wrapText="1"/>
    </xf>
    <xf numFmtId="0" fontId="7" fillId="2" borderId="54" xfId="1051" applyNumberFormat="1" applyFont="1" applyFill="1" applyBorder="1" applyAlignment="1">
      <alignment horizontal="center" vertical="center" wrapText="1"/>
    </xf>
    <xf numFmtId="0" fontId="7" fillId="2" borderId="62" xfId="1051" applyNumberFormat="1" applyFont="1" applyFill="1" applyBorder="1" applyAlignment="1">
      <alignment horizontal="center" vertical="center" wrapText="1"/>
    </xf>
    <xf numFmtId="0" fontId="7" fillId="2" borderId="79" xfId="1051" applyNumberFormat="1" applyFont="1" applyFill="1" applyBorder="1" applyAlignment="1">
      <alignment horizontal="center" vertical="center" wrapText="1"/>
    </xf>
    <xf numFmtId="0" fontId="7" fillId="2" borderId="86" xfId="1051" applyNumberFormat="1" applyFont="1" applyFill="1" applyBorder="1" applyAlignment="1">
      <alignment horizontal="center" vertical="center" wrapText="1"/>
    </xf>
    <xf numFmtId="0" fontId="179" fillId="55" borderId="0" xfId="0" applyFont="1" applyFill="1" applyAlignment="1">
      <alignment horizontal="left" vertical="center"/>
    </xf>
    <xf numFmtId="0" fontId="18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0" borderId="91" xfId="0" applyFont="1" applyBorder="1" applyAlignment="1">
      <alignment horizontal="center" vertical="center" wrapText="1"/>
    </xf>
    <xf numFmtId="0" fontId="15" fillId="0" borderId="93" xfId="0" applyFont="1" applyBorder="1" applyAlignment="1">
      <alignment horizontal="center" vertical="center"/>
    </xf>
    <xf numFmtId="0" fontId="15" fillId="0" borderId="95" xfId="0" applyFont="1" applyBorder="1" applyAlignment="1">
      <alignment horizontal="center" vertical="center"/>
    </xf>
    <xf numFmtId="0" fontId="14" fillId="90" borderId="0" xfId="0" applyFont="1" applyFill="1" applyAlignment="1">
      <alignment horizontal="center"/>
    </xf>
    <xf numFmtId="0" fontId="0" fillId="90" borderId="0" xfId="0" applyFill="1" applyAlignment="1">
      <alignment horizontal="center"/>
    </xf>
    <xf numFmtId="2" fontId="191" fillId="0" borderId="0" xfId="0" applyNumberFormat="1" applyFont="1" applyAlignment="1">
      <alignment horizontal="center" vertical="center"/>
    </xf>
    <xf numFmtId="0" fontId="182" fillId="0" borderId="93" xfId="0" applyFont="1" applyBorder="1" applyAlignment="1">
      <alignment horizontal="center" vertical="center"/>
    </xf>
    <xf numFmtId="0" fontId="182" fillId="0" borderId="0" xfId="0" applyFont="1" applyAlignment="1">
      <alignment horizontal="center" vertical="center"/>
    </xf>
    <xf numFmtId="0" fontId="182" fillId="0" borderId="95" xfId="0" applyFont="1" applyBorder="1" applyAlignment="1">
      <alignment horizontal="center" vertical="center"/>
    </xf>
    <xf numFmtId="0" fontId="182" fillId="0" borderId="96" xfId="0" applyFont="1" applyBorder="1" applyAlignment="1">
      <alignment horizontal="center" vertical="center"/>
    </xf>
    <xf numFmtId="0" fontId="183" fillId="0" borderId="0" xfId="0" applyFont="1" applyAlignment="1">
      <alignment horizontal="center" vertical="center"/>
    </xf>
    <xf numFmtId="0" fontId="183" fillId="0" borderId="27" xfId="0" applyFont="1" applyBorder="1" applyAlignment="1">
      <alignment horizontal="center" vertical="center"/>
    </xf>
    <xf numFmtId="0" fontId="183" fillId="0" borderId="92" xfId="0" applyFont="1" applyBorder="1" applyAlignment="1">
      <alignment horizontal="center" vertical="center"/>
    </xf>
    <xf numFmtId="0" fontId="183" fillId="0" borderId="94" xfId="0" applyFont="1" applyBorder="1" applyAlignment="1">
      <alignment horizontal="center" vertical="center"/>
    </xf>
    <xf numFmtId="0" fontId="183" fillId="0" borderId="96" xfId="0" applyFont="1" applyBorder="1" applyAlignment="1">
      <alignment horizontal="center" vertical="center"/>
    </xf>
    <xf numFmtId="0" fontId="183" fillId="0" borderId="133" xfId="0" applyFont="1" applyBorder="1" applyAlignment="1">
      <alignment horizontal="center" vertical="center"/>
    </xf>
    <xf numFmtId="0" fontId="183" fillId="0" borderId="134" xfId="0" applyFont="1" applyBorder="1" applyAlignment="1">
      <alignment horizontal="center" vertical="center"/>
    </xf>
    <xf numFmtId="0" fontId="182" fillId="0" borderId="91" xfId="0" applyFont="1" applyBorder="1" applyAlignment="1">
      <alignment horizontal="center" vertical="center"/>
    </xf>
    <xf numFmtId="0" fontId="182" fillId="0" borderId="27" xfId="0" applyFont="1" applyBorder="1" applyAlignment="1">
      <alignment horizontal="center" vertical="center"/>
    </xf>
    <xf numFmtId="0" fontId="84" fillId="89" borderId="0" xfId="0" applyFont="1" applyFill="1" applyAlignment="1">
      <alignment horizontal="center" vertical="center"/>
    </xf>
    <xf numFmtId="243" fontId="84" fillId="89" borderId="0" xfId="0" applyNumberFormat="1" applyFont="1" applyFill="1" applyAlignment="1">
      <alignment horizontal="left" vertical="center"/>
    </xf>
    <xf numFmtId="0" fontId="84" fillId="0" borderId="91" xfId="0" applyFont="1" applyBorder="1" applyAlignment="1">
      <alignment horizontal="left" vertical="center" wrapText="1"/>
    </xf>
    <xf numFmtId="0" fontId="84" fillId="0" borderId="27" xfId="0" applyFont="1" applyBorder="1" applyAlignment="1">
      <alignment horizontal="left" vertical="center"/>
    </xf>
    <xf numFmtId="0" fontId="84" fillId="0" borderId="93" xfId="0" applyFont="1" applyBorder="1" applyAlignment="1">
      <alignment horizontal="left" vertical="center"/>
    </xf>
    <xf numFmtId="0" fontId="84" fillId="0" borderId="0" xfId="0" applyFont="1" applyAlignment="1">
      <alignment horizontal="left" vertical="center"/>
    </xf>
    <xf numFmtId="0" fontId="0" fillId="0" borderId="27" xfId="0" applyBorder="1" applyAlignment="1">
      <alignment horizontal="left"/>
    </xf>
    <xf numFmtId="0" fontId="0" fillId="0" borderId="92" xfId="0" applyBorder="1" applyAlignment="1">
      <alignment horizontal="left"/>
    </xf>
    <xf numFmtId="0" fontId="0" fillId="0" borderId="0" xfId="0" applyAlignment="1">
      <alignment horizontal="left"/>
    </xf>
    <xf numFmtId="0" fontId="0" fillId="0" borderId="94" xfId="0" applyBorder="1" applyAlignment="1">
      <alignment horizontal="left"/>
    </xf>
    <xf numFmtId="0" fontId="179" fillId="0" borderId="0" xfId="0" applyFont="1" applyAlignment="1">
      <alignment horizontal="left"/>
    </xf>
    <xf numFmtId="0" fontId="184" fillId="0" borderId="0" xfId="0" applyFont="1" applyAlignment="1">
      <alignment horizontal="center" vertical="center"/>
    </xf>
    <xf numFmtId="0" fontId="183" fillId="0" borderId="97" xfId="0" applyFont="1" applyBorder="1" applyAlignment="1">
      <alignment horizontal="center" vertical="center"/>
    </xf>
    <xf numFmtId="0" fontId="186" fillId="0" borderId="0" xfId="0" applyFont="1" applyAlignment="1">
      <alignment horizontal="right" vertical="center"/>
    </xf>
    <xf numFmtId="243" fontId="84" fillId="89" borderId="0" xfId="0" applyNumberFormat="1" applyFont="1" applyFill="1" applyAlignment="1">
      <alignment horizontal="center" vertical="center"/>
    </xf>
    <xf numFmtId="0" fontId="84" fillId="0" borderId="27" xfId="0" applyFont="1" applyBorder="1" applyAlignment="1">
      <alignment horizontal="left" vertical="center" wrapText="1"/>
    </xf>
    <xf numFmtId="0" fontId="84" fillId="0" borderId="93" xfId="0" applyFont="1" applyBorder="1" applyAlignment="1">
      <alignment horizontal="left" vertical="center" wrapText="1"/>
    </xf>
    <xf numFmtId="0" fontId="84" fillId="0" borderId="0" xfId="0" applyFont="1" applyAlignment="1">
      <alignment horizontal="left" vertical="center" wrapText="1"/>
    </xf>
    <xf numFmtId="176" fontId="12" fillId="91" borderId="60" xfId="1051" applyNumberFormat="1" applyFont="1" applyFill="1" applyBorder="1" applyAlignment="1">
      <alignment horizontal="center" vertical="center" wrapText="1"/>
    </xf>
    <xf numFmtId="176" fontId="12" fillId="91" borderId="89" xfId="1051" applyNumberFormat="1" applyFont="1" applyFill="1" applyBorder="1" applyAlignment="1">
      <alignment horizontal="center" vertical="center" wrapText="1"/>
    </xf>
    <xf numFmtId="0" fontId="0" fillId="91" borderId="0" xfId="0" applyFill="1"/>
  </cellXfs>
  <cellStyles count="9892">
    <cellStyle name="_CF-STET" xfId="1059" xr:uid="{00000000-0005-0000-0000-000000000000}"/>
    <cellStyle name="_CF-STET_1" xfId="1060" xr:uid="{00000000-0005-0000-0000-000001000000}"/>
    <cellStyle name="_CF-STET_2" xfId="1061" xr:uid="{00000000-0005-0000-0000-000002000000}"/>
    <cellStyle name="_CF-STET_3" xfId="1062" xr:uid="{00000000-0005-0000-0000-000003000000}"/>
    <cellStyle name="_CF-STET_4" xfId="1063" xr:uid="{00000000-0005-0000-0000-000004000000}"/>
    <cellStyle name="_CF-STET_5" xfId="1064" xr:uid="{00000000-0005-0000-0000-000005000000}"/>
    <cellStyle name="_CF-STET_6" xfId="1065" xr:uid="{00000000-0005-0000-0000-000006000000}"/>
    <cellStyle name="_CF-STET_7" xfId="1066" xr:uid="{00000000-0005-0000-0000-000007000000}"/>
    <cellStyle name="_CF-STET_8" xfId="1067" xr:uid="{00000000-0005-0000-0000-000008000000}"/>
    <cellStyle name="_CF-STET_9" xfId="1068" xr:uid="{00000000-0005-0000-0000-000009000000}"/>
    <cellStyle name="_CF-STET_A" xfId="1069" xr:uid="{00000000-0005-0000-0000-00000A000000}"/>
    <cellStyle name="¹éºÐÀ² - Style1" xfId="1070" xr:uid="{00000000-0005-0000-0000-00000B000000}"/>
    <cellStyle name="¹éºÐÀ² - Style2" xfId="1071" xr:uid="{00000000-0005-0000-0000-00000C000000}"/>
    <cellStyle name="¹éºÐÀ² - Style3" xfId="1072" xr:uid="{00000000-0005-0000-0000-00000D000000}"/>
    <cellStyle name="¹éºÐÀ² - Style4" xfId="1073" xr:uid="{00000000-0005-0000-0000-00000E000000}"/>
    <cellStyle name="¹éºÐÀ² - Style5" xfId="1074" xr:uid="{00000000-0005-0000-0000-00000F000000}"/>
    <cellStyle name="¹éºÐÀ² - Style6" xfId="1075" xr:uid="{00000000-0005-0000-0000-000010000000}"/>
    <cellStyle name="¹éºÐÀ² - Style7" xfId="1076" xr:uid="{00000000-0005-0000-0000-000011000000}"/>
    <cellStyle name="¹éºÐÀ² - Style8" xfId="1077" xr:uid="{00000000-0005-0000-0000-000012000000}"/>
    <cellStyle name="¹éºÐÀ²_±âÅ¸" xfId="1078" xr:uid="{00000000-0005-0000-0000-000013000000}"/>
    <cellStyle name="20% - Accent1 10" xfId="13" xr:uid="{00000000-0005-0000-0000-000014000000}"/>
    <cellStyle name="20% - Accent1 10 2" xfId="1079" xr:uid="{00000000-0005-0000-0000-000015000000}"/>
    <cellStyle name="20% - Accent1 10 2 2" xfId="1080" xr:uid="{00000000-0005-0000-0000-000016000000}"/>
    <cellStyle name="20% - Accent1 10 2 3" xfId="2343" xr:uid="{00000000-0005-0000-0000-000017000000}"/>
    <cellStyle name="20% - Accent1 10 3" xfId="1081" xr:uid="{00000000-0005-0000-0000-000018000000}"/>
    <cellStyle name="20% - Accent1 10 3 2" xfId="1082" xr:uid="{00000000-0005-0000-0000-000019000000}"/>
    <cellStyle name="20% - Accent1 10 3 3" xfId="2344" xr:uid="{00000000-0005-0000-0000-00001A000000}"/>
    <cellStyle name="20% - Accent1 10 4" xfId="1083" xr:uid="{00000000-0005-0000-0000-00001B000000}"/>
    <cellStyle name="20% - Accent1 10_BukuBesar" xfId="2345" xr:uid="{00000000-0005-0000-0000-00001C000000}"/>
    <cellStyle name="20% - Accent1 11" xfId="14" xr:uid="{00000000-0005-0000-0000-00001D000000}"/>
    <cellStyle name="20% - Accent1 11 2" xfId="1084" xr:uid="{00000000-0005-0000-0000-00001E000000}"/>
    <cellStyle name="20% - Accent1 11 2 2" xfId="1085" xr:uid="{00000000-0005-0000-0000-00001F000000}"/>
    <cellStyle name="20% - Accent1 11 2 3" xfId="2346" xr:uid="{00000000-0005-0000-0000-000020000000}"/>
    <cellStyle name="20% - Accent1 11 3" xfId="1086" xr:uid="{00000000-0005-0000-0000-000021000000}"/>
    <cellStyle name="20% - Accent1 11 3 2" xfId="1087" xr:uid="{00000000-0005-0000-0000-000022000000}"/>
    <cellStyle name="20% - Accent1 11 3 3" xfId="2347" xr:uid="{00000000-0005-0000-0000-000023000000}"/>
    <cellStyle name="20% - Accent1 11 4" xfId="1088" xr:uid="{00000000-0005-0000-0000-000024000000}"/>
    <cellStyle name="20% - Accent1 11_BukuBesar" xfId="2348" xr:uid="{00000000-0005-0000-0000-000025000000}"/>
    <cellStyle name="20% - Accent1 12" xfId="15" xr:uid="{00000000-0005-0000-0000-000026000000}"/>
    <cellStyle name="20% - Accent1 12 2" xfId="1089" xr:uid="{00000000-0005-0000-0000-000027000000}"/>
    <cellStyle name="20% - Accent1 12 2 2" xfId="1090" xr:uid="{00000000-0005-0000-0000-000028000000}"/>
    <cellStyle name="20% - Accent1 12 2 3" xfId="2349" xr:uid="{00000000-0005-0000-0000-000029000000}"/>
    <cellStyle name="20% - Accent1 12 3" xfId="1091" xr:uid="{00000000-0005-0000-0000-00002A000000}"/>
    <cellStyle name="20% - Accent1 12 3 2" xfId="1092" xr:uid="{00000000-0005-0000-0000-00002B000000}"/>
    <cellStyle name="20% - Accent1 12 3 3" xfId="2350" xr:uid="{00000000-0005-0000-0000-00002C000000}"/>
    <cellStyle name="20% - Accent1 12 4" xfId="1093" xr:uid="{00000000-0005-0000-0000-00002D000000}"/>
    <cellStyle name="20% - Accent1 12_BukuBesar" xfId="2351" xr:uid="{00000000-0005-0000-0000-00002E000000}"/>
    <cellStyle name="20% - Accent1 13" xfId="16" xr:uid="{00000000-0005-0000-0000-00002F000000}"/>
    <cellStyle name="20% - Accent1 13 2" xfId="1094" xr:uid="{00000000-0005-0000-0000-000030000000}"/>
    <cellStyle name="20% - Accent1 13 2 2" xfId="1095" xr:uid="{00000000-0005-0000-0000-000031000000}"/>
    <cellStyle name="20% - Accent1 13 2 3" xfId="2352" xr:uid="{00000000-0005-0000-0000-000032000000}"/>
    <cellStyle name="20% - Accent1 13 3" xfId="1096" xr:uid="{00000000-0005-0000-0000-000033000000}"/>
    <cellStyle name="20% - Accent1 13 3 2" xfId="1097" xr:uid="{00000000-0005-0000-0000-000034000000}"/>
    <cellStyle name="20% - Accent1 13 3 3" xfId="2353" xr:uid="{00000000-0005-0000-0000-000035000000}"/>
    <cellStyle name="20% - Accent1 13 4" xfId="1098" xr:uid="{00000000-0005-0000-0000-000036000000}"/>
    <cellStyle name="20% - Accent1 13_BukuBesar" xfId="2354" xr:uid="{00000000-0005-0000-0000-000037000000}"/>
    <cellStyle name="20% - Accent1 14" xfId="2355" xr:uid="{00000000-0005-0000-0000-000038000000}"/>
    <cellStyle name="20% - Accent1 14 2" xfId="2356" xr:uid="{00000000-0005-0000-0000-000039000000}"/>
    <cellStyle name="20% - Accent1 14 3" xfId="2357" xr:uid="{00000000-0005-0000-0000-00003A000000}"/>
    <cellStyle name="20% - Accent1 14_BukuBesar" xfId="2358" xr:uid="{00000000-0005-0000-0000-00003B000000}"/>
    <cellStyle name="20% - Accent1 15" xfId="2359" xr:uid="{00000000-0005-0000-0000-00003C000000}"/>
    <cellStyle name="20% - Accent1 15 2" xfId="2360" xr:uid="{00000000-0005-0000-0000-00003D000000}"/>
    <cellStyle name="20% - Accent1 15 3" xfId="2361" xr:uid="{00000000-0005-0000-0000-00003E000000}"/>
    <cellStyle name="20% - Accent1 15_BukuBesar" xfId="2362" xr:uid="{00000000-0005-0000-0000-00003F000000}"/>
    <cellStyle name="20% - Accent1 16" xfId="2363" xr:uid="{00000000-0005-0000-0000-000040000000}"/>
    <cellStyle name="20% - Accent1 16 2" xfId="2364" xr:uid="{00000000-0005-0000-0000-000041000000}"/>
    <cellStyle name="20% - Accent1 16 3" xfId="2365" xr:uid="{00000000-0005-0000-0000-000042000000}"/>
    <cellStyle name="20% - Accent1 16_BukuBesar" xfId="2366" xr:uid="{00000000-0005-0000-0000-000043000000}"/>
    <cellStyle name="20% - Accent1 17" xfId="2367" xr:uid="{00000000-0005-0000-0000-000044000000}"/>
    <cellStyle name="20% - Accent1 17 2" xfId="2368" xr:uid="{00000000-0005-0000-0000-000045000000}"/>
    <cellStyle name="20% - Accent1 17 3" xfId="2369" xr:uid="{00000000-0005-0000-0000-000046000000}"/>
    <cellStyle name="20% - Accent1 17_BukuBesar" xfId="2370" xr:uid="{00000000-0005-0000-0000-000047000000}"/>
    <cellStyle name="20% - Accent1 18" xfId="2371" xr:uid="{00000000-0005-0000-0000-000048000000}"/>
    <cellStyle name="20% - Accent1 18 2" xfId="2372" xr:uid="{00000000-0005-0000-0000-000049000000}"/>
    <cellStyle name="20% - Accent1 18 3" xfId="2373" xr:uid="{00000000-0005-0000-0000-00004A000000}"/>
    <cellStyle name="20% - Accent1 18_BukuBesar" xfId="2374" xr:uid="{00000000-0005-0000-0000-00004B000000}"/>
    <cellStyle name="20% - Accent1 19" xfId="2375" xr:uid="{00000000-0005-0000-0000-00004C000000}"/>
    <cellStyle name="20% - Accent1 19 2" xfId="2376" xr:uid="{00000000-0005-0000-0000-00004D000000}"/>
    <cellStyle name="20% - Accent1 19_BukuBesar" xfId="2377" xr:uid="{00000000-0005-0000-0000-00004E000000}"/>
    <cellStyle name="20% - Accent1 2" xfId="17" xr:uid="{00000000-0005-0000-0000-00004F000000}"/>
    <cellStyle name="20% - Accent1 2 2" xfId="1099" xr:uid="{00000000-0005-0000-0000-000050000000}"/>
    <cellStyle name="20% - Accent1 2 2 2" xfId="1100" xr:uid="{00000000-0005-0000-0000-000051000000}"/>
    <cellStyle name="20% - Accent1 2 2 2 2" xfId="2378" xr:uid="{00000000-0005-0000-0000-000052000000}"/>
    <cellStyle name="20% - Accent1 2 2 3" xfId="2379" xr:uid="{00000000-0005-0000-0000-000053000000}"/>
    <cellStyle name="20% - Accent1 2 2_BukuBesar" xfId="2380" xr:uid="{00000000-0005-0000-0000-000054000000}"/>
    <cellStyle name="20% - Accent1 2 3" xfId="1101" xr:uid="{00000000-0005-0000-0000-000055000000}"/>
    <cellStyle name="20% - Accent1 2 3 2" xfId="1102" xr:uid="{00000000-0005-0000-0000-000056000000}"/>
    <cellStyle name="20% - Accent1 2 4" xfId="1103" xr:uid="{00000000-0005-0000-0000-000057000000}"/>
    <cellStyle name="20% - Accent1 2 4 2" xfId="2381" xr:uid="{00000000-0005-0000-0000-000058000000}"/>
    <cellStyle name="20% - Accent1 2 5" xfId="2382" xr:uid="{00000000-0005-0000-0000-000059000000}"/>
    <cellStyle name="20% - Accent1 2 6" xfId="2383" xr:uid="{00000000-0005-0000-0000-00005A000000}"/>
    <cellStyle name="20% - Accent1 2 7" xfId="2384" xr:uid="{00000000-0005-0000-0000-00005B000000}"/>
    <cellStyle name="20% - Accent1 2 8" xfId="6486" xr:uid="{FDE33E5E-CAC1-44C9-91C5-2FFF026CE112}"/>
    <cellStyle name="20% - Accent1 2_BukuBesar" xfId="2385" xr:uid="{00000000-0005-0000-0000-00005C000000}"/>
    <cellStyle name="20% - Accent1 20" xfId="2386" xr:uid="{00000000-0005-0000-0000-00005D000000}"/>
    <cellStyle name="20% - Accent1 20 2" xfId="2387" xr:uid="{00000000-0005-0000-0000-00005E000000}"/>
    <cellStyle name="20% - Accent1 20 3" xfId="2388" xr:uid="{00000000-0005-0000-0000-00005F000000}"/>
    <cellStyle name="20% - Accent1 20_BukuBesar" xfId="2389" xr:uid="{00000000-0005-0000-0000-000060000000}"/>
    <cellStyle name="20% - Accent1 21" xfId="2390" xr:uid="{00000000-0005-0000-0000-000061000000}"/>
    <cellStyle name="20% - Accent1 21 2" xfId="2391" xr:uid="{00000000-0005-0000-0000-000062000000}"/>
    <cellStyle name="20% - Accent1 21_BukuBesar" xfId="2392" xr:uid="{00000000-0005-0000-0000-000063000000}"/>
    <cellStyle name="20% - Accent1 22" xfId="2393" xr:uid="{00000000-0005-0000-0000-000064000000}"/>
    <cellStyle name="20% - Accent1 22 2" xfId="2394" xr:uid="{00000000-0005-0000-0000-000065000000}"/>
    <cellStyle name="20% - Accent1 22_BukuBesar" xfId="2395" xr:uid="{00000000-0005-0000-0000-000066000000}"/>
    <cellStyle name="20% - Accent1 23" xfId="2396" xr:uid="{00000000-0005-0000-0000-000067000000}"/>
    <cellStyle name="20% - Accent1 23 2" xfId="2397" xr:uid="{00000000-0005-0000-0000-000068000000}"/>
    <cellStyle name="20% - Accent1 23_BukuBesar" xfId="2398" xr:uid="{00000000-0005-0000-0000-000069000000}"/>
    <cellStyle name="20% - Accent1 24" xfId="2399" xr:uid="{00000000-0005-0000-0000-00006A000000}"/>
    <cellStyle name="20% - Accent1 24 2" xfId="2400" xr:uid="{00000000-0005-0000-0000-00006B000000}"/>
    <cellStyle name="20% - Accent1 24_BukuBesar" xfId="2401" xr:uid="{00000000-0005-0000-0000-00006C000000}"/>
    <cellStyle name="20% - Accent1 25" xfId="2402" xr:uid="{00000000-0005-0000-0000-00006D000000}"/>
    <cellStyle name="20% - Accent1 25 2" xfId="2403" xr:uid="{00000000-0005-0000-0000-00006E000000}"/>
    <cellStyle name="20% - Accent1 25_BukuBesar" xfId="2404" xr:uid="{00000000-0005-0000-0000-00006F000000}"/>
    <cellStyle name="20% - Accent1 26" xfId="2405" xr:uid="{00000000-0005-0000-0000-000070000000}"/>
    <cellStyle name="20% - Accent1 26 2" xfId="2406" xr:uid="{00000000-0005-0000-0000-000071000000}"/>
    <cellStyle name="20% - Accent1 26_BukuBesar" xfId="2407" xr:uid="{00000000-0005-0000-0000-000072000000}"/>
    <cellStyle name="20% - Accent1 27" xfId="2408" xr:uid="{00000000-0005-0000-0000-000073000000}"/>
    <cellStyle name="20% - Accent1 27 2" xfId="2409" xr:uid="{00000000-0005-0000-0000-000074000000}"/>
    <cellStyle name="20% - Accent1 27_BukuBesar" xfId="2410" xr:uid="{00000000-0005-0000-0000-000075000000}"/>
    <cellStyle name="20% - Accent1 28" xfId="2411" xr:uid="{00000000-0005-0000-0000-000076000000}"/>
    <cellStyle name="20% - Accent1 28 2" xfId="2412" xr:uid="{00000000-0005-0000-0000-000077000000}"/>
    <cellStyle name="20% - Accent1 28_BukuBesar" xfId="2413" xr:uid="{00000000-0005-0000-0000-000078000000}"/>
    <cellStyle name="20% - Accent1 29" xfId="2414" xr:uid="{00000000-0005-0000-0000-000079000000}"/>
    <cellStyle name="20% - Accent1 29 2" xfId="2415" xr:uid="{00000000-0005-0000-0000-00007A000000}"/>
    <cellStyle name="20% - Accent1 29_BukuBesar" xfId="2416" xr:uid="{00000000-0005-0000-0000-00007B000000}"/>
    <cellStyle name="20% - Accent1 3" xfId="18" xr:uid="{00000000-0005-0000-0000-00007C000000}"/>
    <cellStyle name="20% - Accent1 3 2" xfId="1104" xr:uid="{00000000-0005-0000-0000-00007D000000}"/>
    <cellStyle name="20% - Accent1 3 2 2" xfId="1105" xr:uid="{00000000-0005-0000-0000-00007E000000}"/>
    <cellStyle name="20% - Accent1 3 2 2 2" xfId="2417" xr:uid="{00000000-0005-0000-0000-00007F000000}"/>
    <cellStyle name="20% - Accent1 3 2 3" xfId="2418" xr:uid="{00000000-0005-0000-0000-000080000000}"/>
    <cellStyle name="20% - Accent1 3 2_BukuBesar" xfId="2419" xr:uid="{00000000-0005-0000-0000-000081000000}"/>
    <cellStyle name="20% - Accent1 3 3" xfId="1106" xr:uid="{00000000-0005-0000-0000-000082000000}"/>
    <cellStyle name="20% - Accent1 3 3 2" xfId="1107" xr:uid="{00000000-0005-0000-0000-000083000000}"/>
    <cellStyle name="20% - Accent1 3 4" xfId="1108" xr:uid="{00000000-0005-0000-0000-000084000000}"/>
    <cellStyle name="20% - Accent1 3 4 2" xfId="2420" xr:uid="{00000000-0005-0000-0000-000085000000}"/>
    <cellStyle name="20% - Accent1 3 5" xfId="2421" xr:uid="{00000000-0005-0000-0000-000086000000}"/>
    <cellStyle name="20% - Accent1 3 6" xfId="2422" xr:uid="{00000000-0005-0000-0000-000087000000}"/>
    <cellStyle name="20% - Accent1 3 7" xfId="2423" xr:uid="{00000000-0005-0000-0000-000088000000}"/>
    <cellStyle name="20% - Accent1 3 8" xfId="2424" xr:uid="{00000000-0005-0000-0000-000089000000}"/>
    <cellStyle name="20% - Accent1 3_BukuBesar" xfId="2425" xr:uid="{00000000-0005-0000-0000-00008A000000}"/>
    <cellStyle name="20% - Accent1 30" xfId="2426" xr:uid="{00000000-0005-0000-0000-00008B000000}"/>
    <cellStyle name="20% - Accent1 4" xfId="19" xr:uid="{00000000-0005-0000-0000-00008C000000}"/>
    <cellStyle name="20% - Accent1 4 2" xfId="1109" xr:uid="{00000000-0005-0000-0000-00008D000000}"/>
    <cellStyle name="20% - Accent1 4 2 2" xfId="1110" xr:uid="{00000000-0005-0000-0000-00008E000000}"/>
    <cellStyle name="20% - Accent1 4 2 2 2" xfId="2427" xr:uid="{00000000-0005-0000-0000-00008F000000}"/>
    <cellStyle name="20% - Accent1 4 2 3" xfId="2428" xr:uid="{00000000-0005-0000-0000-000090000000}"/>
    <cellStyle name="20% - Accent1 4 2_BukuBesar" xfId="2429" xr:uid="{00000000-0005-0000-0000-000091000000}"/>
    <cellStyle name="20% - Accent1 4 3" xfId="1111" xr:uid="{00000000-0005-0000-0000-000092000000}"/>
    <cellStyle name="20% - Accent1 4 3 2" xfId="1112" xr:uid="{00000000-0005-0000-0000-000093000000}"/>
    <cellStyle name="20% - Accent1 4 4" xfId="1113" xr:uid="{00000000-0005-0000-0000-000094000000}"/>
    <cellStyle name="20% - Accent1 4 4 2" xfId="2430" xr:uid="{00000000-0005-0000-0000-000095000000}"/>
    <cellStyle name="20% - Accent1 4 5" xfId="2431" xr:uid="{00000000-0005-0000-0000-000096000000}"/>
    <cellStyle name="20% - Accent1 4 6" xfId="2432" xr:uid="{00000000-0005-0000-0000-000097000000}"/>
    <cellStyle name="20% - Accent1 4 7" xfId="2433" xr:uid="{00000000-0005-0000-0000-000098000000}"/>
    <cellStyle name="20% - Accent1 4 8" xfId="2434" xr:uid="{00000000-0005-0000-0000-000099000000}"/>
    <cellStyle name="20% - Accent1 4_BukuBesar" xfId="2435" xr:uid="{00000000-0005-0000-0000-00009A000000}"/>
    <cellStyle name="20% - Accent1 5" xfId="20" xr:uid="{00000000-0005-0000-0000-00009B000000}"/>
    <cellStyle name="20% - Accent1 5 2" xfId="1114" xr:uid="{00000000-0005-0000-0000-00009C000000}"/>
    <cellStyle name="20% - Accent1 5 2 2" xfId="1115" xr:uid="{00000000-0005-0000-0000-00009D000000}"/>
    <cellStyle name="20% - Accent1 5 2 2 2" xfId="2436" xr:uid="{00000000-0005-0000-0000-00009E000000}"/>
    <cellStyle name="20% - Accent1 5 2 3" xfId="2437" xr:uid="{00000000-0005-0000-0000-00009F000000}"/>
    <cellStyle name="20% - Accent1 5 2_BukuBesar" xfId="2438" xr:uid="{00000000-0005-0000-0000-0000A0000000}"/>
    <cellStyle name="20% - Accent1 5 3" xfId="1116" xr:uid="{00000000-0005-0000-0000-0000A1000000}"/>
    <cellStyle name="20% - Accent1 5 3 2" xfId="1117" xr:uid="{00000000-0005-0000-0000-0000A2000000}"/>
    <cellStyle name="20% - Accent1 5 4" xfId="1118" xr:uid="{00000000-0005-0000-0000-0000A3000000}"/>
    <cellStyle name="20% - Accent1 5 4 2" xfId="2439" xr:uid="{00000000-0005-0000-0000-0000A4000000}"/>
    <cellStyle name="20% - Accent1 5 5" xfId="2440" xr:uid="{00000000-0005-0000-0000-0000A5000000}"/>
    <cellStyle name="20% - Accent1 5 6" xfId="2441" xr:uid="{00000000-0005-0000-0000-0000A6000000}"/>
    <cellStyle name="20% - Accent1 5 7" xfId="2442" xr:uid="{00000000-0005-0000-0000-0000A7000000}"/>
    <cellStyle name="20% - Accent1 5 8" xfId="2443" xr:uid="{00000000-0005-0000-0000-0000A8000000}"/>
    <cellStyle name="20% - Accent1 5_BukuBesar" xfId="2444" xr:uid="{00000000-0005-0000-0000-0000A9000000}"/>
    <cellStyle name="20% - Accent1 6" xfId="21" xr:uid="{00000000-0005-0000-0000-0000AA000000}"/>
    <cellStyle name="20% - Accent1 6 2" xfId="1119" xr:uid="{00000000-0005-0000-0000-0000AB000000}"/>
    <cellStyle name="20% - Accent1 6 2 2" xfId="1120" xr:uid="{00000000-0005-0000-0000-0000AC000000}"/>
    <cellStyle name="20% - Accent1 6 2 2 2" xfId="2445" xr:uid="{00000000-0005-0000-0000-0000AD000000}"/>
    <cellStyle name="20% - Accent1 6 2 3" xfId="2446" xr:uid="{00000000-0005-0000-0000-0000AE000000}"/>
    <cellStyle name="20% - Accent1 6 2_BukuBesar" xfId="2447" xr:uid="{00000000-0005-0000-0000-0000AF000000}"/>
    <cellStyle name="20% - Accent1 6 3" xfId="1121" xr:uid="{00000000-0005-0000-0000-0000B0000000}"/>
    <cellStyle name="20% - Accent1 6 3 2" xfId="1122" xr:uid="{00000000-0005-0000-0000-0000B1000000}"/>
    <cellStyle name="20% - Accent1 6 4" xfId="1123" xr:uid="{00000000-0005-0000-0000-0000B2000000}"/>
    <cellStyle name="20% - Accent1 6 4 2" xfId="2448" xr:uid="{00000000-0005-0000-0000-0000B3000000}"/>
    <cellStyle name="20% - Accent1 6 5" xfId="2449" xr:uid="{00000000-0005-0000-0000-0000B4000000}"/>
    <cellStyle name="20% - Accent1 6 6" xfId="2450" xr:uid="{00000000-0005-0000-0000-0000B5000000}"/>
    <cellStyle name="20% - Accent1 6 7" xfId="2451" xr:uid="{00000000-0005-0000-0000-0000B6000000}"/>
    <cellStyle name="20% - Accent1 6 8" xfId="2452" xr:uid="{00000000-0005-0000-0000-0000B7000000}"/>
    <cellStyle name="20% - Accent1 6_BukuBesar" xfId="2453" xr:uid="{00000000-0005-0000-0000-0000B8000000}"/>
    <cellStyle name="20% - Accent1 7" xfId="22" xr:uid="{00000000-0005-0000-0000-0000B9000000}"/>
    <cellStyle name="20% - Accent1 7 2" xfId="1124" xr:uid="{00000000-0005-0000-0000-0000BA000000}"/>
    <cellStyle name="20% - Accent1 7 2 2" xfId="1125" xr:uid="{00000000-0005-0000-0000-0000BB000000}"/>
    <cellStyle name="20% - Accent1 7 2 3" xfId="2454" xr:uid="{00000000-0005-0000-0000-0000BC000000}"/>
    <cellStyle name="20% - Accent1 7 3" xfId="1126" xr:uid="{00000000-0005-0000-0000-0000BD000000}"/>
    <cellStyle name="20% - Accent1 7 3 2" xfId="1127" xr:uid="{00000000-0005-0000-0000-0000BE000000}"/>
    <cellStyle name="20% - Accent1 7 3 3" xfId="2455" xr:uid="{00000000-0005-0000-0000-0000BF000000}"/>
    <cellStyle name="20% - Accent1 7 4" xfId="1128" xr:uid="{00000000-0005-0000-0000-0000C0000000}"/>
    <cellStyle name="20% - Accent1 7_BukuBesar" xfId="2456" xr:uid="{00000000-0005-0000-0000-0000C1000000}"/>
    <cellStyle name="20% - Accent1 8" xfId="23" xr:uid="{00000000-0005-0000-0000-0000C2000000}"/>
    <cellStyle name="20% - Accent1 8 2" xfId="1129" xr:uid="{00000000-0005-0000-0000-0000C3000000}"/>
    <cellStyle name="20% - Accent1 8 2 2" xfId="1130" xr:uid="{00000000-0005-0000-0000-0000C4000000}"/>
    <cellStyle name="20% - Accent1 8 2 3" xfId="2457" xr:uid="{00000000-0005-0000-0000-0000C5000000}"/>
    <cellStyle name="20% - Accent1 8 3" xfId="1131" xr:uid="{00000000-0005-0000-0000-0000C6000000}"/>
    <cellStyle name="20% - Accent1 8 3 2" xfId="1132" xr:uid="{00000000-0005-0000-0000-0000C7000000}"/>
    <cellStyle name="20% - Accent1 8 3 3" xfId="2458" xr:uid="{00000000-0005-0000-0000-0000C8000000}"/>
    <cellStyle name="20% - Accent1 8 4" xfId="1133" xr:uid="{00000000-0005-0000-0000-0000C9000000}"/>
    <cellStyle name="20% - Accent1 8_BukuBesar" xfId="2459" xr:uid="{00000000-0005-0000-0000-0000CA000000}"/>
    <cellStyle name="20% - Accent1 9" xfId="24" xr:uid="{00000000-0005-0000-0000-0000CB000000}"/>
    <cellStyle name="20% - Accent1 9 2" xfId="1134" xr:uid="{00000000-0005-0000-0000-0000CC000000}"/>
    <cellStyle name="20% - Accent1 9 2 2" xfId="1135" xr:uid="{00000000-0005-0000-0000-0000CD000000}"/>
    <cellStyle name="20% - Accent1 9 2 3" xfId="2460" xr:uid="{00000000-0005-0000-0000-0000CE000000}"/>
    <cellStyle name="20% - Accent1 9 3" xfId="1136" xr:uid="{00000000-0005-0000-0000-0000CF000000}"/>
    <cellStyle name="20% - Accent1 9 3 2" xfId="1137" xr:uid="{00000000-0005-0000-0000-0000D0000000}"/>
    <cellStyle name="20% - Accent1 9 3 3" xfId="2461" xr:uid="{00000000-0005-0000-0000-0000D1000000}"/>
    <cellStyle name="20% - Accent1 9 4" xfId="1138" xr:uid="{00000000-0005-0000-0000-0000D2000000}"/>
    <cellStyle name="20% - Accent1 9_BukuBesar" xfId="2462" xr:uid="{00000000-0005-0000-0000-0000D3000000}"/>
    <cellStyle name="20% - Accent2 10" xfId="25" xr:uid="{00000000-0005-0000-0000-0000D4000000}"/>
    <cellStyle name="20% - Accent2 10 2" xfId="1139" xr:uid="{00000000-0005-0000-0000-0000D5000000}"/>
    <cellStyle name="20% - Accent2 10 2 2" xfId="1140" xr:uid="{00000000-0005-0000-0000-0000D6000000}"/>
    <cellStyle name="20% - Accent2 10 2 3" xfId="2463" xr:uid="{00000000-0005-0000-0000-0000D7000000}"/>
    <cellStyle name="20% - Accent2 10 3" xfId="1141" xr:uid="{00000000-0005-0000-0000-0000D8000000}"/>
    <cellStyle name="20% - Accent2 10 3 2" xfId="1142" xr:uid="{00000000-0005-0000-0000-0000D9000000}"/>
    <cellStyle name="20% - Accent2 10 3 3" xfId="2464" xr:uid="{00000000-0005-0000-0000-0000DA000000}"/>
    <cellStyle name="20% - Accent2 10 4" xfId="1143" xr:uid="{00000000-0005-0000-0000-0000DB000000}"/>
    <cellStyle name="20% - Accent2 10_BukuBesar" xfId="2465" xr:uid="{00000000-0005-0000-0000-0000DC000000}"/>
    <cellStyle name="20% - Accent2 11" xfId="26" xr:uid="{00000000-0005-0000-0000-0000DD000000}"/>
    <cellStyle name="20% - Accent2 11 2" xfId="1144" xr:uid="{00000000-0005-0000-0000-0000DE000000}"/>
    <cellStyle name="20% - Accent2 11 2 2" xfId="1145" xr:uid="{00000000-0005-0000-0000-0000DF000000}"/>
    <cellStyle name="20% - Accent2 11 2 3" xfId="2466" xr:uid="{00000000-0005-0000-0000-0000E0000000}"/>
    <cellStyle name="20% - Accent2 11 3" xfId="1146" xr:uid="{00000000-0005-0000-0000-0000E1000000}"/>
    <cellStyle name="20% - Accent2 11 3 2" xfId="1147" xr:uid="{00000000-0005-0000-0000-0000E2000000}"/>
    <cellStyle name="20% - Accent2 11 3 3" xfId="2467" xr:uid="{00000000-0005-0000-0000-0000E3000000}"/>
    <cellStyle name="20% - Accent2 11 4" xfId="1148" xr:uid="{00000000-0005-0000-0000-0000E4000000}"/>
    <cellStyle name="20% - Accent2 11_BukuBesar" xfId="2468" xr:uid="{00000000-0005-0000-0000-0000E5000000}"/>
    <cellStyle name="20% - Accent2 12" xfId="27" xr:uid="{00000000-0005-0000-0000-0000E6000000}"/>
    <cellStyle name="20% - Accent2 12 2" xfId="1149" xr:uid="{00000000-0005-0000-0000-0000E7000000}"/>
    <cellStyle name="20% - Accent2 12 2 2" xfId="1150" xr:uid="{00000000-0005-0000-0000-0000E8000000}"/>
    <cellStyle name="20% - Accent2 12 2 3" xfId="2469" xr:uid="{00000000-0005-0000-0000-0000E9000000}"/>
    <cellStyle name="20% - Accent2 12 3" xfId="1151" xr:uid="{00000000-0005-0000-0000-0000EA000000}"/>
    <cellStyle name="20% - Accent2 12 3 2" xfId="1152" xr:uid="{00000000-0005-0000-0000-0000EB000000}"/>
    <cellStyle name="20% - Accent2 12 3 3" xfId="2470" xr:uid="{00000000-0005-0000-0000-0000EC000000}"/>
    <cellStyle name="20% - Accent2 12 4" xfId="1153" xr:uid="{00000000-0005-0000-0000-0000ED000000}"/>
    <cellStyle name="20% - Accent2 12_BukuBesar" xfId="2471" xr:uid="{00000000-0005-0000-0000-0000EE000000}"/>
    <cellStyle name="20% - Accent2 13" xfId="28" xr:uid="{00000000-0005-0000-0000-0000EF000000}"/>
    <cellStyle name="20% - Accent2 13 2" xfId="1154" xr:uid="{00000000-0005-0000-0000-0000F0000000}"/>
    <cellStyle name="20% - Accent2 13 2 2" xfId="1155" xr:uid="{00000000-0005-0000-0000-0000F1000000}"/>
    <cellStyle name="20% - Accent2 13 2 3" xfId="2472" xr:uid="{00000000-0005-0000-0000-0000F2000000}"/>
    <cellStyle name="20% - Accent2 13 3" xfId="1156" xr:uid="{00000000-0005-0000-0000-0000F3000000}"/>
    <cellStyle name="20% - Accent2 13 3 2" xfId="1157" xr:uid="{00000000-0005-0000-0000-0000F4000000}"/>
    <cellStyle name="20% - Accent2 13 3 3" xfId="2473" xr:uid="{00000000-0005-0000-0000-0000F5000000}"/>
    <cellStyle name="20% - Accent2 13 4" xfId="1158" xr:uid="{00000000-0005-0000-0000-0000F6000000}"/>
    <cellStyle name="20% - Accent2 13_BukuBesar" xfId="2474" xr:uid="{00000000-0005-0000-0000-0000F7000000}"/>
    <cellStyle name="20% - Accent2 14" xfId="2475" xr:uid="{00000000-0005-0000-0000-0000F8000000}"/>
    <cellStyle name="20% - Accent2 14 2" xfId="2476" xr:uid="{00000000-0005-0000-0000-0000F9000000}"/>
    <cellStyle name="20% - Accent2 14 3" xfId="2477" xr:uid="{00000000-0005-0000-0000-0000FA000000}"/>
    <cellStyle name="20% - Accent2 14_BukuBesar" xfId="2478" xr:uid="{00000000-0005-0000-0000-0000FB000000}"/>
    <cellStyle name="20% - Accent2 15" xfId="2479" xr:uid="{00000000-0005-0000-0000-0000FC000000}"/>
    <cellStyle name="20% - Accent2 15 2" xfId="2480" xr:uid="{00000000-0005-0000-0000-0000FD000000}"/>
    <cellStyle name="20% - Accent2 15 3" xfId="2481" xr:uid="{00000000-0005-0000-0000-0000FE000000}"/>
    <cellStyle name="20% - Accent2 15_BukuBesar" xfId="2482" xr:uid="{00000000-0005-0000-0000-0000FF000000}"/>
    <cellStyle name="20% - Accent2 16" xfId="2483" xr:uid="{00000000-0005-0000-0000-000000010000}"/>
    <cellStyle name="20% - Accent2 16 2" xfId="2484" xr:uid="{00000000-0005-0000-0000-000001010000}"/>
    <cellStyle name="20% - Accent2 16 3" xfId="2485" xr:uid="{00000000-0005-0000-0000-000002010000}"/>
    <cellStyle name="20% - Accent2 16_BukuBesar" xfId="2486" xr:uid="{00000000-0005-0000-0000-000003010000}"/>
    <cellStyle name="20% - Accent2 17" xfId="2487" xr:uid="{00000000-0005-0000-0000-000004010000}"/>
    <cellStyle name="20% - Accent2 17 2" xfId="2488" xr:uid="{00000000-0005-0000-0000-000005010000}"/>
    <cellStyle name="20% - Accent2 17 3" xfId="2489" xr:uid="{00000000-0005-0000-0000-000006010000}"/>
    <cellStyle name="20% - Accent2 17_BukuBesar" xfId="2490" xr:uid="{00000000-0005-0000-0000-000007010000}"/>
    <cellStyle name="20% - Accent2 18" xfId="2491" xr:uid="{00000000-0005-0000-0000-000008010000}"/>
    <cellStyle name="20% - Accent2 18 2" xfId="2492" xr:uid="{00000000-0005-0000-0000-000009010000}"/>
    <cellStyle name="20% - Accent2 18 3" xfId="2493" xr:uid="{00000000-0005-0000-0000-00000A010000}"/>
    <cellStyle name="20% - Accent2 18_BukuBesar" xfId="2494" xr:uid="{00000000-0005-0000-0000-00000B010000}"/>
    <cellStyle name="20% - Accent2 19" xfId="2495" xr:uid="{00000000-0005-0000-0000-00000C010000}"/>
    <cellStyle name="20% - Accent2 19 2" xfId="2496" xr:uid="{00000000-0005-0000-0000-00000D010000}"/>
    <cellStyle name="20% - Accent2 19_BukuBesar" xfId="2497" xr:uid="{00000000-0005-0000-0000-00000E010000}"/>
    <cellStyle name="20% - Accent2 2" xfId="29" xr:uid="{00000000-0005-0000-0000-00000F010000}"/>
    <cellStyle name="20% - Accent2 2 10" xfId="2498" xr:uid="{00000000-0005-0000-0000-000010010000}"/>
    <cellStyle name="20% - Accent2 2 11" xfId="2499" xr:uid="{00000000-0005-0000-0000-000011010000}"/>
    <cellStyle name="20% - Accent2 2 12" xfId="6489" xr:uid="{F440C8D7-62B5-40C2-BD98-D4C2C13D6D62}"/>
    <cellStyle name="20% - Accent2 2 2" xfId="30" xr:uid="{00000000-0005-0000-0000-000012010000}"/>
    <cellStyle name="20% - Accent2 2 2 2" xfId="1159" xr:uid="{00000000-0005-0000-0000-000013010000}"/>
    <cellStyle name="20% - Accent2 2 2 2 2" xfId="2500" xr:uid="{00000000-0005-0000-0000-000014010000}"/>
    <cellStyle name="20% - Accent2 2 2 3" xfId="2501" xr:uid="{00000000-0005-0000-0000-000015010000}"/>
    <cellStyle name="20% - Accent2 2 2 3 2" xfId="2502" xr:uid="{00000000-0005-0000-0000-000016010000}"/>
    <cellStyle name="20% - Accent2 2 2 4" xfId="5654" xr:uid="{00000000-0005-0000-0000-000017010000}"/>
    <cellStyle name="20% - Accent2 2 2 5" xfId="6490" xr:uid="{E57B5415-E94D-4628-91F0-C35508B87584}"/>
    <cellStyle name="20% - Accent2 2 2_BukuBesar" xfId="2503" xr:uid="{00000000-0005-0000-0000-000018010000}"/>
    <cellStyle name="20% - Accent2 2 3" xfId="1160" xr:uid="{00000000-0005-0000-0000-000019010000}"/>
    <cellStyle name="20% - Accent2 2 3 2" xfId="1161" xr:uid="{00000000-0005-0000-0000-00001A010000}"/>
    <cellStyle name="20% - Accent2 2 3 3" xfId="2504" xr:uid="{00000000-0005-0000-0000-00001B010000}"/>
    <cellStyle name="20% - Accent2 2 3 4" xfId="6491" xr:uid="{2738BD3C-D804-4489-98EA-239AF5684B20}"/>
    <cellStyle name="20% - Accent2 2 4" xfId="1162" xr:uid="{00000000-0005-0000-0000-00001C010000}"/>
    <cellStyle name="20% - Accent2 2 4 2" xfId="1163" xr:uid="{00000000-0005-0000-0000-00001D010000}"/>
    <cellStyle name="20% - Accent2 2 4 2 2" xfId="2505" xr:uid="{00000000-0005-0000-0000-00001E010000}"/>
    <cellStyle name="20% - Accent2 2 4 3" xfId="2506" xr:uid="{00000000-0005-0000-0000-00001F010000}"/>
    <cellStyle name="20% - Accent2 2 5" xfId="1164" xr:uid="{00000000-0005-0000-0000-000020010000}"/>
    <cellStyle name="20% - Accent2 2 5 2" xfId="2507" xr:uid="{00000000-0005-0000-0000-000021010000}"/>
    <cellStyle name="20% - Accent2 2 5 3" xfId="2508" xr:uid="{00000000-0005-0000-0000-000022010000}"/>
    <cellStyle name="20% - Accent2 2 6" xfId="2509" xr:uid="{00000000-0005-0000-0000-000023010000}"/>
    <cellStyle name="20% - Accent2 2 6 2" xfId="2510" xr:uid="{00000000-0005-0000-0000-000024010000}"/>
    <cellStyle name="20% - Accent2 2 7" xfId="2511" xr:uid="{00000000-0005-0000-0000-000025010000}"/>
    <cellStyle name="20% - Accent2 2 7 2" xfId="2512" xr:uid="{00000000-0005-0000-0000-000026010000}"/>
    <cellStyle name="20% - Accent2 2 8" xfId="2513" xr:uid="{00000000-0005-0000-0000-000027010000}"/>
    <cellStyle name="20% - Accent2 2 8 2" xfId="2514" xr:uid="{00000000-0005-0000-0000-000028010000}"/>
    <cellStyle name="20% - Accent2 2 9" xfId="2515" xr:uid="{00000000-0005-0000-0000-000029010000}"/>
    <cellStyle name="20% - Accent2 2_BukuBesar" xfId="2516" xr:uid="{00000000-0005-0000-0000-00002A010000}"/>
    <cellStyle name="20% - Accent2 20" xfId="2517" xr:uid="{00000000-0005-0000-0000-00002B010000}"/>
    <cellStyle name="20% - Accent2 20 2" xfId="2518" xr:uid="{00000000-0005-0000-0000-00002C010000}"/>
    <cellStyle name="20% - Accent2 20 3" xfId="2519" xr:uid="{00000000-0005-0000-0000-00002D010000}"/>
    <cellStyle name="20% - Accent2 20_BukuBesar" xfId="2520" xr:uid="{00000000-0005-0000-0000-00002E010000}"/>
    <cellStyle name="20% - Accent2 21" xfId="2521" xr:uid="{00000000-0005-0000-0000-00002F010000}"/>
    <cellStyle name="20% - Accent2 21 2" xfId="2522" xr:uid="{00000000-0005-0000-0000-000030010000}"/>
    <cellStyle name="20% - Accent2 21_BukuBesar" xfId="2523" xr:uid="{00000000-0005-0000-0000-000031010000}"/>
    <cellStyle name="20% - Accent2 22" xfId="2524" xr:uid="{00000000-0005-0000-0000-000032010000}"/>
    <cellStyle name="20% - Accent2 22 2" xfId="2525" xr:uid="{00000000-0005-0000-0000-000033010000}"/>
    <cellStyle name="20% - Accent2 22_BukuBesar" xfId="2526" xr:uid="{00000000-0005-0000-0000-000034010000}"/>
    <cellStyle name="20% - Accent2 23" xfId="2527" xr:uid="{00000000-0005-0000-0000-000035010000}"/>
    <cellStyle name="20% - Accent2 23 2" xfId="2528" xr:uid="{00000000-0005-0000-0000-000036010000}"/>
    <cellStyle name="20% - Accent2 23_BukuBesar" xfId="2529" xr:uid="{00000000-0005-0000-0000-000037010000}"/>
    <cellStyle name="20% - Accent2 24" xfId="2530" xr:uid="{00000000-0005-0000-0000-000038010000}"/>
    <cellStyle name="20% - Accent2 24 2" xfId="2531" xr:uid="{00000000-0005-0000-0000-000039010000}"/>
    <cellStyle name="20% - Accent2 24_BukuBesar" xfId="2532" xr:uid="{00000000-0005-0000-0000-00003A010000}"/>
    <cellStyle name="20% - Accent2 25" xfId="2533" xr:uid="{00000000-0005-0000-0000-00003B010000}"/>
    <cellStyle name="20% - Accent2 25 2" xfId="2534" xr:uid="{00000000-0005-0000-0000-00003C010000}"/>
    <cellStyle name="20% - Accent2 25_BukuBesar" xfId="2535" xr:uid="{00000000-0005-0000-0000-00003D010000}"/>
    <cellStyle name="20% - Accent2 26" xfId="2536" xr:uid="{00000000-0005-0000-0000-00003E010000}"/>
    <cellStyle name="20% - Accent2 26 2" xfId="2537" xr:uid="{00000000-0005-0000-0000-00003F010000}"/>
    <cellStyle name="20% - Accent2 26_BukuBesar" xfId="2538" xr:uid="{00000000-0005-0000-0000-000040010000}"/>
    <cellStyle name="20% - Accent2 27" xfId="2539" xr:uid="{00000000-0005-0000-0000-000041010000}"/>
    <cellStyle name="20% - Accent2 27 2" xfId="2540" xr:uid="{00000000-0005-0000-0000-000042010000}"/>
    <cellStyle name="20% - Accent2 27_BukuBesar" xfId="2541" xr:uid="{00000000-0005-0000-0000-000043010000}"/>
    <cellStyle name="20% - Accent2 28" xfId="2542" xr:uid="{00000000-0005-0000-0000-000044010000}"/>
    <cellStyle name="20% - Accent2 28 2" xfId="2543" xr:uid="{00000000-0005-0000-0000-000045010000}"/>
    <cellStyle name="20% - Accent2 28_BukuBesar" xfId="2544" xr:uid="{00000000-0005-0000-0000-000046010000}"/>
    <cellStyle name="20% - Accent2 29" xfId="2545" xr:uid="{00000000-0005-0000-0000-000047010000}"/>
    <cellStyle name="20% - Accent2 29 2" xfId="2546" xr:uid="{00000000-0005-0000-0000-000048010000}"/>
    <cellStyle name="20% - Accent2 29_BukuBesar" xfId="2547" xr:uid="{00000000-0005-0000-0000-000049010000}"/>
    <cellStyle name="20% - Accent2 3" xfId="31" xr:uid="{00000000-0005-0000-0000-00004A010000}"/>
    <cellStyle name="20% - Accent2 3 2" xfId="1165" xr:uid="{00000000-0005-0000-0000-00004B010000}"/>
    <cellStyle name="20% - Accent2 3 2 2" xfId="1166" xr:uid="{00000000-0005-0000-0000-00004C010000}"/>
    <cellStyle name="20% - Accent2 3 2 2 2" xfId="2548" xr:uid="{00000000-0005-0000-0000-00004D010000}"/>
    <cellStyle name="20% - Accent2 3 2 3" xfId="2549" xr:uid="{00000000-0005-0000-0000-00004E010000}"/>
    <cellStyle name="20% - Accent2 3 2_BukuBesar" xfId="2550" xr:uid="{00000000-0005-0000-0000-00004F010000}"/>
    <cellStyle name="20% - Accent2 3 3" xfId="1167" xr:uid="{00000000-0005-0000-0000-000050010000}"/>
    <cellStyle name="20% - Accent2 3 3 2" xfId="1168" xr:uid="{00000000-0005-0000-0000-000051010000}"/>
    <cellStyle name="20% - Accent2 3 4" xfId="1169" xr:uid="{00000000-0005-0000-0000-000052010000}"/>
    <cellStyle name="20% - Accent2 3_BukuBesar" xfId="2551" xr:uid="{00000000-0005-0000-0000-000053010000}"/>
    <cellStyle name="20% - Accent2 30" xfId="2552" xr:uid="{00000000-0005-0000-0000-000054010000}"/>
    <cellStyle name="20% - Accent2 4" xfId="32" xr:uid="{00000000-0005-0000-0000-000055010000}"/>
    <cellStyle name="20% - Accent2 4 2" xfId="1170" xr:uid="{00000000-0005-0000-0000-000056010000}"/>
    <cellStyle name="20% - Accent2 4 2 2" xfId="1171" xr:uid="{00000000-0005-0000-0000-000057010000}"/>
    <cellStyle name="20% - Accent2 4 2 2 2" xfId="2553" xr:uid="{00000000-0005-0000-0000-000058010000}"/>
    <cellStyle name="20% - Accent2 4 2 3" xfId="2554" xr:uid="{00000000-0005-0000-0000-000059010000}"/>
    <cellStyle name="20% - Accent2 4 2_BukuBesar" xfId="2555" xr:uid="{00000000-0005-0000-0000-00005A010000}"/>
    <cellStyle name="20% - Accent2 4 3" xfId="1172" xr:uid="{00000000-0005-0000-0000-00005B010000}"/>
    <cellStyle name="20% - Accent2 4 3 2" xfId="1173" xr:uid="{00000000-0005-0000-0000-00005C010000}"/>
    <cellStyle name="20% - Accent2 4 4" xfId="1174" xr:uid="{00000000-0005-0000-0000-00005D010000}"/>
    <cellStyle name="20% - Accent2 4 4 2" xfId="2556" xr:uid="{00000000-0005-0000-0000-00005E010000}"/>
    <cellStyle name="20% - Accent2 4 5" xfId="2557" xr:uid="{00000000-0005-0000-0000-00005F010000}"/>
    <cellStyle name="20% - Accent2 4 6" xfId="2558" xr:uid="{00000000-0005-0000-0000-000060010000}"/>
    <cellStyle name="20% - Accent2 4 7" xfId="2559" xr:uid="{00000000-0005-0000-0000-000061010000}"/>
    <cellStyle name="20% - Accent2 4 8" xfId="2560" xr:uid="{00000000-0005-0000-0000-000062010000}"/>
    <cellStyle name="20% - Accent2 4_BukuBesar" xfId="2561" xr:uid="{00000000-0005-0000-0000-000063010000}"/>
    <cellStyle name="20% - Accent2 5" xfId="33" xr:uid="{00000000-0005-0000-0000-000064010000}"/>
    <cellStyle name="20% - Accent2 5 2" xfId="1175" xr:uid="{00000000-0005-0000-0000-000065010000}"/>
    <cellStyle name="20% - Accent2 5 2 2" xfId="1176" xr:uid="{00000000-0005-0000-0000-000066010000}"/>
    <cellStyle name="20% - Accent2 5 2 2 2" xfId="2562" xr:uid="{00000000-0005-0000-0000-000067010000}"/>
    <cellStyle name="20% - Accent2 5 2 3" xfId="2563" xr:uid="{00000000-0005-0000-0000-000068010000}"/>
    <cellStyle name="20% - Accent2 5 2_BukuBesar" xfId="2564" xr:uid="{00000000-0005-0000-0000-000069010000}"/>
    <cellStyle name="20% - Accent2 5 3" xfId="1177" xr:uid="{00000000-0005-0000-0000-00006A010000}"/>
    <cellStyle name="20% - Accent2 5 3 2" xfId="1178" xr:uid="{00000000-0005-0000-0000-00006B010000}"/>
    <cellStyle name="20% - Accent2 5 4" xfId="1179" xr:uid="{00000000-0005-0000-0000-00006C010000}"/>
    <cellStyle name="20% - Accent2 5 4 2" xfId="2565" xr:uid="{00000000-0005-0000-0000-00006D010000}"/>
    <cellStyle name="20% - Accent2 5 5" xfId="2566" xr:uid="{00000000-0005-0000-0000-00006E010000}"/>
    <cellStyle name="20% - Accent2 5 6" xfId="2567" xr:uid="{00000000-0005-0000-0000-00006F010000}"/>
    <cellStyle name="20% - Accent2 5 7" xfId="2568" xr:uid="{00000000-0005-0000-0000-000070010000}"/>
    <cellStyle name="20% - Accent2 5 8" xfId="2569" xr:uid="{00000000-0005-0000-0000-000071010000}"/>
    <cellStyle name="20% - Accent2 5_BukuBesar" xfId="2570" xr:uid="{00000000-0005-0000-0000-000072010000}"/>
    <cellStyle name="20% - Accent2 6" xfId="34" xr:uid="{00000000-0005-0000-0000-000073010000}"/>
    <cellStyle name="20% - Accent2 6 2" xfId="1180" xr:uid="{00000000-0005-0000-0000-000074010000}"/>
    <cellStyle name="20% - Accent2 6 2 2" xfId="1181" xr:uid="{00000000-0005-0000-0000-000075010000}"/>
    <cellStyle name="20% - Accent2 6 2 2 2" xfId="2571" xr:uid="{00000000-0005-0000-0000-000076010000}"/>
    <cellStyle name="20% - Accent2 6 2 3" xfId="2572" xr:uid="{00000000-0005-0000-0000-000077010000}"/>
    <cellStyle name="20% - Accent2 6 2_BukuBesar" xfId="2573" xr:uid="{00000000-0005-0000-0000-000078010000}"/>
    <cellStyle name="20% - Accent2 6 3" xfId="1182" xr:uid="{00000000-0005-0000-0000-000079010000}"/>
    <cellStyle name="20% - Accent2 6 3 2" xfId="1183" xr:uid="{00000000-0005-0000-0000-00007A010000}"/>
    <cellStyle name="20% - Accent2 6 4" xfId="1184" xr:uid="{00000000-0005-0000-0000-00007B010000}"/>
    <cellStyle name="20% - Accent2 6 4 2" xfId="2574" xr:uid="{00000000-0005-0000-0000-00007C010000}"/>
    <cellStyle name="20% - Accent2 6 5" xfId="2575" xr:uid="{00000000-0005-0000-0000-00007D010000}"/>
    <cellStyle name="20% - Accent2 6 6" xfId="2576" xr:uid="{00000000-0005-0000-0000-00007E010000}"/>
    <cellStyle name="20% - Accent2 6 7" xfId="2577" xr:uid="{00000000-0005-0000-0000-00007F010000}"/>
    <cellStyle name="20% - Accent2 6 8" xfId="2578" xr:uid="{00000000-0005-0000-0000-000080010000}"/>
    <cellStyle name="20% - Accent2 6_BukuBesar" xfId="2579" xr:uid="{00000000-0005-0000-0000-000081010000}"/>
    <cellStyle name="20% - Accent2 7" xfId="35" xr:uid="{00000000-0005-0000-0000-000082010000}"/>
    <cellStyle name="20% - Accent2 7 2" xfId="1185" xr:uid="{00000000-0005-0000-0000-000083010000}"/>
    <cellStyle name="20% - Accent2 7 2 2" xfId="1186" xr:uid="{00000000-0005-0000-0000-000084010000}"/>
    <cellStyle name="20% - Accent2 7 2 3" xfId="2580" xr:uid="{00000000-0005-0000-0000-000085010000}"/>
    <cellStyle name="20% - Accent2 7 3" xfId="1187" xr:uid="{00000000-0005-0000-0000-000086010000}"/>
    <cellStyle name="20% - Accent2 7 3 2" xfId="1188" xr:uid="{00000000-0005-0000-0000-000087010000}"/>
    <cellStyle name="20% - Accent2 7 3 3" xfId="2581" xr:uid="{00000000-0005-0000-0000-000088010000}"/>
    <cellStyle name="20% - Accent2 7 4" xfId="1189" xr:uid="{00000000-0005-0000-0000-000089010000}"/>
    <cellStyle name="20% - Accent2 7_BukuBesar" xfId="2582" xr:uid="{00000000-0005-0000-0000-00008A010000}"/>
    <cellStyle name="20% - Accent2 8" xfId="36" xr:uid="{00000000-0005-0000-0000-00008B010000}"/>
    <cellStyle name="20% - Accent2 8 2" xfId="1190" xr:uid="{00000000-0005-0000-0000-00008C010000}"/>
    <cellStyle name="20% - Accent2 8 2 2" xfId="1191" xr:uid="{00000000-0005-0000-0000-00008D010000}"/>
    <cellStyle name="20% - Accent2 8 2 3" xfId="2583" xr:uid="{00000000-0005-0000-0000-00008E010000}"/>
    <cellStyle name="20% - Accent2 8 3" xfId="1192" xr:uid="{00000000-0005-0000-0000-00008F010000}"/>
    <cellStyle name="20% - Accent2 8 3 2" xfId="1193" xr:uid="{00000000-0005-0000-0000-000090010000}"/>
    <cellStyle name="20% - Accent2 8 3 3" xfId="2584" xr:uid="{00000000-0005-0000-0000-000091010000}"/>
    <cellStyle name="20% - Accent2 8 4" xfId="1194" xr:uid="{00000000-0005-0000-0000-000092010000}"/>
    <cellStyle name="20% - Accent2 8_BukuBesar" xfId="2585" xr:uid="{00000000-0005-0000-0000-000093010000}"/>
    <cellStyle name="20% - Accent2 9" xfId="37" xr:uid="{00000000-0005-0000-0000-000094010000}"/>
    <cellStyle name="20% - Accent2 9 2" xfId="1195" xr:uid="{00000000-0005-0000-0000-000095010000}"/>
    <cellStyle name="20% - Accent2 9 2 2" xfId="1196" xr:uid="{00000000-0005-0000-0000-000096010000}"/>
    <cellStyle name="20% - Accent2 9 2 3" xfId="2586" xr:uid="{00000000-0005-0000-0000-000097010000}"/>
    <cellStyle name="20% - Accent2 9 3" xfId="1197" xr:uid="{00000000-0005-0000-0000-000098010000}"/>
    <cellStyle name="20% - Accent2 9 3 2" xfId="1198" xr:uid="{00000000-0005-0000-0000-000099010000}"/>
    <cellStyle name="20% - Accent2 9 3 3" xfId="2587" xr:uid="{00000000-0005-0000-0000-00009A010000}"/>
    <cellStyle name="20% - Accent2 9 4" xfId="1199" xr:uid="{00000000-0005-0000-0000-00009B010000}"/>
    <cellStyle name="20% - Accent2 9_BukuBesar" xfId="2588" xr:uid="{00000000-0005-0000-0000-00009C010000}"/>
    <cellStyle name="20% - Accent3 10" xfId="38" xr:uid="{00000000-0005-0000-0000-00009D010000}"/>
    <cellStyle name="20% - Accent3 10 2" xfId="1200" xr:uid="{00000000-0005-0000-0000-00009E010000}"/>
    <cellStyle name="20% - Accent3 10 2 2" xfId="1201" xr:uid="{00000000-0005-0000-0000-00009F010000}"/>
    <cellStyle name="20% - Accent3 10 2 3" xfId="2589" xr:uid="{00000000-0005-0000-0000-0000A0010000}"/>
    <cellStyle name="20% - Accent3 10 3" xfId="1202" xr:uid="{00000000-0005-0000-0000-0000A1010000}"/>
    <cellStyle name="20% - Accent3 10 3 2" xfId="1203" xr:uid="{00000000-0005-0000-0000-0000A2010000}"/>
    <cellStyle name="20% - Accent3 10 3 3" xfId="2590" xr:uid="{00000000-0005-0000-0000-0000A3010000}"/>
    <cellStyle name="20% - Accent3 10 4" xfId="1204" xr:uid="{00000000-0005-0000-0000-0000A4010000}"/>
    <cellStyle name="20% - Accent3 10_BukuBesar" xfId="2591" xr:uid="{00000000-0005-0000-0000-0000A5010000}"/>
    <cellStyle name="20% - Accent3 11" xfId="39" xr:uid="{00000000-0005-0000-0000-0000A6010000}"/>
    <cellStyle name="20% - Accent3 11 2" xfId="1205" xr:uid="{00000000-0005-0000-0000-0000A7010000}"/>
    <cellStyle name="20% - Accent3 11 2 2" xfId="1206" xr:uid="{00000000-0005-0000-0000-0000A8010000}"/>
    <cellStyle name="20% - Accent3 11 2 3" xfId="2592" xr:uid="{00000000-0005-0000-0000-0000A9010000}"/>
    <cellStyle name="20% - Accent3 11 3" xfId="1207" xr:uid="{00000000-0005-0000-0000-0000AA010000}"/>
    <cellStyle name="20% - Accent3 11 3 2" xfId="1208" xr:uid="{00000000-0005-0000-0000-0000AB010000}"/>
    <cellStyle name="20% - Accent3 11 3 3" xfId="2593" xr:uid="{00000000-0005-0000-0000-0000AC010000}"/>
    <cellStyle name="20% - Accent3 11 4" xfId="1209" xr:uid="{00000000-0005-0000-0000-0000AD010000}"/>
    <cellStyle name="20% - Accent3 11_BukuBesar" xfId="2594" xr:uid="{00000000-0005-0000-0000-0000AE010000}"/>
    <cellStyle name="20% - Accent3 12" xfId="40" xr:uid="{00000000-0005-0000-0000-0000AF010000}"/>
    <cellStyle name="20% - Accent3 12 2" xfId="1210" xr:uid="{00000000-0005-0000-0000-0000B0010000}"/>
    <cellStyle name="20% - Accent3 12 2 2" xfId="1211" xr:uid="{00000000-0005-0000-0000-0000B1010000}"/>
    <cellStyle name="20% - Accent3 12 2 3" xfId="2595" xr:uid="{00000000-0005-0000-0000-0000B2010000}"/>
    <cellStyle name="20% - Accent3 12 3" xfId="1212" xr:uid="{00000000-0005-0000-0000-0000B3010000}"/>
    <cellStyle name="20% - Accent3 12 3 2" xfId="1213" xr:uid="{00000000-0005-0000-0000-0000B4010000}"/>
    <cellStyle name="20% - Accent3 12 3 3" xfId="2596" xr:uid="{00000000-0005-0000-0000-0000B5010000}"/>
    <cellStyle name="20% - Accent3 12 4" xfId="1214" xr:uid="{00000000-0005-0000-0000-0000B6010000}"/>
    <cellStyle name="20% - Accent3 12_BukuBesar" xfId="2597" xr:uid="{00000000-0005-0000-0000-0000B7010000}"/>
    <cellStyle name="20% - Accent3 13" xfId="41" xr:uid="{00000000-0005-0000-0000-0000B8010000}"/>
    <cellStyle name="20% - Accent3 13 2" xfId="1215" xr:uid="{00000000-0005-0000-0000-0000B9010000}"/>
    <cellStyle name="20% - Accent3 13 2 2" xfId="1216" xr:uid="{00000000-0005-0000-0000-0000BA010000}"/>
    <cellStyle name="20% - Accent3 13 2 3" xfId="2598" xr:uid="{00000000-0005-0000-0000-0000BB010000}"/>
    <cellStyle name="20% - Accent3 13 3" xfId="1217" xr:uid="{00000000-0005-0000-0000-0000BC010000}"/>
    <cellStyle name="20% - Accent3 13 3 2" xfId="1218" xr:uid="{00000000-0005-0000-0000-0000BD010000}"/>
    <cellStyle name="20% - Accent3 13 3 3" xfId="2599" xr:uid="{00000000-0005-0000-0000-0000BE010000}"/>
    <cellStyle name="20% - Accent3 13 4" xfId="1219" xr:uid="{00000000-0005-0000-0000-0000BF010000}"/>
    <cellStyle name="20% - Accent3 13_BukuBesar" xfId="2600" xr:uid="{00000000-0005-0000-0000-0000C0010000}"/>
    <cellStyle name="20% - Accent3 14" xfId="2601" xr:uid="{00000000-0005-0000-0000-0000C1010000}"/>
    <cellStyle name="20% - Accent3 14 2" xfId="2602" xr:uid="{00000000-0005-0000-0000-0000C2010000}"/>
    <cellStyle name="20% - Accent3 14 3" xfId="2603" xr:uid="{00000000-0005-0000-0000-0000C3010000}"/>
    <cellStyle name="20% - Accent3 14_BukuBesar" xfId="2604" xr:uid="{00000000-0005-0000-0000-0000C4010000}"/>
    <cellStyle name="20% - Accent3 15" xfId="2605" xr:uid="{00000000-0005-0000-0000-0000C5010000}"/>
    <cellStyle name="20% - Accent3 15 2" xfId="2606" xr:uid="{00000000-0005-0000-0000-0000C6010000}"/>
    <cellStyle name="20% - Accent3 15 3" xfId="2607" xr:uid="{00000000-0005-0000-0000-0000C7010000}"/>
    <cellStyle name="20% - Accent3 15_BukuBesar" xfId="2608" xr:uid="{00000000-0005-0000-0000-0000C8010000}"/>
    <cellStyle name="20% - Accent3 16" xfId="2609" xr:uid="{00000000-0005-0000-0000-0000C9010000}"/>
    <cellStyle name="20% - Accent3 16 2" xfId="2610" xr:uid="{00000000-0005-0000-0000-0000CA010000}"/>
    <cellStyle name="20% - Accent3 16 3" xfId="2611" xr:uid="{00000000-0005-0000-0000-0000CB010000}"/>
    <cellStyle name="20% - Accent3 16_BukuBesar" xfId="2612" xr:uid="{00000000-0005-0000-0000-0000CC010000}"/>
    <cellStyle name="20% - Accent3 17" xfId="2613" xr:uid="{00000000-0005-0000-0000-0000CD010000}"/>
    <cellStyle name="20% - Accent3 17 2" xfId="2614" xr:uid="{00000000-0005-0000-0000-0000CE010000}"/>
    <cellStyle name="20% - Accent3 17 3" xfId="2615" xr:uid="{00000000-0005-0000-0000-0000CF010000}"/>
    <cellStyle name="20% - Accent3 17_BukuBesar" xfId="2616" xr:uid="{00000000-0005-0000-0000-0000D0010000}"/>
    <cellStyle name="20% - Accent3 18" xfId="2617" xr:uid="{00000000-0005-0000-0000-0000D1010000}"/>
    <cellStyle name="20% - Accent3 18 2" xfId="2618" xr:uid="{00000000-0005-0000-0000-0000D2010000}"/>
    <cellStyle name="20% - Accent3 18 3" xfId="2619" xr:uid="{00000000-0005-0000-0000-0000D3010000}"/>
    <cellStyle name="20% - Accent3 18_BukuBesar" xfId="2620" xr:uid="{00000000-0005-0000-0000-0000D4010000}"/>
    <cellStyle name="20% - Accent3 19" xfId="2621" xr:uid="{00000000-0005-0000-0000-0000D5010000}"/>
    <cellStyle name="20% - Accent3 19 2" xfId="2622" xr:uid="{00000000-0005-0000-0000-0000D6010000}"/>
    <cellStyle name="20% - Accent3 19_BukuBesar" xfId="2623" xr:uid="{00000000-0005-0000-0000-0000D7010000}"/>
    <cellStyle name="20% - Accent3 2" xfId="42" xr:uid="{00000000-0005-0000-0000-0000D8010000}"/>
    <cellStyle name="20% - Accent3 2 2" xfId="1220" xr:uid="{00000000-0005-0000-0000-0000D9010000}"/>
    <cellStyle name="20% - Accent3 2 2 2" xfId="1221" xr:uid="{00000000-0005-0000-0000-0000DA010000}"/>
    <cellStyle name="20% - Accent3 2 2 2 2" xfId="2624" xr:uid="{00000000-0005-0000-0000-0000DB010000}"/>
    <cellStyle name="20% - Accent3 2 2 3" xfId="2625" xr:uid="{00000000-0005-0000-0000-0000DC010000}"/>
    <cellStyle name="20% - Accent3 2 2_BukuBesar" xfId="2626" xr:uid="{00000000-0005-0000-0000-0000DD010000}"/>
    <cellStyle name="20% - Accent3 2 3" xfId="1222" xr:uid="{00000000-0005-0000-0000-0000DE010000}"/>
    <cellStyle name="20% - Accent3 2 3 2" xfId="1223" xr:uid="{00000000-0005-0000-0000-0000DF010000}"/>
    <cellStyle name="20% - Accent3 2 4" xfId="1224" xr:uid="{00000000-0005-0000-0000-0000E0010000}"/>
    <cellStyle name="20% - Accent3 2 4 2" xfId="2627" xr:uid="{00000000-0005-0000-0000-0000E1010000}"/>
    <cellStyle name="20% - Accent3 2 5" xfId="2628" xr:uid="{00000000-0005-0000-0000-0000E2010000}"/>
    <cellStyle name="20% - Accent3 2 6" xfId="2629" xr:uid="{00000000-0005-0000-0000-0000E3010000}"/>
    <cellStyle name="20% - Accent3 2 7" xfId="2630" xr:uid="{00000000-0005-0000-0000-0000E4010000}"/>
    <cellStyle name="20% - Accent3 2 8" xfId="6428" xr:uid="{D45B01E0-7052-431E-9988-5B72EFA4950D}"/>
    <cellStyle name="20% - Accent3 2_BukuBesar" xfId="2631" xr:uid="{00000000-0005-0000-0000-0000E5010000}"/>
    <cellStyle name="20% - Accent3 20" xfId="2632" xr:uid="{00000000-0005-0000-0000-0000E6010000}"/>
    <cellStyle name="20% - Accent3 20 2" xfId="2633" xr:uid="{00000000-0005-0000-0000-0000E7010000}"/>
    <cellStyle name="20% - Accent3 20 3" xfId="2634" xr:uid="{00000000-0005-0000-0000-0000E8010000}"/>
    <cellStyle name="20% - Accent3 20_BukuBesar" xfId="2635" xr:uid="{00000000-0005-0000-0000-0000E9010000}"/>
    <cellStyle name="20% - Accent3 21" xfId="2636" xr:uid="{00000000-0005-0000-0000-0000EA010000}"/>
    <cellStyle name="20% - Accent3 21 2" xfId="2637" xr:uid="{00000000-0005-0000-0000-0000EB010000}"/>
    <cellStyle name="20% - Accent3 21_BukuBesar" xfId="2638" xr:uid="{00000000-0005-0000-0000-0000EC010000}"/>
    <cellStyle name="20% - Accent3 22" xfId="2639" xr:uid="{00000000-0005-0000-0000-0000ED010000}"/>
    <cellStyle name="20% - Accent3 22 2" xfId="2640" xr:uid="{00000000-0005-0000-0000-0000EE010000}"/>
    <cellStyle name="20% - Accent3 22_BukuBesar" xfId="2641" xr:uid="{00000000-0005-0000-0000-0000EF010000}"/>
    <cellStyle name="20% - Accent3 23" xfId="2642" xr:uid="{00000000-0005-0000-0000-0000F0010000}"/>
    <cellStyle name="20% - Accent3 23 2" xfId="2643" xr:uid="{00000000-0005-0000-0000-0000F1010000}"/>
    <cellStyle name="20% - Accent3 23_BukuBesar" xfId="2644" xr:uid="{00000000-0005-0000-0000-0000F2010000}"/>
    <cellStyle name="20% - Accent3 24" xfId="2645" xr:uid="{00000000-0005-0000-0000-0000F3010000}"/>
    <cellStyle name="20% - Accent3 24 2" xfId="2646" xr:uid="{00000000-0005-0000-0000-0000F4010000}"/>
    <cellStyle name="20% - Accent3 24_BukuBesar" xfId="2647" xr:uid="{00000000-0005-0000-0000-0000F5010000}"/>
    <cellStyle name="20% - Accent3 25" xfId="2648" xr:uid="{00000000-0005-0000-0000-0000F6010000}"/>
    <cellStyle name="20% - Accent3 25 2" xfId="2649" xr:uid="{00000000-0005-0000-0000-0000F7010000}"/>
    <cellStyle name="20% - Accent3 25_BukuBesar" xfId="2650" xr:uid="{00000000-0005-0000-0000-0000F8010000}"/>
    <cellStyle name="20% - Accent3 26" xfId="2651" xr:uid="{00000000-0005-0000-0000-0000F9010000}"/>
    <cellStyle name="20% - Accent3 26 2" xfId="2652" xr:uid="{00000000-0005-0000-0000-0000FA010000}"/>
    <cellStyle name="20% - Accent3 26_BukuBesar" xfId="2653" xr:uid="{00000000-0005-0000-0000-0000FB010000}"/>
    <cellStyle name="20% - Accent3 27" xfId="2654" xr:uid="{00000000-0005-0000-0000-0000FC010000}"/>
    <cellStyle name="20% - Accent3 27 2" xfId="2655" xr:uid="{00000000-0005-0000-0000-0000FD010000}"/>
    <cellStyle name="20% - Accent3 27_BukuBesar" xfId="2656" xr:uid="{00000000-0005-0000-0000-0000FE010000}"/>
    <cellStyle name="20% - Accent3 28" xfId="2657" xr:uid="{00000000-0005-0000-0000-0000FF010000}"/>
    <cellStyle name="20% - Accent3 28 2" xfId="2658" xr:uid="{00000000-0005-0000-0000-000000020000}"/>
    <cellStyle name="20% - Accent3 28_BukuBesar" xfId="2659" xr:uid="{00000000-0005-0000-0000-000001020000}"/>
    <cellStyle name="20% - Accent3 29" xfId="2660" xr:uid="{00000000-0005-0000-0000-000002020000}"/>
    <cellStyle name="20% - Accent3 29 2" xfId="2661" xr:uid="{00000000-0005-0000-0000-000003020000}"/>
    <cellStyle name="20% - Accent3 29_BukuBesar" xfId="2662" xr:uid="{00000000-0005-0000-0000-000004020000}"/>
    <cellStyle name="20% - Accent3 3" xfId="43" xr:uid="{00000000-0005-0000-0000-000005020000}"/>
    <cellStyle name="20% - Accent3 3 2" xfId="1225" xr:uid="{00000000-0005-0000-0000-000006020000}"/>
    <cellStyle name="20% - Accent3 3 2 2" xfId="1226" xr:uid="{00000000-0005-0000-0000-000007020000}"/>
    <cellStyle name="20% - Accent3 3 2 2 2" xfId="2663" xr:uid="{00000000-0005-0000-0000-000008020000}"/>
    <cellStyle name="20% - Accent3 3 2 3" xfId="2664" xr:uid="{00000000-0005-0000-0000-000009020000}"/>
    <cellStyle name="20% - Accent3 3 2_BukuBesar" xfId="2665" xr:uid="{00000000-0005-0000-0000-00000A020000}"/>
    <cellStyle name="20% - Accent3 3 3" xfId="1227" xr:uid="{00000000-0005-0000-0000-00000B020000}"/>
    <cellStyle name="20% - Accent3 3 3 2" xfId="1228" xr:uid="{00000000-0005-0000-0000-00000C020000}"/>
    <cellStyle name="20% - Accent3 3 4" xfId="1229" xr:uid="{00000000-0005-0000-0000-00000D020000}"/>
    <cellStyle name="20% - Accent3 3 4 2" xfId="2666" xr:uid="{00000000-0005-0000-0000-00000E020000}"/>
    <cellStyle name="20% - Accent3 3 5" xfId="2667" xr:uid="{00000000-0005-0000-0000-00000F020000}"/>
    <cellStyle name="20% - Accent3 3 6" xfId="2668" xr:uid="{00000000-0005-0000-0000-000010020000}"/>
    <cellStyle name="20% - Accent3 3 7" xfId="2669" xr:uid="{00000000-0005-0000-0000-000011020000}"/>
    <cellStyle name="20% - Accent3 3 8" xfId="2670" xr:uid="{00000000-0005-0000-0000-000012020000}"/>
    <cellStyle name="20% - Accent3 3_BukuBesar" xfId="2671" xr:uid="{00000000-0005-0000-0000-000013020000}"/>
    <cellStyle name="20% - Accent3 30" xfId="2672" xr:uid="{00000000-0005-0000-0000-000014020000}"/>
    <cellStyle name="20% - Accent3 4" xfId="44" xr:uid="{00000000-0005-0000-0000-000015020000}"/>
    <cellStyle name="20% - Accent3 4 2" xfId="1230" xr:uid="{00000000-0005-0000-0000-000016020000}"/>
    <cellStyle name="20% - Accent3 4 2 2" xfId="1231" xr:uid="{00000000-0005-0000-0000-000017020000}"/>
    <cellStyle name="20% - Accent3 4 2 2 2" xfId="2673" xr:uid="{00000000-0005-0000-0000-000018020000}"/>
    <cellStyle name="20% - Accent3 4 2 3" xfId="2674" xr:uid="{00000000-0005-0000-0000-000019020000}"/>
    <cellStyle name="20% - Accent3 4 2_BukuBesar" xfId="2675" xr:uid="{00000000-0005-0000-0000-00001A020000}"/>
    <cellStyle name="20% - Accent3 4 3" xfId="1232" xr:uid="{00000000-0005-0000-0000-00001B020000}"/>
    <cellStyle name="20% - Accent3 4 3 2" xfId="1233" xr:uid="{00000000-0005-0000-0000-00001C020000}"/>
    <cellStyle name="20% - Accent3 4 4" xfId="1234" xr:uid="{00000000-0005-0000-0000-00001D020000}"/>
    <cellStyle name="20% - Accent3 4 4 2" xfId="2676" xr:uid="{00000000-0005-0000-0000-00001E020000}"/>
    <cellStyle name="20% - Accent3 4 5" xfId="2677" xr:uid="{00000000-0005-0000-0000-00001F020000}"/>
    <cellStyle name="20% - Accent3 4 6" xfId="2678" xr:uid="{00000000-0005-0000-0000-000020020000}"/>
    <cellStyle name="20% - Accent3 4 7" xfId="2679" xr:uid="{00000000-0005-0000-0000-000021020000}"/>
    <cellStyle name="20% - Accent3 4 8" xfId="2680" xr:uid="{00000000-0005-0000-0000-000022020000}"/>
    <cellStyle name="20% - Accent3 4_BukuBesar" xfId="2681" xr:uid="{00000000-0005-0000-0000-000023020000}"/>
    <cellStyle name="20% - Accent3 5" xfId="45" xr:uid="{00000000-0005-0000-0000-000024020000}"/>
    <cellStyle name="20% - Accent3 5 2" xfId="1235" xr:uid="{00000000-0005-0000-0000-000025020000}"/>
    <cellStyle name="20% - Accent3 5 2 2" xfId="1236" xr:uid="{00000000-0005-0000-0000-000026020000}"/>
    <cellStyle name="20% - Accent3 5 2 2 2" xfId="2682" xr:uid="{00000000-0005-0000-0000-000027020000}"/>
    <cellStyle name="20% - Accent3 5 2 3" xfId="2683" xr:uid="{00000000-0005-0000-0000-000028020000}"/>
    <cellStyle name="20% - Accent3 5 2_BukuBesar" xfId="2684" xr:uid="{00000000-0005-0000-0000-000029020000}"/>
    <cellStyle name="20% - Accent3 5 3" xfId="1237" xr:uid="{00000000-0005-0000-0000-00002A020000}"/>
    <cellStyle name="20% - Accent3 5 3 2" xfId="1238" xr:uid="{00000000-0005-0000-0000-00002B020000}"/>
    <cellStyle name="20% - Accent3 5 4" xfId="1239" xr:uid="{00000000-0005-0000-0000-00002C020000}"/>
    <cellStyle name="20% - Accent3 5 4 2" xfId="2685" xr:uid="{00000000-0005-0000-0000-00002D020000}"/>
    <cellStyle name="20% - Accent3 5 5" xfId="2686" xr:uid="{00000000-0005-0000-0000-00002E020000}"/>
    <cellStyle name="20% - Accent3 5 6" xfId="2687" xr:uid="{00000000-0005-0000-0000-00002F020000}"/>
    <cellStyle name="20% - Accent3 5 7" xfId="2688" xr:uid="{00000000-0005-0000-0000-000030020000}"/>
    <cellStyle name="20% - Accent3 5 8" xfId="2689" xr:uid="{00000000-0005-0000-0000-000031020000}"/>
    <cellStyle name="20% - Accent3 5_BukuBesar" xfId="2690" xr:uid="{00000000-0005-0000-0000-000032020000}"/>
    <cellStyle name="20% - Accent3 6" xfId="46" xr:uid="{00000000-0005-0000-0000-000033020000}"/>
    <cellStyle name="20% - Accent3 6 2" xfId="1240" xr:uid="{00000000-0005-0000-0000-000034020000}"/>
    <cellStyle name="20% - Accent3 6 2 2" xfId="1241" xr:uid="{00000000-0005-0000-0000-000035020000}"/>
    <cellStyle name="20% - Accent3 6 2 2 2" xfId="2691" xr:uid="{00000000-0005-0000-0000-000036020000}"/>
    <cellStyle name="20% - Accent3 6 2 3" xfId="2692" xr:uid="{00000000-0005-0000-0000-000037020000}"/>
    <cellStyle name="20% - Accent3 6 2_BukuBesar" xfId="2693" xr:uid="{00000000-0005-0000-0000-000038020000}"/>
    <cellStyle name="20% - Accent3 6 3" xfId="1242" xr:uid="{00000000-0005-0000-0000-000039020000}"/>
    <cellStyle name="20% - Accent3 6 3 2" xfId="1243" xr:uid="{00000000-0005-0000-0000-00003A020000}"/>
    <cellStyle name="20% - Accent3 6 4" xfId="1244" xr:uid="{00000000-0005-0000-0000-00003B020000}"/>
    <cellStyle name="20% - Accent3 6 4 2" xfId="2694" xr:uid="{00000000-0005-0000-0000-00003C020000}"/>
    <cellStyle name="20% - Accent3 6 5" xfId="2695" xr:uid="{00000000-0005-0000-0000-00003D020000}"/>
    <cellStyle name="20% - Accent3 6 6" xfId="2696" xr:uid="{00000000-0005-0000-0000-00003E020000}"/>
    <cellStyle name="20% - Accent3 6 7" xfId="2697" xr:uid="{00000000-0005-0000-0000-00003F020000}"/>
    <cellStyle name="20% - Accent3 6 8" xfId="2698" xr:uid="{00000000-0005-0000-0000-000040020000}"/>
    <cellStyle name="20% - Accent3 6_BukuBesar" xfId="2699" xr:uid="{00000000-0005-0000-0000-000041020000}"/>
    <cellStyle name="20% - Accent3 7" xfId="47" xr:uid="{00000000-0005-0000-0000-000042020000}"/>
    <cellStyle name="20% - Accent3 7 2" xfId="1245" xr:uid="{00000000-0005-0000-0000-000043020000}"/>
    <cellStyle name="20% - Accent3 7 2 2" xfId="1246" xr:uid="{00000000-0005-0000-0000-000044020000}"/>
    <cellStyle name="20% - Accent3 7 2 3" xfId="2700" xr:uid="{00000000-0005-0000-0000-000045020000}"/>
    <cellStyle name="20% - Accent3 7 3" xfId="1247" xr:uid="{00000000-0005-0000-0000-000046020000}"/>
    <cellStyle name="20% - Accent3 7 3 2" xfId="1248" xr:uid="{00000000-0005-0000-0000-000047020000}"/>
    <cellStyle name="20% - Accent3 7 3 3" xfId="2701" xr:uid="{00000000-0005-0000-0000-000048020000}"/>
    <cellStyle name="20% - Accent3 7 4" xfId="1249" xr:uid="{00000000-0005-0000-0000-000049020000}"/>
    <cellStyle name="20% - Accent3 7_BukuBesar" xfId="2702" xr:uid="{00000000-0005-0000-0000-00004A020000}"/>
    <cellStyle name="20% - Accent3 8" xfId="48" xr:uid="{00000000-0005-0000-0000-00004B020000}"/>
    <cellStyle name="20% - Accent3 8 2" xfId="1250" xr:uid="{00000000-0005-0000-0000-00004C020000}"/>
    <cellStyle name="20% - Accent3 8 2 2" xfId="1251" xr:uid="{00000000-0005-0000-0000-00004D020000}"/>
    <cellStyle name="20% - Accent3 8 2 3" xfId="2703" xr:uid="{00000000-0005-0000-0000-00004E020000}"/>
    <cellStyle name="20% - Accent3 8 3" xfId="1252" xr:uid="{00000000-0005-0000-0000-00004F020000}"/>
    <cellStyle name="20% - Accent3 8 3 2" xfId="1253" xr:uid="{00000000-0005-0000-0000-000050020000}"/>
    <cellStyle name="20% - Accent3 8 3 3" xfId="2704" xr:uid="{00000000-0005-0000-0000-000051020000}"/>
    <cellStyle name="20% - Accent3 8 4" xfId="1254" xr:uid="{00000000-0005-0000-0000-000052020000}"/>
    <cellStyle name="20% - Accent3 8_BukuBesar" xfId="2705" xr:uid="{00000000-0005-0000-0000-000053020000}"/>
    <cellStyle name="20% - Accent3 9" xfId="49" xr:uid="{00000000-0005-0000-0000-000054020000}"/>
    <cellStyle name="20% - Accent3 9 2" xfId="1255" xr:uid="{00000000-0005-0000-0000-000055020000}"/>
    <cellStyle name="20% - Accent3 9 2 2" xfId="1256" xr:uid="{00000000-0005-0000-0000-000056020000}"/>
    <cellStyle name="20% - Accent3 9 2 3" xfId="2706" xr:uid="{00000000-0005-0000-0000-000057020000}"/>
    <cellStyle name="20% - Accent3 9 3" xfId="1257" xr:uid="{00000000-0005-0000-0000-000058020000}"/>
    <cellStyle name="20% - Accent3 9 3 2" xfId="1258" xr:uid="{00000000-0005-0000-0000-000059020000}"/>
    <cellStyle name="20% - Accent3 9 3 3" xfId="2707" xr:uid="{00000000-0005-0000-0000-00005A020000}"/>
    <cellStyle name="20% - Accent3 9 4" xfId="1259" xr:uid="{00000000-0005-0000-0000-00005B020000}"/>
    <cellStyle name="20% - Accent3 9_BukuBesar" xfId="2708" xr:uid="{00000000-0005-0000-0000-00005C020000}"/>
    <cellStyle name="20% - Accent4 10" xfId="50" xr:uid="{00000000-0005-0000-0000-00005D020000}"/>
    <cellStyle name="20% - Accent4 10 2" xfId="1260" xr:uid="{00000000-0005-0000-0000-00005E020000}"/>
    <cellStyle name="20% - Accent4 10 2 2" xfId="1261" xr:uid="{00000000-0005-0000-0000-00005F020000}"/>
    <cellStyle name="20% - Accent4 10 2 3" xfId="2709" xr:uid="{00000000-0005-0000-0000-000060020000}"/>
    <cellStyle name="20% - Accent4 10 3" xfId="1262" xr:uid="{00000000-0005-0000-0000-000061020000}"/>
    <cellStyle name="20% - Accent4 10 3 2" xfId="1263" xr:uid="{00000000-0005-0000-0000-000062020000}"/>
    <cellStyle name="20% - Accent4 10 3 3" xfId="2710" xr:uid="{00000000-0005-0000-0000-000063020000}"/>
    <cellStyle name="20% - Accent4 10 4" xfId="1264" xr:uid="{00000000-0005-0000-0000-000064020000}"/>
    <cellStyle name="20% - Accent4 10_BukuBesar" xfId="2711" xr:uid="{00000000-0005-0000-0000-000065020000}"/>
    <cellStyle name="20% - Accent4 11" xfId="51" xr:uid="{00000000-0005-0000-0000-000066020000}"/>
    <cellStyle name="20% - Accent4 11 2" xfId="1265" xr:uid="{00000000-0005-0000-0000-000067020000}"/>
    <cellStyle name="20% - Accent4 11 2 2" xfId="1266" xr:uid="{00000000-0005-0000-0000-000068020000}"/>
    <cellStyle name="20% - Accent4 11 2 3" xfId="2712" xr:uid="{00000000-0005-0000-0000-000069020000}"/>
    <cellStyle name="20% - Accent4 11 3" xfId="1267" xr:uid="{00000000-0005-0000-0000-00006A020000}"/>
    <cellStyle name="20% - Accent4 11 3 2" xfId="1268" xr:uid="{00000000-0005-0000-0000-00006B020000}"/>
    <cellStyle name="20% - Accent4 11 3 3" xfId="2713" xr:uid="{00000000-0005-0000-0000-00006C020000}"/>
    <cellStyle name="20% - Accent4 11 4" xfId="1269" xr:uid="{00000000-0005-0000-0000-00006D020000}"/>
    <cellStyle name="20% - Accent4 11_BukuBesar" xfId="2714" xr:uid="{00000000-0005-0000-0000-00006E020000}"/>
    <cellStyle name="20% - Accent4 12" xfId="52" xr:uid="{00000000-0005-0000-0000-00006F020000}"/>
    <cellStyle name="20% - Accent4 12 2" xfId="1270" xr:uid="{00000000-0005-0000-0000-000070020000}"/>
    <cellStyle name="20% - Accent4 12 2 2" xfId="1271" xr:uid="{00000000-0005-0000-0000-000071020000}"/>
    <cellStyle name="20% - Accent4 12 2 3" xfId="2715" xr:uid="{00000000-0005-0000-0000-000072020000}"/>
    <cellStyle name="20% - Accent4 12 3" xfId="1272" xr:uid="{00000000-0005-0000-0000-000073020000}"/>
    <cellStyle name="20% - Accent4 12 3 2" xfId="1273" xr:uid="{00000000-0005-0000-0000-000074020000}"/>
    <cellStyle name="20% - Accent4 12 3 3" xfId="2716" xr:uid="{00000000-0005-0000-0000-000075020000}"/>
    <cellStyle name="20% - Accent4 12 4" xfId="1274" xr:uid="{00000000-0005-0000-0000-000076020000}"/>
    <cellStyle name="20% - Accent4 12_BukuBesar" xfId="2717" xr:uid="{00000000-0005-0000-0000-000077020000}"/>
    <cellStyle name="20% - Accent4 13" xfId="53" xr:uid="{00000000-0005-0000-0000-000078020000}"/>
    <cellStyle name="20% - Accent4 13 2" xfId="1275" xr:uid="{00000000-0005-0000-0000-000079020000}"/>
    <cellStyle name="20% - Accent4 13 2 2" xfId="1276" xr:uid="{00000000-0005-0000-0000-00007A020000}"/>
    <cellStyle name="20% - Accent4 13 2 3" xfId="2718" xr:uid="{00000000-0005-0000-0000-00007B020000}"/>
    <cellStyle name="20% - Accent4 13 3" xfId="1277" xr:uid="{00000000-0005-0000-0000-00007C020000}"/>
    <cellStyle name="20% - Accent4 13 3 2" xfId="1278" xr:uid="{00000000-0005-0000-0000-00007D020000}"/>
    <cellStyle name="20% - Accent4 13 3 3" xfId="2719" xr:uid="{00000000-0005-0000-0000-00007E020000}"/>
    <cellStyle name="20% - Accent4 13 4" xfId="1279" xr:uid="{00000000-0005-0000-0000-00007F020000}"/>
    <cellStyle name="20% - Accent4 13_BukuBesar" xfId="2720" xr:uid="{00000000-0005-0000-0000-000080020000}"/>
    <cellStyle name="20% - Accent4 14" xfId="2721" xr:uid="{00000000-0005-0000-0000-000081020000}"/>
    <cellStyle name="20% - Accent4 14 2" xfId="2722" xr:uid="{00000000-0005-0000-0000-000082020000}"/>
    <cellStyle name="20% - Accent4 14 3" xfId="2723" xr:uid="{00000000-0005-0000-0000-000083020000}"/>
    <cellStyle name="20% - Accent4 14_BukuBesar" xfId="2724" xr:uid="{00000000-0005-0000-0000-000084020000}"/>
    <cellStyle name="20% - Accent4 15" xfId="2725" xr:uid="{00000000-0005-0000-0000-000085020000}"/>
    <cellStyle name="20% - Accent4 15 2" xfId="2726" xr:uid="{00000000-0005-0000-0000-000086020000}"/>
    <cellStyle name="20% - Accent4 15 3" xfId="2727" xr:uid="{00000000-0005-0000-0000-000087020000}"/>
    <cellStyle name="20% - Accent4 15_BukuBesar" xfId="2728" xr:uid="{00000000-0005-0000-0000-000088020000}"/>
    <cellStyle name="20% - Accent4 16" xfId="2729" xr:uid="{00000000-0005-0000-0000-000089020000}"/>
    <cellStyle name="20% - Accent4 16 2" xfId="2730" xr:uid="{00000000-0005-0000-0000-00008A020000}"/>
    <cellStyle name="20% - Accent4 16 3" xfId="2731" xr:uid="{00000000-0005-0000-0000-00008B020000}"/>
    <cellStyle name="20% - Accent4 16_BukuBesar" xfId="2732" xr:uid="{00000000-0005-0000-0000-00008C020000}"/>
    <cellStyle name="20% - Accent4 17" xfId="2733" xr:uid="{00000000-0005-0000-0000-00008D020000}"/>
    <cellStyle name="20% - Accent4 17 2" xfId="2734" xr:uid="{00000000-0005-0000-0000-00008E020000}"/>
    <cellStyle name="20% - Accent4 17 3" xfId="2735" xr:uid="{00000000-0005-0000-0000-00008F020000}"/>
    <cellStyle name="20% - Accent4 17_BukuBesar" xfId="2736" xr:uid="{00000000-0005-0000-0000-000090020000}"/>
    <cellStyle name="20% - Accent4 18" xfId="2737" xr:uid="{00000000-0005-0000-0000-000091020000}"/>
    <cellStyle name="20% - Accent4 18 2" xfId="2738" xr:uid="{00000000-0005-0000-0000-000092020000}"/>
    <cellStyle name="20% - Accent4 18 3" xfId="2739" xr:uid="{00000000-0005-0000-0000-000093020000}"/>
    <cellStyle name="20% - Accent4 18_BukuBesar" xfId="2740" xr:uid="{00000000-0005-0000-0000-000094020000}"/>
    <cellStyle name="20% - Accent4 19" xfId="2741" xr:uid="{00000000-0005-0000-0000-000095020000}"/>
    <cellStyle name="20% - Accent4 19 2" xfId="2742" xr:uid="{00000000-0005-0000-0000-000096020000}"/>
    <cellStyle name="20% - Accent4 19_BukuBesar" xfId="2743" xr:uid="{00000000-0005-0000-0000-000097020000}"/>
    <cellStyle name="20% - Accent4 2" xfId="54" xr:uid="{00000000-0005-0000-0000-000098020000}"/>
    <cellStyle name="20% - Accent4 2 2" xfId="1280" xr:uid="{00000000-0005-0000-0000-000099020000}"/>
    <cellStyle name="20% - Accent4 2 2 2" xfId="1281" xr:uid="{00000000-0005-0000-0000-00009A020000}"/>
    <cellStyle name="20% - Accent4 2 2 2 2" xfId="2744" xr:uid="{00000000-0005-0000-0000-00009B020000}"/>
    <cellStyle name="20% - Accent4 2 2 3" xfId="2745" xr:uid="{00000000-0005-0000-0000-00009C020000}"/>
    <cellStyle name="20% - Accent4 2 2_BukuBesar" xfId="2746" xr:uid="{00000000-0005-0000-0000-00009D020000}"/>
    <cellStyle name="20% - Accent4 2 3" xfId="1282" xr:uid="{00000000-0005-0000-0000-00009E020000}"/>
    <cellStyle name="20% - Accent4 2 3 2" xfId="1283" xr:uid="{00000000-0005-0000-0000-00009F020000}"/>
    <cellStyle name="20% - Accent4 2 4" xfId="1284" xr:uid="{00000000-0005-0000-0000-0000A0020000}"/>
    <cellStyle name="20% - Accent4 2 4 2" xfId="2747" xr:uid="{00000000-0005-0000-0000-0000A1020000}"/>
    <cellStyle name="20% - Accent4 2 5" xfId="2748" xr:uid="{00000000-0005-0000-0000-0000A2020000}"/>
    <cellStyle name="20% - Accent4 2 6" xfId="2749" xr:uid="{00000000-0005-0000-0000-0000A3020000}"/>
    <cellStyle name="20% - Accent4 2 7" xfId="2750" xr:uid="{00000000-0005-0000-0000-0000A4020000}"/>
    <cellStyle name="20% - Accent4 2 8" xfId="6471" xr:uid="{C2615314-22C8-42FE-ADCE-D30A4149007C}"/>
    <cellStyle name="20% - Accent4 2_BukuBesar" xfId="2751" xr:uid="{00000000-0005-0000-0000-0000A5020000}"/>
    <cellStyle name="20% - Accent4 20" xfId="2752" xr:uid="{00000000-0005-0000-0000-0000A6020000}"/>
    <cellStyle name="20% - Accent4 20 2" xfId="2753" xr:uid="{00000000-0005-0000-0000-0000A7020000}"/>
    <cellStyle name="20% - Accent4 20 3" xfId="2754" xr:uid="{00000000-0005-0000-0000-0000A8020000}"/>
    <cellStyle name="20% - Accent4 20_BukuBesar" xfId="2755" xr:uid="{00000000-0005-0000-0000-0000A9020000}"/>
    <cellStyle name="20% - Accent4 21" xfId="2756" xr:uid="{00000000-0005-0000-0000-0000AA020000}"/>
    <cellStyle name="20% - Accent4 21 2" xfId="2757" xr:uid="{00000000-0005-0000-0000-0000AB020000}"/>
    <cellStyle name="20% - Accent4 21_BukuBesar" xfId="2758" xr:uid="{00000000-0005-0000-0000-0000AC020000}"/>
    <cellStyle name="20% - Accent4 22" xfId="2759" xr:uid="{00000000-0005-0000-0000-0000AD020000}"/>
    <cellStyle name="20% - Accent4 22 2" xfId="2760" xr:uid="{00000000-0005-0000-0000-0000AE020000}"/>
    <cellStyle name="20% - Accent4 22_BukuBesar" xfId="2761" xr:uid="{00000000-0005-0000-0000-0000AF020000}"/>
    <cellStyle name="20% - Accent4 23" xfId="2762" xr:uid="{00000000-0005-0000-0000-0000B0020000}"/>
    <cellStyle name="20% - Accent4 23 2" xfId="2763" xr:uid="{00000000-0005-0000-0000-0000B1020000}"/>
    <cellStyle name="20% - Accent4 23_BukuBesar" xfId="2764" xr:uid="{00000000-0005-0000-0000-0000B2020000}"/>
    <cellStyle name="20% - Accent4 24" xfId="2765" xr:uid="{00000000-0005-0000-0000-0000B3020000}"/>
    <cellStyle name="20% - Accent4 24 2" xfId="2766" xr:uid="{00000000-0005-0000-0000-0000B4020000}"/>
    <cellStyle name="20% - Accent4 24_BukuBesar" xfId="2767" xr:uid="{00000000-0005-0000-0000-0000B5020000}"/>
    <cellStyle name="20% - Accent4 25" xfId="2768" xr:uid="{00000000-0005-0000-0000-0000B6020000}"/>
    <cellStyle name="20% - Accent4 25 2" xfId="2769" xr:uid="{00000000-0005-0000-0000-0000B7020000}"/>
    <cellStyle name="20% - Accent4 25_BukuBesar" xfId="2770" xr:uid="{00000000-0005-0000-0000-0000B8020000}"/>
    <cellStyle name="20% - Accent4 26" xfId="2771" xr:uid="{00000000-0005-0000-0000-0000B9020000}"/>
    <cellStyle name="20% - Accent4 26 2" xfId="2772" xr:uid="{00000000-0005-0000-0000-0000BA020000}"/>
    <cellStyle name="20% - Accent4 26_BukuBesar" xfId="2773" xr:uid="{00000000-0005-0000-0000-0000BB020000}"/>
    <cellStyle name="20% - Accent4 27" xfId="2774" xr:uid="{00000000-0005-0000-0000-0000BC020000}"/>
    <cellStyle name="20% - Accent4 27 2" xfId="2775" xr:uid="{00000000-0005-0000-0000-0000BD020000}"/>
    <cellStyle name="20% - Accent4 27_BukuBesar" xfId="2776" xr:uid="{00000000-0005-0000-0000-0000BE020000}"/>
    <cellStyle name="20% - Accent4 28" xfId="2777" xr:uid="{00000000-0005-0000-0000-0000BF020000}"/>
    <cellStyle name="20% - Accent4 28 2" xfId="2778" xr:uid="{00000000-0005-0000-0000-0000C0020000}"/>
    <cellStyle name="20% - Accent4 28_BukuBesar" xfId="2779" xr:uid="{00000000-0005-0000-0000-0000C1020000}"/>
    <cellStyle name="20% - Accent4 29" xfId="2780" xr:uid="{00000000-0005-0000-0000-0000C2020000}"/>
    <cellStyle name="20% - Accent4 29 2" xfId="2781" xr:uid="{00000000-0005-0000-0000-0000C3020000}"/>
    <cellStyle name="20% - Accent4 29_BukuBesar" xfId="2782" xr:uid="{00000000-0005-0000-0000-0000C4020000}"/>
    <cellStyle name="20% - Accent4 3" xfId="55" xr:uid="{00000000-0005-0000-0000-0000C5020000}"/>
    <cellStyle name="20% - Accent4 3 2" xfId="1285" xr:uid="{00000000-0005-0000-0000-0000C6020000}"/>
    <cellStyle name="20% - Accent4 3 2 2" xfId="1286" xr:uid="{00000000-0005-0000-0000-0000C7020000}"/>
    <cellStyle name="20% - Accent4 3 2 2 2" xfId="2783" xr:uid="{00000000-0005-0000-0000-0000C8020000}"/>
    <cellStyle name="20% - Accent4 3 2 3" xfId="2784" xr:uid="{00000000-0005-0000-0000-0000C9020000}"/>
    <cellStyle name="20% - Accent4 3 2_BukuBesar" xfId="2785" xr:uid="{00000000-0005-0000-0000-0000CA020000}"/>
    <cellStyle name="20% - Accent4 3 3" xfId="1287" xr:uid="{00000000-0005-0000-0000-0000CB020000}"/>
    <cellStyle name="20% - Accent4 3 3 2" xfId="1288" xr:uid="{00000000-0005-0000-0000-0000CC020000}"/>
    <cellStyle name="20% - Accent4 3 4" xfId="1289" xr:uid="{00000000-0005-0000-0000-0000CD020000}"/>
    <cellStyle name="20% - Accent4 3 4 2" xfId="2786" xr:uid="{00000000-0005-0000-0000-0000CE020000}"/>
    <cellStyle name="20% - Accent4 3 5" xfId="2787" xr:uid="{00000000-0005-0000-0000-0000CF020000}"/>
    <cellStyle name="20% - Accent4 3 6" xfId="2788" xr:uid="{00000000-0005-0000-0000-0000D0020000}"/>
    <cellStyle name="20% - Accent4 3 7" xfId="2789" xr:uid="{00000000-0005-0000-0000-0000D1020000}"/>
    <cellStyle name="20% - Accent4 3 8" xfId="2790" xr:uid="{00000000-0005-0000-0000-0000D2020000}"/>
    <cellStyle name="20% - Accent4 3_BukuBesar" xfId="2791" xr:uid="{00000000-0005-0000-0000-0000D3020000}"/>
    <cellStyle name="20% - Accent4 30" xfId="2792" xr:uid="{00000000-0005-0000-0000-0000D4020000}"/>
    <cellStyle name="20% - Accent4 4" xfId="56" xr:uid="{00000000-0005-0000-0000-0000D5020000}"/>
    <cellStyle name="20% - Accent4 4 2" xfId="1290" xr:uid="{00000000-0005-0000-0000-0000D6020000}"/>
    <cellStyle name="20% - Accent4 4 2 2" xfId="1291" xr:uid="{00000000-0005-0000-0000-0000D7020000}"/>
    <cellStyle name="20% - Accent4 4 2 2 2" xfId="2793" xr:uid="{00000000-0005-0000-0000-0000D8020000}"/>
    <cellStyle name="20% - Accent4 4 2 3" xfId="2794" xr:uid="{00000000-0005-0000-0000-0000D9020000}"/>
    <cellStyle name="20% - Accent4 4 2_BukuBesar" xfId="2795" xr:uid="{00000000-0005-0000-0000-0000DA020000}"/>
    <cellStyle name="20% - Accent4 4 3" xfId="1292" xr:uid="{00000000-0005-0000-0000-0000DB020000}"/>
    <cellStyle name="20% - Accent4 4 3 2" xfId="1293" xr:uid="{00000000-0005-0000-0000-0000DC020000}"/>
    <cellStyle name="20% - Accent4 4 4" xfId="1294" xr:uid="{00000000-0005-0000-0000-0000DD020000}"/>
    <cellStyle name="20% - Accent4 4 4 2" xfId="2796" xr:uid="{00000000-0005-0000-0000-0000DE020000}"/>
    <cellStyle name="20% - Accent4 4 5" xfId="2797" xr:uid="{00000000-0005-0000-0000-0000DF020000}"/>
    <cellStyle name="20% - Accent4 4 6" xfId="2798" xr:uid="{00000000-0005-0000-0000-0000E0020000}"/>
    <cellStyle name="20% - Accent4 4 7" xfId="2799" xr:uid="{00000000-0005-0000-0000-0000E1020000}"/>
    <cellStyle name="20% - Accent4 4 8" xfId="2800" xr:uid="{00000000-0005-0000-0000-0000E2020000}"/>
    <cellStyle name="20% - Accent4 4_BukuBesar" xfId="2801" xr:uid="{00000000-0005-0000-0000-0000E3020000}"/>
    <cellStyle name="20% - Accent4 5" xfId="57" xr:uid="{00000000-0005-0000-0000-0000E4020000}"/>
    <cellStyle name="20% - Accent4 5 2" xfId="1295" xr:uid="{00000000-0005-0000-0000-0000E5020000}"/>
    <cellStyle name="20% - Accent4 5 2 2" xfId="1296" xr:uid="{00000000-0005-0000-0000-0000E6020000}"/>
    <cellStyle name="20% - Accent4 5 2 2 2" xfId="2802" xr:uid="{00000000-0005-0000-0000-0000E7020000}"/>
    <cellStyle name="20% - Accent4 5 2 3" xfId="2803" xr:uid="{00000000-0005-0000-0000-0000E8020000}"/>
    <cellStyle name="20% - Accent4 5 2_BukuBesar" xfId="2804" xr:uid="{00000000-0005-0000-0000-0000E9020000}"/>
    <cellStyle name="20% - Accent4 5 3" xfId="1297" xr:uid="{00000000-0005-0000-0000-0000EA020000}"/>
    <cellStyle name="20% - Accent4 5 3 2" xfId="1298" xr:uid="{00000000-0005-0000-0000-0000EB020000}"/>
    <cellStyle name="20% - Accent4 5 4" xfId="1299" xr:uid="{00000000-0005-0000-0000-0000EC020000}"/>
    <cellStyle name="20% - Accent4 5 4 2" xfId="2805" xr:uid="{00000000-0005-0000-0000-0000ED020000}"/>
    <cellStyle name="20% - Accent4 5 5" xfId="2806" xr:uid="{00000000-0005-0000-0000-0000EE020000}"/>
    <cellStyle name="20% - Accent4 5 6" xfId="2807" xr:uid="{00000000-0005-0000-0000-0000EF020000}"/>
    <cellStyle name="20% - Accent4 5 7" xfId="2808" xr:uid="{00000000-0005-0000-0000-0000F0020000}"/>
    <cellStyle name="20% - Accent4 5 8" xfId="2809" xr:uid="{00000000-0005-0000-0000-0000F1020000}"/>
    <cellStyle name="20% - Accent4 5_BukuBesar" xfId="2810" xr:uid="{00000000-0005-0000-0000-0000F2020000}"/>
    <cellStyle name="20% - Accent4 6" xfId="58" xr:uid="{00000000-0005-0000-0000-0000F3020000}"/>
    <cellStyle name="20% - Accent4 6 2" xfId="1300" xr:uid="{00000000-0005-0000-0000-0000F4020000}"/>
    <cellStyle name="20% - Accent4 6 2 2" xfId="1301" xr:uid="{00000000-0005-0000-0000-0000F5020000}"/>
    <cellStyle name="20% - Accent4 6 2 2 2" xfId="2811" xr:uid="{00000000-0005-0000-0000-0000F6020000}"/>
    <cellStyle name="20% - Accent4 6 2 3" xfId="2812" xr:uid="{00000000-0005-0000-0000-0000F7020000}"/>
    <cellStyle name="20% - Accent4 6 2_BukuBesar" xfId="2813" xr:uid="{00000000-0005-0000-0000-0000F8020000}"/>
    <cellStyle name="20% - Accent4 6 3" xfId="1302" xr:uid="{00000000-0005-0000-0000-0000F9020000}"/>
    <cellStyle name="20% - Accent4 6 3 2" xfId="1303" xr:uid="{00000000-0005-0000-0000-0000FA020000}"/>
    <cellStyle name="20% - Accent4 6 4" xfId="1304" xr:uid="{00000000-0005-0000-0000-0000FB020000}"/>
    <cellStyle name="20% - Accent4 6 4 2" xfId="2814" xr:uid="{00000000-0005-0000-0000-0000FC020000}"/>
    <cellStyle name="20% - Accent4 6 5" xfId="2815" xr:uid="{00000000-0005-0000-0000-0000FD020000}"/>
    <cellStyle name="20% - Accent4 6 6" xfId="2816" xr:uid="{00000000-0005-0000-0000-0000FE020000}"/>
    <cellStyle name="20% - Accent4 6 7" xfId="2817" xr:uid="{00000000-0005-0000-0000-0000FF020000}"/>
    <cellStyle name="20% - Accent4 6 8" xfId="2818" xr:uid="{00000000-0005-0000-0000-000000030000}"/>
    <cellStyle name="20% - Accent4 6_BukuBesar" xfId="2819" xr:uid="{00000000-0005-0000-0000-000001030000}"/>
    <cellStyle name="20% - Accent4 7" xfId="59" xr:uid="{00000000-0005-0000-0000-000002030000}"/>
    <cellStyle name="20% - Accent4 7 2" xfId="1305" xr:uid="{00000000-0005-0000-0000-000003030000}"/>
    <cellStyle name="20% - Accent4 7 2 2" xfId="1306" xr:uid="{00000000-0005-0000-0000-000004030000}"/>
    <cellStyle name="20% - Accent4 7 2 3" xfId="2820" xr:uid="{00000000-0005-0000-0000-000005030000}"/>
    <cellStyle name="20% - Accent4 7 3" xfId="1307" xr:uid="{00000000-0005-0000-0000-000006030000}"/>
    <cellStyle name="20% - Accent4 7 3 2" xfId="1308" xr:uid="{00000000-0005-0000-0000-000007030000}"/>
    <cellStyle name="20% - Accent4 7 3 3" xfId="2821" xr:uid="{00000000-0005-0000-0000-000008030000}"/>
    <cellStyle name="20% - Accent4 7 4" xfId="1309" xr:uid="{00000000-0005-0000-0000-000009030000}"/>
    <cellStyle name="20% - Accent4 7_BukuBesar" xfId="2822" xr:uid="{00000000-0005-0000-0000-00000A030000}"/>
    <cellStyle name="20% - Accent4 8" xfId="60" xr:uid="{00000000-0005-0000-0000-00000B030000}"/>
    <cellStyle name="20% - Accent4 8 2" xfId="1310" xr:uid="{00000000-0005-0000-0000-00000C030000}"/>
    <cellStyle name="20% - Accent4 8 2 2" xfId="1311" xr:uid="{00000000-0005-0000-0000-00000D030000}"/>
    <cellStyle name="20% - Accent4 8 2 3" xfId="2823" xr:uid="{00000000-0005-0000-0000-00000E030000}"/>
    <cellStyle name="20% - Accent4 8 3" xfId="1312" xr:uid="{00000000-0005-0000-0000-00000F030000}"/>
    <cellStyle name="20% - Accent4 8 3 2" xfId="1313" xr:uid="{00000000-0005-0000-0000-000010030000}"/>
    <cellStyle name="20% - Accent4 8 3 3" xfId="2824" xr:uid="{00000000-0005-0000-0000-000011030000}"/>
    <cellStyle name="20% - Accent4 8 4" xfId="1314" xr:uid="{00000000-0005-0000-0000-000012030000}"/>
    <cellStyle name="20% - Accent4 8_BukuBesar" xfId="2825" xr:uid="{00000000-0005-0000-0000-000013030000}"/>
    <cellStyle name="20% - Accent4 9" xfId="61" xr:uid="{00000000-0005-0000-0000-000014030000}"/>
    <cellStyle name="20% - Accent4 9 2" xfId="1315" xr:uid="{00000000-0005-0000-0000-000015030000}"/>
    <cellStyle name="20% - Accent4 9 2 2" xfId="1316" xr:uid="{00000000-0005-0000-0000-000016030000}"/>
    <cellStyle name="20% - Accent4 9 2 3" xfId="2826" xr:uid="{00000000-0005-0000-0000-000017030000}"/>
    <cellStyle name="20% - Accent4 9 3" xfId="1317" xr:uid="{00000000-0005-0000-0000-000018030000}"/>
    <cellStyle name="20% - Accent4 9 3 2" xfId="1318" xr:uid="{00000000-0005-0000-0000-000019030000}"/>
    <cellStyle name="20% - Accent4 9 3 3" xfId="2827" xr:uid="{00000000-0005-0000-0000-00001A030000}"/>
    <cellStyle name="20% - Accent4 9 4" xfId="1319" xr:uid="{00000000-0005-0000-0000-00001B030000}"/>
    <cellStyle name="20% - Accent4 9_BukuBesar" xfId="2828" xr:uid="{00000000-0005-0000-0000-00001C030000}"/>
    <cellStyle name="20% - Accent5 10" xfId="62" xr:uid="{00000000-0005-0000-0000-00001D030000}"/>
    <cellStyle name="20% - Accent5 10 2" xfId="1320" xr:uid="{00000000-0005-0000-0000-00001E030000}"/>
    <cellStyle name="20% - Accent5 10 2 2" xfId="1321" xr:uid="{00000000-0005-0000-0000-00001F030000}"/>
    <cellStyle name="20% - Accent5 10 2 3" xfId="2829" xr:uid="{00000000-0005-0000-0000-000020030000}"/>
    <cellStyle name="20% - Accent5 10 3" xfId="1322" xr:uid="{00000000-0005-0000-0000-000021030000}"/>
    <cellStyle name="20% - Accent5 10 3 2" xfId="1323" xr:uid="{00000000-0005-0000-0000-000022030000}"/>
    <cellStyle name="20% - Accent5 10 3 3" xfId="2830" xr:uid="{00000000-0005-0000-0000-000023030000}"/>
    <cellStyle name="20% - Accent5 10 4" xfId="1324" xr:uid="{00000000-0005-0000-0000-000024030000}"/>
    <cellStyle name="20% - Accent5 10_BukuBesar" xfId="2831" xr:uid="{00000000-0005-0000-0000-000025030000}"/>
    <cellStyle name="20% - Accent5 11" xfId="63" xr:uid="{00000000-0005-0000-0000-000026030000}"/>
    <cellStyle name="20% - Accent5 11 2" xfId="1325" xr:uid="{00000000-0005-0000-0000-000027030000}"/>
    <cellStyle name="20% - Accent5 11 2 2" xfId="1326" xr:uid="{00000000-0005-0000-0000-000028030000}"/>
    <cellStyle name="20% - Accent5 11 2 3" xfId="2832" xr:uid="{00000000-0005-0000-0000-000029030000}"/>
    <cellStyle name="20% - Accent5 11 3" xfId="1327" xr:uid="{00000000-0005-0000-0000-00002A030000}"/>
    <cellStyle name="20% - Accent5 11 3 2" xfId="1328" xr:uid="{00000000-0005-0000-0000-00002B030000}"/>
    <cellStyle name="20% - Accent5 11 3 3" xfId="2833" xr:uid="{00000000-0005-0000-0000-00002C030000}"/>
    <cellStyle name="20% - Accent5 11 4" xfId="1329" xr:uid="{00000000-0005-0000-0000-00002D030000}"/>
    <cellStyle name="20% - Accent5 11_BukuBesar" xfId="2834" xr:uid="{00000000-0005-0000-0000-00002E030000}"/>
    <cellStyle name="20% - Accent5 12" xfId="64" xr:uid="{00000000-0005-0000-0000-00002F030000}"/>
    <cellStyle name="20% - Accent5 12 2" xfId="1330" xr:uid="{00000000-0005-0000-0000-000030030000}"/>
    <cellStyle name="20% - Accent5 12 2 2" xfId="1331" xr:uid="{00000000-0005-0000-0000-000031030000}"/>
    <cellStyle name="20% - Accent5 12 2 3" xfId="2835" xr:uid="{00000000-0005-0000-0000-000032030000}"/>
    <cellStyle name="20% - Accent5 12 3" xfId="1332" xr:uid="{00000000-0005-0000-0000-000033030000}"/>
    <cellStyle name="20% - Accent5 12 3 2" xfId="1333" xr:uid="{00000000-0005-0000-0000-000034030000}"/>
    <cellStyle name="20% - Accent5 12 3 3" xfId="2836" xr:uid="{00000000-0005-0000-0000-000035030000}"/>
    <cellStyle name="20% - Accent5 12 4" xfId="1334" xr:uid="{00000000-0005-0000-0000-000036030000}"/>
    <cellStyle name="20% - Accent5 12_BukuBesar" xfId="2837" xr:uid="{00000000-0005-0000-0000-000037030000}"/>
    <cellStyle name="20% - Accent5 13" xfId="65" xr:uid="{00000000-0005-0000-0000-000038030000}"/>
    <cellStyle name="20% - Accent5 13 2" xfId="1335" xr:uid="{00000000-0005-0000-0000-000039030000}"/>
    <cellStyle name="20% - Accent5 13 2 2" xfId="1336" xr:uid="{00000000-0005-0000-0000-00003A030000}"/>
    <cellStyle name="20% - Accent5 13 2 3" xfId="2838" xr:uid="{00000000-0005-0000-0000-00003B030000}"/>
    <cellStyle name="20% - Accent5 13 3" xfId="1337" xr:uid="{00000000-0005-0000-0000-00003C030000}"/>
    <cellStyle name="20% - Accent5 13 3 2" xfId="1338" xr:uid="{00000000-0005-0000-0000-00003D030000}"/>
    <cellStyle name="20% - Accent5 13 3 3" xfId="2839" xr:uid="{00000000-0005-0000-0000-00003E030000}"/>
    <cellStyle name="20% - Accent5 13 4" xfId="1339" xr:uid="{00000000-0005-0000-0000-00003F030000}"/>
    <cellStyle name="20% - Accent5 13_BukuBesar" xfId="2840" xr:uid="{00000000-0005-0000-0000-000040030000}"/>
    <cellStyle name="20% - Accent5 14" xfId="2841" xr:uid="{00000000-0005-0000-0000-000041030000}"/>
    <cellStyle name="20% - Accent5 14 2" xfId="2842" xr:uid="{00000000-0005-0000-0000-000042030000}"/>
    <cellStyle name="20% - Accent5 14 3" xfId="2843" xr:uid="{00000000-0005-0000-0000-000043030000}"/>
    <cellStyle name="20% - Accent5 14_BukuBesar" xfId="2844" xr:uid="{00000000-0005-0000-0000-000044030000}"/>
    <cellStyle name="20% - Accent5 15" xfId="2845" xr:uid="{00000000-0005-0000-0000-000045030000}"/>
    <cellStyle name="20% - Accent5 15 2" xfId="2846" xr:uid="{00000000-0005-0000-0000-000046030000}"/>
    <cellStyle name="20% - Accent5 15 3" xfId="2847" xr:uid="{00000000-0005-0000-0000-000047030000}"/>
    <cellStyle name="20% - Accent5 15_BukuBesar" xfId="2848" xr:uid="{00000000-0005-0000-0000-000048030000}"/>
    <cellStyle name="20% - Accent5 16" xfId="2849" xr:uid="{00000000-0005-0000-0000-000049030000}"/>
    <cellStyle name="20% - Accent5 16 2" xfId="2850" xr:uid="{00000000-0005-0000-0000-00004A030000}"/>
    <cellStyle name="20% - Accent5 16 3" xfId="2851" xr:uid="{00000000-0005-0000-0000-00004B030000}"/>
    <cellStyle name="20% - Accent5 16_BukuBesar" xfId="2852" xr:uid="{00000000-0005-0000-0000-00004C030000}"/>
    <cellStyle name="20% - Accent5 17" xfId="2853" xr:uid="{00000000-0005-0000-0000-00004D030000}"/>
    <cellStyle name="20% - Accent5 17 2" xfId="2854" xr:uid="{00000000-0005-0000-0000-00004E030000}"/>
    <cellStyle name="20% - Accent5 17 3" xfId="2855" xr:uid="{00000000-0005-0000-0000-00004F030000}"/>
    <cellStyle name="20% - Accent5 17_BukuBesar" xfId="2856" xr:uid="{00000000-0005-0000-0000-000050030000}"/>
    <cellStyle name="20% - Accent5 18" xfId="2857" xr:uid="{00000000-0005-0000-0000-000051030000}"/>
    <cellStyle name="20% - Accent5 18 2" xfId="2858" xr:uid="{00000000-0005-0000-0000-000052030000}"/>
    <cellStyle name="20% - Accent5 18 3" xfId="2859" xr:uid="{00000000-0005-0000-0000-000053030000}"/>
    <cellStyle name="20% - Accent5 18_BukuBesar" xfId="2860" xr:uid="{00000000-0005-0000-0000-000054030000}"/>
    <cellStyle name="20% - Accent5 19" xfId="2861" xr:uid="{00000000-0005-0000-0000-000055030000}"/>
    <cellStyle name="20% - Accent5 19 2" xfId="2862" xr:uid="{00000000-0005-0000-0000-000056030000}"/>
    <cellStyle name="20% - Accent5 19_BukuBesar" xfId="2863" xr:uid="{00000000-0005-0000-0000-000057030000}"/>
    <cellStyle name="20% - Accent5 2" xfId="66" xr:uid="{00000000-0005-0000-0000-000058030000}"/>
    <cellStyle name="20% - Accent5 2 2" xfId="1340" xr:uid="{00000000-0005-0000-0000-000059030000}"/>
    <cellStyle name="20% - Accent5 2 2 2" xfId="1341" xr:uid="{00000000-0005-0000-0000-00005A030000}"/>
    <cellStyle name="20% - Accent5 2 2 2 2" xfId="2864" xr:uid="{00000000-0005-0000-0000-00005B030000}"/>
    <cellStyle name="20% - Accent5 2 2 3" xfId="2865" xr:uid="{00000000-0005-0000-0000-00005C030000}"/>
    <cellStyle name="20% - Accent5 2 2_BukuBesar" xfId="2866" xr:uid="{00000000-0005-0000-0000-00005D030000}"/>
    <cellStyle name="20% - Accent5 2 3" xfId="1342" xr:uid="{00000000-0005-0000-0000-00005E030000}"/>
    <cellStyle name="20% - Accent5 2 3 2" xfId="1343" xr:uid="{00000000-0005-0000-0000-00005F030000}"/>
    <cellStyle name="20% - Accent5 2 4" xfId="1344" xr:uid="{00000000-0005-0000-0000-000060030000}"/>
    <cellStyle name="20% - Accent5 2 4 2" xfId="2867" xr:uid="{00000000-0005-0000-0000-000061030000}"/>
    <cellStyle name="20% - Accent5 2 5" xfId="2868" xr:uid="{00000000-0005-0000-0000-000062030000}"/>
    <cellStyle name="20% - Accent5 2 6" xfId="2869" xr:uid="{00000000-0005-0000-0000-000063030000}"/>
    <cellStyle name="20% - Accent5 2 7" xfId="2870" xr:uid="{00000000-0005-0000-0000-000064030000}"/>
    <cellStyle name="20% - Accent5 2 8" xfId="6494" xr:uid="{E3F67820-17AC-40F6-8CC6-B4C29743466D}"/>
    <cellStyle name="20% - Accent5 2_BukuBesar" xfId="2871" xr:uid="{00000000-0005-0000-0000-000065030000}"/>
    <cellStyle name="20% - Accent5 20" xfId="2872" xr:uid="{00000000-0005-0000-0000-000066030000}"/>
    <cellStyle name="20% - Accent5 20 2" xfId="2873" xr:uid="{00000000-0005-0000-0000-000067030000}"/>
    <cellStyle name="20% - Accent5 20 3" xfId="2874" xr:uid="{00000000-0005-0000-0000-000068030000}"/>
    <cellStyle name="20% - Accent5 20_BukuBesar" xfId="2875" xr:uid="{00000000-0005-0000-0000-000069030000}"/>
    <cellStyle name="20% - Accent5 21" xfId="2876" xr:uid="{00000000-0005-0000-0000-00006A030000}"/>
    <cellStyle name="20% - Accent5 21 2" xfId="2877" xr:uid="{00000000-0005-0000-0000-00006B030000}"/>
    <cellStyle name="20% - Accent5 21_BukuBesar" xfId="2878" xr:uid="{00000000-0005-0000-0000-00006C030000}"/>
    <cellStyle name="20% - Accent5 22" xfId="2879" xr:uid="{00000000-0005-0000-0000-00006D030000}"/>
    <cellStyle name="20% - Accent5 22 2" xfId="2880" xr:uid="{00000000-0005-0000-0000-00006E030000}"/>
    <cellStyle name="20% - Accent5 22_BukuBesar" xfId="2881" xr:uid="{00000000-0005-0000-0000-00006F030000}"/>
    <cellStyle name="20% - Accent5 23" xfId="2882" xr:uid="{00000000-0005-0000-0000-000070030000}"/>
    <cellStyle name="20% - Accent5 23 2" xfId="2883" xr:uid="{00000000-0005-0000-0000-000071030000}"/>
    <cellStyle name="20% - Accent5 23_BukuBesar" xfId="2884" xr:uid="{00000000-0005-0000-0000-000072030000}"/>
    <cellStyle name="20% - Accent5 24" xfId="2885" xr:uid="{00000000-0005-0000-0000-000073030000}"/>
    <cellStyle name="20% - Accent5 24 2" xfId="2886" xr:uid="{00000000-0005-0000-0000-000074030000}"/>
    <cellStyle name="20% - Accent5 24_BukuBesar" xfId="2887" xr:uid="{00000000-0005-0000-0000-000075030000}"/>
    <cellStyle name="20% - Accent5 25" xfId="2888" xr:uid="{00000000-0005-0000-0000-000076030000}"/>
    <cellStyle name="20% - Accent5 25 2" xfId="2889" xr:uid="{00000000-0005-0000-0000-000077030000}"/>
    <cellStyle name="20% - Accent5 25_BukuBesar" xfId="2890" xr:uid="{00000000-0005-0000-0000-000078030000}"/>
    <cellStyle name="20% - Accent5 26" xfId="2891" xr:uid="{00000000-0005-0000-0000-000079030000}"/>
    <cellStyle name="20% - Accent5 26 2" xfId="2892" xr:uid="{00000000-0005-0000-0000-00007A030000}"/>
    <cellStyle name="20% - Accent5 26_BukuBesar" xfId="2893" xr:uid="{00000000-0005-0000-0000-00007B030000}"/>
    <cellStyle name="20% - Accent5 27" xfId="2894" xr:uid="{00000000-0005-0000-0000-00007C030000}"/>
    <cellStyle name="20% - Accent5 27 2" xfId="2895" xr:uid="{00000000-0005-0000-0000-00007D030000}"/>
    <cellStyle name="20% - Accent5 27_BukuBesar" xfId="2896" xr:uid="{00000000-0005-0000-0000-00007E030000}"/>
    <cellStyle name="20% - Accent5 28" xfId="2897" xr:uid="{00000000-0005-0000-0000-00007F030000}"/>
    <cellStyle name="20% - Accent5 28 2" xfId="2898" xr:uid="{00000000-0005-0000-0000-000080030000}"/>
    <cellStyle name="20% - Accent5 28_BukuBesar" xfId="2899" xr:uid="{00000000-0005-0000-0000-000081030000}"/>
    <cellStyle name="20% - Accent5 29" xfId="2900" xr:uid="{00000000-0005-0000-0000-000082030000}"/>
    <cellStyle name="20% - Accent5 29 2" xfId="2901" xr:uid="{00000000-0005-0000-0000-000083030000}"/>
    <cellStyle name="20% - Accent5 29_BukuBesar" xfId="2902" xr:uid="{00000000-0005-0000-0000-000084030000}"/>
    <cellStyle name="20% - Accent5 3" xfId="67" xr:uid="{00000000-0005-0000-0000-000085030000}"/>
    <cellStyle name="20% - Accent5 3 2" xfId="1345" xr:uid="{00000000-0005-0000-0000-000086030000}"/>
    <cellStyle name="20% - Accent5 3 2 2" xfId="1346" xr:uid="{00000000-0005-0000-0000-000087030000}"/>
    <cellStyle name="20% - Accent5 3 2 2 2" xfId="2903" xr:uid="{00000000-0005-0000-0000-000088030000}"/>
    <cellStyle name="20% - Accent5 3 2 3" xfId="2904" xr:uid="{00000000-0005-0000-0000-000089030000}"/>
    <cellStyle name="20% - Accent5 3 2_BukuBesar" xfId="2905" xr:uid="{00000000-0005-0000-0000-00008A030000}"/>
    <cellStyle name="20% - Accent5 3 3" xfId="1347" xr:uid="{00000000-0005-0000-0000-00008B030000}"/>
    <cellStyle name="20% - Accent5 3 3 2" xfId="1348" xr:uid="{00000000-0005-0000-0000-00008C030000}"/>
    <cellStyle name="20% - Accent5 3 4" xfId="1349" xr:uid="{00000000-0005-0000-0000-00008D030000}"/>
    <cellStyle name="20% - Accent5 3 4 2" xfId="2906" xr:uid="{00000000-0005-0000-0000-00008E030000}"/>
    <cellStyle name="20% - Accent5 3 5" xfId="2907" xr:uid="{00000000-0005-0000-0000-00008F030000}"/>
    <cellStyle name="20% - Accent5 3 6" xfId="2908" xr:uid="{00000000-0005-0000-0000-000090030000}"/>
    <cellStyle name="20% - Accent5 3 7" xfId="2909" xr:uid="{00000000-0005-0000-0000-000091030000}"/>
    <cellStyle name="20% - Accent5 3 8" xfId="2910" xr:uid="{00000000-0005-0000-0000-000092030000}"/>
    <cellStyle name="20% - Accent5 3_BukuBesar" xfId="2911" xr:uid="{00000000-0005-0000-0000-000093030000}"/>
    <cellStyle name="20% - Accent5 30" xfId="2912" xr:uid="{00000000-0005-0000-0000-000094030000}"/>
    <cellStyle name="20% - Accent5 4" xfId="68" xr:uid="{00000000-0005-0000-0000-000095030000}"/>
    <cellStyle name="20% - Accent5 4 2" xfId="1350" xr:uid="{00000000-0005-0000-0000-000096030000}"/>
    <cellStyle name="20% - Accent5 4 2 2" xfId="1351" xr:uid="{00000000-0005-0000-0000-000097030000}"/>
    <cellStyle name="20% - Accent5 4 2 2 2" xfId="2913" xr:uid="{00000000-0005-0000-0000-000098030000}"/>
    <cellStyle name="20% - Accent5 4 2 3" xfId="2914" xr:uid="{00000000-0005-0000-0000-000099030000}"/>
    <cellStyle name="20% - Accent5 4 2_BukuBesar" xfId="2915" xr:uid="{00000000-0005-0000-0000-00009A030000}"/>
    <cellStyle name="20% - Accent5 4 3" xfId="1352" xr:uid="{00000000-0005-0000-0000-00009B030000}"/>
    <cellStyle name="20% - Accent5 4 3 2" xfId="1353" xr:uid="{00000000-0005-0000-0000-00009C030000}"/>
    <cellStyle name="20% - Accent5 4 4" xfId="1354" xr:uid="{00000000-0005-0000-0000-00009D030000}"/>
    <cellStyle name="20% - Accent5 4 4 2" xfId="2916" xr:uid="{00000000-0005-0000-0000-00009E030000}"/>
    <cellStyle name="20% - Accent5 4 5" xfId="2917" xr:uid="{00000000-0005-0000-0000-00009F030000}"/>
    <cellStyle name="20% - Accent5 4 6" xfId="2918" xr:uid="{00000000-0005-0000-0000-0000A0030000}"/>
    <cellStyle name="20% - Accent5 4 7" xfId="2919" xr:uid="{00000000-0005-0000-0000-0000A1030000}"/>
    <cellStyle name="20% - Accent5 4 8" xfId="2920" xr:uid="{00000000-0005-0000-0000-0000A2030000}"/>
    <cellStyle name="20% - Accent5 4_BukuBesar" xfId="2921" xr:uid="{00000000-0005-0000-0000-0000A3030000}"/>
    <cellStyle name="20% - Accent5 5" xfId="69" xr:uid="{00000000-0005-0000-0000-0000A4030000}"/>
    <cellStyle name="20% - Accent5 5 2" xfId="1355" xr:uid="{00000000-0005-0000-0000-0000A5030000}"/>
    <cellStyle name="20% - Accent5 5 2 2" xfId="1356" xr:uid="{00000000-0005-0000-0000-0000A6030000}"/>
    <cellStyle name="20% - Accent5 5 2 2 2" xfId="2922" xr:uid="{00000000-0005-0000-0000-0000A7030000}"/>
    <cellStyle name="20% - Accent5 5 2 3" xfId="2923" xr:uid="{00000000-0005-0000-0000-0000A8030000}"/>
    <cellStyle name="20% - Accent5 5 2_BukuBesar" xfId="2924" xr:uid="{00000000-0005-0000-0000-0000A9030000}"/>
    <cellStyle name="20% - Accent5 5 3" xfId="1357" xr:uid="{00000000-0005-0000-0000-0000AA030000}"/>
    <cellStyle name="20% - Accent5 5 3 2" xfId="1358" xr:uid="{00000000-0005-0000-0000-0000AB030000}"/>
    <cellStyle name="20% - Accent5 5 4" xfId="1359" xr:uid="{00000000-0005-0000-0000-0000AC030000}"/>
    <cellStyle name="20% - Accent5 5 4 2" xfId="2925" xr:uid="{00000000-0005-0000-0000-0000AD030000}"/>
    <cellStyle name="20% - Accent5 5 5" xfId="2926" xr:uid="{00000000-0005-0000-0000-0000AE030000}"/>
    <cellStyle name="20% - Accent5 5 6" xfId="2927" xr:uid="{00000000-0005-0000-0000-0000AF030000}"/>
    <cellStyle name="20% - Accent5 5 7" xfId="2928" xr:uid="{00000000-0005-0000-0000-0000B0030000}"/>
    <cellStyle name="20% - Accent5 5 8" xfId="2929" xr:uid="{00000000-0005-0000-0000-0000B1030000}"/>
    <cellStyle name="20% - Accent5 5_BukuBesar" xfId="2930" xr:uid="{00000000-0005-0000-0000-0000B2030000}"/>
    <cellStyle name="20% - Accent5 6" xfId="70" xr:uid="{00000000-0005-0000-0000-0000B3030000}"/>
    <cellStyle name="20% - Accent5 6 2" xfId="1360" xr:uid="{00000000-0005-0000-0000-0000B4030000}"/>
    <cellStyle name="20% - Accent5 6 2 2" xfId="1361" xr:uid="{00000000-0005-0000-0000-0000B5030000}"/>
    <cellStyle name="20% - Accent5 6 2 2 2" xfId="2931" xr:uid="{00000000-0005-0000-0000-0000B6030000}"/>
    <cellStyle name="20% - Accent5 6 2 3" xfId="2932" xr:uid="{00000000-0005-0000-0000-0000B7030000}"/>
    <cellStyle name="20% - Accent5 6 2_BukuBesar" xfId="2933" xr:uid="{00000000-0005-0000-0000-0000B8030000}"/>
    <cellStyle name="20% - Accent5 6 3" xfId="1362" xr:uid="{00000000-0005-0000-0000-0000B9030000}"/>
    <cellStyle name="20% - Accent5 6 3 2" xfId="1363" xr:uid="{00000000-0005-0000-0000-0000BA030000}"/>
    <cellStyle name="20% - Accent5 6 4" xfId="1364" xr:uid="{00000000-0005-0000-0000-0000BB030000}"/>
    <cellStyle name="20% - Accent5 6 4 2" xfId="2934" xr:uid="{00000000-0005-0000-0000-0000BC030000}"/>
    <cellStyle name="20% - Accent5 6 5" xfId="2935" xr:uid="{00000000-0005-0000-0000-0000BD030000}"/>
    <cellStyle name="20% - Accent5 6 6" xfId="2936" xr:uid="{00000000-0005-0000-0000-0000BE030000}"/>
    <cellStyle name="20% - Accent5 6 7" xfId="2937" xr:uid="{00000000-0005-0000-0000-0000BF030000}"/>
    <cellStyle name="20% - Accent5 6 8" xfId="2938" xr:uid="{00000000-0005-0000-0000-0000C0030000}"/>
    <cellStyle name="20% - Accent5 6_BukuBesar" xfId="2939" xr:uid="{00000000-0005-0000-0000-0000C1030000}"/>
    <cellStyle name="20% - Accent5 7" xfId="71" xr:uid="{00000000-0005-0000-0000-0000C2030000}"/>
    <cellStyle name="20% - Accent5 7 2" xfId="1365" xr:uid="{00000000-0005-0000-0000-0000C3030000}"/>
    <cellStyle name="20% - Accent5 7 2 2" xfId="1366" xr:uid="{00000000-0005-0000-0000-0000C4030000}"/>
    <cellStyle name="20% - Accent5 7 2 3" xfId="2940" xr:uid="{00000000-0005-0000-0000-0000C5030000}"/>
    <cellStyle name="20% - Accent5 7 3" xfId="1367" xr:uid="{00000000-0005-0000-0000-0000C6030000}"/>
    <cellStyle name="20% - Accent5 7 3 2" xfId="1368" xr:uid="{00000000-0005-0000-0000-0000C7030000}"/>
    <cellStyle name="20% - Accent5 7 3 3" xfId="2941" xr:uid="{00000000-0005-0000-0000-0000C8030000}"/>
    <cellStyle name="20% - Accent5 7 4" xfId="1369" xr:uid="{00000000-0005-0000-0000-0000C9030000}"/>
    <cellStyle name="20% - Accent5 7_BukuBesar" xfId="2942" xr:uid="{00000000-0005-0000-0000-0000CA030000}"/>
    <cellStyle name="20% - Accent5 8" xfId="72" xr:uid="{00000000-0005-0000-0000-0000CB030000}"/>
    <cellStyle name="20% - Accent5 8 2" xfId="1370" xr:uid="{00000000-0005-0000-0000-0000CC030000}"/>
    <cellStyle name="20% - Accent5 8 2 2" xfId="1371" xr:uid="{00000000-0005-0000-0000-0000CD030000}"/>
    <cellStyle name="20% - Accent5 8 2 3" xfId="2943" xr:uid="{00000000-0005-0000-0000-0000CE030000}"/>
    <cellStyle name="20% - Accent5 8 3" xfId="1372" xr:uid="{00000000-0005-0000-0000-0000CF030000}"/>
    <cellStyle name="20% - Accent5 8 3 2" xfId="1373" xr:uid="{00000000-0005-0000-0000-0000D0030000}"/>
    <cellStyle name="20% - Accent5 8 3 3" xfId="2944" xr:uid="{00000000-0005-0000-0000-0000D1030000}"/>
    <cellStyle name="20% - Accent5 8 4" xfId="1374" xr:uid="{00000000-0005-0000-0000-0000D2030000}"/>
    <cellStyle name="20% - Accent5 8_BukuBesar" xfId="2945" xr:uid="{00000000-0005-0000-0000-0000D3030000}"/>
    <cellStyle name="20% - Accent5 9" xfId="73" xr:uid="{00000000-0005-0000-0000-0000D4030000}"/>
    <cellStyle name="20% - Accent5 9 2" xfId="1375" xr:uid="{00000000-0005-0000-0000-0000D5030000}"/>
    <cellStyle name="20% - Accent5 9 2 2" xfId="1376" xr:uid="{00000000-0005-0000-0000-0000D6030000}"/>
    <cellStyle name="20% - Accent5 9 2 3" xfId="2946" xr:uid="{00000000-0005-0000-0000-0000D7030000}"/>
    <cellStyle name="20% - Accent5 9 3" xfId="1377" xr:uid="{00000000-0005-0000-0000-0000D8030000}"/>
    <cellStyle name="20% - Accent5 9 3 2" xfId="1378" xr:uid="{00000000-0005-0000-0000-0000D9030000}"/>
    <cellStyle name="20% - Accent5 9 3 3" xfId="2947" xr:uid="{00000000-0005-0000-0000-0000DA030000}"/>
    <cellStyle name="20% - Accent5 9 4" xfId="1379" xr:uid="{00000000-0005-0000-0000-0000DB030000}"/>
    <cellStyle name="20% - Accent5 9_BukuBesar" xfId="2948" xr:uid="{00000000-0005-0000-0000-0000DC030000}"/>
    <cellStyle name="20% - Accent6 10" xfId="74" xr:uid="{00000000-0005-0000-0000-0000DD030000}"/>
    <cellStyle name="20% - Accent6 10 2" xfId="1380" xr:uid="{00000000-0005-0000-0000-0000DE030000}"/>
    <cellStyle name="20% - Accent6 10 2 2" xfId="1381" xr:uid="{00000000-0005-0000-0000-0000DF030000}"/>
    <cellStyle name="20% - Accent6 10 2 3" xfId="2949" xr:uid="{00000000-0005-0000-0000-0000E0030000}"/>
    <cellStyle name="20% - Accent6 10 3" xfId="1382" xr:uid="{00000000-0005-0000-0000-0000E1030000}"/>
    <cellStyle name="20% - Accent6 10 3 2" xfId="1383" xr:uid="{00000000-0005-0000-0000-0000E2030000}"/>
    <cellStyle name="20% - Accent6 10 3 3" xfId="2950" xr:uid="{00000000-0005-0000-0000-0000E3030000}"/>
    <cellStyle name="20% - Accent6 10 4" xfId="1384" xr:uid="{00000000-0005-0000-0000-0000E4030000}"/>
    <cellStyle name="20% - Accent6 10_BukuBesar" xfId="2951" xr:uid="{00000000-0005-0000-0000-0000E5030000}"/>
    <cellStyle name="20% - Accent6 11" xfId="75" xr:uid="{00000000-0005-0000-0000-0000E6030000}"/>
    <cellStyle name="20% - Accent6 11 2" xfId="1385" xr:uid="{00000000-0005-0000-0000-0000E7030000}"/>
    <cellStyle name="20% - Accent6 11 2 2" xfId="1386" xr:uid="{00000000-0005-0000-0000-0000E8030000}"/>
    <cellStyle name="20% - Accent6 11 2 3" xfId="2952" xr:uid="{00000000-0005-0000-0000-0000E9030000}"/>
    <cellStyle name="20% - Accent6 11 3" xfId="1387" xr:uid="{00000000-0005-0000-0000-0000EA030000}"/>
    <cellStyle name="20% - Accent6 11 3 2" xfId="1388" xr:uid="{00000000-0005-0000-0000-0000EB030000}"/>
    <cellStyle name="20% - Accent6 11 3 3" xfId="2953" xr:uid="{00000000-0005-0000-0000-0000EC030000}"/>
    <cellStyle name="20% - Accent6 11 4" xfId="1389" xr:uid="{00000000-0005-0000-0000-0000ED030000}"/>
    <cellStyle name="20% - Accent6 11_BukuBesar" xfId="2954" xr:uid="{00000000-0005-0000-0000-0000EE030000}"/>
    <cellStyle name="20% - Accent6 12" xfId="76" xr:uid="{00000000-0005-0000-0000-0000EF030000}"/>
    <cellStyle name="20% - Accent6 12 2" xfId="1390" xr:uid="{00000000-0005-0000-0000-0000F0030000}"/>
    <cellStyle name="20% - Accent6 12 2 2" xfId="1391" xr:uid="{00000000-0005-0000-0000-0000F1030000}"/>
    <cellStyle name="20% - Accent6 12 2 3" xfId="2955" xr:uid="{00000000-0005-0000-0000-0000F2030000}"/>
    <cellStyle name="20% - Accent6 12 3" xfId="1392" xr:uid="{00000000-0005-0000-0000-0000F3030000}"/>
    <cellStyle name="20% - Accent6 12 3 2" xfId="1393" xr:uid="{00000000-0005-0000-0000-0000F4030000}"/>
    <cellStyle name="20% - Accent6 12 3 3" xfId="2956" xr:uid="{00000000-0005-0000-0000-0000F5030000}"/>
    <cellStyle name="20% - Accent6 12 4" xfId="1394" xr:uid="{00000000-0005-0000-0000-0000F6030000}"/>
    <cellStyle name="20% - Accent6 12_BukuBesar" xfId="2957" xr:uid="{00000000-0005-0000-0000-0000F7030000}"/>
    <cellStyle name="20% - Accent6 13" xfId="77" xr:uid="{00000000-0005-0000-0000-0000F8030000}"/>
    <cellStyle name="20% - Accent6 13 2" xfId="1395" xr:uid="{00000000-0005-0000-0000-0000F9030000}"/>
    <cellStyle name="20% - Accent6 13 2 2" xfId="1396" xr:uid="{00000000-0005-0000-0000-0000FA030000}"/>
    <cellStyle name="20% - Accent6 13 2 3" xfId="2958" xr:uid="{00000000-0005-0000-0000-0000FB030000}"/>
    <cellStyle name="20% - Accent6 13 3" xfId="1397" xr:uid="{00000000-0005-0000-0000-0000FC030000}"/>
    <cellStyle name="20% - Accent6 13 3 2" xfId="1398" xr:uid="{00000000-0005-0000-0000-0000FD030000}"/>
    <cellStyle name="20% - Accent6 13 3 3" xfId="2959" xr:uid="{00000000-0005-0000-0000-0000FE030000}"/>
    <cellStyle name="20% - Accent6 13 4" xfId="1399" xr:uid="{00000000-0005-0000-0000-0000FF030000}"/>
    <cellStyle name="20% - Accent6 13_BukuBesar" xfId="2960" xr:uid="{00000000-0005-0000-0000-000000040000}"/>
    <cellStyle name="20% - Accent6 14" xfId="2961" xr:uid="{00000000-0005-0000-0000-000001040000}"/>
    <cellStyle name="20% - Accent6 14 2" xfId="2962" xr:uid="{00000000-0005-0000-0000-000002040000}"/>
    <cellStyle name="20% - Accent6 14 3" xfId="2963" xr:uid="{00000000-0005-0000-0000-000003040000}"/>
    <cellStyle name="20% - Accent6 14_BukuBesar" xfId="2964" xr:uid="{00000000-0005-0000-0000-000004040000}"/>
    <cellStyle name="20% - Accent6 15" xfId="2965" xr:uid="{00000000-0005-0000-0000-000005040000}"/>
    <cellStyle name="20% - Accent6 15 2" xfId="2966" xr:uid="{00000000-0005-0000-0000-000006040000}"/>
    <cellStyle name="20% - Accent6 15 3" xfId="2967" xr:uid="{00000000-0005-0000-0000-000007040000}"/>
    <cellStyle name="20% - Accent6 15_BukuBesar" xfId="2968" xr:uid="{00000000-0005-0000-0000-000008040000}"/>
    <cellStyle name="20% - Accent6 16" xfId="2969" xr:uid="{00000000-0005-0000-0000-000009040000}"/>
    <cellStyle name="20% - Accent6 16 2" xfId="2970" xr:uid="{00000000-0005-0000-0000-00000A040000}"/>
    <cellStyle name="20% - Accent6 16 3" xfId="2971" xr:uid="{00000000-0005-0000-0000-00000B040000}"/>
    <cellStyle name="20% - Accent6 16_BukuBesar" xfId="2972" xr:uid="{00000000-0005-0000-0000-00000C040000}"/>
    <cellStyle name="20% - Accent6 17" xfId="2973" xr:uid="{00000000-0005-0000-0000-00000D040000}"/>
    <cellStyle name="20% - Accent6 17 2" xfId="2974" xr:uid="{00000000-0005-0000-0000-00000E040000}"/>
    <cellStyle name="20% - Accent6 17 3" xfId="2975" xr:uid="{00000000-0005-0000-0000-00000F040000}"/>
    <cellStyle name="20% - Accent6 17_BukuBesar" xfId="2976" xr:uid="{00000000-0005-0000-0000-000010040000}"/>
    <cellStyle name="20% - Accent6 18" xfId="2977" xr:uid="{00000000-0005-0000-0000-000011040000}"/>
    <cellStyle name="20% - Accent6 18 2" xfId="2978" xr:uid="{00000000-0005-0000-0000-000012040000}"/>
    <cellStyle name="20% - Accent6 18 3" xfId="2979" xr:uid="{00000000-0005-0000-0000-000013040000}"/>
    <cellStyle name="20% - Accent6 18_BukuBesar" xfId="2980" xr:uid="{00000000-0005-0000-0000-000014040000}"/>
    <cellStyle name="20% - Accent6 19" xfId="2981" xr:uid="{00000000-0005-0000-0000-000015040000}"/>
    <cellStyle name="20% - Accent6 19 2" xfId="2982" xr:uid="{00000000-0005-0000-0000-000016040000}"/>
    <cellStyle name="20% - Accent6 19_BukuBesar" xfId="2983" xr:uid="{00000000-0005-0000-0000-000017040000}"/>
    <cellStyle name="20% - Accent6 2" xfId="78" xr:uid="{00000000-0005-0000-0000-000018040000}"/>
    <cellStyle name="20% - Accent6 2 10" xfId="2984" xr:uid="{00000000-0005-0000-0000-000019040000}"/>
    <cellStyle name="20% - Accent6 2 11" xfId="6498" xr:uid="{9BF3C907-8382-4DB5-B41F-F7D83C687254}"/>
    <cellStyle name="20% - Accent6 2 2" xfId="79" xr:uid="{00000000-0005-0000-0000-00001A040000}"/>
    <cellStyle name="20% - Accent6 2 2 2" xfId="1400" xr:uid="{00000000-0005-0000-0000-00001B040000}"/>
    <cellStyle name="20% - Accent6 2 2 2 2" xfId="2985" xr:uid="{00000000-0005-0000-0000-00001C040000}"/>
    <cellStyle name="20% - Accent6 2 2 3" xfId="2986" xr:uid="{00000000-0005-0000-0000-00001D040000}"/>
    <cellStyle name="20% - Accent6 2 2 3 2" xfId="2987" xr:uid="{00000000-0005-0000-0000-00001E040000}"/>
    <cellStyle name="20% - Accent6 2 2 4" xfId="5655" xr:uid="{00000000-0005-0000-0000-00001F040000}"/>
    <cellStyle name="20% - Accent6 2 2 5" xfId="6500" xr:uid="{9E43C9FC-ED6C-43D8-BFEF-742CDD4B8C96}"/>
    <cellStyle name="20% - Accent6 2 2_BukuBesar" xfId="2988" xr:uid="{00000000-0005-0000-0000-000020040000}"/>
    <cellStyle name="20% - Accent6 2 3" xfId="1401" xr:uid="{00000000-0005-0000-0000-000021040000}"/>
    <cellStyle name="20% - Accent6 2 3 2" xfId="1402" xr:uid="{00000000-0005-0000-0000-000022040000}"/>
    <cellStyle name="20% - Accent6 2 3 3" xfId="2989" xr:uid="{00000000-0005-0000-0000-000023040000}"/>
    <cellStyle name="20% - Accent6 2 3 4" xfId="6483" xr:uid="{ECAF3706-1685-4ECF-9152-8FAEA09E95F2}"/>
    <cellStyle name="20% - Accent6 2 4" xfId="1403" xr:uid="{00000000-0005-0000-0000-000024040000}"/>
    <cellStyle name="20% - Accent6 2 4 2" xfId="1404" xr:uid="{00000000-0005-0000-0000-000025040000}"/>
    <cellStyle name="20% - Accent6 2 4 2 2" xfId="2990" xr:uid="{00000000-0005-0000-0000-000026040000}"/>
    <cellStyle name="20% - Accent6 2 4 3" xfId="2991" xr:uid="{00000000-0005-0000-0000-000027040000}"/>
    <cellStyle name="20% - Accent6 2 5" xfId="1405" xr:uid="{00000000-0005-0000-0000-000028040000}"/>
    <cellStyle name="20% - Accent6 2 5 2" xfId="2992" xr:uid="{00000000-0005-0000-0000-000029040000}"/>
    <cellStyle name="20% - Accent6 2 5 3" xfId="2993" xr:uid="{00000000-0005-0000-0000-00002A040000}"/>
    <cellStyle name="20% - Accent6 2 6" xfId="2994" xr:uid="{00000000-0005-0000-0000-00002B040000}"/>
    <cellStyle name="20% - Accent6 2 6 2" xfId="2995" xr:uid="{00000000-0005-0000-0000-00002C040000}"/>
    <cellStyle name="20% - Accent6 2 7" xfId="2996" xr:uid="{00000000-0005-0000-0000-00002D040000}"/>
    <cellStyle name="20% - Accent6 2 7 2" xfId="2997" xr:uid="{00000000-0005-0000-0000-00002E040000}"/>
    <cellStyle name="20% - Accent6 2 8" xfId="2998" xr:uid="{00000000-0005-0000-0000-00002F040000}"/>
    <cellStyle name="20% - Accent6 2 8 2" xfId="2999" xr:uid="{00000000-0005-0000-0000-000030040000}"/>
    <cellStyle name="20% - Accent6 2 9" xfId="3000" xr:uid="{00000000-0005-0000-0000-000031040000}"/>
    <cellStyle name="20% - Accent6 2_BukuBesar" xfId="3001" xr:uid="{00000000-0005-0000-0000-000032040000}"/>
    <cellStyle name="20% - Accent6 20" xfId="3002" xr:uid="{00000000-0005-0000-0000-000033040000}"/>
    <cellStyle name="20% - Accent6 20 2" xfId="3003" xr:uid="{00000000-0005-0000-0000-000034040000}"/>
    <cellStyle name="20% - Accent6 20 3" xfId="3004" xr:uid="{00000000-0005-0000-0000-000035040000}"/>
    <cellStyle name="20% - Accent6 20_BukuBesar" xfId="3005" xr:uid="{00000000-0005-0000-0000-000036040000}"/>
    <cellStyle name="20% - Accent6 21" xfId="3006" xr:uid="{00000000-0005-0000-0000-000037040000}"/>
    <cellStyle name="20% - Accent6 21 2" xfId="3007" xr:uid="{00000000-0005-0000-0000-000038040000}"/>
    <cellStyle name="20% - Accent6 21_BukuBesar" xfId="3008" xr:uid="{00000000-0005-0000-0000-000039040000}"/>
    <cellStyle name="20% - Accent6 22" xfId="3009" xr:uid="{00000000-0005-0000-0000-00003A040000}"/>
    <cellStyle name="20% - Accent6 22 2" xfId="3010" xr:uid="{00000000-0005-0000-0000-00003B040000}"/>
    <cellStyle name="20% - Accent6 22_BukuBesar" xfId="3011" xr:uid="{00000000-0005-0000-0000-00003C040000}"/>
    <cellStyle name="20% - Accent6 23" xfId="3012" xr:uid="{00000000-0005-0000-0000-00003D040000}"/>
    <cellStyle name="20% - Accent6 23 2" xfId="3013" xr:uid="{00000000-0005-0000-0000-00003E040000}"/>
    <cellStyle name="20% - Accent6 23_BukuBesar" xfId="3014" xr:uid="{00000000-0005-0000-0000-00003F040000}"/>
    <cellStyle name="20% - Accent6 24" xfId="3015" xr:uid="{00000000-0005-0000-0000-000040040000}"/>
    <cellStyle name="20% - Accent6 24 2" xfId="3016" xr:uid="{00000000-0005-0000-0000-000041040000}"/>
    <cellStyle name="20% - Accent6 24_BukuBesar" xfId="3017" xr:uid="{00000000-0005-0000-0000-000042040000}"/>
    <cellStyle name="20% - Accent6 25" xfId="3018" xr:uid="{00000000-0005-0000-0000-000043040000}"/>
    <cellStyle name="20% - Accent6 25 2" xfId="3019" xr:uid="{00000000-0005-0000-0000-000044040000}"/>
    <cellStyle name="20% - Accent6 25_BukuBesar" xfId="3020" xr:uid="{00000000-0005-0000-0000-000045040000}"/>
    <cellStyle name="20% - Accent6 26" xfId="3021" xr:uid="{00000000-0005-0000-0000-000046040000}"/>
    <cellStyle name="20% - Accent6 26 2" xfId="3022" xr:uid="{00000000-0005-0000-0000-000047040000}"/>
    <cellStyle name="20% - Accent6 26_BukuBesar" xfId="3023" xr:uid="{00000000-0005-0000-0000-000048040000}"/>
    <cellStyle name="20% - Accent6 27" xfId="3024" xr:uid="{00000000-0005-0000-0000-000049040000}"/>
    <cellStyle name="20% - Accent6 27 2" xfId="3025" xr:uid="{00000000-0005-0000-0000-00004A040000}"/>
    <cellStyle name="20% - Accent6 27_BukuBesar" xfId="3026" xr:uid="{00000000-0005-0000-0000-00004B040000}"/>
    <cellStyle name="20% - Accent6 28" xfId="3027" xr:uid="{00000000-0005-0000-0000-00004C040000}"/>
    <cellStyle name="20% - Accent6 28 2" xfId="3028" xr:uid="{00000000-0005-0000-0000-00004D040000}"/>
    <cellStyle name="20% - Accent6 28_BukuBesar" xfId="3029" xr:uid="{00000000-0005-0000-0000-00004E040000}"/>
    <cellStyle name="20% - Accent6 29" xfId="3030" xr:uid="{00000000-0005-0000-0000-00004F040000}"/>
    <cellStyle name="20% - Accent6 29 2" xfId="3031" xr:uid="{00000000-0005-0000-0000-000050040000}"/>
    <cellStyle name="20% - Accent6 29_BukuBesar" xfId="3032" xr:uid="{00000000-0005-0000-0000-000051040000}"/>
    <cellStyle name="20% - Accent6 3" xfId="80" xr:uid="{00000000-0005-0000-0000-000052040000}"/>
    <cellStyle name="20% - Accent6 3 2" xfId="1406" xr:uid="{00000000-0005-0000-0000-000053040000}"/>
    <cellStyle name="20% - Accent6 3 2 2" xfId="1407" xr:uid="{00000000-0005-0000-0000-000054040000}"/>
    <cellStyle name="20% - Accent6 3 2 2 2" xfId="3033" xr:uid="{00000000-0005-0000-0000-000055040000}"/>
    <cellStyle name="20% - Accent6 3 2 3" xfId="3034" xr:uid="{00000000-0005-0000-0000-000056040000}"/>
    <cellStyle name="20% - Accent6 3 2_BukuBesar" xfId="3035" xr:uid="{00000000-0005-0000-0000-000057040000}"/>
    <cellStyle name="20% - Accent6 3 3" xfId="1408" xr:uid="{00000000-0005-0000-0000-000058040000}"/>
    <cellStyle name="20% - Accent6 3 3 2" xfId="1409" xr:uid="{00000000-0005-0000-0000-000059040000}"/>
    <cellStyle name="20% - Accent6 3 4" xfId="1410" xr:uid="{00000000-0005-0000-0000-00005A040000}"/>
    <cellStyle name="20% - Accent6 3_BukuBesar" xfId="3036" xr:uid="{00000000-0005-0000-0000-00005B040000}"/>
    <cellStyle name="20% - Accent6 30" xfId="3037" xr:uid="{00000000-0005-0000-0000-00005C040000}"/>
    <cellStyle name="20% - Accent6 4" xfId="81" xr:uid="{00000000-0005-0000-0000-00005D040000}"/>
    <cellStyle name="20% - Accent6 4 2" xfId="1411" xr:uid="{00000000-0005-0000-0000-00005E040000}"/>
    <cellStyle name="20% - Accent6 4 2 2" xfId="1412" xr:uid="{00000000-0005-0000-0000-00005F040000}"/>
    <cellStyle name="20% - Accent6 4 2 2 2" xfId="3038" xr:uid="{00000000-0005-0000-0000-000060040000}"/>
    <cellStyle name="20% - Accent6 4 2 3" xfId="3039" xr:uid="{00000000-0005-0000-0000-000061040000}"/>
    <cellStyle name="20% - Accent6 4 2_BukuBesar" xfId="3040" xr:uid="{00000000-0005-0000-0000-000062040000}"/>
    <cellStyle name="20% - Accent6 4 3" xfId="1413" xr:uid="{00000000-0005-0000-0000-000063040000}"/>
    <cellStyle name="20% - Accent6 4 3 2" xfId="1414" xr:uid="{00000000-0005-0000-0000-000064040000}"/>
    <cellStyle name="20% - Accent6 4 4" xfId="1415" xr:uid="{00000000-0005-0000-0000-000065040000}"/>
    <cellStyle name="20% - Accent6 4 4 2" xfId="3041" xr:uid="{00000000-0005-0000-0000-000066040000}"/>
    <cellStyle name="20% - Accent6 4 5" xfId="3042" xr:uid="{00000000-0005-0000-0000-000067040000}"/>
    <cellStyle name="20% - Accent6 4 6" xfId="3043" xr:uid="{00000000-0005-0000-0000-000068040000}"/>
    <cellStyle name="20% - Accent6 4 7" xfId="3044" xr:uid="{00000000-0005-0000-0000-000069040000}"/>
    <cellStyle name="20% - Accent6 4 8" xfId="3045" xr:uid="{00000000-0005-0000-0000-00006A040000}"/>
    <cellStyle name="20% - Accent6 4_BukuBesar" xfId="3046" xr:uid="{00000000-0005-0000-0000-00006B040000}"/>
    <cellStyle name="20% - Accent6 5" xfId="82" xr:uid="{00000000-0005-0000-0000-00006C040000}"/>
    <cellStyle name="20% - Accent6 5 2" xfId="1416" xr:uid="{00000000-0005-0000-0000-00006D040000}"/>
    <cellStyle name="20% - Accent6 5 2 2" xfId="1417" xr:uid="{00000000-0005-0000-0000-00006E040000}"/>
    <cellStyle name="20% - Accent6 5 2 2 2" xfId="3047" xr:uid="{00000000-0005-0000-0000-00006F040000}"/>
    <cellStyle name="20% - Accent6 5 2 3" xfId="3048" xr:uid="{00000000-0005-0000-0000-000070040000}"/>
    <cellStyle name="20% - Accent6 5 2_BukuBesar" xfId="3049" xr:uid="{00000000-0005-0000-0000-000071040000}"/>
    <cellStyle name="20% - Accent6 5 3" xfId="1418" xr:uid="{00000000-0005-0000-0000-000072040000}"/>
    <cellStyle name="20% - Accent6 5 3 2" xfId="1419" xr:uid="{00000000-0005-0000-0000-000073040000}"/>
    <cellStyle name="20% - Accent6 5 4" xfId="1420" xr:uid="{00000000-0005-0000-0000-000074040000}"/>
    <cellStyle name="20% - Accent6 5 4 2" xfId="3050" xr:uid="{00000000-0005-0000-0000-000075040000}"/>
    <cellStyle name="20% - Accent6 5 5" xfId="3051" xr:uid="{00000000-0005-0000-0000-000076040000}"/>
    <cellStyle name="20% - Accent6 5 6" xfId="3052" xr:uid="{00000000-0005-0000-0000-000077040000}"/>
    <cellStyle name="20% - Accent6 5 7" xfId="3053" xr:uid="{00000000-0005-0000-0000-000078040000}"/>
    <cellStyle name="20% - Accent6 5 8" xfId="3054" xr:uid="{00000000-0005-0000-0000-000079040000}"/>
    <cellStyle name="20% - Accent6 5_BukuBesar" xfId="3055" xr:uid="{00000000-0005-0000-0000-00007A040000}"/>
    <cellStyle name="20% - Accent6 6" xfId="83" xr:uid="{00000000-0005-0000-0000-00007B040000}"/>
    <cellStyle name="20% - Accent6 6 2" xfId="1421" xr:uid="{00000000-0005-0000-0000-00007C040000}"/>
    <cellStyle name="20% - Accent6 6 2 2" xfId="1422" xr:uid="{00000000-0005-0000-0000-00007D040000}"/>
    <cellStyle name="20% - Accent6 6 2 2 2" xfId="3056" xr:uid="{00000000-0005-0000-0000-00007E040000}"/>
    <cellStyle name="20% - Accent6 6 2 3" xfId="3057" xr:uid="{00000000-0005-0000-0000-00007F040000}"/>
    <cellStyle name="20% - Accent6 6 2_BukuBesar" xfId="3058" xr:uid="{00000000-0005-0000-0000-000080040000}"/>
    <cellStyle name="20% - Accent6 6 3" xfId="1423" xr:uid="{00000000-0005-0000-0000-000081040000}"/>
    <cellStyle name="20% - Accent6 6 3 2" xfId="1424" xr:uid="{00000000-0005-0000-0000-000082040000}"/>
    <cellStyle name="20% - Accent6 6 4" xfId="1425" xr:uid="{00000000-0005-0000-0000-000083040000}"/>
    <cellStyle name="20% - Accent6 6 4 2" xfId="3059" xr:uid="{00000000-0005-0000-0000-000084040000}"/>
    <cellStyle name="20% - Accent6 6 5" xfId="3060" xr:uid="{00000000-0005-0000-0000-000085040000}"/>
    <cellStyle name="20% - Accent6 6 6" xfId="3061" xr:uid="{00000000-0005-0000-0000-000086040000}"/>
    <cellStyle name="20% - Accent6 6 7" xfId="3062" xr:uid="{00000000-0005-0000-0000-000087040000}"/>
    <cellStyle name="20% - Accent6 6 8" xfId="3063" xr:uid="{00000000-0005-0000-0000-000088040000}"/>
    <cellStyle name="20% - Accent6 6_BukuBesar" xfId="3064" xr:uid="{00000000-0005-0000-0000-000089040000}"/>
    <cellStyle name="20% - Accent6 7" xfId="84" xr:uid="{00000000-0005-0000-0000-00008A040000}"/>
    <cellStyle name="20% - Accent6 7 2" xfId="1426" xr:uid="{00000000-0005-0000-0000-00008B040000}"/>
    <cellStyle name="20% - Accent6 7 2 2" xfId="1427" xr:uid="{00000000-0005-0000-0000-00008C040000}"/>
    <cellStyle name="20% - Accent6 7 2 3" xfId="3065" xr:uid="{00000000-0005-0000-0000-00008D040000}"/>
    <cellStyle name="20% - Accent6 7 3" xfId="1428" xr:uid="{00000000-0005-0000-0000-00008E040000}"/>
    <cellStyle name="20% - Accent6 7 3 2" xfId="1429" xr:uid="{00000000-0005-0000-0000-00008F040000}"/>
    <cellStyle name="20% - Accent6 7 3 3" xfId="3066" xr:uid="{00000000-0005-0000-0000-000090040000}"/>
    <cellStyle name="20% - Accent6 7 4" xfId="1430" xr:uid="{00000000-0005-0000-0000-000091040000}"/>
    <cellStyle name="20% - Accent6 7_BukuBesar" xfId="3067" xr:uid="{00000000-0005-0000-0000-000092040000}"/>
    <cellStyle name="20% - Accent6 8" xfId="85" xr:uid="{00000000-0005-0000-0000-000093040000}"/>
    <cellStyle name="20% - Accent6 8 2" xfId="1431" xr:uid="{00000000-0005-0000-0000-000094040000}"/>
    <cellStyle name="20% - Accent6 8 2 2" xfId="1432" xr:uid="{00000000-0005-0000-0000-000095040000}"/>
    <cellStyle name="20% - Accent6 8 2 3" xfId="3068" xr:uid="{00000000-0005-0000-0000-000096040000}"/>
    <cellStyle name="20% - Accent6 8 3" xfId="1433" xr:uid="{00000000-0005-0000-0000-000097040000}"/>
    <cellStyle name="20% - Accent6 8 3 2" xfId="1434" xr:uid="{00000000-0005-0000-0000-000098040000}"/>
    <cellStyle name="20% - Accent6 8 3 3" xfId="3069" xr:uid="{00000000-0005-0000-0000-000099040000}"/>
    <cellStyle name="20% - Accent6 8 4" xfId="1435" xr:uid="{00000000-0005-0000-0000-00009A040000}"/>
    <cellStyle name="20% - Accent6 8_BukuBesar" xfId="3070" xr:uid="{00000000-0005-0000-0000-00009B040000}"/>
    <cellStyle name="20% - Accent6 9" xfId="86" xr:uid="{00000000-0005-0000-0000-00009C040000}"/>
    <cellStyle name="20% - Accent6 9 2" xfId="1436" xr:uid="{00000000-0005-0000-0000-00009D040000}"/>
    <cellStyle name="20% - Accent6 9 2 2" xfId="1437" xr:uid="{00000000-0005-0000-0000-00009E040000}"/>
    <cellStyle name="20% - Accent6 9 2 3" xfId="3071" xr:uid="{00000000-0005-0000-0000-00009F040000}"/>
    <cellStyle name="20% - Accent6 9 3" xfId="1438" xr:uid="{00000000-0005-0000-0000-0000A0040000}"/>
    <cellStyle name="20% - Accent6 9 3 2" xfId="1439" xr:uid="{00000000-0005-0000-0000-0000A1040000}"/>
    <cellStyle name="20% - Accent6 9 3 3" xfId="3072" xr:uid="{00000000-0005-0000-0000-0000A2040000}"/>
    <cellStyle name="20% - Accent6 9 4" xfId="1440" xr:uid="{00000000-0005-0000-0000-0000A3040000}"/>
    <cellStyle name="20% - Accent6 9_BukuBesar" xfId="3073" xr:uid="{00000000-0005-0000-0000-0000A4040000}"/>
    <cellStyle name="40% - Accent1 10" xfId="87" xr:uid="{00000000-0005-0000-0000-0000A5040000}"/>
    <cellStyle name="40% - Accent1 10 2" xfId="1441" xr:uid="{00000000-0005-0000-0000-0000A6040000}"/>
    <cellStyle name="40% - Accent1 10 2 2" xfId="1442" xr:uid="{00000000-0005-0000-0000-0000A7040000}"/>
    <cellStyle name="40% - Accent1 10 2 3" xfId="3074" xr:uid="{00000000-0005-0000-0000-0000A8040000}"/>
    <cellStyle name="40% - Accent1 10 3" xfId="1443" xr:uid="{00000000-0005-0000-0000-0000A9040000}"/>
    <cellStyle name="40% - Accent1 10 3 2" xfId="1444" xr:uid="{00000000-0005-0000-0000-0000AA040000}"/>
    <cellStyle name="40% - Accent1 10 3 3" xfId="3075" xr:uid="{00000000-0005-0000-0000-0000AB040000}"/>
    <cellStyle name="40% - Accent1 10 4" xfId="1445" xr:uid="{00000000-0005-0000-0000-0000AC040000}"/>
    <cellStyle name="40% - Accent1 10_BukuBesar" xfId="3076" xr:uid="{00000000-0005-0000-0000-0000AD040000}"/>
    <cellStyle name="40% - Accent1 11" xfId="88" xr:uid="{00000000-0005-0000-0000-0000AE040000}"/>
    <cellStyle name="40% - Accent1 11 2" xfId="1446" xr:uid="{00000000-0005-0000-0000-0000AF040000}"/>
    <cellStyle name="40% - Accent1 11 2 2" xfId="1447" xr:uid="{00000000-0005-0000-0000-0000B0040000}"/>
    <cellStyle name="40% - Accent1 11 2 3" xfId="3077" xr:uid="{00000000-0005-0000-0000-0000B1040000}"/>
    <cellStyle name="40% - Accent1 11 3" xfId="1448" xr:uid="{00000000-0005-0000-0000-0000B2040000}"/>
    <cellStyle name="40% - Accent1 11 3 2" xfId="1449" xr:uid="{00000000-0005-0000-0000-0000B3040000}"/>
    <cellStyle name="40% - Accent1 11 3 3" xfId="3078" xr:uid="{00000000-0005-0000-0000-0000B4040000}"/>
    <cellStyle name="40% - Accent1 11 4" xfId="1450" xr:uid="{00000000-0005-0000-0000-0000B5040000}"/>
    <cellStyle name="40% - Accent1 11_BukuBesar" xfId="3079" xr:uid="{00000000-0005-0000-0000-0000B6040000}"/>
    <cellStyle name="40% - Accent1 12" xfId="89" xr:uid="{00000000-0005-0000-0000-0000B7040000}"/>
    <cellStyle name="40% - Accent1 12 2" xfId="1451" xr:uid="{00000000-0005-0000-0000-0000B8040000}"/>
    <cellStyle name="40% - Accent1 12 2 2" xfId="1452" xr:uid="{00000000-0005-0000-0000-0000B9040000}"/>
    <cellStyle name="40% - Accent1 12 2 3" xfId="3080" xr:uid="{00000000-0005-0000-0000-0000BA040000}"/>
    <cellStyle name="40% - Accent1 12 3" xfId="1453" xr:uid="{00000000-0005-0000-0000-0000BB040000}"/>
    <cellStyle name="40% - Accent1 12 3 2" xfId="1454" xr:uid="{00000000-0005-0000-0000-0000BC040000}"/>
    <cellStyle name="40% - Accent1 12 3 3" xfId="3081" xr:uid="{00000000-0005-0000-0000-0000BD040000}"/>
    <cellStyle name="40% - Accent1 12 4" xfId="1455" xr:uid="{00000000-0005-0000-0000-0000BE040000}"/>
    <cellStyle name="40% - Accent1 12_BukuBesar" xfId="3082" xr:uid="{00000000-0005-0000-0000-0000BF040000}"/>
    <cellStyle name="40% - Accent1 13" xfId="90" xr:uid="{00000000-0005-0000-0000-0000C0040000}"/>
    <cellStyle name="40% - Accent1 13 2" xfId="1456" xr:uid="{00000000-0005-0000-0000-0000C1040000}"/>
    <cellStyle name="40% - Accent1 13 2 2" xfId="1457" xr:uid="{00000000-0005-0000-0000-0000C2040000}"/>
    <cellStyle name="40% - Accent1 13 2 3" xfId="3083" xr:uid="{00000000-0005-0000-0000-0000C3040000}"/>
    <cellStyle name="40% - Accent1 13 3" xfId="1458" xr:uid="{00000000-0005-0000-0000-0000C4040000}"/>
    <cellStyle name="40% - Accent1 13 3 2" xfId="1459" xr:uid="{00000000-0005-0000-0000-0000C5040000}"/>
    <cellStyle name="40% - Accent1 13 3 3" xfId="3084" xr:uid="{00000000-0005-0000-0000-0000C6040000}"/>
    <cellStyle name="40% - Accent1 13 4" xfId="1460" xr:uid="{00000000-0005-0000-0000-0000C7040000}"/>
    <cellStyle name="40% - Accent1 13_BukuBesar" xfId="3085" xr:uid="{00000000-0005-0000-0000-0000C8040000}"/>
    <cellStyle name="40% - Accent1 14" xfId="3086" xr:uid="{00000000-0005-0000-0000-0000C9040000}"/>
    <cellStyle name="40% - Accent1 14 2" xfId="3087" xr:uid="{00000000-0005-0000-0000-0000CA040000}"/>
    <cellStyle name="40% - Accent1 14 3" xfId="3088" xr:uid="{00000000-0005-0000-0000-0000CB040000}"/>
    <cellStyle name="40% - Accent1 14_BukuBesar" xfId="3089" xr:uid="{00000000-0005-0000-0000-0000CC040000}"/>
    <cellStyle name="40% - Accent1 15" xfId="3090" xr:uid="{00000000-0005-0000-0000-0000CD040000}"/>
    <cellStyle name="40% - Accent1 15 2" xfId="3091" xr:uid="{00000000-0005-0000-0000-0000CE040000}"/>
    <cellStyle name="40% - Accent1 15 3" xfId="3092" xr:uid="{00000000-0005-0000-0000-0000CF040000}"/>
    <cellStyle name="40% - Accent1 15_BukuBesar" xfId="3093" xr:uid="{00000000-0005-0000-0000-0000D0040000}"/>
    <cellStyle name="40% - Accent1 16" xfId="3094" xr:uid="{00000000-0005-0000-0000-0000D1040000}"/>
    <cellStyle name="40% - Accent1 16 2" xfId="3095" xr:uid="{00000000-0005-0000-0000-0000D2040000}"/>
    <cellStyle name="40% - Accent1 16 3" xfId="3096" xr:uid="{00000000-0005-0000-0000-0000D3040000}"/>
    <cellStyle name="40% - Accent1 16_BukuBesar" xfId="3097" xr:uid="{00000000-0005-0000-0000-0000D4040000}"/>
    <cellStyle name="40% - Accent1 17" xfId="3098" xr:uid="{00000000-0005-0000-0000-0000D5040000}"/>
    <cellStyle name="40% - Accent1 17 2" xfId="3099" xr:uid="{00000000-0005-0000-0000-0000D6040000}"/>
    <cellStyle name="40% - Accent1 17 3" xfId="3100" xr:uid="{00000000-0005-0000-0000-0000D7040000}"/>
    <cellStyle name="40% - Accent1 17_BukuBesar" xfId="3101" xr:uid="{00000000-0005-0000-0000-0000D8040000}"/>
    <cellStyle name="40% - Accent1 18" xfId="3102" xr:uid="{00000000-0005-0000-0000-0000D9040000}"/>
    <cellStyle name="40% - Accent1 18 2" xfId="3103" xr:uid="{00000000-0005-0000-0000-0000DA040000}"/>
    <cellStyle name="40% - Accent1 18 3" xfId="3104" xr:uid="{00000000-0005-0000-0000-0000DB040000}"/>
    <cellStyle name="40% - Accent1 18_BukuBesar" xfId="3105" xr:uid="{00000000-0005-0000-0000-0000DC040000}"/>
    <cellStyle name="40% - Accent1 19" xfId="3106" xr:uid="{00000000-0005-0000-0000-0000DD040000}"/>
    <cellStyle name="40% - Accent1 19 2" xfId="3107" xr:uid="{00000000-0005-0000-0000-0000DE040000}"/>
    <cellStyle name="40% - Accent1 19_BukuBesar" xfId="3108" xr:uid="{00000000-0005-0000-0000-0000DF040000}"/>
    <cellStyle name="40% - Accent1 2" xfId="91" xr:uid="{00000000-0005-0000-0000-0000E0040000}"/>
    <cellStyle name="40% - Accent1 2 2" xfId="1461" xr:uid="{00000000-0005-0000-0000-0000E1040000}"/>
    <cellStyle name="40% - Accent1 2 2 2" xfId="1462" xr:uid="{00000000-0005-0000-0000-0000E2040000}"/>
    <cellStyle name="40% - Accent1 2 2 2 2" xfId="3109" xr:uid="{00000000-0005-0000-0000-0000E3040000}"/>
    <cellStyle name="40% - Accent1 2 2 3" xfId="3110" xr:uid="{00000000-0005-0000-0000-0000E4040000}"/>
    <cellStyle name="40% - Accent1 2 2_BukuBesar" xfId="3111" xr:uid="{00000000-0005-0000-0000-0000E5040000}"/>
    <cellStyle name="40% - Accent1 2 3" xfId="1463" xr:uid="{00000000-0005-0000-0000-0000E6040000}"/>
    <cellStyle name="40% - Accent1 2 3 2" xfId="1464" xr:uid="{00000000-0005-0000-0000-0000E7040000}"/>
    <cellStyle name="40% - Accent1 2 4" xfId="1465" xr:uid="{00000000-0005-0000-0000-0000E8040000}"/>
    <cellStyle name="40% - Accent1 2 4 2" xfId="3112" xr:uid="{00000000-0005-0000-0000-0000E9040000}"/>
    <cellStyle name="40% - Accent1 2 5" xfId="3113" xr:uid="{00000000-0005-0000-0000-0000EA040000}"/>
    <cellStyle name="40% - Accent1 2 6" xfId="3114" xr:uid="{00000000-0005-0000-0000-0000EB040000}"/>
    <cellStyle name="40% - Accent1 2 7" xfId="3115" xr:uid="{00000000-0005-0000-0000-0000EC040000}"/>
    <cellStyle name="40% - Accent1 2 8" xfId="6501" xr:uid="{03A255E1-B6F0-4D71-9751-4B282EEAE7E1}"/>
    <cellStyle name="40% - Accent1 2_BukuBesar" xfId="3116" xr:uid="{00000000-0005-0000-0000-0000ED040000}"/>
    <cellStyle name="40% - Accent1 20" xfId="3117" xr:uid="{00000000-0005-0000-0000-0000EE040000}"/>
    <cellStyle name="40% - Accent1 20 2" xfId="3118" xr:uid="{00000000-0005-0000-0000-0000EF040000}"/>
    <cellStyle name="40% - Accent1 20 3" xfId="3119" xr:uid="{00000000-0005-0000-0000-0000F0040000}"/>
    <cellStyle name="40% - Accent1 20_BukuBesar" xfId="3120" xr:uid="{00000000-0005-0000-0000-0000F1040000}"/>
    <cellStyle name="40% - Accent1 21" xfId="3121" xr:uid="{00000000-0005-0000-0000-0000F2040000}"/>
    <cellStyle name="40% - Accent1 21 2" xfId="3122" xr:uid="{00000000-0005-0000-0000-0000F3040000}"/>
    <cellStyle name="40% - Accent1 21_BukuBesar" xfId="3123" xr:uid="{00000000-0005-0000-0000-0000F4040000}"/>
    <cellStyle name="40% - Accent1 22" xfId="3124" xr:uid="{00000000-0005-0000-0000-0000F5040000}"/>
    <cellStyle name="40% - Accent1 22 2" xfId="3125" xr:uid="{00000000-0005-0000-0000-0000F6040000}"/>
    <cellStyle name="40% - Accent1 22_BukuBesar" xfId="3126" xr:uid="{00000000-0005-0000-0000-0000F7040000}"/>
    <cellStyle name="40% - Accent1 23" xfId="3127" xr:uid="{00000000-0005-0000-0000-0000F8040000}"/>
    <cellStyle name="40% - Accent1 23 2" xfId="3128" xr:uid="{00000000-0005-0000-0000-0000F9040000}"/>
    <cellStyle name="40% - Accent1 23_BukuBesar" xfId="3129" xr:uid="{00000000-0005-0000-0000-0000FA040000}"/>
    <cellStyle name="40% - Accent1 24" xfId="3130" xr:uid="{00000000-0005-0000-0000-0000FB040000}"/>
    <cellStyle name="40% - Accent1 24 2" xfId="3131" xr:uid="{00000000-0005-0000-0000-0000FC040000}"/>
    <cellStyle name="40% - Accent1 24_BukuBesar" xfId="3132" xr:uid="{00000000-0005-0000-0000-0000FD040000}"/>
    <cellStyle name="40% - Accent1 25" xfId="3133" xr:uid="{00000000-0005-0000-0000-0000FE040000}"/>
    <cellStyle name="40% - Accent1 25 2" xfId="3134" xr:uid="{00000000-0005-0000-0000-0000FF040000}"/>
    <cellStyle name="40% - Accent1 25_BukuBesar" xfId="3135" xr:uid="{00000000-0005-0000-0000-000000050000}"/>
    <cellStyle name="40% - Accent1 26" xfId="3136" xr:uid="{00000000-0005-0000-0000-000001050000}"/>
    <cellStyle name="40% - Accent1 26 2" xfId="3137" xr:uid="{00000000-0005-0000-0000-000002050000}"/>
    <cellStyle name="40% - Accent1 26_BukuBesar" xfId="3138" xr:uid="{00000000-0005-0000-0000-000003050000}"/>
    <cellStyle name="40% - Accent1 27" xfId="3139" xr:uid="{00000000-0005-0000-0000-000004050000}"/>
    <cellStyle name="40% - Accent1 27 2" xfId="3140" xr:uid="{00000000-0005-0000-0000-000005050000}"/>
    <cellStyle name="40% - Accent1 27_BukuBesar" xfId="3141" xr:uid="{00000000-0005-0000-0000-000006050000}"/>
    <cellStyle name="40% - Accent1 28" xfId="3142" xr:uid="{00000000-0005-0000-0000-000007050000}"/>
    <cellStyle name="40% - Accent1 28 2" xfId="3143" xr:uid="{00000000-0005-0000-0000-000008050000}"/>
    <cellStyle name="40% - Accent1 28_BukuBesar" xfId="3144" xr:uid="{00000000-0005-0000-0000-000009050000}"/>
    <cellStyle name="40% - Accent1 29" xfId="3145" xr:uid="{00000000-0005-0000-0000-00000A050000}"/>
    <cellStyle name="40% - Accent1 29 2" xfId="3146" xr:uid="{00000000-0005-0000-0000-00000B050000}"/>
    <cellStyle name="40% - Accent1 29_BukuBesar" xfId="3147" xr:uid="{00000000-0005-0000-0000-00000C050000}"/>
    <cellStyle name="40% - Accent1 3" xfId="92" xr:uid="{00000000-0005-0000-0000-00000D050000}"/>
    <cellStyle name="40% - Accent1 3 2" xfId="1466" xr:uid="{00000000-0005-0000-0000-00000E050000}"/>
    <cellStyle name="40% - Accent1 3 2 2" xfId="1467" xr:uid="{00000000-0005-0000-0000-00000F050000}"/>
    <cellStyle name="40% - Accent1 3 2 2 2" xfId="3148" xr:uid="{00000000-0005-0000-0000-000010050000}"/>
    <cellStyle name="40% - Accent1 3 2 3" xfId="3149" xr:uid="{00000000-0005-0000-0000-000011050000}"/>
    <cellStyle name="40% - Accent1 3 2_BukuBesar" xfId="3150" xr:uid="{00000000-0005-0000-0000-000012050000}"/>
    <cellStyle name="40% - Accent1 3 3" xfId="1468" xr:uid="{00000000-0005-0000-0000-000013050000}"/>
    <cellStyle name="40% - Accent1 3 3 2" xfId="1469" xr:uid="{00000000-0005-0000-0000-000014050000}"/>
    <cellStyle name="40% - Accent1 3 4" xfId="1470" xr:uid="{00000000-0005-0000-0000-000015050000}"/>
    <cellStyle name="40% - Accent1 3 4 2" xfId="3151" xr:uid="{00000000-0005-0000-0000-000016050000}"/>
    <cellStyle name="40% - Accent1 3 5" xfId="3152" xr:uid="{00000000-0005-0000-0000-000017050000}"/>
    <cellStyle name="40% - Accent1 3 6" xfId="3153" xr:uid="{00000000-0005-0000-0000-000018050000}"/>
    <cellStyle name="40% - Accent1 3 7" xfId="3154" xr:uid="{00000000-0005-0000-0000-000019050000}"/>
    <cellStyle name="40% - Accent1 3 8" xfId="3155" xr:uid="{00000000-0005-0000-0000-00001A050000}"/>
    <cellStyle name="40% - Accent1 3_BukuBesar" xfId="3156" xr:uid="{00000000-0005-0000-0000-00001B050000}"/>
    <cellStyle name="40% - Accent1 30" xfId="3157" xr:uid="{00000000-0005-0000-0000-00001C050000}"/>
    <cellStyle name="40% - Accent1 4" xfId="93" xr:uid="{00000000-0005-0000-0000-00001D050000}"/>
    <cellStyle name="40% - Accent1 4 2" xfId="1471" xr:uid="{00000000-0005-0000-0000-00001E050000}"/>
    <cellStyle name="40% - Accent1 4 2 2" xfId="1472" xr:uid="{00000000-0005-0000-0000-00001F050000}"/>
    <cellStyle name="40% - Accent1 4 2 2 2" xfId="3158" xr:uid="{00000000-0005-0000-0000-000020050000}"/>
    <cellStyle name="40% - Accent1 4 2 3" xfId="3159" xr:uid="{00000000-0005-0000-0000-000021050000}"/>
    <cellStyle name="40% - Accent1 4 2_BukuBesar" xfId="3160" xr:uid="{00000000-0005-0000-0000-000022050000}"/>
    <cellStyle name="40% - Accent1 4 3" xfId="1473" xr:uid="{00000000-0005-0000-0000-000023050000}"/>
    <cellStyle name="40% - Accent1 4 3 2" xfId="1474" xr:uid="{00000000-0005-0000-0000-000024050000}"/>
    <cellStyle name="40% - Accent1 4 4" xfId="1475" xr:uid="{00000000-0005-0000-0000-000025050000}"/>
    <cellStyle name="40% - Accent1 4 4 2" xfId="3161" xr:uid="{00000000-0005-0000-0000-000026050000}"/>
    <cellStyle name="40% - Accent1 4 5" xfId="3162" xr:uid="{00000000-0005-0000-0000-000027050000}"/>
    <cellStyle name="40% - Accent1 4 6" xfId="3163" xr:uid="{00000000-0005-0000-0000-000028050000}"/>
    <cellStyle name="40% - Accent1 4 7" xfId="3164" xr:uid="{00000000-0005-0000-0000-000029050000}"/>
    <cellStyle name="40% - Accent1 4 8" xfId="3165" xr:uid="{00000000-0005-0000-0000-00002A050000}"/>
    <cellStyle name="40% - Accent1 4_BukuBesar" xfId="3166" xr:uid="{00000000-0005-0000-0000-00002B050000}"/>
    <cellStyle name="40% - Accent1 5" xfId="94" xr:uid="{00000000-0005-0000-0000-00002C050000}"/>
    <cellStyle name="40% - Accent1 5 2" xfId="1476" xr:uid="{00000000-0005-0000-0000-00002D050000}"/>
    <cellStyle name="40% - Accent1 5 2 2" xfId="1477" xr:uid="{00000000-0005-0000-0000-00002E050000}"/>
    <cellStyle name="40% - Accent1 5 2 2 2" xfId="3167" xr:uid="{00000000-0005-0000-0000-00002F050000}"/>
    <cellStyle name="40% - Accent1 5 2 3" xfId="3168" xr:uid="{00000000-0005-0000-0000-000030050000}"/>
    <cellStyle name="40% - Accent1 5 2_BukuBesar" xfId="3169" xr:uid="{00000000-0005-0000-0000-000031050000}"/>
    <cellStyle name="40% - Accent1 5 3" xfId="1478" xr:uid="{00000000-0005-0000-0000-000032050000}"/>
    <cellStyle name="40% - Accent1 5 3 2" xfId="1479" xr:uid="{00000000-0005-0000-0000-000033050000}"/>
    <cellStyle name="40% - Accent1 5 4" xfId="1480" xr:uid="{00000000-0005-0000-0000-000034050000}"/>
    <cellStyle name="40% - Accent1 5 4 2" xfId="3170" xr:uid="{00000000-0005-0000-0000-000035050000}"/>
    <cellStyle name="40% - Accent1 5 5" xfId="3171" xr:uid="{00000000-0005-0000-0000-000036050000}"/>
    <cellStyle name="40% - Accent1 5 6" xfId="3172" xr:uid="{00000000-0005-0000-0000-000037050000}"/>
    <cellStyle name="40% - Accent1 5 7" xfId="3173" xr:uid="{00000000-0005-0000-0000-000038050000}"/>
    <cellStyle name="40% - Accent1 5 8" xfId="3174" xr:uid="{00000000-0005-0000-0000-000039050000}"/>
    <cellStyle name="40% - Accent1 5_BukuBesar" xfId="3175" xr:uid="{00000000-0005-0000-0000-00003A050000}"/>
    <cellStyle name="40% - Accent1 6" xfId="95" xr:uid="{00000000-0005-0000-0000-00003B050000}"/>
    <cellStyle name="40% - Accent1 6 2" xfId="1481" xr:uid="{00000000-0005-0000-0000-00003C050000}"/>
    <cellStyle name="40% - Accent1 6 2 2" xfId="1482" xr:uid="{00000000-0005-0000-0000-00003D050000}"/>
    <cellStyle name="40% - Accent1 6 2 2 2" xfId="3176" xr:uid="{00000000-0005-0000-0000-00003E050000}"/>
    <cellStyle name="40% - Accent1 6 2 3" xfId="3177" xr:uid="{00000000-0005-0000-0000-00003F050000}"/>
    <cellStyle name="40% - Accent1 6 2_BukuBesar" xfId="3178" xr:uid="{00000000-0005-0000-0000-000040050000}"/>
    <cellStyle name="40% - Accent1 6 3" xfId="1483" xr:uid="{00000000-0005-0000-0000-000041050000}"/>
    <cellStyle name="40% - Accent1 6 3 2" xfId="1484" xr:uid="{00000000-0005-0000-0000-000042050000}"/>
    <cellStyle name="40% - Accent1 6 4" xfId="1485" xr:uid="{00000000-0005-0000-0000-000043050000}"/>
    <cellStyle name="40% - Accent1 6 4 2" xfId="3179" xr:uid="{00000000-0005-0000-0000-000044050000}"/>
    <cellStyle name="40% - Accent1 6 5" xfId="3180" xr:uid="{00000000-0005-0000-0000-000045050000}"/>
    <cellStyle name="40% - Accent1 6 6" xfId="3181" xr:uid="{00000000-0005-0000-0000-000046050000}"/>
    <cellStyle name="40% - Accent1 6 7" xfId="3182" xr:uid="{00000000-0005-0000-0000-000047050000}"/>
    <cellStyle name="40% - Accent1 6 8" xfId="3183" xr:uid="{00000000-0005-0000-0000-000048050000}"/>
    <cellStyle name="40% - Accent1 6_BukuBesar" xfId="3184" xr:uid="{00000000-0005-0000-0000-000049050000}"/>
    <cellStyle name="40% - Accent1 7" xfId="96" xr:uid="{00000000-0005-0000-0000-00004A050000}"/>
    <cellStyle name="40% - Accent1 7 2" xfId="1486" xr:uid="{00000000-0005-0000-0000-00004B050000}"/>
    <cellStyle name="40% - Accent1 7 2 2" xfId="1487" xr:uid="{00000000-0005-0000-0000-00004C050000}"/>
    <cellStyle name="40% - Accent1 7 2 3" xfId="3185" xr:uid="{00000000-0005-0000-0000-00004D050000}"/>
    <cellStyle name="40% - Accent1 7 3" xfId="1488" xr:uid="{00000000-0005-0000-0000-00004E050000}"/>
    <cellStyle name="40% - Accent1 7 3 2" xfId="1489" xr:uid="{00000000-0005-0000-0000-00004F050000}"/>
    <cellStyle name="40% - Accent1 7 3 3" xfId="3186" xr:uid="{00000000-0005-0000-0000-000050050000}"/>
    <cellStyle name="40% - Accent1 7 4" xfId="1490" xr:uid="{00000000-0005-0000-0000-000051050000}"/>
    <cellStyle name="40% - Accent1 7_BukuBesar" xfId="3187" xr:uid="{00000000-0005-0000-0000-000052050000}"/>
    <cellStyle name="40% - Accent1 8" xfId="97" xr:uid="{00000000-0005-0000-0000-000053050000}"/>
    <cellStyle name="40% - Accent1 8 2" xfId="1491" xr:uid="{00000000-0005-0000-0000-000054050000}"/>
    <cellStyle name="40% - Accent1 8 2 2" xfId="1492" xr:uid="{00000000-0005-0000-0000-000055050000}"/>
    <cellStyle name="40% - Accent1 8 2 3" xfId="3188" xr:uid="{00000000-0005-0000-0000-000056050000}"/>
    <cellStyle name="40% - Accent1 8 3" xfId="1493" xr:uid="{00000000-0005-0000-0000-000057050000}"/>
    <cellStyle name="40% - Accent1 8 3 2" xfId="1494" xr:uid="{00000000-0005-0000-0000-000058050000}"/>
    <cellStyle name="40% - Accent1 8 3 3" xfId="3189" xr:uid="{00000000-0005-0000-0000-000059050000}"/>
    <cellStyle name="40% - Accent1 8 4" xfId="1495" xr:uid="{00000000-0005-0000-0000-00005A050000}"/>
    <cellStyle name="40% - Accent1 8_BukuBesar" xfId="3190" xr:uid="{00000000-0005-0000-0000-00005B050000}"/>
    <cellStyle name="40% - Accent1 9" xfId="98" xr:uid="{00000000-0005-0000-0000-00005C050000}"/>
    <cellStyle name="40% - Accent1 9 2" xfId="1496" xr:uid="{00000000-0005-0000-0000-00005D050000}"/>
    <cellStyle name="40% - Accent1 9 2 2" xfId="1497" xr:uid="{00000000-0005-0000-0000-00005E050000}"/>
    <cellStyle name="40% - Accent1 9 2 3" xfId="3191" xr:uid="{00000000-0005-0000-0000-00005F050000}"/>
    <cellStyle name="40% - Accent1 9 3" xfId="1498" xr:uid="{00000000-0005-0000-0000-000060050000}"/>
    <cellStyle name="40% - Accent1 9 3 2" xfId="1499" xr:uid="{00000000-0005-0000-0000-000061050000}"/>
    <cellStyle name="40% - Accent1 9 3 3" xfId="3192" xr:uid="{00000000-0005-0000-0000-000062050000}"/>
    <cellStyle name="40% - Accent1 9 4" xfId="1500" xr:uid="{00000000-0005-0000-0000-000063050000}"/>
    <cellStyle name="40% - Accent1 9_BukuBesar" xfId="3193" xr:uid="{00000000-0005-0000-0000-000064050000}"/>
    <cellStyle name="40% - Accent2 10" xfId="99" xr:uid="{00000000-0005-0000-0000-000065050000}"/>
    <cellStyle name="40% - Accent2 10 2" xfId="1501" xr:uid="{00000000-0005-0000-0000-000066050000}"/>
    <cellStyle name="40% - Accent2 10 2 2" xfId="1502" xr:uid="{00000000-0005-0000-0000-000067050000}"/>
    <cellStyle name="40% - Accent2 10 2 3" xfId="3194" xr:uid="{00000000-0005-0000-0000-000068050000}"/>
    <cellStyle name="40% - Accent2 10 3" xfId="1503" xr:uid="{00000000-0005-0000-0000-000069050000}"/>
    <cellStyle name="40% - Accent2 10 3 2" xfId="1504" xr:uid="{00000000-0005-0000-0000-00006A050000}"/>
    <cellStyle name="40% - Accent2 10 3 3" xfId="3195" xr:uid="{00000000-0005-0000-0000-00006B050000}"/>
    <cellStyle name="40% - Accent2 10 4" xfId="1505" xr:uid="{00000000-0005-0000-0000-00006C050000}"/>
    <cellStyle name="40% - Accent2 10_BukuBesar" xfId="3196" xr:uid="{00000000-0005-0000-0000-00006D050000}"/>
    <cellStyle name="40% - Accent2 11" xfId="100" xr:uid="{00000000-0005-0000-0000-00006E050000}"/>
    <cellStyle name="40% - Accent2 11 2" xfId="1506" xr:uid="{00000000-0005-0000-0000-00006F050000}"/>
    <cellStyle name="40% - Accent2 11 2 2" xfId="1507" xr:uid="{00000000-0005-0000-0000-000070050000}"/>
    <cellStyle name="40% - Accent2 11 2 3" xfId="3197" xr:uid="{00000000-0005-0000-0000-000071050000}"/>
    <cellStyle name="40% - Accent2 11 3" xfId="1508" xr:uid="{00000000-0005-0000-0000-000072050000}"/>
    <cellStyle name="40% - Accent2 11 3 2" xfId="1509" xr:uid="{00000000-0005-0000-0000-000073050000}"/>
    <cellStyle name="40% - Accent2 11 3 3" xfId="3198" xr:uid="{00000000-0005-0000-0000-000074050000}"/>
    <cellStyle name="40% - Accent2 11 4" xfId="1510" xr:uid="{00000000-0005-0000-0000-000075050000}"/>
    <cellStyle name="40% - Accent2 11_BukuBesar" xfId="3199" xr:uid="{00000000-0005-0000-0000-000076050000}"/>
    <cellStyle name="40% - Accent2 12" xfId="101" xr:uid="{00000000-0005-0000-0000-000077050000}"/>
    <cellStyle name="40% - Accent2 12 2" xfId="1511" xr:uid="{00000000-0005-0000-0000-000078050000}"/>
    <cellStyle name="40% - Accent2 12 2 2" xfId="1512" xr:uid="{00000000-0005-0000-0000-000079050000}"/>
    <cellStyle name="40% - Accent2 12 2 3" xfId="3200" xr:uid="{00000000-0005-0000-0000-00007A050000}"/>
    <cellStyle name="40% - Accent2 12 3" xfId="1513" xr:uid="{00000000-0005-0000-0000-00007B050000}"/>
    <cellStyle name="40% - Accent2 12 3 2" xfId="1514" xr:uid="{00000000-0005-0000-0000-00007C050000}"/>
    <cellStyle name="40% - Accent2 12 3 3" xfId="3201" xr:uid="{00000000-0005-0000-0000-00007D050000}"/>
    <cellStyle name="40% - Accent2 12 4" xfId="1515" xr:uid="{00000000-0005-0000-0000-00007E050000}"/>
    <cellStyle name="40% - Accent2 12_BukuBesar" xfId="3202" xr:uid="{00000000-0005-0000-0000-00007F050000}"/>
    <cellStyle name="40% - Accent2 13" xfId="102" xr:uid="{00000000-0005-0000-0000-000080050000}"/>
    <cellStyle name="40% - Accent2 13 2" xfId="1516" xr:uid="{00000000-0005-0000-0000-000081050000}"/>
    <cellStyle name="40% - Accent2 13 2 2" xfId="1517" xr:uid="{00000000-0005-0000-0000-000082050000}"/>
    <cellStyle name="40% - Accent2 13 2 3" xfId="3203" xr:uid="{00000000-0005-0000-0000-000083050000}"/>
    <cellStyle name="40% - Accent2 13 3" xfId="1518" xr:uid="{00000000-0005-0000-0000-000084050000}"/>
    <cellStyle name="40% - Accent2 13 3 2" xfId="1519" xr:uid="{00000000-0005-0000-0000-000085050000}"/>
    <cellStyle name="40% - Accent2 13 3 3" xfId="3204" xr:uid="{00000000-0005-0000-0000-000086050000}"/>
    <cellStyle name="40% - Accent2 13 4" xfId="1520" xr:uid="{00000000-0005-0000-0000-000087050000}"/>
    <cellStyle name="40% - Accent2 13_BukuBesar" xfId="3205" xr:uid="{00000000-0005-0000-0000-000088050000}"/>
    <cellStyle name="40% - Accent2 14" xfId="3206" xr:uid="{00000000-0005-0000-0000-000089050000}"/>
    <cellStyle name="40% - Accent2 14 2" xfId="3207" xr:uid="{00000000-0005-0000-0000-00008A050000}"/>
    <cellStyle name="40% - Accent2 14 3" xfId="3208" xr:uid="{00000000-0005-0000-0000-00008B050000}"/>
    <cellStyle name="40% - Accent2 14_BukuBesar" xfId="3209" xr:uid="{00000000-0005-0000-0000-00008C050000}"/>
    <cellStyle name="40% - Accent2 15" xfId="3210" xr:uid="{00000000-0005-0000-0000-00008D050000}"/>
    <cellStyle name="40% - Accent2 15 2" xfId="3211" xr:uid="{00000000-0005-0000-0000-00008E050000}"/>
    <cellStyle name="40% - Accent2 15 3" xfId="3212" xr:uid="{00000000-0005-0000-0000-00008F050000}"/>
    <cellStyle name="40% - Accent2 15_BukuBesar" xfId="3213" xr:uid="{00000000-0005-0000-0000-000090050000}"/>
    <cellStyle name="40% - Accent2 16" xfId="3214" xr:uid="{00000000-0005-0000-0000-000091050000}"/>
    <cellStyle name="40% - Accent2 16 2" xfId="3215" xr:uid="{00000000-0005-0000-0000-000092050000}"/>
    <cellStyle name="40% - Accent2 16 3" xfId="3216" xr:uid="{00000000-0005-0000-0000-000093050000}"/>
    <cellStyle name="40% - Accent2 16_BukuBesar" xfId="3217" xr:uid="{00000000-0005-0000-0000-000094050000}"/>
    <cellStyle name="40% - Accent2 17" xfId="3218" xr:uid="{00000000-0005-0000-0000-000095050000}"/>
    <cellStyle name="40% - Accent2 17 2" xfId="3219" xr:uid="{00000000-0005-0000-0000-000096050000}"/>
    <cellStyle name="40% - Accent2 17 3" xfId="3220" xr:uid="{00000000-0005-0000-0000-000097050000}"/>
    <cellStyle name="40% - Accent2 17_BukuBesar" xfId="3221" xr:uid="{00000000-0005-0000-0000-000098050000}"/>
    <cellStyle name="40% - Accent2 18" xfId="3222" xr:uid="{00000000-0005-0000-0000-000099050000}"/>
    <cellStyle name="40% - Accent2 18 2" xfId="3223" xr:uid="{00000000-0005-0000-0000-00009A050000}"/>
    <cellStyle name="40% - Accent2 18 3" xfId="3224" xr:uid="{00000000-0005-0000-0000-00009B050000}"/>
    <cellStyle name="40% - Accent2 18_BukuBesar" xfId="3225" xr:uid="{00000000-0005-0000-0000-00009C050000}"/>
    <cellStyle name="40% - Accent2 19" xfId="3226" xr:uid="{00000000-0005-0000-0000-00009D050000}"/>
    <cellStyle name="40% - Accent2 19 2" xfId="3227" xr:uid="{00000000-0005-0000-0000-00009E050000}"/>
    <cellStyle name="40% - Accent2 19_BukuBesar" xfId="3228" xr:uid="{00000000-0005-0000-0000-00009F050000}"/>
    <cellStyle name="40% - Accent2 2" xfId="103" xr:uid="{00000000-0005-0000-0000-0000A0050000}"/>
    <cellStyle name="40% - Accent2 2 2" xfId="1521" xr:uid="{00000000-0005-0000-0000-0000A1050000}"/>
    <cellStyle name="40% - Accent2 2 2 2" xfId="1522" xr:uid="{00000000-0005-0000-0000-0000A2050000}"/>
    <cellStyle name="40% - Accent2 2 2 2 2" xfId="3229" xr:uid="{00000000-0005-0000-0000-0000A3050000}"/>
    <cellStyle name="40% - Accent2 2 2 3" xfId="3230" xr:uid="{00000000-0005-0000-0000-0000A4050000}"/>
    <cellStyle name="40% - Accent2 2 2_BukuBesar" xfId="3231" xr:uid="{00000000-0005-0000-0000-0000A5050000}"/>
    <cellStyle name="40% - Accent2 2 3" xfId="1523" xr:uid="{00000000-0005-0000-0000-0000A6050000}"/>
    <cellStyle name="40% - Accent2 2 3 2" xfId="1524" xr:uid="{00000000-0005-0000-0000-0000A7050000}"/>
    <cellStyle name="40% - Accent2 2 4" xfId="1525" xr:uid="{00000000-0005-0000-0000-0000A8050000}"/>
    <cellStyle name="40% - Accent2 2 4 2" xfId="3232" xr:uid="{00000000-0005-0000-0000-0000A9050000}"/>
    <cellStyle name="40% - Accent2 2 5" xfId="3233" xr:uid="{00000000-0005-0000-0000-0000AA050000}"/>
    <cellStyle name="40% - Accent2 2 6" xfId="3234" xr:uid="{00000000-0005-0000-0000-0000AB050000}"/>
    <cellStyle name="40% - Accent2 2 7" xfId="3235" xr:uid="{00000000-0005-0000-0000-0000AC050000}"/>
    <cellStyle name="40% - Accent2 2 8" xfId="6451" xr:uid="{C7787C75-9103-41EE-B527-58F6419E4020}"/>
    <cellStyle name="40% - Accent2 2_BukuBesar" xfId="3236" xr:uid="{00000000-0005-0000-0000-0000AD050000}"/>
    <cellStyle name="40% - Accent2 20" xfId="3237" xr:uid="{00000000-0005-0000-0000-0000AE050000}"/>
    <cellStyle name="40% - Accent2 20 2" xfId="3238" xr:uid="{00000000-0005-0000-0000-0000AF050000}"/>
    <cellStyle name="40% - Accent2 20 3" xfId="3239" xr:uid="{00000000-0005-0000-0000-0000B0050000}"/>
    <cellStyle name="40% - Accent2 20_BukuBesar" xfId="3240" xr:uid="{00000000-0005-0000-0000-0000B1050000}"/>
    <cellStyle name="40% - Accent2 21" xfId="3241" xr:uid="{00000000-0005-0000-0000-0000B2050000}"/>
    <cellStyle name="40% - Accent2 21 2" xfId="3242" xr:uid="{00000000-0005-0000-0000-0000B3050000}"/>
    <cellStyle name="40% - Accent2 21_BukuBesar" xfId="3243" xr:uid="{00000000-0005-0000-0000-0000B4050000}"/>
    <cellStyle name="40% - Accent2 22" xfId="3244" xr:uid="{00000000-0005-0000-0000-0000B5050000}"/>
    <cellStyle name="40% - Accent2 22 2" xfId="3245" xr:uid="{00000000-0005-0000-0000-0000B6050000}"/>
    <cellStyle name="40% - Accent2 22_BukuBesar" xfId="3246" xr:uid="{00000000-0005-0000-0000-0000B7050000}"/>
    <cellStyle name="40% - Accent2 23" xfId="3247" xr:uid="{00000000-0005-0000-0000-0000B8050000}"/>
    <cellStyle name="40% - Accent2 23 2" xfId="3248" xr:uid="{00000000-0005-0000-0000-0000B9050000}"/>
    <cellStyle name="40% - Accent2 23_BukuBesar" xfId="3249" xr:uid="{00000000-0005-0000-0000-0000BA050000}"/>
    <cellStyle name="40% - Accent2 24" xfId="3250" xr:uid="{00000000-0005-0000-0000-0000BB050000}"/>
    <cellStyle name="40% - Accent2 24 2" xfId="3251" xr:uid="{00000000-0005-0000-0000-0000BC050000}"/>
    <cellStyle name="40% - Accent2 24_BukuBesar" xfId="3252" xr:uid="{00000000-0005-0000-0000-0000BD050000}"/>
    <cellStyle name="40% - Accent2 25" xfId="3253" xr:uid="{00000000-0005-0000-0000-0000BE050000}"/>
    <cellStyle name="40% - Accent2 25 2" xfId="3254" xr:uid="{00000000-0005-0000-0000-0000BF050000}"/>
    <cellStyle name="40% - Accent2 25_BukuBesar" xfId="3255" xr:uid="{00000000-0005-0000-0000-0000C0050000}"/>
    <cellStyle name="40% - Accent2 26" xfId="3256" xr:uid="{00000000-0005-0000-0000-0000C1050000}"/>
    <cellStyle name="40% - Accent2 26 2" xfId="3257" xr:uid="{00000000-0005-0000-0000-0000C2050000}"/>
    <cellStyle name="40% - Accent2 26_BukuBesar" xfId="3258" xr:uid="{00000000-0005-0000-0000-0000C3050000}"/>
    <cellStyle name="40% - Accent2 27" xfId="3259" xr:uid="{00000000-0005-0000-0000-0000C4050000}"/>
    <cellStyle name="40% - Accent2 27 2" xfId="3260" xr:uid="{00000000-0005-0000-0000-0000C5050000}"/>
    <cellStyle name="40% - Accent2 27_BukuBesar" xfId="3261" xr:uid="{00000000-0005-0000-0000-0000C6050000}"/>
    <cellStyle name="40% - Accent2 28" xfId="3262" xr:uid="{00000000-0005-0000-0000-0000C7050000}"/>
    <cellStyle name="40% - Accent2 28 2" xfId="3263" xr:uid="{00000000-0005-0000-0000-0000C8050000}"/>
    <cellStyle name="40% - Accent2 28_BukuBesar" xfId="3264" xr:uid="{00000000-0005-0000-0000-0000C9050000}"/>
    <cellStyle name="40% - Accent2 29" xfId="3265" xr:uid="{00000000-0005-0000-0000-0000CA050000}"/>
    <cellStyle name="40% - Accent2 29 2" xfId="3266" xr:uid="{00000000-0005-0000-0000-0000CB050000}"/>
    <cellStyle name="40% - Accent2 29_BukuBesar" xfId="3267" xr:uid="{00000000-0005-0000-0000-0000CC050000}"/>
    <cellStyle name="40% - Accent2 3" xfId="104" xr:uid="{00000000-0005-0000-0000-0000CD050000}"/>
    <cellStyle name="40% - Accent2 3 2" xfId="1526" xr:uid="{00000000-0005-0000-0000-0000CE050000}"/>
    <cellStyle name="40% - Accent2 3 2 2" xfId="1527" xr:uid="{00000000-0005-0000-0000-0000CF050000}"/>
    <cellStyle name="40% - Accent2 3 2 2 2" xfId="3268" xr:uid="{00000000-0005-0000-0000-0000D0050000}"/>
    <cellStyle name="40% - Accent2 3 2 3" xfId="3269" xr:uid="{00000000-0005-0000-0000-0000D1050000}"/>
    <cellStyle name="40% - Accent2 3 2_BukuBesar" xfId="3270" xr:uid="{00000000-0005-0000-0000-0000D2050000}"/>
    <cellStyle name="40% - Accent2 3 3" xfId="1528" xr:uid="{00000000-0005-0000-0000-0000D3050000}"/>
    <cellStyle name="40% - Accent2 3 3 2" xfId="1529" xr:uid="{00000000-0005-0000-0000-0000D4050000}"/>
    <cellStyle name="40% - Accent2 3 4" xfId="1530" xr:uid="{00000000-0005-0000-0000-0000D5050000}"/>
    <cellStyle name="40% - Accent2 3 4 2" xfId="3271" xr:uid="{00000000-0005-0000-0000-0000D6050000}"/>
    <cellStyle name="40% - Accent2 3 5" xfId="3272" xr:uid="{00000000-0005-0000-0000-0000D7050000}"/>
    <cellStyle name="40% - Accent2 3 6" xfId="3273" xr:uid="{00000000-0005-0000-0000-0000D8050000}"/>
    <cellStyle name="40% - Accent2 3 7" xfId="3274" xr:uid="{00000000-0005-0000-0000-0000D9050000}"/>
    <cellStyle name="40% - Accent2 3 8" xfId="3275" xr:uid="{00000000-0005-0000-0000-0000DA050000}"/>
    <cellStyle name="40% - Accent2 3_BukuBesar" xfId="3276" xr:uid="{00000000-0005-0000-0000-0000DB050000}"/>
    <cellStyle name="40% - Accent2 30" xfId="3277" xr:uid="{00000000-0005-0000-0000-0000DC050000}"/>
    <cellStyle name="40% - Accent2 4" xfId="105" xr:uid="{00000000-0005-0000-0000-0000DD050000}"/>
    <cellStyle name="40% - Accent2 4 2" xfId="1531" xr:uid="{00000000-0005-0000-0000-0000DE050000}"/>
    <cellStyle name="40% - Accent2 4 2 2" xfId="1532" xr:uid="{00000000-0005-0000-0000-0000DF050000}"/>
    <cellStyle name="40% - Accent2 4 2 2 2" xfId="3278" xr:uid="{00000000-0005-0000-0000-0000E0050000}"/>
    <cellStyle name="40% - Accent2 4 2 3" xfId="3279" xr:uid="{00000000-0005-0000-0000-0000E1050000}"/>
    <cellStyle name="40% - Accent2 4 2_BukuBesar" xfId="3280" xr:uid="{00000000-0005-0000-0000-0000E2050000}"/>
    <cellStyle name="40% - Accent2 4 3" xfId="1533" xr:uid="{00000000-0005-0000-0000-0000E3050000}"/>
    <cellStyle name="40% - Accent2 4 3 2" xfId="1534" xr:uid="{00000000-0005-0000-0000-0000E4050000}"/>
    <cellStyle name="40% - Accent2 4 4" xfId="1535" xr:uid="{00000000-0005-0000-0000-0000E5050000}"/>
    <cellStyle name="40% - Accent2 4 4 2" xfId="3281" xr:uid="{00000000-0005-0000-0000-0000E6050000}"/>
    <cellStyle name="40% - Accent2 4 5" xfId="3282" xr:uid="{00000000-0005-0000-0000-0000E7050000}"/>
    <cellStyle name="40% - Accent2 4 6" xfId="3283" xr:uid="{00000000-0005-0000-0000-0000E8050000}"/>
    <cellStyle name="40% - Accent2 4 7" xfId="3284" xr:uid="{00000000-0005-0000-0000-0000E9050000}"/>
    <cellStyle name="40% - Accent2 4 8" xfId="3285" xr:uid="{00000000-0005-0000-0000-0000EA050000}"/>
    <cellStyle name="40% - Accent2 4_BukuBesar" xfId="3286" xr:uid="{00000000-0005-0000-0000-0000EB050000}"/>
    <cellStyle name="40% - Accent2 5" xfId="106" xr:uid="{00000000-0005-0000-0000-0000EC050000}"/>
    <cellStyle name="40% - Accent2 5 2" xfId="1536" xr:uid="{00000000-0005-0000-0000-0000ED050000}"/>
    <cellStyle name="40% - Accent2 5 2 2" xfId="1537" xr:uid="{00000000-0005-0000-0000-0000EE050000}"/>
    <cellStyle name="40% - Accent2 5 2 2 2" xfId="3287" xr:uid="{00000000-0005-0000-0000-0000EF050000}"/>
    <cellStyle name="40% - Accent2 5 2 3" xfId="3288" xr:uid="{00000000-0005-0000-0000-0000F0050000}"/>
    <cellStyle name="40% - Accent2 5 2_BukuBesar" xfId="3289" xr:uid="{00000000-0005-0000-0000-0000F1050000}"/>
    <cellStyle name="40% - Accent2 5 3" xfId="1538" xr:uid="{00000000-0005-0000-0000-0000F2050000}"/>
    <cellStyle name="40% - Accent2 5 3 2" xfId="1539" xr:uid="{00000000-0005-0000-0000-0000F3050000}"/>
    <cellStyle name="40% - Accent2 5 4" xfId="1540" xr:uid="{00000000-0005-0000-0000-0000F4050000}"/>
    <cellStyle name="40% - Accent2 5 4 2" xfId="3290" xr:uid="{00000000-0005-0000-0000-0000F5050000}"/>
    <cellStyle name="40% - Accent2 5 5" xfId="3291" xr:uid="{00000000-0005-0000-0000-0000F6050000}"/>
    <cellStyle name="40% - Accent2 5 6" xfId="3292" xr:uid="{00000000-0005-0000-0000-0000F7050000}"/>
    <cellStyle name="40% - Accent2 5 7" xfId="3293" xr:uid="{00000000-0005-0000-0000-0000F8050000}"/>
    <cellStyle name="40% - Accent2 5 8" xfId="3294" xr:uid="{00000000-0005-0000-0000-0000F9050000}"/>
    <cellStyle name="40% - Accent2 5_BukuBesar" xfId="3295" xr:uid="{00000000-0005-0000-0000-0000FA050000}"/>
    <cellStyle name="40% - Accent2 6" xfId="107" xr:uid="{00000000-0005-0000-0000-0000FB050000}"/>
    <cellStyle name="40% - Accent2 6 2" xfId="1541" xr:uid="{00000000-0005-0000-0000-0000FC050000}"/>
    <cellStyle name="40% - Accent2 6 2 2" xfId="1542" xr:uid="{00000000-0005-0000-0000-0000FD050000}"/>
    <cellStyle name="40% - Accent2 6 2 2 2" xfId="3296" xr:uid="{00000000-0005-0000-0000-0000FE050000}"/>
    <cellStyle name="40% - Accent2 6 2 3" xfId="3297" xr:uid="{00000000-0005-0000-0000-0000FF050000}"/>
    <cellStyle name="40% - Accent2 6 2_BukuBesar" xfId="3298" xr:uid="{00000000-0005-0000-0000-000000060000}"/>
    <cellStyle name="40% - Accent2 6 3" xfId="1543" xr:uid="{00000000-0005-0000-0000-000001060000}"/>
    <cellStyle name="40% - Accent2 6 3 2" xfId="1544" xr:uid="{00000000-0005-0000-0000-000002060000}"/>
    <cellStyle name="40% - Accent2 6 4" xfId="1545" xr:uid="{00000000-0005-0000-0000-000003060000}"/>
    <cellStyle name="40% - Accent2 6 4 2" xfId="3299" xr:uid="{00000000-0005-0000-0000-000004060000}"/>
    <cellStyle name="40% - Accent2 6 5" xfId="3300" xr:uid="{00000000-0005-0000-0000-000005060000}"/>
    <cellStyle name="40% - Accent2 6 6" xfId="3301" xr:uid="{00000000-0005-0000-0000-000006060000}"/>
    <cellStyle name="40% - Accent2 6 7" xfId="3302" xr:uid="{00000000-0005-0000-0000-000007060000}"/>
    <cellStyle name="40% - Accent2 6 8" xfId="3303" xr:uid="{00000000-0005-0000-0000-000008060000}"/>
    <cellStyle name="40% - Accent2 6_BukuBesar" xfId="3304" xr:uid="{00000000-0005-0000-0000-000009060000}"/>
    <cellStyle name="40% - Accent2 7" xfId="108" xr:uid="{00000000-0005-0000-0000-00000A060000}"/>
    <cellStyle name="40% - Accent2 7 2" xfId="1546" xr:uid="{00000000-0005-0000-0000-00000B060000}"/>
    <cellStyle name="40% - Accent2 7 2 2" xfId="1547" xr:uid="{00000000-0005-0000-0000-00000C060000}"/>
    <cellStyle name="40% - Accent2 7 2 3" xfId="3305" xr:uid="{00000000-0005-0000-0000-00000D060000}"/>
    <cellStyle name="40% - Accent2 7 3" xfId="1548" xr:uid="{00000000-0005-0000-0000-00000E060000}"/>
    <cellStyle name="40% - Accent2 7 3 2" xfId="1549" xr:uid="{00000000-0005-0000-0000-00000F060000}"/>
    <cellStyle name="40% - Accent2 7 3 3" xfId="3306" xr:uid="{00000000-0005-0000-0000-000010060000}"/>
    <cellStyle name="40% - Accent2 7 4" xfId="1550" xr:uid="{00000000-0005-0000-0000-000011060000}"/>
    <cellStyle name="40% - Accent2 7_BukuBesar" xfId="3307" xr:uid="{00000000-0005-0000-0000-000012060000}"/>
    <cellStyle name="40% - Accent2 8" xfId="109" xr:uid="{00000000-0005-0000-0000-000013060000}"/>
    <cellStyle name="40% - Accent2 8 2" xfId="1551" xr:uid="{00000000-0005-0000-0000-000014060000}"/>
    <cellStyle name="40% - Accent2 8 2 2" xfId="1552" xr:uid="{00000000-0005-0000-0000-000015060000}"/>
    <cellStyle name="40% - Accent2 8 2 3" xfId="3308" xr:uid="{00000000-0005-0000-0000-000016060000}"/>
    <cellStyle name="40% - Accent2 8 3" xfId="1553" xr:uid="{00000000-0005-0000-0000-000017060000}"/>
    <cellStyle name="40% - Accent2 8 3 2" xfId="1554" xr:uid="{00000000-0005-0000-0000-000018060000}"/>
    <cellStyle name="40% - Accent2 8 3 3" xfId="3309" xr:uid="{00000000-0005-0000-0000-000019060000}"/>
    <cellStyle name="40% - Accent2 8 4" xfId="1555" xr:uid="{00000000-0005-0000-0000-00001A060000}"/>
    <cellStyle name="40% - Accent2 8_BukuBesar" xfId="3310" xr:uid="{00000000-0005-0000-0000-00001B060000}"/>
    <cellStyle name="40% - Accent2 9" xfId="110" xr:uid="{00000000-0005-0000-0000-00001C060000}"/>
    <cellStyle name="40% - Accent2 9 2" xfId="1556" xr:uid="{00000000-0005-0000-0000-00001D060000}"/>
    <cellStyle name="40% - Accent2 9 2 2" xfId="1557" xr:uid="{00000000-0005-0000-0000-00001E060000}"/>
    <cellStyle name="40% - Accent2 9 2 3" xfId="3311" xr:uid="{00000000-0005-0000-0000-00001F060000}"/>
    <cellStyle name="40% - Accent2 9 3" xfId="1558" xr:uid="{00000000-0005-0000-0000-000020060000}"/>
    <cellStyle name="40% - Accent2 9 3 2" xfId="1559" xr:uid="{00000000-0005-0000-0000-000021060000}"/>
    <cellStyle name="40% - Accent2 9 3 3" xfId="3312" xr:uid="{00000000-0005-0000-0000-000022060000}"/>
    <cellStyle name="40% - Accent2 9 4" xfId="1560" xr:uid="{00000000-0005-0000-0000-000023060000}"/>
    <cellStyle name="40% - Accent2 9_BukuBesar" xfId="3313" xr:uid="{00000000-0005-0000-0000-000024060000}"/>
    <cellStyle name="40% - Accent3 10" xfId="111" xr:uid="{00000000-0005-0000-0000-000025060000}"/>
    <cellStyle name="40% - Accent3 10 2" xfId="1561" xr:uid="{00000000-0005-0000-0000-000026060000}"/>
    <cellStyle name="40% - Accent3 10 2 2" xfId="1562" xr:uid="{00000000-0005-0000-0000-000027060000}"/>
    <cellStyle name="40% - Accent3 10 2 3" xfId="3314" xr:uid="{00000000-0005-0000-0000-000028060000}"/>
    <cellStyle name="40% - Accent3 10 3" xfId="1563" xr:uid="{00000000-0005-0000-0000-000029060000}"/>
    <cellStyle name="40% - Accent3 10 3 2" xfId="1564" xr:uid="{00000000-0005-0000-0000-00002A060000}"/>
    <cellStyle name="40% - Accent3 10 3 3" xfId="3315" xr:uid="{00000000-0005-0000-0000-00002B060000}"/>
    <cellStyle name="40% - Accent3 10 4" xfId="1565" xr:uid="{00000000-0005-0000-0000-00002C060000}"/>
    <cellStyle name="40% - Accent3 10_BukuBesar" xfId="3316" xr:uid="{00000000-0005-0000-0000-00002D060000}"/>
    <cellStyle name="40% - Accent3 11" xfId="112" xr:uid="{00000000-0005-0000-0000-00002E060000}"/>
    <cellStyle name="40% - Accent3 11 2" xfId="1566" xr:uid="{00000000-0005-0000-0000-00002F060000}"/>
    <cellStyle name="40% - Accent3 11 2 2" xfId="1567" xr:uid="{00000000-0005-0000-0000-000030060000}"/>
    <cellStyle name="40% - Accent3 11 2 3" xfId="3317" xr:uid="{00000000-0005-0000-0000-000031060000}"/>
    <cellStyle name="40% - Accent3 11 3" xfId="1568" xr:uid="{00000000-0005-0000-0000-000032060000}"/>
    <cellStyle name="40% - Accent3 11 3 2" xfId="1569" xr:uid="{00000000-0005-0000-0000-000033060000}"/>
    <cellStyle name="40% - Accent3 11 3 3" xfId="3318" xr:uid="{00000000-0005-0000-0000-000034060000}"/>
    <cellStyle name="40% - Accent3 11 4" xfId="1570" xr:uid="{00000000-0005-0000-0000-000035060000}"/>
    <cellStyle name="40% - Accent3 11_BukuBesar" xfId="3319" xr:uid="{00000000-0005-0000-0000-000036060000}"/>
    <cellStyle name="40% - Accent3 12" xfId="113" xr:uid="{00000000-0005-0000-0000-000037060000}"/>
    <cellStyle name="40% - Accent3 12 2" xfId="1571" xr:uid="{00000000-0005-0000-0000-000038060000}"/>
    <cellStyle name="40% - Accent3 12 2 2" xfId="1572" xr:uid="{00000000-0005-0000-0000-000039060000}"/>
    <cellStyle name="40% - Accent3 12 2 3" xfId="3320" xr:uid="{00000000-0005-0000-0000-00003A060000}"/>
    <cellStyle name="40% - Accent3 12 3" xfId="1573" xr:uid="{00000000-0005-0000-0000-00003B060000}"/>
    <cellStyle name="40% - Accent3 12 3 2" xfId="1574" xr:uid="{00000000-0005-0000-0000-00003C060000}"/>
    <cellStyle name="40% - Accent3 12 3 3" xfId="3321" xr:uid="{00000000-0005-0000-0000-00003D060000}"/>
    <cellStyle name="40% - Accent3 12 4" xfId="1575" xr:uid="{00000000-0005-0000-0000-00003E060000}"/>
    <cellStyle name="40% - Accent3 12_BukuBesar" xfId="3322" xr:uid="{00000000-0005-0000-0000-00003F060000}"/>
    <cellStyle name="40% - Accent3 13" xfId="114" xr:uid="{00000000-0005-0000-0000-000040060000}"/>
    <cellStyle name="40% - Accent3 13 2" xfId="1576" xr:uid="{00000000-0005-0000-0000-000041060000}"/>
    <cellStyle name="40% - Accent3 13 2 2" xfId="1577" xr:uid="{00000000-0005-0000-0000-000042060000}"/>
    <cellStyle name="40% - Accent3 13 2 3" xfId="3323" xr:uid="{00000000-0005-0000-0000-000043060000}"/>
    <cellStyle name="40% - Accent3 13 3" xfId="1578" xr:uid="{00000000-0005-0000-0000-000044060000}"/>
    <cellStyle name="40% - Accent3 13 3 2" xfId="1579" xr:uid="{00000000-0005-0000-0000-000045060000}"/>
    <cellStyle name="40% - Accent3 13 3 3" xfId="3324" xr:uid="{00000000-0005-0000-0000-000046060000}"/>
    <cellStyle name="40% - Accent3 13 4" xfId="1580" xr:uid="{00000000-0005-0000-0000-000047060000}"/>
    <cellStyle name="40% - Accent3 13_BukuBesar" xfId="3325" xr:uid="{00000000-0005-0000-0000-000048060000}"/>
    <cellStyle name="40% - Accent3 14" xfId="3326" xr:uid="{00000000-0005-0000-0000-000049060000}"/>
    <cellStyle name="40% - Accent3 14 2" xfId="3327" xr:uid="{00000000-0005-0000-0000-00004A060000}"/>
    <cellStyle name="40% - Accent3 14 3" xfId="3328" xr:uid="{00000000-0005-0000-0000-00004B060000}"/>
    <cellStyle name="40% - Accent3 14_BukuBesar" xfId="3329" xr:uid="{00000000-0005-0000-0000-00004C060000}"/>
    <cellStyle name="40% - Accent3 15" xfId="3330" xr:uid="{00000000-0005-0000-0000-00004D060000}"/>
    <cellStyle name="40% - Accent3 15 2" xfId="3331" xr:uid="{00000000-0005-0000-0000-00004E060000}"/>
    <cellStyle name="40% - Accent3 15 3" xfId="3332" xr:uid="{00000000-0005-0000-0000-00004F060000}"/>
    <cellStyle name="40% - Accent3 15_BukuBesar" xfId="3333" xr:uid="{00000000-0005-0000-0000-000050060000}"/>
    <cellStyle name="40% - Accent3 16" xfId="3334" xr:uid="{00000000-0005-0000-0000-000051060000}"/>
    <cellStyle name="40% - Accent3 16 2" xfId="3335" xr:uid="{00000000-0005-0000-0000-000052060000}"/>
    <cellStyle name="40% - Accent3 16 3" xfId="3336" xr:uid="{00000000-0005-0000-0000-000053060000}"/>
    <cellStyle name="40% - Accent3 16_BukuBesar" xfId="3337" xr:uid="{00000000-0005-0000-0000-000054060000}"/>
    <cellStyle name="40% - Accent3 17" xfId="3338" xr:uid="{00000000-0005-0000-0000-000055060000}"/>
    <cellStyle name="40% - Accent3 17 2" xfId="3339" xr:uid="{00000000-0005-0000-0000-000056060000}"/>
    <cellStyle name="40% - Accent3 17 3" xfId="3340" xr:uid="{00000000-0005-0000-0000-000057060000}"/>
    <cellStyle name="40% - Accent3 17_BukuBesar" xfId="3341" xr:uid="{00000000-0005-0000-0000-000058060000}"/>
    <cellStyle name="40% - Accent3 18" xfId="3342" xr:uid="{00000000-0005-0000-0000-000059060000}"/>
    <cellStyle name="40% - Accent3 18 2" xfId="3343" xr:uid="{00000000-0005-0000-0000-00005A060000}"/>
    <cellStyle name="40% - Accent3 18 3" xfId="3344" xr:uid="{00000000-0005-0000-0000-00005B060000}"/>
    <cellStyle name="40% - Accent3 18_BukuBesar" xfId="3345" xr:uid="{00000000-0005-0000-0000-00005C060000}"/>
    <cellStyle name="40% - Accent3 19" xfId="3346" xr:uid="{00000000-0005-0000-0000-00005D060000}"/>
    <cellStyle name="40% - Accent3 19 2" xfId="3347" xr:uid="{00000000-0005-0000-0000-00005E060000}"/>
    <cellStyle name="40% - Accent3 19_BukuBesar" xfId="3348" xr:uid="{00000000-0005-0000-0000-00005F060000}"/>
    <cellStyle name="40% - Accent3 2" xfId="115" xr:uid="{00000000-0005-0000-0000-000060060000}"/>
    <cellStyle name="40% - Accent3 2 2" xfId="1581" xr:uid="{00000000-0005-0000-0000-000061060000}"/>
    <cellStyle name="40% - Accent3 2 2 2" xfId="1582" xr:uid="{00000000-0005-0000-0000-000062060000}"/>
    <cellStyle name="40% - Accent3 2 2 2 2" xfId="3349" xr:uid="{00000000-0005-0000-0000-000063060000}"/>
    <cellStyle name="40% - Accent3 2 2 3" xfId="3350" xr:uid="{00000000-0005-0000-0000-000064060000}"/>
    <cellStyle name="40% - Accent3 2 2_BukuBesar" xfId="3351" xr:uid="{00000000-0005-0000-0000-000065060000}"/>
    <cellStyle name="40% - Accent3 2 3" xfId="1583" xr:uid="{00000000-0005-0000-0000-000066060000}"/>
    <cellStyle name="40% - Accent3 2 3 2" xfId="1584" xr:uid="{00000000-0005-0000-0000-000067060000}"/>
    <cellStyle name="40% - Accent3 2 4" xfId="1585" xr:uid="{00000000-0005-0000-0000-000068060000}"/>
    <cellStyle name="40% - Accent3 2 4 2" xfId="3352" xr:uid="{00000000-0005-0000-0000-000069060000}"/>
    <cellStyle name="40% - Accent3 2 5" xfId="3353" xr:uid="{00000000-0005-0000-0000-00006A060000}"/>
    <cellStyle name="40% - Accent3 2 6" xfId="3354" xr:uid="{00000000-0005-0000-0000-00006B060000}"/>
    <cellStyle name="40% - Accent3 2 7" xfId="3355" xr:uid="{00000000-0005-0000-0000-00006C060000}"/>
    <cellStyle name="40% - Accent3 2 8" xfId="6503" xr:uid="{D464B157-48CC-4BDB-8777-7A3E1F2FEB3E}"/>
    <cellStyle name="40% - Accent3 2_BukuBesar" xfId="3356" xr:uid="{00000000-0005-0000-0000-00006D060000}"/>
    <cellStyle name="40% - Accent3 20" xfId="3357" xr:uid="{00000000-0005-0000-0000-00006E060000}"/>
    <cellStyle name="40% - Accent3 20 2" xfId="3358" xr:uid="{00000000-0005-0000-0000-00006F060000}"/>
    <cellStyle name="40% - Accent3 20 3" xfId="3359" xr:uid="{00000000-0005-0000-0000-000070060000}"/>
    <cellStyle name="40% - Accent3 20_BukuBesar" xfId="3360" xr:uid="{00000000-0005-0000-0000-000071060000}"/>
    <cellStyle name="40% - Accent3 21" xfId="3361" xr:uid="{00000000-0005-0000-0000-000072060000}"/>
    <cellStyle name="40% - Accent3 21 2" xfId="3362" xr:uid="{00000000-0005-0000-0000-000073060000}"/>
    <cellStyle name="40% - Accent3 21_BukuBesar" xfId="3363" xr:uid="{00000000-0005-0000-0000-000074060000}"/>
    <cellStyle name="40% - Accent3 22" xfId="3364" xr:uid="{00000000-0005-0000-0000-000075060000}"/>
    <cellStyle name="40% - Accent3 22 2" xfId="3365" xr:uid="{00000000-0005-0000-0000-000076060000}"/>
    <cellStyle name="40% - Accent3 22_BukuBesar" xfId="3366" xr:uid="{00000000-0005-0000-0000-000077060000}"/>
    <cellStyle name="40% - Accent3 23" xfId="3367" xr:uid="{00000000-0005-0000-0000-000078060000}"/>
    <cellStyle name="40% - Accent3 23 2" xfId="3368" xr:uid="{00000000-0005-0000-0000-000079060000}"/>
    <cellStyle name="40% - Accent3 23_BukuBesar" xfId="3369" xr:uid="{00000000-0005-0000-0000-00007A060000}"/>
    <cellStyle name="40% - Accent3 24" xfId="3370" xr:uid="{00000000-0005-0000-0000-00007B060000}"/>
    <cellStyle name="40% - Accent3 24 2" xfId="3371" xr:uid="{00000000-0005-0000-0000-00007C060000}"/>
    <cellStyle name="40% - Accent3 24_BukuBesar" xfId="3372" xr:uid="{00000000-0005-0000-0000-00007D060000}"/>
    <cellStyle name="40% - Accent3 25" xfId="3373" xr:uid="{00000000-0005-0000-0000-00007E060000}"/>
    <cellStyle name="40% - Accent3 25 2" xfId="3374" xr:uid="{00000000-0005-0000-0000-00007F060000}"/>
    <cellStyle name="40% - Accent3 25_BukuBesar" xfId="3375" xr:uid="{00000000-0005-0000-0000-000080060000}"/>
    <cellStyle name="40% - Accent3 26" xfId="3376" xr:uid="{00000000-0005-0000-0000-000081060000}"/>
    <cellStyle name="40% - Accent3 26 2" xfId="3377" xr:uid="{00000000-0005-0000-0000-000082060000}"/>
    <cellStyle name="40% - Accent3 26_BukuBesar" xfId="3378" xr:uid="{00000000-0005-0000-0000-000083060000}"/>
    <cellStyle name="40% - Accent3 27" xfId="3379" xr:uid="{00000000-0005-0000-0000-000084060000}"/>
    <cellStyle name="40% - Accent3 27 2" xfId="3380" xr:uid="{00000000-0005-0000-0000-000085060000}"/>
    <cellStyle name="40% - Accent3 27_BukuBesar" xfId="3381" xr:uid="{00000000-0005-0000-0000-000086060000}"/>
    <cellStyle name="40% - Accent3 28" xfId="3382" xr:uid="{00000000-0005-0000-0000-000087060000}"/>
    <cellStyle name="40% - Accent3 28 2" xfId="3383" xr:uid="{00000000-0005-0000-0000-000088060000}"/>
    <cellStyle name="40% - Accent3 28_BukuBesar" xfId="3384" xr:uid="{00000000-0005-0000-0000-000089060000}"/>
    <cellStyle name="40% - Accent3 29" xfId="3385" xr:uid="{00000000-0005-0000-0000-00008A060000}"/>
    <cellStyle name="40% - Accent3 29 2" xfId="3386" xr:uid="{00000000-0005-0000-0000-00008B060000}"/>
    <cellStyle name="40% - Accent3 29_BukuBesar" xfId="3387" xr:uid="{00000000-0005-0000-0000-00008C060000}"/>
    <cellStyle name="40% - Accent3 3" xfId="116" xr:uid="{00000000-0005-0000-0000-00008D060000}"/>
    <cellStyle name="40% - Accent3 3 2" xfId="1586" xr:uid="{00000000-0005-0000-0000-00008E060000}"/>
    <cellStyle name="40% - Accent3 3 2 2" xfId="1587" xr:uid="{00000000-0005-0000-0000-00008F060000}"/>
    <cellStyle name="40% - Accent3 3 2 2 2" xfId="3388" xr:uid="{00000000-0005-0000-0000-000090060000}"/>
    <cellStyle name="40% - Accent3 3 2 3" xfId="3389" xr:uid="{00000000-0005-0000-0000-000091060000}"/>
    <cellStyle name="40% - Accent3 3 2_BukuBesar" xfId="3390" xr:uid="{00000000-0005-0000-0000-000092060000}"/>
    <cellStyle name="40% - Accent3 3 3" xfId="1588" xr:uid="{00000000-0005-0000-0000-000093060000}"/>
    <cellStyle name="40% - Accent3 3 3 2" xfId="1589" xr:uid="{00000000-0005-0000-0000-000094060000}"/>
    <cellStyle name="40% - Accent3 3 4" xfId="1590" xr:uid="{00000000-0005-0000-0000-000095060000}"/>
    <cellStyle name="40% - Accent3 3 4 2" xfId="3391" xr:uid="{00000000-0005-0000-0000-000096060000}"/>
    <cellStyle name="40% - Accent3 3 5" xfId="3392" xr:uid="{00000000-0005-0000-0000-000097060000}"/>
    <cellStyle name="40% - Accent3 3 6" xfId="3393" xr:uid="{00000000-0005-0000-0000-000098060000}"/>
    <cellStyle name="40% - Accent3 3 7" xfId="3394" xr:uid="{00000000-0005-0000-0000-000099060000}"/>
    <cellStyle name="40% - Accent3 3 8" xfId="3395" xr:uid="{00000000-0005-0000-0000-00009A060000}"/>
    <cellStyle name="40% - Accent3 3_BukuBesar" xfId="3396" xr:uid="{00000000-0005-0000-0000-00009B060000}"/>
    <cellStyle name="40% - Accent3 30" xfId="3397" xr:uid="{00000000-0005-0000-0000-00009C060000}"/>
    <cellStyle name="40% - Accent3 4" xfId="117" xr:uid="{00000000-0005-0000-0000-00009D060000}"/>
    <cellStyle name="40% - Accent3 4 2" xfId="1591" xr:uid="{00000000-0005-0000-0000-00009E060000}"/>
    <cellStyle name="40% - Accent3 4 2 2" xfId="1592" xr:uid="{00000000-0005-0000-0000-00009F060000}"/>
    <cellStyle name="40% - Accent3 4 2 2 2" xfId="3398" xr:uid="{00000000-0005-0000-0000-0000A0060000}"/>
    <cellStyle name="40% - Accent3 4 2 3" xfId="3399" xr:uid="{00000000-0005-0000-0000-0000A1060000}"/>
    <cellStyle name="40% - Accent3 4 2_BukuBesar" xfId="3400" xr:uid="{00000000-0005-0000-0000-0000A2060000}"/>
    <cellStyle name="40% - Accent3 4 3" xfId="1593" xr:uid="{00000000-0005-0000-0000-0000A3060000}"/>
    <cellStyle name="40% - Accent3 4 3 2" xfId="1594" xr:uid="{00000000-0005-0000-0000-0000A4060000}"/>
    <cellStyle name="40% - Accent3 4 4" xfId="1595" xr:uid="{00000000-0005-0000-0000-0000A5060000}"/>
    <cellStyle name="40% - Accent3 4 4 2" xfId="3401" xr:uid="{00000000-0005-0000-0000-0000A6060000}"/>
    <cellStyle name="40% - Accent3 4 5" xfId="3402" xr:uid="{00000000-0005-0000-0000-0000A7060000}"/>
    <cellStyle name="40% - Accent3 4 6" xfId="3403" xr:uid="{00000000-0005-0000-0000-0000A8060000}"/>
    <cellStyle name="40% - Accent3 4 7" xfId="3404" xr:uid="{00000000-0005-0000-0000-0000A9060000}"/>
    <cellStyle name="40% - Accent3 4 8" xfId="3405" xr:uid="{00000000-0005-0000-0000-0000AA060000}"/>
    <cellStyle name="40% - Accent3 4_BukuBesar" xfId="3406" xr:uid="{00000000-0005-0000-0000-0000AB060000}"/>
    <cellStyle name="40% - Accent3 5" xfId="118" xr:uid="{00000000-0005-0000-0000-0000AC060000}"/>
    <cellStyle name="40% - Accent3 5 2" xfId="1596" xr:uid="{00000000-0005-0000-0000-0000AD060000}"/>
    <cellStyle name="40% - Accent3 5 2 2" xfId="1597" xr:uid="{00000000-0005-0000-0000-0000AE060000}"/>
    <cellStyle name="40% - Accent3 5 2 2 2" xfId="3407" xr:uid="{00000000-0005-0000-0000-0000AF060000}"/>
    <cellStyle name="40% - Accent3 5 2 3" xfId="3408" xr:uid="{00000000-0005-0000-0000-0000B0060000}"/>
    <cellStyle name="40% - Accent3 5 2_BukuBesar" xfId="3409" xr:uid="{00000000-0005-0000-0000-0000B1060000}"/>
    <cellStyle name="40% - Accent3 5 3" xfId="1598" xr:uid="{00000000-0005-0000-0000-0000B2060000}"/>
    <cellStyle name="40% - Accent3 5 3 2" xfId="1599" xr:uid="{00000000-0005-0000-0000-0000B3060000}"/>
    <cellStyle name="40% - Accent3 5 4" xfId="1600" xr:uid="{00000000-0005-0000-0000-0000B4060000}"/>
    <cellStyle name="40% - Accent3 5 4 2" xfId="3410" xr:uid="{00000000-0005-0000-0000-0000B5060000}"/>
    <cellStyle name="40% - Accent3 5 5" xfId="3411" xr:uid="{00000000-0005-0000-0000-0000B6060000}"/>
    <cellStyle name="40% - Accent3 5 6" xfId="3412" xr:uid="{00000000-0005-0000-0000-0000B7060000}"/>
    <cellStyle name="40% - Accent3 5 7" xfId="3413" xr:uid="{00000000-0005-0000-0000-0000B8060000}"/>
    <cellStyle name="40% - Accent3 5 8" xfId="3414" xr:uid="{00000000-0005-0000-0000-0000B9060000}"/>
    <cellStyle name="40% - Accent3 5_BukuBesar" xfId="3415" xr:uid="{00000000-0005-0000-0000-0000BA060000}"/>
    <cellStyle name="40% - Accent3 6" xfId="119" xr:uid="{00000000-0005-0000-0000-0000BB060000}"/>
    <cellStyle name="40% - Accent3 6 2" xfId="1601" xr:uid="{00000000-0005-0000-0000-0000BC060000}"/>
    <cellStyle name="40% - Accent3 6 2 2" xfId="1602" xr:uid="{00000000-0005-0000-0000-0000BD060000}"/>
    <cellStyle name="40% - Accent3 6 2 2 2" xfId="3416" xr:uid="{00000000-0005-0000-0000-0000BE060000}"/>
    <cellStyle name="40% - Accent3 6 2 3" xfId="3417" xr:uid="{00000000-0005-0000-0000-0000BF060000}"/>
    <cellStyle name="40% - Accent3 6 2_BukuBesar" xfId="3418" xr:uid="{00000000-0005-0000-0000-0000C0060000}"/>
    <cellStyle name="40% - Accent3 6 3" xfId="1603" xr:uid="{00000000-0005-0000-0000-0000C1060000}"/>
    <cellStyle name="40% - Accent3 6 3 2" xfId="1604" xr:uid="{00000000-0005-0000-0000-0000C2060000}"/>
    <cellStyle name="40% - Accent3 6 4" xfId="1605" xr:uid="{00000000-0005-0000-0000-0000C3060000}"/>
    <cellStyle name="40% - Accent3 6 4 2" xfId="3419" xr:uid="{00000000-0005-0000-0000-0000C4060000}"/>
    <cellStyle name="40% - Accent3 6 5" xfId="3420" xr:uid="{00000000-0005-0000-0000-0000C5060000}"/>
    <cellStyle name="40% - Accent3 6 6" xfId="3421" xr:uid="{00000000-0005-0000-0000-0000C6060000}"/>
    <cellStyle name="40% - Accent3 6 7" xfId="3422" xr:uid="{00000000-0005-0000-0000-0000C7060000}"/>
    <cellStyle name="40% - Accent3 6 8" xfId="3423" xr:uid="{00000000-0005-0000-0000-0000C8060000}"/>
    <cellStyle name="40% - Accent3 6_BukuBesar" xfId="3424" xr:uid="{00000000-0005-0000-0000-0000C9060000}"/>
    <cellStyle name="40% - Accent3 7" xfId="120" xr:uid="{00000000-0005-0000-0000-0000CA060000}"/>
    <cellStyle name="40% - Accent3 7 2" xfId="1606" xr:uid="{00000000-0005-0000-0000-0000CB060000}"/>
    <cellStyle name="40% - Accent3 7 2 2" xfId="1607" xr:uid="{00000000-0005-0000-0000-0000CC060000}"/>
    <cellStyle name="40% - Accent3 7 2 3" xfId="3425" xr:uid="{00000000-0005-0000-0000-0000CD060000}"/>
    <cellStyle name="40% - Accent3 7 3" xfId="1608" xr:uid="{00000000-0005-0000-0000-0000CE060000}"/>
    <cellStyle name="40% - Accent3 7 3 2" xfId="1609" xr:uid="{00000000-0005-0000-0000-0000CF060000}"/>
    <cellStyle name="40% - Accent3 7 3 3" xfId="3426" xr:uid="{00000000-0005-0000-0000-0000D0060000}"/>
    <cellStyle name="40% - Accent3 7 4" xfId="1610" xr:uid="{00000000-0005-0000-0000-0000D1060000}"/>
    <cellStyle name="40% - Accent3 7_BukuBesar" xfId="3427" xr:uid="{00000000-0005-0000-0000-0000D2060000}"/>
    <cellStyle name="40% - Accent3 8" xfId="121" xr:uid="{00000000-0005-0000-0000-0000D3060000}"/>
    <cellStyle name="40% - Accent3 8 2" xfId="1611" xr:uid="{00000000-0005-0000-0000-0000D4060000}"/>
    <cellStyle name="40% - Accent3 8 2 2" xfId="1612" xr:uid="{00000000-0005-0000-0000-0000D5060000}"/>
    <cellStyle name="40% - Accent3 8 2 3" xfId="3428" xr:uid="{00000000-0005-0000-0000-0000D6060000}"/>
    <cellStyle name="40% - Accent3 8 3" xfId="1613" xr:uid="{00000000-0005-0000-0000-0000D7060000}"/>
    <cellStyle name="40% - Accent3 8 3 2" xfId="1614" xr:uid="{00000000-0005-0000-0000-0000D8060000}"/>
    <cellStyle name="40% - Accent3 8 3 3" xfId="3429" xr:uid="{00000000-0005-0000-0000-0000D9060000}"/>
    <cellStyle name="40% - Accent3 8 4" xfId="1615" xr:uid="{00000000-0005-0000-0000-0000DA060000}"/>
    <cellStyle name="40% - Accent3 8_BukuBesar" xfId="3430" xr:uid="{00000000-0005-0000-0000-0000DB060000}"/>
    <cellStyle name="40% - Accent3 9" xfId="122" xr:uid="{00000000-0005-0000-0000-0000DC060000}"/>
    <cellStyle name="40% - Accent3 9 2" xfId="1616" xr:uid="{00000000-0005-0000-0000-0000DD060000}"/>
    <cellStyle name="40% - Accent3 9 2 2" xfId="1617" xr:uid="{00000000-0005-0000-0000-0000DE060000}"/>
    <cellStyle name="40% - Accent3 9 2 3" xfId="3431" xr:uid="{00000000-0005-0000-0000-0000DF060000}"/>
    <cellStyle name="40% - Accent3 9 3" xfId="1618" xr:uid="{00000000-0005-0000-0000-0000E0060000}"/>
    <cellStyle name="40% - Accent3 9 3 2" xfId="1619" xr:uid="{00000000-0005-0000-0000-0000E1060000}"/>
    <cellStyle name="40% - Accent3 9 3 3" xfId="3432" xr:uid="{00000000-0005-0000-0000-0000E2060000}"/>
    <cellStyle name="40% - Accent3 9 4" xfId="1620" xr:uid="{00000000-0005-0000-0000-0000E3060000}"/>
    <cellStyle name="40% - Accent3 9_BukuBesar" xfId="3433" xr:uid="{00000000-0005-0000-0000-0000E4060000}"/>
    <cellStyle name="40% - Accent4 10" xfId="123" xr:uid="{00000000-0005-0000-0000-0000E5060000}"/>
    <cellStyle name="40% - Accent4 10 2" xfId="1621" xr:uid="{00000000-0005-0000-0000-0000E6060000}"/>
    <cellStyle name="40% - Accent4 10 2 2" xfId="1622" xr:uid="{00000000-0005-0000-0000-0000E7060000}"/>
    <cellStyle name="40% - Accent4 10 2 3" xfId="3434" xr:uid="{00000000-0005-0000-0000-0000E8060000}"/>
    <cellStyle name="40% - Accent4 10 3" xfId="1623" xr:uid="{00000000-0005-0000-0000-0000E9060000}"/>
    <cellStyle name="40% - Accent4 10 3 2" xfId="1624" xr:uid="{00000000-0005-0000-0000-0000EA060000}"/>
    <cellStyle name="40% - Accent4 10 3 3" xfId="3435" xr:uid="{00000000-0005-0000-0000-0000EB060000}"/>
    <cellStyle name="40% - Accent4 10 4" xfId="1625" xr:uid="{00000000-0005-0000-0000-0000EC060000}"/>
    <cellStyle name="40% - Accent4 10_BukuBesar" xfId="3436" xr:uid="{00000000-0005-0000-0000-0000ED060000}"/>
    <cellStyle name="40% - Accent4 11" xfId="124" xr:uid="{00000000-0005-0000-0000-0000EE060000}"/>
    <cellStyle name="40% - Accent4 11 2" xfId="1626" xr:uid="{00000000-0005-0000-0000-0000EF060000}"/>
    <cellStyle name="40% - Accent4 11 2 2" xfId="1627" xr:uid="{00000000-0005-0000-0000-0000F0060000}"/>
    <cellStyle name="40% - Accent4 11 2 3" xfId="3437" xr:uid="{00000000-0005-0000-0000-0000F1060000}"/>
    <cellStyle name="40% - Accent4 11 3" xfId="1628" xr:uid="{00000000-0005-0000-0000-0000F2060000}"/>
    <cellStyle name="40% - Accent4 11 3 2" xfId="1629" xr:uid="{00000000-0005-0000-0000-0000F3060000}"/>
    <cellStyle name="40% - Accent4 11 3 3" xfId="3438" xr:uid="{00000000-0005-0000-0000-0000F4060000}"/>
    <cellStyle name="40% - Accent4 11 4" xfId="1630" xr:uid="{00000000-0005-0000-0000-0000F5060000}"/>
    <cellStyle name="40% - Accent4 11_BukuBesar" xfId="3439" xr:uid="{00000000-0005-0000-0000-0000F6060000}"/>
    <cellStyle name="40% - Accent4 12" xfId="125" xr:uid="{00000000-0005-0000-0000-0000F7060000}"/>
    <cellStyle name="40% - Accent4 12 2" xfId="1631" xr:uid="{00000000-0005-0000-0000-0000F8060000}"/>
    <cellStyle name="40% - Accent4 12 2 2" xfId="1632" xr:uid="{00000000-0005-0000-0000-0000F9060000}"/>
    <cellStyle name="40% - Accent4 12 2 3" xfId="3440" xr:uid="{00000000-0005-0000-0000-0000FA060000}"/>
    <cellStyle name="40% - Accent4 12 3" xfId="1633" xr:uid="{00000000-0005-0000-0000-0000FB060000}"/>
    <cellStyle name="40% - Accent4 12 3 2" xfId="1634" xr:uid="{00000000-0005-0000-0000-0000FC060000}"/>
    <cellStyle name="40% - Accent4 12 3 3" xfId="3441" xr:uid="{00000000-0005-0000-0000-0000FD060000}"/>
    <cellStyle name="40% - Accent4 12 4" xfId="1635" xr:uid="{00000000-0005-0000-0000-0000FE060000}"/>
    <cellStyle name="40% - Accent4 12_BukuBesar" xfId="3442" xr:uid="{00000000-0005-0000-0000-0000FF060000}"/>
    <cellStyle name="40% - Accent4 13" xfId="126" xr:uid="{00000000-0005-0000-0000-000000070000}"/>
    <cellStyle name="40% - Accent4 13 2" xfId="1636" xr:uid="{00000000-0005-0000-0000-000001070000}"/>
    <cellStyle name="40% - Accent4 13 2 2" xfId="1637" xr:uid="{00000000-0005-0000-0000-000002070000}"/>
    <cellStyle name="40% - Accent4 13 2 3" xfId="3443" xr:uid="{00000000-0005-0000-0000-000003070000}"/>
    <cellStyle name="40% - Accent4 13 3" xfId="1638" xr:uid="{00000000-0005-0000-0000-000004070000}"/>
    <cellStyle name="40% - Accent4 13 3 2" xfId="1639" xr:uid="{00000000-0005-0000-0000-000005070000}"/>
    <cellStyle name="40% - Accent4 13 3 3" xfId="3444" xr:uid="{00000000-0005-0000-0000-000006070000}"/>
    <cellStyle name="40% - Accent4 13 4" xfId="1640" xr:uid="{00000000-0005-0000-0000-000007070000}"/>
    <cellStyle name="40% - Accent4 13_BukuBesar" xfId="3445" xr:uid="{00000000-0005-0000-0000-000008070000}"/>
    <cellStyle name="40% - Accent4 14" xfId="3446" xr:uid="{00000000-0005-0000-0000-000009070000}"/>
    <cellStyle name="40% - Accent4 14 2" xfId="3447" xr:uid="{00000000-0005-0000-0000-00000A070000}"/>
    <cellStyle name="40% - Accent4 14 3" xfId="3448" xr:uid="{00000000-0005-0000-0000-00000B070000}"/>
    <cellStyle name="40% - Accent4 14_BukuBesar" xfId="3449" xr:uid="{00000000-0005-0000-0000-00000C070000}"/>
    <cellStyle name="40% - Accent4 15" xfId="3450" xr:uid="{00000000-0005-0000-0000-00000D070000}"/>
    <cellStyle name="40% - Accent4 15 2" xfId="3451" xr:uid="{00000000-0005-0000-0000-00000E070000}"/>
    <cellStyle name="40% - Accent4 15 3" xfId="3452" xr:uid="{00000000-0005-0000-0000-00000F070000}"/>
    <cellStyle name="40% - Accent4 15_BukuBesar" xfId="3453" xr:uid="{00000000-0005-0000-0000-000010070000}"/>
    <cellStyle name="40% - Accent4 16" xfId="3454" xr:uid="{00000000-0005-0000-0000-000011070000}"/>
    <cellStyle name="40% - Accent4 16 2" xfId="3455" xr:uid="{00000000-0005-0000-0000-000012070000}"/>
    <cellStyle name="40% - Accent4 16 3" xfId="3456" xr:uid="{00000000-0005-0000-0000-000013070000}"/>
    <cellStyle name="40% - Accent4 16_BukuBesar" xfId="3457" xr:uid="{00000000-0005-0000-0000-000014070000}"/>
    <cellStyle name="40% - Accent4 17" xfId="3458" xr:uid="{00000000-0005-0000-0000-000015070000}"/>
    <cellStyle name="40% - Accent4 17 2" xfId="3459" xr:uid="{00000000-0005-0000-0000-000016070000}"/>
    <cellStyle name="40% - Accent4 17 3" xfId="3460" xr:uid="{00000000-0005-0000-0000-000017070000}"/>
    <cellStyle name="40% - Accent4 17_BukuBesar" xfId="3461" xr:uid="{00000000-0005-0000-0000-000018070000}"/>
    <cellStyle name="40% - Accent4 18" xfId="3462" xr:uid="{00000000-0005-0000-0000-000019070000}"/>
    <cellStyle name="40% - Accent4 18 2" xfId="3463" xr:uid="{00000000-0005-0000-0000-00001A070000}"/>
    <cellStyle name="40% - Accent4 18 3" xfId="3464" xr:uid="{00000000-0005-0000-0000-00001B070000}"/>
    <cellStyle name="40% - Accent4 18_BukuBesar" xfId="3465" xr:uid="{00000000-0005-0000-0000-00001C070000}"/>
    <cellStyle name="40% - Accent4 19" xfId="3466" xr:uid="{00000000-0005-0000-0000-00001D070000}"/>
    <cellStyle name="40% - Accent4 19 2" xfId="3467" xr:uid="{00000000-0005-0000-0000-00001E070000}"/>
    <cellStyle name="40% - Accent4 19_BukuBesar" xfId="3468" xr:uid="{00000000-0005-0000-0000-00001F070000}"/>
    <cellStyle name="40% - Accent4 2" xfId="127" xr:uid="{00000000-0005-0000-0000-000020070000}"/>
    <cellStyle name="40% - Accent4 2 2" xfId="1641" xr:uid="{00000000-0005-0000-0000-000021070000}"/>
    <cellStyle name="40% - Accent4 2 2 2" xfId="1642" xr:uid="{00000000-0005-0000-0000-000022070000}"/>
    <cellStyle name="40% - Accent4 2 2 2 2" xfId="3469" xr:uid="{00000000-0005-0000-0000-000023070000}"/>
    <cellStyle name="40% - Accent4 2 2 3" xfId="3470" xr:uid="{00000000-0005-0000-0000-000024070000}"/>
    <cellStyle name="40% - Accent4 2 2_BukuBesar" xfId="3471" xr:uid="{00000000-0005-0000-0000-000025070000}"/>
    <cellStyle name="40% - Accent4 2 3" xfId="1643" xr:uid="{00000000-0005-0000-0000-000026070000}"/>
    <cellStyle name="40% - Accent4 2 3 2" xfId="1644" xr:uid="{00000000-0005-0000-0000-000027070000}"/>
    <cellStyle name="40% - Accent4 2 4" xfId="1645" xr:uid="{00000000-0005-0000-0000-000028070000}"/>
    <cellStyle name="40% - Accent4 2 4 2" xfId="3472" xr:uid="{00000000-0005-0000-0000-000029070000}"/>
    <cellStyle name="40% - Accent4 2 5" xfId="3473" xr:uid="{00000000-0005-0000-0000-00002A070000}"/>
    <cellStyle name="40% - Accent4 2 6" xfId="3474" xr:uid="{00000000-0005-0000-0000-00002B070000}"/>
    <cellStyle name="40% - Accent4 2 7" xfId="3475" xr:uid="{00000000-0005-0000-0000-00002C070000}"/>
    <cellStyle name="40% - Accent4 2 8" xfId="6462" xr:uid="{18D6C4E6-290A-4545-8D0D-0F56FC3FD258}"/>
    <cellStyle name="40% - Accent4 2_BukuBesar" xfId="3476" xr:uid="{00000000-0005-0000-0000-00002D070000}"/>
    <cellStyle name="40% - Accent4 20" xfId="3477" xr:uid="{00000000-0005-0000-0000-00002E070000}"/>
    <cellStyle name="40% - Accent4 20 2" xfId="3478" xr:uid="{00000000-0005-0000-0000-00002F070000}"/>
    <cellStyle name="40% - Accent4 20 3" xfId="3479" xr:uid="{00000000-0005-0000-0000-000030070000}"/>
    <cellStyle name="40% - Accent4 20_BukuBesar" xfId="3480" xr:uid="{00000000-0005-0000-0000-000031070000}"/>
    <cellStyle name="40% - Accent4 21" xfId="3481" xr:uid="{00000000-0005-0000-0000-000032070000}"/>
    <cellStyle name="40% - Accent4 21 2" xfId="3482" xr:uid="{00000000-0005-0000-0000-000033070000}"/>
    <cellStyle name="40% - Accent4 21_BukuBesar" xfId="3483" xr:uid="{00000000-0005-0000-0000-000034070000}"/>
    <cellStyle name="40% - Accent4 22" xfId="3484" xr:uid="{00000000-0005-0000-0000-000035070000}"/>
    <cellStyle name="40% - Accent4 22 2" xfId="3485" xr:uid="{00000000-0005-0000-0000-000036070000}"/>
    <cellStyle name="40% - Accent4 22_BukuBesar" xfId="3486" xr:uid="{00000000-0005-0000-0000-000037070000}"/>
    <cellStyle name="40% - Accent4 23" xfId="3487" xr:uid="{00000000-0005-0000-0000-000038070000}"/>
    <cellStyle name="40% - Accent4 23 2" xfId="3488" xr:uid="{00000000-0005-0000-0000-000039070000}"/>
    <cellStyle name="40% - Accent4 23_BukuBesar" xfId="3489" xr:uid="{00000000-0005-0000-0000-00003A070000}"/>
    <cellStyle name="40% - Accent4 24" xfId="3490" xr:uid="{00000000-0005-0000-0000-00003B070000}"/>
    <cellStyle name="40% - Accent4 24 2" xfId="3491" xr:uid="{00000000-0005-0000-0000-00003C070000}"/>
    <cellStyle name="40% - Accent4 24_BukuBesar" xfId="3492" xr:uid="{00000000-0005-0000-0000-00003D070000}"/>
    <cellStyle name="40% - Accent4 25" xfId="3493" xr:uid="{00000000-0005-0000-0000-00003E070000}"/>
    <cellStyle name="40% - Accent4 25 2" xfId="3494" xr:uid="{00000000-0005-0000-0000-00003F070000}"/>
    <cellStyle name="40% - Accent4 25_BukuBesar" xfId="3495" xr:uid="{00000000-0005-0000-0000-000040070000}"/>
    <cellStyle name="40% - Accent4 26" xfId="3496" xr:uid="{00000000-0005-0000-0000-000041070000}"/>
    <cellStyle name="40% - Accent4 26 2" xfId="3497" xr:uid="{00000000-0005-0000-0000-000042070000}"/>
    <cellStyle name="40% - Accent4 26_BukuBesar" xfId="3498" xr:uid="{00000000-0005-0000-0000-000043070000}"/>
    <cellStyle name="40% - Accent4 27" xfId="3499" xr:uid="{00000000-0005-0000-0000-000044070000}"/>
    <cellStyle name="40% - Accent4 27 2" xfId="3500" xr:uid="{00000000-0005-0000-0000-000045070000}"/>
    <cellStyle name="40% - Accent4 27_BukuBesar" xfId="3501" xr:uid="{00000000-0005-0000-0000-000046070000}"/>
    <cellStyle name="40% - Accent4 28" xfId="3502" xr:uid="{00000000-0005-0000-0000-000047070000}"/>
    <cellStyle name="40% - Accent4 28 2" xfId="3503" xr:uid="{00000000-0005-0000-0000-000048070000}"/>
    <cellStyle name="40% - Accent4 28_BukuBesar" xfId="3504" xr:uid="{00000000-0005-0000-0000-000049070000}"/>
    <cellStyle name="40% - Accent4 29" xfId="3505" xr:uid="{00000000-0005-0000-0000-00004A070000}"/>
    <cellStyle name="40% - Accent4 29 2" xfId="3506" xr:uid="{00000000-0005-0000-0000-00004B070000}"/>
    <cellStyle name="40% - Accent4 29_BukuBesar" xfId="3507" xr:uid="{00000000-0005-0000-0000-00004C070000}"/>
    <cellStyle name="40% - Accent4 3" xfId="128" xr:uid="{00000000-0005-0000-0000-00004D070000}"/>
    <cellStyle name="40% - Accent4 3 2" xfId="1646" xr:uid="{00000000-0005-0000-0000-00004E070000}"/>
    <cellStyle name="40% - Accent4 3 2 2" xfId="1647" xr:uid="{00000000-0005-0000-0000-00004F070000}"/>
    <cellStyle name="40% - Accent4 3 2 2 2" xfId="3508" xr:uid="{00000000-0005-0000-0000-000050070000}"/>
    <cellStyle name="40% - Accent4 3 2 3" xfId="3509" xr:uid="{00000000-0005-0000-0000-000051070000}"/>
    <cellStyle name="40% - Accent4 3 2_BukuBesar" xfId="3510" xr:uid="{00000000-0005-0000-0000-000052070000}"/>
    <cellStyle name="40% - Accent4 3 3" xfId="1648" xr:uid="{00000000-0005-0000-0000-000053070000}"/>
    <cellStyle name="40% - Accent4 3 3 2" xfId="1649" xr:uid="{00000000-0005-0000-0000-000054070000}"/>
    <cellStyle name="40% - Accent4 3 4" xfId="1650" xr:uid="{00000000-0005-0000-0000-000055070000}"/>
    <cellStyle name="40% - Accent4 3 4 2" xfId="3511" xr:uid="{00000000-0005-0000-0000-000056070000}"/>
    <cellStyle name="40% - Accent4 3 5" xfId="3512" xr:uid="{00000000-0005-0000-0000-000057070000}"/>
    <cellStyle name="40% - Accent4 3 6" xfId="3513" xr:uid="{00000000-0005-0000-0000-000058070000}"/>
    <cellStyle name="40% - Accent4 3 7" xfId="3514" xr:uid="{00000000-0005-0000-0000-000059070000}"/>
    <cellStyle name="40% - Accent4 3 8" xfId="3515" xr:uid="{00000000-0005-0000-0000-00005A070000}"/>
    <cellStyle name="40% - Accent4 3_BukuBesar" xfId="3516" xr:uid="{00000000-0005-0000-0000-00005B070000}"/>
    <cellStyle name="40% - Accent4 30" xfId="3517" xr:uid="{00000000-0005-0000-0000-00005C070000}"/>
    <cellStyle name="40% - Accent4 4" xfId="129" xr:uid="{00000000-0005-0000-0000-00005D070000}"/>
    <cellStyle name="40% - Accent4 4 2" xfId="1651" xr:uid="{00000000-0005-0000-0000-00005E070000}"/>
    <cellStyle name="40% - Accent4 4 2 2" xfId="1652" xr:uid="{00000000-0005-0000-0000-00005F070000}"/>
    <cellStyle name="40% - Accent4 4 2 2 2" xfId="3518" xr:uid="{00000000-0005-0000-0000-000060070000}"/>
    <cellStyle name="40% - Accent4 4 2 3" xfId="3519" xr:uid="{00000000-0005-0000-0000-000061070000}"/>
    <cellStyle name="40% - Accent4 4 2_BukuBesar" xfId="3520" xr:uid="{00000000-0005-0000-0000-000062070000}"/>
    <cellStyle name="40% - Accent4 4 3" xfId="1653" xr:uid="{00000000-0005-0000-0000-000063070000}"/>
    <cellStyle name="40% - Accent4 4 3 2" xfId="1654" xr:uid="{00000000-0005-0000-0000-000064070000}"/>
    <cellStyle name="40% - Accent4 4 4" xfId="1655" xr:uid="{00000000-0005-0000-0000-000065070000}"/>
    <cellStyle name="40% - Accent4 4 4 2" xfId="3521" xr:uid="{00000000-0005-0000-0000-000066070000}"/>
    <cellStyle name="40% - Accent4 4 5" xfId="3522" xr:uid="{00000000-0005-0000-0000-000067070000}"/>
    <cellStyle name="40% - Accent4 4 6" xfId="3523" xr:uid="{00000000-0005-0000-0000-000068070000}"/>
    <cellStyle name="40% - Accent4 4 7" xfId="3524" xr:uid="{00000000-0005-0000-0000-000069070000}"/>
    <cellStyle name="40% - Accent4 4 8" xfId="3525" xr:uid="{00000000-0005-0000-0000-00006A070000}"/>
    <cellStyle name="40% - Accent4 4_BukuBesar" xfId="3526" xr:uid="{00000000-0005-0000-0000-00006B070000}"/>
    <cellStyle name="40% - Accent4 5" xfId="130" xr:uid="{00000000-0005-0000-0000-00006C070000}"/>
    <cellStyle name="40% - Accent4 5 2" xfId="1656" xr:uid="{00000000-0005-0000-0000-00006D070000}"/>
    <cellStyle name="40% - Accent4 5 2 2" xfId="1657" xr:uid="{00000000-0005-0000-0000-00006E070000}"/>
    <cellStyle name="40% - Accent4 5 2 2 2" xfId="3527" xr:uid="{00000000-0005-0000-0000-00006F070000}"/>
    <cellStyle name="40% - Accent4 5 2 3" xfId="3528" xr:uid="{00000000-0005-0000-0000-000070070000}"/>
    <cellStyle name="40% - Accent4 5 2_BukuBesar" xfId="3529" xr:uid="{00000000-0005-0000-0000-000071070000}"/>
    <cellStyle name="40% - Accent4 5 3" xfId="1658" xr:uid="{00000000-0005-0000-0000-000072070000}"/>
    <cellStyle name="40% - Accent4 5 3 2" xfId="1659" xr:uid="{00000000-0005-0000-0000-000073070000}"/>
    <cellStyle name="40% - Accent4 5 4" xfId="1660" xr:uid="{00000000-0005-0000-0000-000074070000}"/>
    <cellStyle name="40% - Accent4 5 4 2" xfId="3530" xr:uid="{00000000-0005-0000-0000-000075070000}"/>
    <cellStyle name="40% - Accent4 5 5" xfId="3531" xr:uid="{00000000-0005-0000-0000-000076070000}"/>
    <cellStyle name="40% - Accent4 5 6" xfId="3532" xr:uid="{00000000-0005-0000-0000-000077070000}"/>
    <cellStyle name="40% - Accent4 5 7" xfId="3533" xr:uid="{00000000-0005-0000-0000-000078070000}"/>
    <cellStyle name="40% - Accent4 5 8" xfId="3534" xr:uid="{00000000-0005-0000-0000-000079070000}"/>
    <cellStyle name="40% - Accent4 5_BukuBesar" xfId="3535" xr:uid="{00000000-0005-0000-0000-00007A070000}"/>
    <cellStyle name="40% - Accent4 6" xfId="131" xr:uid="{00000000-0005-0000-0000-00007B070000}"/>
    <cellStyle name="40% - Accent4 6 2" xfId="1661" xr:uid="{00000000-0005-0000-0000-00007C070000}"/>
    <cellStyle name="40% - Accent4 6 2 2" xfId="1662" xr:uid="{00000000-0005-0000-0000-00007D070000}"/>
    <cellStyle name="40% - Accent4 6 2 2 2" xfId="3536" xr:uid="{00000000-0005-0000-0000-00007E070000}"/>
    <cellStyle name="40% - Accent4 6 2 3" xfId="3537" xr:uid="{00000000-0005-0000-0000-00007F070000}"/>
    <cellStyle name="40% - Accent4 6 2_BukuBesar" xfId="3538" xr:uid="{00000000-0005-0000-0000-000080070000}"/>
    <cellStyle name="40% - Accent4 6 3" xfId="1663" xr:uid="{00000000-0005-0000-0000-000081070000}"/>
    <cellStyle name="40% - Accent4 6 3 2" xfId="1664" xr:uid="{00000000-0005-0000-0000-000082070000}"/>
    <cellStyle name="40% - Accent4 6 4" xfId="1665" xr:uid="{00000000-0005-0000-0000-000083070000}"/>
    <cellStyle name="40% - Accent4 6 4 2" xfId="3539" xr:uid="{00000000-0005-0000-0000-000084070000}"/>
    <cellStyle name="40% - Accent4 6 5" xfId="3540" xr:uid="{00000000-0005-0000-0000-000085070000}"/>
    <cellStyle name="40% - Accent4 6 6" xfId="3541" xr:uid="{00000000-0005-0000-0000-000086070000}"/>
    <cellStyle name="40% - Accent4 6 7" xfId="3542" xr:uid="{00000000-0005-0000-0000-000087070000}"/>
    <cellStyle name="40% - Accent4 6 8" xfId="3543" xr:uid="{00000000-0005-0000-0000-000088070000}"/>
    <cellStyle name="40% - Accent4 6_BukuBesar" xfId="3544" xr:uid="{00000000-0005-0000-0000-000089070000}"/>
    <cellStyle name="40% - Accent4 7" xfId="132" xr:uid="{00000000-0005-0000-0000-00008A070000}"/>
    <cellStyle name="40% - Accent4 7 2" xfId="1666" xr:uid="{00000000-0005-0000-0000-00008B070000}"/>
    <cellStyle name="40% - Accent4 7 2 2" xfId="1667" xr:uid="{00000000-0005-0000-0000-00008C070000}"/>
    <cellStyle name="40% - Accent4 7 2 3" xfId="3545" xr:uid="{00000000-0005-0000-0000-00008D070000}"/>
    <cellStyle name="40% - Accent4 7 3" xfId="1668" xr:uid="{00000000-0005-0000-0000-00008E070000}"/>
    <cellStyle name="40% - Accent4 7 3 2" xfId="1669" xr:uid="{00000000-0005-0000-0000-00008F070000}"/>
    <cellStyle name="40% - Accent4 7 3 3" xfId="3546" xr:uid="{00000000-0005-0000-0000-000090070000}"/>
    <cellStyle name="40% - Accent4 7 4" xfId="1670" xr:uid="{00000000-0005-0000-0000-000091070000}"/>
    <cellStyle name="40% - Accent4 7_BukuBesar" xfId="3547" xr:uid="{00000000-0005-0000-0000-000092070000}"/>
    <cellStyle name="40% - Accent4 8" xfId="133" xr:uid="{00000000-0005-0000-0000-000093070000}"/>
    <cellStyle name="40% - Accent4 8 2" xfId="1671" xr:uid="{00000000-0005-0000-0000-000094070000}"/>
    <cellStyle name="40% - Accent4 8 2 2" xfId="1672" xr:uid="{00000000-0005-0000-0000-000095070000}"/>
    <cellStyle name="40% - Accent4 8 2 3" xfId="3548" xr:uid="{00000000-0005-0000-0000-000096070000}"/>
    <cellStyle name="40% - Accent4 8 3" xfId="1673" xr:uid="{00000000-0005-0000-0000-000097070000}"/>
    <cellStyle name="40% - Accent4 8 3 2" xfId="1674" xr:uid="{00000000-0005-0000-0000-000098070000}"/>
    <cellStyle name="40% - Accent4 8 3 3" xfId="3549" xr:uid="{00000000-0005-0000-0000-000099070000}"/>
    <cellStyle name="40% - Accent4 8 4" xfId="1675" xr:uid="{00000000-0005-0000-0000-00009A070000}"/>
    <cellStyle name="40% - Accent4 8_BukuBesar" xfId="3550" xr:uid="{00000000-0005-0000-0000-00009B070000}"/>
    <cellStyle name="40% - Accent4 9" xfId="134" xr:uid="{00000000-0005-0000-0000-00009C070000}"/>
    <cellStyle name="40% - Accent4 9 2" xfId="1676" xr:uid="{00000000-0005-0000-0000-00009D070000}"/>
    <cellStyle name="40% - Accent4 9 2 2" xfId="1677" xr:uid="{00000000-0005-0000-0000-00009E070000}"/>
    <cellStyle name="40% - Accent4 9 2 3" xfId="3551" xr:uid="{00000000-0005-0000-0000-00009F070000}"/>
    <cellStyle name="40% - Accent4 9 3" xfId="1678" xr:uid="{00000000-0005-0000-0000-0000A0070000}"/>
    <cellStyle name="40% - Accent4 9 3 2" xfId="1679" xr:uid="{00000000-0005-0000-0000-0000A1070000}"/>
    <cellStyle name="40% - Accent4 9 3 3" xfId="3552" xr:uid="{00000000-0005-0000-0000-0000A2070000}"/>
    <cellStyle name="40% - Accent4 9 4" xfId="1680" xr:uid="{00000000-0005-0000-0000-0000A3070000}"/>
    <cellStyle name="40% - Accent4 9_BukuBesar" xfId="3553" xr:uid="{00000000-0005-0000-0000-0000A4070000}"/>
    <cellStyle name="40% - Accent5 10" xfId="135" xr:uid="{00000000-0005-0000-0000-0000A5070000}"/>
    <cellStyle name="40% - Accent5 10 2" xfId="1681" xr:uid="{00000000-0005-0000-0000-0000A6070000}"/>
    <cellStyle name="40% - Accent5 10 2 2" xfId="1682" xr:uid="{00000000-0005-0000-0000-0000A7070000}"/>
    <cellStyle name="40% - Accent5 10 2 3" xfId="3554" xr:uid="{00000000-0005-0000-0000-0000A8070000}"/>
    <cellStyle name="40% - Accent5 10 3" xfId="1683" xr:uid="{00000000-0005-0000-0000-0000A9070000}"/>
    <cellStyle name="40% - Accent5 10 3 2" xfId="1684" xr:uid="{00000000-0005-0000-0000-0000AA070000}"/>
    <cellStyle name="40% - Accent5 10 3 3" xfId="3555" xr:uid="{00000000-0005-0000-0000-0000AB070000}"/>
    <cellStyle name="40% - Accent5 10 4" xfId="1685" xr:uid="{00000000-0005-0000-0000-0000AC070000}"/>
    <cellStyle name="40% - Accent5 10_BukuBesar" xfId="3556" xr:uid="{00000000-0005-0000-0000-0000AD070000}"/>
    <cellStyle name="40% - Accent5 11" xfId="136" xr:uid="{00000000-0005-0000-0000-0000AE070000}"/>
    <cellStyle name="40% - Accent5 11 2" xfId="1686" xr:uid="{00000000-0005-0000-0000-0000AF070000}"/>
    <cellStyle name="40% - Accent5 11 2 2" xfId="1687" xr:uid="{00000000-0005-0000-0000-0000B0070000}"/>
    <cellStyle name="40% - Accent5 11 2 3" xfId="3557" xr:uid="{00000000-0005-0000-0000-0000B1070000}"/>
    <cellStyle name="40% - Accent5 11 3" xfId="1688" xr:uid="{00000000-0005-0000-0000-0000B2070000}"/>
    <cellStyle name="40% - Accent5 11 3 2" xfId="1689" xr:uid="{00000000-0005-0000-0000-0000B3070000}"/>
    <cellStyle name="40% - Accent5 11 3 3" xfId="3558" xr:uid="{00000000-0005-0000-0000-0000B4070000}"/>
    <cellStyle name="40% - Accent5 11 4" xfId="1690" xr:uid="{00000000-0005-0000-0000-0000B5070000}"/>
    <cellStyle name="40% - Accent5 11_BukuBesar" xfId="3559" xr:uid="{00000000-0005-0000-0000-0000B6070000}"/>
    <cellStyle name="40% - Accent5 12" xfId="137" xr:uid="{00000000-0005-0000-0000-0000B7070000}"/>
    <cellStyle name="40% - Accent5 12 2" xfId="1691" xr:uid="{00000000-0005-0000-0000-0000B8070000}"/>
    <cellStyle name="40% - Accent5 12 2 2" xfId="1692" xr:uid="{00000000-0005-0000-0000-0000B9070000}"/>
    <cellStyle name="40% - Accent5 12 2 3" xfId="3560" xr:uid="{00000000-0005-0000-0000-0000BA070000}"/>
    <cellStyle name="40% - Accent5 12 3" xfId="1693" xr:uid="{00000000-0005-0000-0000-0000BB070000}"/>
    <cellStyle name="40% - Accent5 12 3 2" xfId="1694" xr:uid="{00000000-0005-0000-0000-0000BC070000}"/>
    <cellStyle name="40% - Accent5 12 3 3" xfId="3561" xr:uid="{00000000-0005-0000-0000-0000BD070000}"/>
    <cellStyle name="40% - Accent5 12 4" xfId="1695" xr:uid="{00000000-0005-0000-0000-0000BE070000}"/>
    <cellStyle name="40% - Accent5 12_BukuBesar" xfId="3562" xr:uid="{00000000-0005-0000-0000-0000BF070000}"/>
    <cellStyle name="40% - Accent5 13" xfId="138" xr:uid="{00000000-0005-0000-0000-0000C0070000}"/>
    <cellStyle name="40% - Accent5 13 2" xfId="1696" xr:uid="{00000000-0005-0000-0000-0000C1070000}"/>
    <cellStyle name="40% - Accent5 13 2 2" xfId="1697" xr:uid="{00000000-0005-0000-0000-0000C2070000}"/>
    <cellStyle name="40% - Accent5 13 2 3" xfId="3563" xr:uid="{00000000-0005-0000-0000-0000C3070000}"/>
    <cellStyle name="40% - Accent5 13 3" xfId="1698" xr:uid="{00000000-0005-0000-0000-0000C4070000}"/>
    <cellStyle name="40% - Accent5 13 3 2" xfId="1699" xr:uid="{00000000-0005-0000-0000-0000C5070000}"/>
    <cellStyle name="40% - Accent5 13 3 3" xfId="3564" xr:uid="{00000000-0005-0000-0000-0000C6070000}"/>
    <cellStyle name="40% - Accent5 13 4" xfId="1700" xr:uid="{00000000-0005-0000-0000-0000C7070000}"/>
    <cellStyle name="40% - Accent5 13_BukuBesar" xfId="3565" xr:uid="{00000000-0005-0000-0000-0000C8070000}"/>
    <cellStyle name="40% - Accent5 14" xfId="3566" xr:uid="{00000000-0005-0000-0000-0000C9070000}"/>
    <cellStyle name="40% - Accent5 14 2" xfId="3567" xr:uid="{00000000-0005-0000-0000-0000CA070000}"/>
    <cellStyle name="40% - Accent5 14 3" xfId="3568" xr:uid="{00000000-0005-0000-0000-0000CB070000}"/>
    <cellStyle name="40% - Accent5 14_BukuBesar" xfId="3569" xr:uid="{00000000-0005-0000-0000-0000CC070000}"/>
    <cellStyle name="40% - Accent5 15" xfId="3570" xr:uid="{00000000-0005-0000-0000-0000CD070000}"/>
    <cellStyle name="40% - Accent5 15 2" xfId="3571" xr:uid="{00000000-0005-0000-0000-0000CE070000}"/>
    <cellStyle name="40% - Accent5 15 3" xfId="3572" xr:uid="{00000000-0005-0000-0000-0000CF070000}"/>
    <cellStyle name="40% - Accent5 15_BukuBesar" xfId="3573" xr:uid="{00000000-0005-0000-0000-0000D0070000}"/>
    <cellStyle name="40% - Accent5 16" xfId="3574" xr:uid="{00000000-0005-0000-0000-0000D1070000}"/>
    <cellStyle name="40% - Accent5 16 2" xfId="3575" xr:uid="{00000000-0005-0000-0000-0000D2070000}"/>
    <cellStyle name="40% - Accent5 16 3" xfId="3576" xr:uid="{00000000-0005-0000-0000-0000D3070000}"/>
    <cellStyle name="40% - Accent5 16_BukuBesar" xfId="3577" xr:uid="{00000000-0005-0000-0000-0000D4070000}"/>
    <cellStyle name="40% - Accent5 17" xfId="3578" xr:uid="{00000000-0005-0000-0000-0000D5070000}"/>
    <cellStyle name="40% - Accent5 17 2" xfId="3579" xr:uid="{00000000-0005-0000-0000-0000D6070000}"/>
    <cellStyle name="40% - Accent5 17 3" xfId="3580" xr:uid="{00000000-0005-0000-0000-0000D7070000}"/>
    <cellStyle name="40% - Accent5 17_BukuBesar" xfId="3581" xr:uid="{00000000-0005-0000-0000-0000D8070000}"/>
    <cellStyle name="40% - Accent5 18" xfId="3582" xr:uid="{00000000-0005-0000-0000-0000D9070000}"/>
    <cellStyle name="40% - Accent5 18 2" xfId="3583" xr:uid="{00000000-0005-0000-0000-0000DA070000}"/>
    <cellStyle name="40% - Accent5 18 3" xfId="3584" xr:uid="{00000000-0005-0000-0000-0000DB070000}"/>
    <cellStyle name="40% - Accent5 18_BukuBesar" xfId="3585" xr:uid="{00000000-0005-0000-0000-0000DC070000}"/>
    <cellStyle name="40% - Accent5 19" xfId="3586" xr:uid="{00000000-0005-0000-0000-0000DD070000}"/>
    <cellStyle name="40% - Accent5 19 2" xfId="3587" xr:uid="{00000000-0005-0000-0000-0000DE070000}"/>
    <cellStyle name="40% - Accent5 19_BukuBesar" xfId="3588" xr:uid="{00000000-0005-0000-0000-0000DF070000}"/>
    <cellStyle name="40% - Accent5 2" xfId="139" xr:uid="{00000000-0005-0000-0000-0000E0070000}"/>
    <cellStyle name="40% - Accent5 2 2" xfId="1701" xr:uid="{00000000-0005-0000-0000-0000E1070000}"/>
    <cellStyle name="40% - Accent5 2 2 2" xfId="1702" xr:uid="{00000000-0005-0000-0000-0000E2070000}"/>
    <cellStyle name="40% - Accent5 2 2 2 2" xfId="3589" xr:uid="{00000000-0005-0000-0000-0000E3070000}"/>
    <cellStyle name="40% - Accent5 2 2 3" xfId="3590" xr:uid="{00000000-0005-0000-0000-0000E4070000}"/>
    <cellStyle name="40% - Accent5 2 2_BukuBesar" xfId="3591" xr:uid="{00000000-0005-0000-0000-0000E5070000}"/>
    <cellStyle name="40% - Accent5 2 3" xfId="1703" xr:uid="{00000000-0005-0000-0000-0000E6070000}"/>
    <cellStyle name="40% - Accent5 2 3 2" xfId="1704" xr:uid="{00000000-0005-0000-0000-0000E7070000}"/>
    <cellStyle name="40% - Accent5 2 4" xfId="1705" xr:uid="{00000000-0005-0000-0000-0000E8070000}"/>
    <cellStyle name="40% - Accent5 2 4 2" xfId="3592" xr:uid="{00000000-0005-0000-0000-0000E9070000}"/>
    <cellStyle name="40% - Accent5 2 5" xfId="3593" xr:uid="{00000000-0005-0000-0000-0000EA070000}"/>
    <cellStyle name="40% - Accent5 2 6" xfId="3594" xr:uid="{00000000-0005-0000-0000-0000EB070000}"/>
    <cellStyle name="40% - Accent5 2 7" xfId="3595" xr:uid="{00000000-0005-0000-0000-0000EC070000}"/>
    <cellStyle name="40% - Accent5 2 8" xfId="6506" xr:uid="{2A0A75DC-794C-45C0-8EE0-5B09157FF41E}"/>
    <cellStyle name="40% - Accent5 2_BukuBesar" xfId="3596" xr:uid="{00000000-0005-0000-0000-0000ED070000}"/>
    <cellStyle name="40% - Accent5 20" xfId="3597" xr:uid="{00000000-0005-0000-0000-0000EE070000}"/>
    <cellStyle name="40% - Accent5 20 2" xfId="3598" xr:uid="{00000000-0005-0000-0000-0000EF070000}"/>
    <cellStyle name="40% - Accent5 20 3" xfId="3599" xr:uid="{00000000-0005-0000-0000-0000F0070000}"/>
    <cellStyle name="40% - Accent5 20_BukuBesar" xfId="3600" xr:uid="{00000000-0005-0000-0000-0000F1070000}"/>
    <cellStyle name="40% - Accent5 21" xfId="3601" xr:uid="{00000000-0005-0000-0000-0000F2070000}"/>
    <cellStyle name="40% - Accent5 21 2" xfId="3602" xr:uid="{00000000-0005-0000-0000-0000F3070000}"/>
    <cellStyle name="40% - Accent5 21_BukuBesar" xfId="3603" xr:uid="{00000000-0005-0000-0000-0000F4070000}"/>
    <cellStyle name="40% - Accent5 22" xfId="3604" xr:uid="{00000000-0005-0000-0000-0000F5070000}"/>
    <cellStyle name="40% - Accent5 22 2" xfId="3605" xr:uid="{00000000-0005-0000-0000-0000F6070000}"/>
    <cellStyle name="40% - Accent5 22_BukuBesar" xfId="3606" xr:uid="{00000000-0005-0000-0000-0000F7070000}"/>
    <cellStyle name="40% - Accent5 23" xfId="3607" xr:uid="{00000000-0005-0000-0000-0000F8070000}"/>
    <cellStyle name="40% - Accent5 23 2" xfId="3608" xr:uid="{00000000-0005-0000-0000-0000F9070000}"/>
    <cellStyle name="40% - Accent5 23_BukuBesar" xfId="3609" xr:uid="{00000000-0005-0000-0000-0000FA070000}"/>
    <cellStyle name="40% - Accent5 24" xfId="3610" xr:uid="{00000000-0005-0000-0000-0000FB070000}"/>
    <cellStyle name="40% - Accent5 24 2" xfId="3611" xr:uid="{00000000-0005-0000-0000-0000FC070000}"/>
    <cellStyle name="40% - Accent5 24_BukuBesar" xfId="3612" xr:uid="{00000000-0005-0000-0000-0000FD070000}"/>
    <cellStyle name="40% - Accent5 25" xfId="3613" xr:uid="{00000000-0005-0000-0000-0000FE070000}"/>
    <cellStyle name="40% - Accent5 25 2" xfId="3614" xr:uid="{00000000-0005-0000-0000-0000FF070000}"/>
    <cellStyle name="40% - Accent5 25_BukuBesar" xfId="3615" xr:uid="{00000000-0005-0000-0000-000000080000}"/>
    <cellStyle name="40% - Accent5 26" xfId="3616" xr:uid="{00000000-0005-0000-0000-000001080000}"/>
    <cellStyle name="40% - Accent5 26 2" xfId="3617" xr:uid="{00000000-0005-0000-0000-000002080000}"/>
    <cellStyle name="40% - Accent5 26_BukuBesar" xfId="3618" xr:uid="{00000000-0005-0000-0000-000003080000}"/>
    <cellStyle name="40% - Accent5 27" xfId="3619" xr:uid="{00000000-0005-0000-0000-000004080000}"/>
    <cellStyle name="40% - Accent5 27 2" xfId="3620" xr:uid="{00000000-0005-0000-0000-000005080000}"/>
    <cellStyle name="40% - Accent5 27_BukuBesar" xfId="3621" xr:uid="{00000000-0005-0000-0000-000006080000}"/>
    <cellStyle name="40% - Accent5 28" xfId="3622" xr:uid="{00000000-0005-0000-0000-000007080000}"/>
    <cellStyle name="40% - Accent5 28 2" xfId="3623" xr:uid="{00000000-0005-0000-0000-000008080000}"/>
    <cellStyle name="40% - Accent5 28_BukuBesar" xfId="3624" xr:uid="{00000000-0005-0000-0000-000009080000}"/>
    <cellStyle name="40% - Accent5 29" xfId="3625" xr:uid="{00000000-0005-0000-0000-00000A080000}"/>
    <cellStyle name="40% - Accent5 29 2" xfId="3626" xr:uid="{00000000-0005-0000-0000-00000B080000}"/>
    <cellStyle name="40% - Accent5 29_BukuBesar" xfId="3627" xr:uid="{00000000-0005-0000-0000-00000C080000}"/>
    <cellStyle name="40% - Accent5 3" xfId="140" xr:uid="{00000000-0005-0000-0000-00000D080000}"/>
    <cellStyle name="40% - Accent5 3 2" xfId="1706" xr:uid="{00000000-0005-0000-0000-00000E080000}"/>
    <cellStyle name="40% - Accent5 3 2 2" xfId="1707" xr:uid="{00000000-0005-0000-0000-00000F080000}"/>
    <cellStyle name="40% - Accent5 3 2 2 2" xfId="3628" xr:uid="{00000000-0005-0000-0000-000010080000}"/>
    <cellStyle name="40% - Accent5 3 2 3" xfId="3629" xr:uid="{00000000-0005-0000-0000-000011080000}"/>
    <cellStyle name="40% - Accent5 3 2_BukuBesar" xfId="3630" xr:uid="{00000000-0005-0000-0000-000012080000}"/>
    <cellStyle name="40% - Accent5 3 3" xfId="1708" xr:uid="{00000000-0005-0000-0000-000013080000}"/>
    <cellStyle name="40% - Accent5 3 3 2" xfId="1709" xr:uid="{00000000-0005-0000-0000-000014080000}"/>
    <cellStyle name="40% - Accent5 3 4" xfId="1710" xr:uid="{00000000-0005-0000-0000-000015080000}"/>
    <cellStyle name="40% - Accent5 3 4 2" xfId="3631" xr:uid="{00000000-0005-0000-0000-000016080000}"/>
    <cellStyle name="40% - Accent5 3 5" xfId="3632" xr:uid="{00000000-0005-0000-0000-000017080000}"/>
    <cellStyle name="40% - Accent5 3 6" xfId="3633" xr:uid="{00000000-0005-0000-0000-000018080000}"/>
    <cellStyle name="40% - Accent5 3 7" xfId="3634" xr:uid="{00000000-0005-0000-0000-000019080000}"/>
    <cellStyle name="40% - Accent5 3 8" xfId="3635" xr:uid="{00000000-0005-0000-0000-00001A080000}"/>
    <cellStyle name="40% - Accent5 3_BukuBesar" xfId="3636" xr:uid="{00000000-0005-0000-0000-00001B080000}"/>
    <cellStyle name="40% - Accent5 30" xfId="3637" xr:uid="{00000000-0005-0000-0000-00001C080000}"/>
    <cellStyle name="40% - Accent5 4" xfId="141" xr:uid="{00000000-0005-0000-0000-00001D080000}"/>
    <cellStyle name="40% - Accent5 4 2" xfId="1711" xr:uid="{00000000-0005-0000-0000-00001E080000}"/>
    <cellStyle name="40% - Accent5 4 2 2" xfId="1712" xr:uid="{00000000-0005-0000-0000-00001F080000}"/>
    <cellStyle name="40% - Accent5 4 2 2 2" xfId="3638" xr:uid="{00000000-0005-0000-0000-000020080000}"/>
    <cellStyle name="40% - Accent5 4 2 3" xfId="3639" xr:uid="{00000000-0005-0000-0000-000021080000}"/>
    <cellStyle name="40% - Accent5 4 2_BukuBesar" xfId="3640" xr:uid="{00000000-0005-0000-0000-000022080000}"/>
    <cellStyle name="40% - Accent5 4 3" xfId="1713" xr:uid="{00000000-0005-0000-0000-000023080000}"/>
    <cellStyle name="40% - Accent5 4 3 2" xfId="1714" xr:uid="{00000000-0005-0000-0000-000024080000}"/>
    <cellStyle name="40% - Accent5 4 4" xfId="1715" xr:uid="{00000000-0005-0000-0000-000025080000}"/>
    <cellStyle name="40% - Accent5 4 4 2" xfId="3641" xr:uid="{00000000-0005-0000-0000-000026080000}"/>
    <cellStyle name="40% - Accent5 4 5" xfId="3642" xr:uid="{00000000-0005-0000-0000-000027080000}"/>
    <cellStyle name="40% - Accent5 4 6" xfId="3643" xr:uid="{00000000-0005-0000-0000-000028080000}"/>
    <cellStyle name="40% - Accent5 4 7" xfId="3644" xr:uid="{00000000-0005-0000-0000-000029080000}"/>
    <cellStyle name="40% - Accent5 4 8" xfId="3645" xr:uid="{00000000-0005-0000-0000-00002A080000}"/>
    <cellStyle name="40% - Accent5 4_BukuBesar" xfId="3646" xr:uid="{00000000-0005-0000-0000-00002B080000}"/>
    <cellStyle name="40% - Accent5 5" xfId="142" xr:uid="{00000000-0005-0000-0000-00002C080000}"/>
    <cellStyle name="40% - Accent5 5 2" xfId="1716" xr:uid="{00000000-0005-0000-0000-00002D080000}"/>
    <cellStyle name="40% - Accent5 5 2 2" xfId="1717" xr:uid="{00000000-0005-0000-0000-00002E080000}"/>
    <cellStyle name="40% - Accent5 5 2 2 2" xfId="3647" xr:uid="{00000000-0005-0000-0000-00002F080000}"/>
    <cellStyle name="40% - Accent5 5 2 3" xfId="3648" xr:uid="{00000000-0005-0000-0000-000030080000}"/>
    <cellStyle name="40% - Accent5 5 2_BukuBesar" xfId="3649" xr:uid="{00000000-0005-0000-0000-000031080000}"/>
    <cellStyle name="40% - Accent5 5 3" xfId="1718" xr:uid="{00000000-0005-0000-0000-000032080000}"/>
    <cellStyle name="40% - Accent5 5 3 2" xfId="1719" xr:uid="{00000000-0005-0000-0000-000033080000}"/>
    <cellStyle name="40% - Accent5 5 4" xfId="1720" xr:uid="{00000000-0005-0000-0000-000034080000}"/>
    <cellStyle name="40% - Accent5 5 4 2" xfId="3650" xr:uid="{00000000-0005-0000-0000-000035080000}"/>
    <cellStyle name="40% - Accent5 5 5" xfId="3651" xr:uid="{00000000-0005-0000-0000-000036080000}"/>
    <cellStyle name="40% - Accent5 5 6" xfId="3652" xr:uid="{00000000-0005-0000-0000-000037080000}"/>
    <cellStyle name="40% - Accent5 5 7" xfId="3653" xr:uid="{00000000-0005-0000-0000-000038080000}"/>
    <cellStyle name="40% - Accent5 5 8" xfId="3654" xr:uid="{00000000-0005-0000-0000-000039080000}"/>
    <cellStyle name="40% - Accent5 5_BukuBesar" xfId="3655" xr:uid="{00000000-0005-0000-0000-00003A080000}"/>
    <cellStyle name="40% - Accent5 6" xfId="143" xr:uid="{00000000-0005-0000-0000-00003B080000}"/>
    <cellStyle name="40% - Accent5 6 2" xfId="1721" xr:uid="{00000000-0005-0000-0000-00003C080000}"/>
    <cellStyle name="40% - Accent5 6 2 2" xfId="1722" xr:uid="{00000000-0005-0000-0000-00003D080000}"/>
    <cellStyle name="40% - Accent5 6 2 2 2" xfId="3656" xr:uid="{00000000-0005-0000-0000-00003E080000}"/>
    <cellStyle name="40% - Accent5 6 2 3" xfId="3657" xr:uid="{00000000-0005-0000-0000-00003F080000}"/>
    <cellStyle name="40% - Accent5 6 2_BukuBesar" xfId="3658" xr:uid="{00000000-0005-0000-0000-000040080000}"/>
    <cellStyle name="40% - Accent5 6 3" xfId="1723" xr:uid="{00000000-0005-0000-0000-000041080000}"/>
    <cellStyle name="40% - Accent5 6 3 2" xfId="1724" xr:uid="{00000000-0005-0000-0000-000042080000}"/>
    <cellStyle name="40% - Accent5 6 4" xfId="1725" xr:uid="{00000000-0005-0000-0000-000043080000}"/>
    <cellStyle name="40% - Accent5 6 4 2" xfId="3659" xr:uid="{00000000-0005-0000-0000-000044080000}"/>
    <cellStyle name="40% - Accent5 6 5" xfId="3660" xr:uid="{00000000-0005-0000-0000-000045080000}"/>
    <cellStyle name="40% - Accent5 6 6" xfId="3661" xr:uid="{00000000-0005-0000-0000-000046080000}"/>
    <cellStyle name="40% - Accent5 6 7" xfId="3662" xr:uid="{00000000-0005-0000-0000-000047080000}"/>
    <cellStyle name="40% - Accent5 6 8" xfId="3663" xr:uid="{00000000-0005-0000-0000-000048080000}"/>
    <cellStyle name="40% - Accent5 6_BukuBesar" xfId="3664" xr:uid="{00000000-0005-0000-0000-000049080000}"/>
    <cellStyle name="40% - Accent5 7" xfId="144" xr:uid="{00000000-0005-0000-0000-00004A080000}"/>
    <cellStyle name="40% - Accent5 7 2" xfId="1726" xr:uid="{00000000-0005-0000-0000-00004B080000}"/>
    <cellStyle name="40% - Accent5 7 2 2" xfId="1727" xr:uid="{00000000-0005-0000-0000-00004C080000}"/>
    <cellStyle name="40% - Accent5 7 2 3" xfId="3665" xr:uid="{00000000-0005-0000-0000-00004D080000}"/>
    <cellStyle name="40% - Accent5 7 3" xfId="1728" xr:uid="{00000000-0005-0000-0000-00004E080000}"/>
    <cellStyle name="40% - Accent5 7 3 2" xfId="1729" xr:uid="{00000000-0005-0000-0000-00004F080000}"/>
    <cellStyle name="40% - Accent5 7 3 3" xfId="3666" xr:uid="{00000000-0005-0000-0000-000050080000}"/>
    <cellStyle name="40% - Accent5 7 4" xfId="1730" xr:uid="{00000000-0005-0000-0000-000051080000}"/>
    <cellStyle name="40% - Accent5 7_BukuBesar" xfId="3667" xr:uid="{00000000-0005-0000-0000-000052080000}"/>
    <cellStyle name="40% - Accent5 8" xfId="145" xr:uid="{00000000-0005-0000-0000-000053080000}"/>
    <cellStyle name="40% - Accent5 8 2" xfId="1731" xr:uid="{00000000-0005-0000-0000-000054080000}"/>
    <cellStyle name="40% - Accent5 8 2 2" xfId="1732" xr:uid="{00000000-0005-0000-0000-000055080000}"/>
    <cellStyle name="40% - Accent5 8 2 3" xfId="3668" xr:uid="{00000000-0005-0000-0000-000056080000}"/>
    <cellStyle name="40% - Accent5 8 3" xfId="1733" xr:uid="{00000000-0005-0000-0000-000057080000}"/>
    <cellStyle name="40% - Accent5 8 3 2" xfId="1734" xr:uid="{00000000-0005-0000-0000-000058080000}"/>
    <cellStyle name="40% - Accent5 8 3 3" xfId="3669" xr:uid="{00000000-0005-0000-0000-000059080000}"/>
    <cellStyle name="40% - Accent5 8 4" xfId="1735" xr:uid="{00000000-0005-0000-0000-00005A080000}"/>
    <cellStyle name="40% - Accent5 8_BukuBesar" xfId="3670" xr:uid="{00000000-0005-0000-0000-00005B080000}"/>
    <cellStyle name="40% - Accent5 9" xfId="146" xr:uid="{00000000-0005-0000-0000-00005C080000}"/>
    <cellStyle name="40% - Accent5 9 2" xfId="1736" xr:uid="{00000000-0005-0000-0000-00005D080000}"/>
    <cellStyle name="40% - Accent5 9 2 2" xfId="1737" xr:uid="{00000000-0005-0000-0000-00005E080000}"/>
    <cellStyle name="40% - Accent5 9 2 3" xfId="3671" xr:uid="{00000000-0005-0000-0000-00005F080000}"/>
    <cellStyle name="40% - Accent5 9 3" xfId="1738" xr:uid="{00000000-0005-0000-0000-000060080000}"/>
    <cellStyle name="40% - Accent5 9 3 2" xfId="1739" xr:uid="{00000000-0005-0000-0000-000061080000}"/>
    <cellStyle name="40% - Accent5 9 3 3" xfId="3672" xr:uid="{00000000-0005-0000-0000-000062080000}"/>
    <cellStyle name="40% - Accent5 9 4" xfId="1740" xr:uid="{00000000-0005-0000-0000-000063080000}"/>
    <cellStyle name="40% - Accent5 9_BukuBesar" xfId="3673" xr:uid="{00000000-0005-0000-0000-000064080000}"/>
    <cellStyle name="40% - Accent6 10" xfId="147" xr:uid="{00000000-0005-0000-0000-000065080000}"/>
    <cellStyle name="40% - Accent6 10 2" xfId="1741" xr:uid="{00000000-0005-0000-0000-000066080000}"/>
    <cellStyle name="40% - Accent6 10 2 2" xfId="1742" xr:uid="{00000000-0005-0000-0000-000067080000}"/>
    <cellStyle name="40% - Accent6 10 2 3" xfId="3674" xr:uid="{00000000-0005-0000-0000-000068080000}"/>
    <cellStyle name="40% - Accent6 10 3" xfId="1743" xr:uid="{00000000-0005-0000-0000-000069080000}"/>
    <cellStyle name="40% - Accent6 10 3 2" xfId="1744" xr:uid="{00000000-0005-0000-0000-00006A080000}"/>
    <cellStyle name="40% - Accent6 10 3 3" xfId="3675" xr:uid="{00000000-0005-0000-0000-00006B080000}"/>
    <cellStyle name="40% - Accent6 10 4" xfId="1745" xr:uid="{00000000-0005-0000-0000-00006C080000}"/>
    <cellStyle name="40% - Accent6 10_BukuBesar" xfId="3676" xr:uid="{00000000-0005-0000-0000-00006D080000}"/>
    <cellStyle name="40% - Accent6 11" xfId="148" xr:uid="{00000000-0005-0000-0000-00006E080000}"/>
    <cellStyle name="40% - Accent6 11 2" xfId="1746" xr:uid="{00000000-0005-0000-0000-00006F080000}"/>
    <cellStyle name="40% - Accent6 11 2 2" xfId="1747" xr:uid="{00000000-0005-0000-0000-000070080000}"/>
    <cellStyle name="40% - Accent6 11 2 3" xfId="3677" xr:uid="{00000000-0005-0000-0000-000071080000}"/>
    <cellStyle name="40% - Accent6 11 3" xfId="1748" xr:uid="{00000000-0005-0000-0000-000072080000}"/>
    <cellStyle name="40% - Accent6 11 3 2" xfId="1749" xr:uid="{00000000-0005-0000-0000-000073080000}"/>
    <cellStyle name="40% - Accent6 11 3 3" xfId="3678" xr:uid="{00000000-0005-0000-0000-000074080000}"/>
    <cellStyle name="40% - Accent6 11 4" xfId="1750" xr:uid="{00000000-0005-0000-0000-000075080000}"/>
    <cellStyle name="40% - Accent6 11_BukuBesar" xfId="3679" xr:uid="{00000000-0005-0000-0000-000076080000}"/>
    <cellStyle name="40% - Accent6 12" xfId="149" xr:uid="{00000000-0005-0000-0000-000077080000}"/>
    <cellStyle name="40% - Accent6 12 2" xfId="1751" xr:uid="{00000000-0005-0000-0000-000078080000}"/>
    <cellStyle name="40% - Accent6 12 2 2" xfId="1752" xr:uid="{00000000-0005-0000-0000-000079080000}"/>
    <cellStyle name="40% - Accent6 12 2 3" xfId="3680" xr:uid="{00000000-0005-0000-0000-00007A080000}"/>
    <cellStyle name="40% - Accent6 12 3" xfId="1753" xr:uid="{00000000-0005-0000-0000-00007B080000}"/>
    <cellStyle name="40% - Accent6 12 3 2" xfId="1754" xr:uid="{00000000-0005-0000-0000-00007C080000}"/>
    <cellStyle name="40% - Accent6 12 3 3" xfId="3681" xr:uid="{00000000-0005-0000-0000-00007D080000}"/>
    <cellStyle name="40% - Accent6 12 4" xfId="1755" xr:uid="{00000000-0005-0000-0000-00007E080000}"/>
    <cellStyle name="40% - Accent6 12_BukuBesar" xfId="3682" xr:uid="{00000000-0005-0000-0000-00007F080000}"/>
    <cellStyle name="40% - Accent6 13" xfId="150" xr:uid="{00000000-0005-0000-0000-000080080000}"/>
    <cellStyle name="40% - Accent6 13 2" xfId="1756" xr:uid="{00000000-0005-0000-0000-000081080000}"/>
    <cellStyle name="40% - Accent6 13 2 2" xfId="1757" xr:uid="{00000000-0005-0000-0000-000082080000}"/>
    <cellStyle name="40% - Accent6 13 2 3" xfId="3683" xr:uid="{00000000-0005-0000-0000-000083080000}"/>
    <cellStyle name="40% - Accent6 13 3" xfId="1758" xr:uid="{00000000-0005-0000-0000-000084080000}"/>
    <cellStyle name="40% - Accent6 13 3 2" xfId="1759" xr:uid="{00000000-0005-0000-0000-000085080000}"/>
    <cellStyle name="40% - Accent6 13 3 3" xfId="3684" xr:uid="{00000000-0005-0000-0000-000086080000}"/>
    <cellStyle name="40% - Accent6 13 4" xfId="1760" xr:uid="{00000000-0005-0000-0000-000087080000}"/>
    <cellStyle name="40% - Accent6 13_BukuBesar" xfId="3685" xr:uid="{00000000-0005-0000-0000-000088080000}"/>
    <cellStyle name="40% - Accent6 14" xfId="3686" xr:uid="{00000000-0005-0000-0000-000089080000}"/>
    <cellStyle name="40% - Accent6 14 2" xfId="3687" xr:uid="{00000000-0005-0000-0000-00008A080000}"/>
    <cellStyle name="40% - Accent6 14 3" xfId="3688" xr:uid="{00000000-0005-0000-0000-00008B080000}"/>
    <cellStyle name="40% - Accent6 14_BukuBesar" xfId="3689" xr:uid="{00000000-0005-0000-0000-00008C080000}"/>
    <cellStyle name="40% - Accent6 15" xfId="3690" xr:uid="{00000000-0005-0000-0000-00008D080000}"/>
    <cellStyle name="40% - Accent6 15 2" xfId="3691" xr:uid="{00000000-0005-0000-0000-00008E080000}"/>
    <cellStyle name="40% - Accent6 15 3" xfId="3692" xr:uid="{00000000-0005-0000-0000-00008F080000}"/>
    <cellStyle name="40% - Accent6 15_BukuBesar" xfId="3693" xr:uid="{00000000-0005-0000-0000-000090080000}"/>
    <cellStyle name="40% - Accent6 16" xfId="3694" xr:uid="{00000000-0005-0000-0000-000091080000}"/>
    <cellStyle name="40% - Accent6 16 2" xfId="3695" xr:uid="{00000000-0005-0000-0000-000092080000}"/>
    <cellStyle name="40% - Accent6 16 3" xfId="3696" xr:uid="{00000000-0005-0000-0000-000093080000}"/>
    <cellStyle name="40% - Accent6 16_BukuBesar" xfId="3697" xr:uid="{00000000-0005-0000-0000-000094080000}"/>
    <cellStyle name="40% - Accent6 17" xfId="3698" xr:uid="{00000000-0005-0000-0000-000095080000}"/>
    <cellStyle name="40% - Accent6 17 2" xfId="3699" xr:uid="{00000000-0005-0000-0000-000096080000}"/>
    <cellStyle name="40% - Accent6 17 3" xfId="3700" xr:uid="{00000000-0005-0000-0000-000097080000}"/>
    <cellStyle name="40% - Accent6 17_BukuBesar" xfId="3701" xr:uid="{00000000-0005-0000-0000-000098080000}"/>
    <cellStyle name="40% - Accent6 18" xfId="3702" xr:uid="{00000000-0005-0000-0000-000099080000}"/>
    <cellStyle name="40% - Accent6 18 2" xfId="3703" xr:uid="{00000000-0005-0000-0000-00009A080000}"/>
    <cellStyle name="40% - Accent6 18 3" xfId="3704" xr:uid="{00000000-0005-0000-0000-00009B080000}"/>
    <cellStyle name="40% - Accent6 18_BukuBesar" xfId="3705" xr:uid="{00000000-0005-0000-0000-00009C080000}"/>
    <cellStyle name="40% - Accent6 19" xfId="3706" xr:uid="{00000000-0005-0000-0000-00009D080000}"/>
    <cellStyle name="40% - Accent6 19 2" xfId="3707" xr:uid="{00000000-0005-0000-0000-00009E080000}"/>
    <cellStyle name="40% - Accent6 19_BukuBesar" xfId="3708" xr:uid="{00000000-0005-0000-0000-00009F080000}"/>
    <cellStyle name="40% - Accent6 2" xfId="151" xr:uid="{00000000-0005-0000-0000-0000A0080000}"/>
    <cellStyle name="40% - Accent6 2 2" xfId="1761" xr:uid="{00000000-0005-0000-0000-0000A1080000}"/>
    <cellStyle name="40% - Accent6 2 2 2" xfId="1762" xr:uid="{00000000-0005-0000-0000-0000A2080000}"/>
    <cellStyle name="40% - Accent6 2 2 2 2" xfId="3709" xr:uid="{00000000-0005-0000-0000-0000A3080000}"/>
    <cellStyle name="40% - Accent6 2 2 3" xfId="3710" xr:uid="{00000000-0005-0000-0000-0000A4080000}"/>
    <cellStyle name="40% - Accent6 2 2_BukuBesar" xfId="3711" xr:uid="{00000000-0005-0000-0000-0000A5080000}"/>
    <cellStyle name="40% - Accent6 2 3" xfId="1763" xr:uid="{00000000-0005-0000-0000-0000A6080000}"/>
    <cellStyle name="40% - Accent6 2 3 2" xfId="1764" xr:uid="{00000000-0005-0000-0000-0000A7080000}"/>
    <cellStyle name="40% - Accent6 2 4" xfId="1765" xr:uid="{00000000-0005-0000-0000-0000A8080000}"/>
    <cellStyle name="40% - Accent6 2 4 2" xfId="3712" xr:uid="{00000000-0005-0000-0000-0000A9080000}"/>
    <cellStyle name="40% - Accent6 2 5" xfId="3713" xr:uid="{00000000-0005-0000-0000-0000AA080000}"/>
    <cellStyle name="40% - Accent6 2 6" xfId="3714" xr:uid="{00000000-0005-0000-0000-0000AB080000}"/>
    <cellStyle name="40% - Accent6 2 7" xfId="3715" xr:uid="{00000000-0005-0000-0000-0000AC080000}"/>
    <cellStyle name="40% - Accent6 2 8" xfId="6508" xr:uid="{43C783BA-07A5-4456-9363-BCAE92A888AA}"/>
    <cellStyle name="40% - Accent6 2_BukuBesar" xfId="3716" xr:uid="{00000000-0005-0000-0000-0000AD080000}"/>
    <cellStyle name="40% - Accent6 20" xfId="3717" xr:uid="{00000000-0005-0000-0000-0000AE080000}"/>
    <cellStyle name="40% - Accent6 20 2" xfId="3718" xr:uid="{00000000-0005-0000-0000-0000AF080000}"/>
    <cellStyle name="40% - Accent6 20 3" xfId="3719" xr:uid="{00000000-0005-0000-0000-0000B0080000}"/>
    <cellStyle name="40% - Accent6 20_BukuBesar" xfId="3720" xr:uid="{00000000-0005-0000-0000-0000B1080000}"/>
    <cellStyle name="40% - Accent6 21" xfId="3721" xr:uid="{00000000-0005-0000-0000-0000B2080000}"/>
    <cellStyle name="40% - Accent6 21 2" xfId="3722" xr:uid="{00000000-0005-0000-0000-0000B3080000}"/>
    <cellStyle name="40% - Accent6 21_BukuBesar" xfId="3723" xr:uid="{00000000-0005-0000-0000-0000B4080000}"/>
    <cellStyle name="40% - Accent6 22" xfId="3724" xr:uid="{00000000-0005-0000-0000-0000B5080000}"/>
    <cellStyle name="40% - Accent6 22 2" xfId="3725" xr:uid="{00000000-0005-0000-0000-0000B6080000}"/>
    <cellStyle name="40% - Accent6 22_BukuBesar" xfId="3726" xr:uid="{00000000-0005-0000-0000-0000B7080000}"/>
    <cellStyle name="40% - Accent6 23" xfId="3727" xr:uid="{00000000-0005-0000-0000-0000B8080000}"/>
    <cellStyle name="40% - Accent6 23 2" xfId="3728" xr:uid="{00000000-0005-0000-0000-0000B9080000}"/>
    <cellStyle name="40% - Accent6 23_BukuBesar" xfId="3729" xr:uid="{00000000-0005-0000-0000-0000BA080000}"/>
    <cellStyle name="40% - Accent6 24" xfId="3730" xr:uid="{00000000-0005-0000-0000-0000BB080000}"/>
    <cellStyle name="40% - Accent6 24 2" xfId="3731" xr:uid="{00000000-0005-0000-0000-0000BC080000}"/>
    <cellStyle name="40% - Accent6 24_BukuBesar" xfId="3732" xr:uid="{00000000-0005-0000-0000-0000BD080000}"/>
    <cellStyle name="40% - Accent6 25" xfId="3733" xr:uid="{00000000-0005-0000-0000-0000BE080000}"/>
    <cellStyle name="40% - Accent6 25 2" xfId="3734" xr:uid="{00000000-0005-0000-0000-0000BF080000}"/>
    <cellStyle name="40% - Accent6 25_BukuBesar" xfId="3735" xr:uid="{00000000-0005-0000-0000-0000C0080000}"/>
    <cellStyle name="40% - Accent6 26" xfId="3736" xr:uid="{00000000-0005-0000-0000-0000C1080000}"/>
    <cellStyle name="40% - Accent6 26 2" xfId="3737" xr:uid="{00000000-0005-0000-0000-0000C2080000}"/>
    <cellStyle name="40% - Accent6 26_BukuBesar" xfId="3738" xr:uid="{00000000-0005-0000-0000-0000C3080000}"/>
    <cellStyle name="40% - Accent6 27" xfId="3739" xr:uid="{00000000-0005-0000-0000-0000C4080000}"/>
    <cellStyle name="40% - Accent6 27 2" xfId="3740" xr:uid="{00000000-0005-0000-0000-0000C5080000}"/>
    <cellStyle name="40% - Accent6 27_BukuBesar" xfId="3741" xr:uid="{00000000-0005-0000-0000-0000C6080000}"/>
    <cellStyle name="40% - Accent6 28" xfId="3742" xr:uid="{00000000-0005-0000-0000-0000C7080000}"/>
    <cellStyle name="40% - Accent6 28 2" xfId="3743" xr:uid="{00000000-0005-0000-0000-0000C8080000}"/>
    <cellStyle name="40% - Accent6 28_BukuBesar" xfId="3744" xr:uid="{00000000-0005-0000-0000-0000C9080000}"/>
    <cellStyle name="40% - Accent6 29" xfId="3745" xr:uid="{00000000-0005-0000-0000-0000CA080000}"/>
    <cellStyle name="40% - Accent6 29 2" xfId="3746" xr:uid="{00000000-0005-0000-0000-0000CB080000}"/>
    <cellStyle name="40% - Accent6 29_BukuBesar" xfId="3747" xr:uid="{00000000-0005-0000-0000-0000CC080000}"/>
    <cellStyle name="40% - Accent6 3" xfId="152" xr:uid="{00000000-0005-0000-0000-0000CD080000}"/>
    <cellStyle name="40% - Accent6 3 2" xfId="1766" xr:uid="{00000000-0005-0000-0000-0000CE080000}"/>
    <cellStyle name="40% - Accent6 3 2 2" xfId="1767" xr:uid="{00000000-0005-0000-0000-0000CF080000}"/>
    <cellStyle name="40% - Accent6 3 2 2 2" xfId="3748" xr:uid="{00000000-0005-0000-0000-0000D0080000}"/>
    <cellStyle name="40% - Accent6 3 2 3" xfId="3749" xr:uid="{00000000-0005-0000-0000-0000D1080000}"/>
    <cellStyle name="40% - Accent6 3 2_BukuBesar" xfId="3750" xr:uid="{00000000-0005-0000-0000-0000D2080000}"/>
    <cellStyle name="40% - Accent6 3 3" xfId="1768" xr:uid="{00000000-0005-0000-0000-0000D3080000}"/>
    <cellStyle name="40% - Accent6 3 3 2" xfId="1769" xr:uid="{00000000-0005-0000-0000-0000D4080000}"/>
    <cellStyle name="40% - Accent6 3 4" xfId="1770" xr:uid="{00000000-0005-0000-0000-0000D5080000}"/>
    <cellStyle name="40% - Accent6 3 4 2" xfId="3751" xr:uid="{00000000-0005-0000-0000-0000D6080000}"/>
    <cellStyle name="40% - Accent6 3 5" xfId="3752" xr:uid="{00000000-0005-0000-0000-0000D7080000}"/>
    <cellStyle name="40% - Accent6 3 6" xfId="3753" xr:uid="{00000000-0005-0000-0000-0000D8080000}"/>
    <cellStyle name="40% - Accent6 3 7" xfId="3754" xr:uid="{00000000-0005-0000-0000-0000D9080000}"/>
    <cellStyle name="40% - Accent6 3 8" xfId="3755" xr:uid="{00000000-0005-0000-0000-0000DA080000}"/>
    <cellStyle name="40% - Accent6 3_BukuBesar" xfId="3756" xr:uid="{00000000-0005-0000-0000-0000DB080000}"/>
    <cellStyle name="40% - Accent6 30" xfId="3757" xr:uid="{00000000-0005-0000-0000-0000DC080000}"/>
    <cellStyle name="40% - Accent6 4" xfId="153" xr:uid="{00000000-0005-0000-0000-0000DD080000}"/>
    <cellStyle name="40% - Accent6 4 2" xfId="1771" xr:uid="{00000000-0005-0000-0000-0000DE080000}"/>
    <cellStyle name="40% - Accent6 4 2 2" xfId="1772" xr:uid="{00000000-0005-0000-0000-0000DF080000}"/>
    <cellStyle name="40% - Accent6 4 2 2 2" xfId="3758" xr:uid="{00000000-0005-0000-0000-0000E0080000}"/>
    <cellStyle name="40% - Accent6 4 2 3" xfId="3759" xr:uid="{00000000-0005-0000-0000-0000E1080000}"/>
    <cellStyle name="40% - Accent6 4 2_BukuBesar" xfId="3760" xr:uid="{00000000-0005-0000-0000-0000E2080000}"/>
    <cellStyle name="40% - Accent6 4 3" xfId="1773" xr:uid="{00000000-0005-0000-0000-0000E3080000}"/>
    <cellStyle name="40% - Accent6 4 3 2" xfId="1774" xr:uid="{00000000-0005-0000-0000-0000E4080000}"/>
    <cellStyle name="40% - Accent6 4 4" xfId="1775" xr:uid="{00000000-0005-0000-0000-0000E5080000}"/>
    <cellStyle name="40% - Accent6 4 4 2" xfId="3761" xr:uid="{00000000-0005-0000-0000-0000E6080000}"/>
    <cellStyle name="40% - Accent6 4 5" xfId="3762" xr:uid="{00000000-0005-0000-0000-0000E7080000}"/>
    <cellStyle name="40% - Accent6 4 6" xfId="3763" xr:uid="{00000000-0005-0000-0000-0000E8080000}"/>
    <cellStyle name="40% - Accent6 4 7" xfId="3764" xr:uid="{00000000-0005-0000-0000-0000E9080000}"/>
    <cellStyle name="40% - Accent6 4 8" xfId="3765" xr:uid="{00000000-0005-0000-0000-0000EA080000}"/>
    <cellStyle name="40% - Accent6 4_BukuBesar" xfId="3766" xr:uid="{00000000-0005-0000-0000-0000EB080000}"/>
    <cellStyle name="40% - Accent6 5" xfId="154" xr:uid="{00000000-0005-0000-0000-0000EC080000}"/>
    <cellStyle name="40% - Accent6 5 2" xfId="1776" xr:uid="{00000000-0005-0000-0000-0000ED080000}"/>
    <cellStyle name="40% - Accent6 5 2 2" xfId="1777" xr:uid="{00000000-0005-0000-0000-0000EE080000}"/>
    <cellStyle name="40% - Accent6 5 2 2 2" xfId="3767" xr:uid="{00000000-0005-0000-0000-0000EF080000}"/>
    <cellStyle name="40% - Accent6 5 2 3" xfId="3768" xr:uid="{00000000-0005-0000-0000-0000F0080000}"/>
    <cellStyle name="40% - Accent6 5 2_BukuBesar" xfId="3769" xr:uid="{00000000-0005-0000-0000-0000F1080000}"/>
    <cellStyle name="40% - Accent6 5 3" xfId="1778" xr:uid="{00000000-0005-0000-0000-0000F2080000}"/>
    <cellStyle name="40% - Accent6 5 3 2" xfId="1779" xr:uid="{00000000-0005-0000-0000-0000F3080000}"/>
    <cellStyle name="40% - Accent6 5 4" xfId="1780" xr:uid="{00000000-0005-0000-0000-0000F4080000}"/>
    <cellStyle name="40% - Accent6 5 4 2" xfId="3770" xr:uid="{00000000-0005-0000-0000-0000F5080000}"/>
    <cellStyle name="40% - Accent6 5 5" xfId="3771" xr:uid="{00000000-0005-0000-0000-0000F6080000}"/>
    <cellStyle name="40% - Accent6 5 6" xfId="3772" xr:uid="{00000000-0005-0000-0000-0000F7080000}"/>
    <cellStyle name="40% - Accent6 5 7" xfId="3773" xr:uid="{00000000-0005-0000-0000-0000F8080000}"/>
    <cellStyle name="40% - Accent6 5 8" xfId="3774" xr:uid="{00000000-0005-0000-0000-0000F9080000}"/>
    <cellStyle name="40% - Accent6 5_BukuBesar" xfId="3775" xr:uid="{00000000-0005-0000-0000-0000FA080000}"/>
    <cellStyle name="40% - Accent6 6" xfId="155" xr:uid="{00000000-0005-0000-0000-0000FB080000}"/>
    <cellStyle name="40% - Accent6 6 2" xfId="1781" xr:uid="{00000000-0005-0000-0000-0000FC080000}"/>
    <cellStyle name="40% - Accent6 6 2 2" xfId="1782" xr:uid="{00000000-0005-0000-0000-0000FD080000}"/>
    <cellStyle name="40% - Accent6 6 2 2 2" xfId="3776" xr:uid="{00000000-0005-0000-0000-0000FE080000}"/>
    <cellStyle name="40% - Accent6 6 2 3" xfId="3777" xr:uid="{00000000-0005-0000-0000-0000FF080000}"/>
    <cellStyle name="40% - Accent6 6 2_BukuBesar" xfId="3778" xr:uid="{00000000-0005-0000-0000-000000090000}"/>
    <cellStyle name="40% - Accent6 6 3" xfId="1783" xr:uid="{00000000-0005-0000-0000-000001090000}"/>
    <cellStyle name="40% - Accent6 6 3 2" xfId="1784" xr:uid="{00000000-0005-0000-0000-000002090000}"/>
    <cellStyle name="40% - Accent6 6 4" xfId="1785" xr:uid="{00000000-0005-0000-0000-000003090000}"/>
    <cellStyle name="40% - Accent6 6 4 2" xfId="3779" xr:uid="{00000000-0005-0000-0000-000004090000}"/>
    <cellStyle name="40% - Accent6 6 5" xfId="3780" xr:uid="{00000000-0005-0000-0000-000005090000}"/>
    <cellStyle name="40% - Accent6 6 6" xfId="3781" xr:uid="{00000000-0005-0000-0000-000006090000}"/>
    <cellStyle name="40% - Accent6 6 7" xfId="3782" xr:uid="{00000000-0005-0000-0000-000007090000}"/>
    <cellStyle name="40% - Accent6 6 8" xfId="3783" xr:uid="{00000000-0005-0000-0000-000008090000}"/>
    <cellStyle name="40% - Accent6 6_BukuBesar" xfId="3784" xr:uid="{00000000-0005-0000-0000-000009090000}"/>
    <cellStyle name="40% - Accent6 7" xfId="156" xr:uid="{00000000-0005-0000-0000-00000A090000}"/>
    <cellStyle name="40% - Accent6 7 2" xfId="1786" xr:uid="{00000000-0005-0000-0000-00000B090000}"/>
    <cellStyle name="40% - Accent6 7 2 2" xfId="1787" xr:uid="{00000000-0005-0000-0000-00000C090000}"/>
    <cellStyle name="40% - Accent6 7 2 3" xfId="3785" xr:uid="{00000000-0005-0000-0000-00000D090000}"/>
    <cellStyle name="40% - Accent6 7 3" xfId="1788" xr:uid="{00000000-0005-0000-0000-00000E090000}"/>
    <cellStyle name="40% - Accent6 7 3 2" xfId="1789" xr:uid="{00000000-0005-0000-0000-00000F090000}"/>
    <cellStyle name="40% - Accent6 7 3 3" xfId="3786" xr:uid="{00000000-0005-0000-0000-000010090000}"/>
    <cellStyle name="40% - Accent6 7 4" xfId="1790" xr:uid="{00000000-0005-0000-0000-000011090000}"/>
    <cellStyle name="40% - Accent6 7_BukuBesar" xfId="3787" xr:uid="{00000000-0005-0000-0000-000012090000}"/>
    <cellStyle name="40% - Accent6 8" xfId="157" xr:uid="{00000000-0005-0000-0000-000013090000}"/>
    <cellStyle name="40% - Accent6 8 2" xfId="1791" xr:uid="{00000000-0005-0000-0000-000014090000}"/>
    <cellStyle name="40% - Accent6 8 2 2" xfId="1792" xr:uid="{00000000-0005-0000-0000-000015090000}"/>
    <cellStyle name="40% - Accent6 8 2 3" xfId="3788" xr:uid="{00000000-0005-0000-0000-000016090000}"/>
    <cellStyle name="40% - Accent6 8 3" xfId="1793" xr:uid="{00000000-0005-0000-0000-000017090000}"/>
    <cellStyle name="40% - Accent6 8 3 2" xfId="1794" xr:uid="{00000000-0005-0000-0000-000018090000}"/>
    <cellStyle name="40% - Accent6 8 3 3" xfId="3789" xr:uid="{00000000-0005-0000-0000-000019090000}"/>
    <cellStyle name="40% - Accent6 8 4" xfId="1795" xr:uid="{00000000-0005-0000-0000-00001A090000}"/>
    <cellStyle name="40% - Accent6 8_BukuBesar" xfId="3790" xr:uid="{00000000-0005-0000-0000-00001B090000}"/>
    <cellStyle name="40% - Accent6 9" xfId="158" xr:uid="{00000000-0005-0000-0000-00001C090000}"/>
    <cellStyle name="40% - Accent6 9 2" xfId="1796" xr:uid="{00000000-0005-0000-0000-00001D090000}"/>
    <cellStyle name="40% - Accent6 9 2 2" xfId="1797" xr:uid="{00000000-0005-0000-0000-00001E090000}"/>
    <cellStyle name="40% - Accent6 9 2 3" xfId="3791" xr:uid="{00000000-0005-0000-0000-00001F090000}"/>
    <cellStyle name="40% - Accent6 9 3" xfId="1798" xr:uid="{00000000-0005-0000-0000-000020090000}"/>
    <cellStyle name="40% - Accent6 9 3 2" xfId="1799" xr:uid="{00000000-0005-0000-0000-000021090000}"/>
    <cellStyle name="40% - Accent6 9 3 3" xfId="3792" xr:uid="{00000000-0005-0000-0000-000022090000}"/>
    <cellStyle name="40% - Accent6 9 4" xfId="1800" xr:uid="{00000000-0005-0000-0000-000023090000}"/>
    <cellStyle name="40% - Accent6 9_BukuBesar" xfId="3793" xr:uid="{00000000-0005-0000-0000-000024090000}"/>
    <cellStyle name="60% - Accent1 2" xfId="159" xr:uid="{00000000-0005-0000-0000-000025090000}"/>
    <cellStyle name="60% - Accent1 2 2" xfId="1801" xr:uid="{00000000-0005-0000-0000-000026090000}"/>
    <cellStyle name="60% - Accent1 2 2 2" xfId="3794" xr:uid="{00000000-0005-0000-0000-000027090000}"/>
    <cellStyle name="60% - Accent1 2 3" xfId="6513" xr:uid="{0F5CA2BC-3ECC-4513-85DB-EB7F442ABFC8}"/>
    <cellStyle name="60% - Accent1 3" xfId="5656" xr:uid="{00000000-0005-0000-0000-000028090000}"/>
    <cellStyle name="60% - Accent2 2" xfId="160" xr:uid="{00000000-0005-0000-0000-000029090000}"/>
    <cellStyle name="60% - Accent2 2 2" xfId="1802" xr:uid="{00000000-0005-0000-0000-00002A090000}"/>
    <cellStyle name="60% - Accent2 2 2 2" xfId="3795" xr:uid="{00000000-0005-0000-0000-00002B090000}"/>
    <cellStyle name="60% - Accent2 2 2 3" xfId="5657" xr:uid="{00000000-0005-0000-0000-00002C090000}"/>
    <cellStyle name="60% - Accent2 2 2 4" xfId="6516" xr:uid="{95745750-60BC-417F-AF3F-1A1B077054F2}"/>
    <cellStyle name="60% - Accent2 2 3" xfId="3796" xr:uid="{00000000-0005-0000-0000-00002D090000}"/>
    <cellStyle name="60% - Accent2 2 3 2" xfId="6518" xr:uid="{1C4DFAAE-C31E-4B9A-B380-483AE4A58887}"/>
    <cellStyle name="60% - Accent2 2 4" xfId="6515" xr:uid="{D64548ED-36BC-4225-AA6D-C1CD21094B16}"/>
    <cellStyle name="60% - Accent2 3" xfId="3797" xr:uid="{00000000-0005-0000-0000-00002E090000}"/>
    <cellStyle name="60% - Accent3 2" xfId="161" xr:uid="{00000000-0005-0000-0000-00002F090000}"/>
    <cellStyle name="60% - Accent3 2 2" xfId="1803" xr:uid="{00000000-0005-0000-0000-000030090000}"/>
    <cellStyle name="60% - Accent3 2 2 2" xfId="3798" xr:uid="{00000000-0005-0000-0000-000031090000}"/>
    <cellStyle name="60% - Accent3 2 3" xfId="6441" xr:uid="{1982F32E-54F2-443B-A99F-5D8A643D8A83}"/>
    <cellStyle name="60% - Accent3 3" xfId="5658" xr:uid="{00000000-0005-0000-0000-000032090000}"/>
    <cellStyle name="60% - Accent4 2" xfId="162" xr:uid="{00000000-0005-0000-0000-000033090000}"/>
    <cellStyle name="60% - Accent4 2 2" xfId="1804" xr:uid="{00000000-0005-0000-0000-000034090000}"/>
    <cellStyle name="60% - Accent4 2 2 2" xfId="3799" xr:uid="{00000000-0005-0000-0000-000035090000}"/>
    <cellStyle name="60% - Accent4 2 3" xfId="6519" xr:uid="{38764676-D8EE-4137-AB52-55091147FE13}"/>
    <cellStyle name="60% - Accent4 3" xfId="5659" xr:uid="{00000000-0005-0000-0000-000036090000}"/>
    <cellStyle name="60% - Accent5 2" xfId="163" xr:uid="{00000000-0005-0000-0000-000037090000}"/>
    <cellStyle name="60% - Accent5 2 2" xfId="1805" xr:uid="{00000000-0005-0000-0000-000038090000}"/>
    <cellStyle name="60% - Accent5 2 2 2" xfId="3800" xr:uid="{00000000-0005-0000-0000-000039090000}"/>
    <cellStyle name="60% - Accent5 2 3" xfId="6520" xr:uid="{CBABB87D-0B0D-49AB-979E-95503C928156}"/>
    <cellStyle name="60% - Accent5 3" xfId="5660" xr:uid="{00000000-0005-0000-0000-00003A090000}"/>
    <cellStyle name="60% - Accent6 2" xfId="164" xr:uid="{00000000-0005-0000-0000-00003B090000}"/>
    <cellStyle name="60% - Accent6 2 2" xfId="1806" xr:uid="{00000000-0005-0000-0000-00003C090000}"/>
    <cellStyle name="60% - Accent6 2 2 2" xfId="3801" xr:uid="{00000000-0005-0000-0000-00003D090000}"/>
    <cellStyle name="60% - Accent6 2 2 3" xfId="5661" xr:uid="{00000000-0005-0000-0000-00003E090000}"/>
    <cellStyle name="60% - Accent6 2 2 4" xfId="6524" xr:uid="{CA446130-A11C-44A7-A7B8-92D322B9F107}"/>
    <cellStyle name="60% - Accent6 2 3" xfId="3802" xr:uid="{00000000-0005-0000-0000-00003F090000}"/>
    <cellStyle name="60% - Accent6 2 3 2" xfId="6527" xr:uid="{85636C50-AA17-4CD4-B3A5-B484FE7AF1A4}"/>
    <cellStyle name="60% - Accent6 2 4" xfId="3803" xr:uid="{00000000-0005-0000-0000-000040090000}"/>
    <cellStyle name="60% - Accent6 2 5" xfId="6521" xr:uid="{C76271A8-E6AE-4EDE-B32C-961F75E9B891}"/>
    <cellStyle name="60% - Accent6 3" xfId="3804" xr:uid="{00000000-0005-0000-0000-000041090000}"/>
    <cellStyle name="Accent1 2" xfId="165" xr:uid="{00000000-0005-0000-0000-000042090000}"/>
    <cellStyle name="Accent1 2 2" xfId="1807" xr:uid="{00000000-0005-0000-0000-000043090000}"/>
    <cellStyle name="Accent1 2 2 2" xfId="3805" xr:uid="{00000000-0005-0000-0000-000044090000}"/>
    <cellStyle name="Accent1 2 3" xfId="6528" xr:uid="{4271645B-BE19-4CA1-ABA4-89D7FA483C4A}"/>
    <cellStyle name="Accent1 3" xfId="5662" xr:uid="{00000000-0005-0000-0000-000045090000}"/>
    <cellStyle name="Accent2 2" xfId="166" xr:uid="{00000000-0005-0000-0000-000046090000}"/>
    <cellStyle name="Accent2 2 2" xfId="1808" xr:uid="{00000000-0005-0000-0000-000047090000}"/>
    <cellStyle name="Accent2 2 2 2" xfId="3806" xr:uid="{00000000-0005-0000-0000-000048090000}"/>
    <cellStyle name="Accent2 2 2 3" xfId="5663" xr:uid="{00000000-0005-0000-0000-000049090000}"/>
    <cellStyle name="Accent2 2 2 4" xfId="6481" xr:uid="{3BE287F9-F81B-40F2-9ADC-24A3177FCB4C}"/>
    <cellStyle name="Accent2 2 3" xfId="3807" xr:uid="{00000000-0005-0000-0000-00004A090000}"/>
    <cellStyle name="Accent2 2 3 2" xfId="6531" xr:uid="{2573E093-0039-4410-9B09-EA83018A6DF5}"/>
    <cellStyle name="Accent2 2 4" xfId="6530" xr:uid="{62DB8BEF-15BE-41FF-A01E-FE2A1C2FB50E}"/>
    <cellStyle name="Accent2 3" xfId="3808" xr:uid="{00000000-0005-0000-0000-00004B090000}"/>
    <cellStyle name="Accent3 2" xfId="167" xr:uid="{00000000-0005-0000-0000-00004C090000}"/>
    <cellStyle name="Accent3 2 2" xfId="1809" xr:uid="{00000000-0005-0000-0000-00004D090000}"/>
    <cellStyle name="Accent3 2 2 2" xfId="3809" xr:uid="{00000000-0005-0000-0000-00004E090000}"/>
    <cellStyle name="Accent3 2 3" xfId="6534" xr:uid="{8BF520BC-3EC5-47EF-B2EA-636CFCBD750A}"/>
    <cellStyle name="Accent3 3" xfId="5664" xr:uid="{00000000-0005-0000-0000-00004F090000}"/>
    <cellStyle name="Accent4 2" xfId="168" xr:uid="{00000000-0005-0000-0000-000050090000}"/>
    <cellStyle name="Accent4 2 2" xfId="1810" xr:uid="{00000000-0005-0000-0000-000051090000}"/>
    <cellStyle name="Accent4 2 2 2" xfId="3810" xr:uid="{00000000-0005-0000-0000-000052090000}"/>
    <cellStyle name="Accent4 2 2 3" xfId="5665" xr:uid="{00000000-0005-0000-0000-000053090000}"/>
    <cellStyle name="Accent4 2 2 4" xfId="6538" xr:uid="{1F8B38B6-5F10-4F32-9F60-5999EA55DE98}"/>
    <cellStyle name="Accent4 2 3" xfId="3811" xr:uid="{00000000-0005-0000-0000-000054090000}"/>
    <cellStyle name="Accent4 2 3 2" xfId="6543" xr:uid="{BFDFA916-5755-4834-9FDC-2B90DFB5DAFF}"/>
    <cellStyle name="Accent4 2 4" xfId="6480" xr:uid="{490E1A39-9647-4479-A604-031B098141D2}"/>
    <cellStyle name="Accent4 3" xfId="3812" xr:uid="{00000000-0005-0000-0000-000055090000}"/>
    <cellStyle name="Accent5 2" xfId="169" xr:uid="{00000000-0005-0000-0000-000056090000}"/>
    <cellStyle name="Accent5 2 2" xfId="1811" xr:uid="{00000000-0005-0000-0000-000057090000}"/>
    <cellStyle name="Accent5 2 2 2" xfId="3813" xr:uid="{00000000-0005-0000-0000-000058090000}"/>
    <cellStyle name="Accent5 2 3" xfId="6547" xr:uid="{9180D1D2-B3E0-40EA-91E4-20E1DC531489}"/>
    <cellStyle name="Accent5 3" xfId="5666" xr:uid="{00000000-0005-0000-0000-000059090000}"/>
    <cellStyle name="Accent6 2" xfId="170" xr:uid="{00000000-0005-0000-0000-00005A090000}"/>
    <cellStyle name="Accent6 2 2" xfId="1812" xr:uid="{00000000-0005-0000-0000-00005B090000}"/>
    <cellStyle name="Accent6 2 2 2" xfId="3814" xr:uid="{00000000-0005-0000-0000-00005C090000}"/>
    <cellStyle name="Accent6 2 3" xfId="6539" xr:uid="{64C61139-EAC6-48F6-83C8-551235CD54F3}"/>
    <cellStyle name="Accent6 3" xfId="5667" xr:uid="{00000000-0005-0000-0000-00005D090000}"/>
    <cellStyle name="ÅëÈ­ [0]_±âÅ¸" xfId="1813" xr:uid="{00000000-0005-0000-0000-00005E090000}"/>
    <cellStyle name="AeE­ [0]_INQUIRY ¿μ¾÷AßAø " xfId="3815" xr:uid="{00000000-0005-0000-0000-00005F090000}"/>
    <cellStyle name="ÅëÈ­_±âÅ¸" xfId="1814" xr:uid="{00000000-0005-0000-0000-000060090000}"/>
    <cellStyle name="AeE­_INQUIRY ¿μ¾÷AßAø " xfId="3816" xr:uid="{00000000-0005-0000-0000-000061090000}"/>
    <cellStyle name="args.style" xfId="171" xr:uid="{00000000-0005-0000-0000-000062090000}"/>
    <cellStyle name="args.style 2" xfId="1815" xr:uid="{00000000-0005-0000-0000-000063090000}"/>
    <cellStyle name="args.style 2 2" xfId="3817" xr:uid="{00000000-0005-0000-0000-000064090000}"/>
    <cellStyle name="args.style 3" xfId="6550" xr:uid="{60795A40-641E-4666-BFD7-78B2B6403520}"/>
    <cellStyle name="ÄÞ¸¶ [0]_±âÅ¸" xfId="1816" xr:uid="{00000000-0005-0000-0000-000065090000}"/>
    <cellStyle name="AÞ¸¶ [0]_INQUIRY ¿?¾÷AßAø " xfId="172" xr:uid="{00000000-0005-0000-0000-000066090000}"/>
    <cellStyle name="ÄÞ¸¶_±âÅ¸" xfId="1817" xr:uid="{00000000-0005-0000-0000-000067090000}"/>
    <cellStyle name="AÞ¸¶_INQUIRY ¿?¾÷AßAø " xfId="173" xr:uid="{00000000-0005-0000-0000-000068090000}"/>
    <cellStyle name="Bad 2" xfId="174" xr:uid="{00000000-0005-0000-0000-000069090000}"/>
    <cellStyle name="Bad 2 2" xfId="1818" xr:uid="{00000000-0005-0000-0000-00006A090000}"/>
    <cellStyle name="Bad 2 2 2" xfId="3818" xr:uid="{00000000-0005-0000-0000-00006B090000}"/>
    <cellStyle name="Bad 2 2 3" xfId="6553" xr:uid="{DF97AF17-AC64-4DB3-935B-FF15B9393DDD}"/>
    <cellStyle name="Bad 2 3" xfId="3819" xr:uid="{00000000-0005-0000-0000-00006C090000}"/>
    <cellStyle name="Bad 2 4" xfId="6552" xr:uid="{8403D4F9-C745-4C78-910C-505DE4F80628}"/>
    <cellStyle name="Bad 3" xfId="3820" xr:uid="{00000000-0005-0000-0000-00006D090000}"/>
    <cellStyle name="C?AØ_¿?¾÷CoE² " xfId="175" xr:uid="{00000000-0005-0000-0000-00006E090000}"/>
    <cellStyle name="Ç¥ÁØ_¿¬°£´©°è¿¹»ó" xfId="1819" xr:uid="{00000000-0005-0000-0000-00006F090000}"/>
    <cellStyle name="C￥AØ_¿μ¾÷CoE² " xfId="176" xr:uid="{00000000-0005-0000-0000-000070090000}"/>
    <cellStyle name="Calc Currency (0)" xfId="177" xr:uid="{00000000-0005-0000-0000-000071090000}"/>
    <cellStyle name="Calc Currency (0) 2" xfId="178" xr:uid="{00000000-0005-0000-0000-000072090000}"/>
    <cellStyle name="Calc Currency (0) 2 2" xfId="3821" xr:uid="{00000000-0005-0000-0000-000073090000}"/>
    <cellStyle name="Calc Currency (0) 3" xfId="3822" xr:uid="{00000000-0005-0000-0000-000074090000}"/>
    <cellStyle name="Calc Currency (2)" xfId="179" xr:uid="{00000000-0005-0000-0000-000075090000}"/>
    <cellStyle name="Calc Currency (2) 2" xfId="180" xr:uid="{00000000-0005-0000-0000-000076090000}"/>
    <cellStyle name="Calc Currency (2) 2 2" xfId="6020" xr:uid="{00000000-0005-0000-0000-000077090000}"/>
    <cellStyle name="Calc Currency (2) 2 2 2" xfId="8832" xr:uid="{5EEE7C72-06D9-4BC9-95E7-32A3B273E8CD}"/>
    <cellStyle name="Calc Currency (2) 2 3" xfId="7195" xr:uid="{8534F294-1EDE-401F-809D-A61F7A09ED8A}"/>
    <cellStyle name="Calc Currency (2) 3" xfId="5668" xr:uid="{00000000-0005-0000-0000-000078090000}"/>
    <cellStyle name="Calc Currency (2) 3 2" xfId="6021" xr:uid="{00000000-0005-0000-0000-000079090000}"/>
    <cellStyle name="Calc Currency (2) 3 2 2" xfId="8833" xr:uid="{D64E9E90-B015-4C7B-AEEA-DDDF83AF517B}"/>
    <cellStyle name="Calc Currency (2) 3 3" xfId="8569" xr:uid="{50BB64F3-2179-4066-B14A-5E6B73D809E3}"/>
    <cellStyle name="Calc Currency (2) 4" xfId="6019" xr:uid="{00000000-0005-0000-0000-00007A090000}"/>
    <cellStyle name="Calc Currency (2) 4 2" xfId="8831" xr:uid="{C59B1E40-CE12-44A7-863A-7DDA5D4FDC81}"/>
    <cellStyle name="Calc Currency (2) 5" xfId="7194" xr:uid="{A59D7008-F7C1-452E-86FE-52FB1DBDD31F}"/>
    <cellStyle name="Calc Percent (0)" xfId="181" xr:uid="{00000000-0005-0000-0000-00007B090000}"/>
    <cellStyle name="Calc Percent (0) 2" xfId="6559" xr:uid="{40C47377-91DA-44AB-B73B-548F56D97467}"/>
    <cellStyle name="Calc Percent (1)" xfId="182" xr:uid="{00000000-0005-0000-0000-00007C090000}"/>
    <cellStyle name="Calc Percent (1) 2" xfId="6562" xr:uid="{0E3A78FB-06F8-4562-99A3-F94802755969}"/>
    <cellStyle name="Calc Percent (2)" xfId="183" xr:uid="{00000000-0005-0000-0000-00007D090000}"/>
    <cellStyle name="Calc Percent (2) 2" xfId="6566" xr:uid="{812128C0-41CC-4C5B-A099-31E1721AA7EA}"/>
    <cellStyle name="Calc Units (0)" xfId="184" xr:uid="{00000000-0005-0000-0000-00007E090000}"/>
    <cellStyle name="Calc Units (0) 2" xfId="185" xr:uid="{00000000-0005-0000-0000-00007F090000}"/>
    <cellStyle name="Calc Units (0) 2 2" xfId="6023" xr:uid="{00000000-0005-0000-0000-000080090000}"/>
    <cellStyle name="Calc Units (0) 2 2 2" xfId="8835" xr:uid="{FB8D4CC1-0F99-4B38-81DA-AA14FAF95D5C}"/>
    <cellStyle name="Calc Units (0) 2 3" xfId="7197" xr:uid="{E7AE1DE5-628F-4109-81BF-9B7C0519C96B}"/>
    <cellStyle name="Calc Units (0) 3" xfId="5669" xr:uid="{00000000-0005-0000-0000-000081090000}"/>
    <cellStyle name="Calc Units (0) 3 2" xfId="6024" xr:uid="{00000000-0005-0000-0000-000082090000}"/>
    <cellStyle name="Calc Units (0) 3 2 2" xfId="8836" xr:uid="{BA1C59FF-2830-4377-B02E-7D5EFB8C8319}"/>
    <cellStyle name="Calc Units (0) 3 3" xfId="8570" xr:uid="{918D9519-16CB-46CE-953F-E338B69B3CBC}"/>
    <cellStyle name="Calc Units (0) 4" xfId="6022" xr:uid="{00000000-0005-0000-0000-000083090000}"/>
    <cellStyle name="Calc Units (0) 4 2" xfId="8834" xr:uid="{E18B3E94-B86D-4C82-B3AF-41255395123E}"/>
    <cellStyle name="Calc Units (0) 5" xfId="7196" xr:uid="{0F317A81-FE66-4500-8AF1-8E8539BD666B}"/>
    <cellStyle name="Calc Units (1)" xfId="186" xr:uid="{00000000-0005-0000-0000-000084090000}"/>
    <cellStyle name="Calc Units (1) 2" xfId="187" xr:uid="{00000000-0005-0000-0000-000085090000}"/>
    <cellStyle name="Calc Units (1) 2 2" xfId="6026" xr:uid="{00000000-0005-0000-0000-000086090000}"/>
    <cellStyle name="Calc Units (1) 2 2 2" xfId="8838" xr:uid="{AA058E8A-4484-47F1-B899-C2CB226FFEED}"/>
    <cellStyle name="Calc Units (1) 2 3" xfId="7199" xr:uid="{D193561C-DBBE-4658-AF13-D522B20F04AF}"/>
    <cellStyle name="Calc Units (1) 3" xfId="5670" xr:uid="{00000000-0005-0000-0000-000087090000}"/>
    <cellStyle name="Calc Units (1) 3 2" xfId="6027" xr:uid="{00000000-0005-0000-0000-000088090000}"/>
    <cellStyle name="Calc Units (1) 3 2 2" xfId="8839" xr:uid="{1439DB29-A5FE-4FAC-BE21-FAA6E6CDEC88}"/>
    <cellStyle name="Calc Units (1) 3 3" xfId="8571" xr:uid="{9977929B-2581-4735-A1CA-E50D1D786EF6}"/>
    <cellStyle name="Calc Units (1) 4" xfId="6025" xr:uid="{00000000-0005-0000-0000-000089090000}"/>
    <cellStyle name="Calc Units (1) 4 2" xfId="8837" xr:uid="{31CC3359-9119-4BB5-A3DF-33AA589CBBAC}"/>
    <cellStyle name="Calc Units (1) 5" xfId="7198" xr:uid="{6E53F472-A019-49A3-B3D0-0B125E6D73F4}"/>
    <cellStyle name="Calc Units (2)" xfId="188" xr:uid="{00000000-0005-0000-0000-00008A090000}"/>
    <cellStyle name="Calc Units (2) 2" xfId="189" xr:uid="{00000000-0005-0000-0000-00008B090000}"/>
    <cellStyle name="Calc Units (2) 2 2" xfId="6029" xr:uid="{00000000-0005-0000-0000-00008C090000}"/>
    <cellStyle name="Calc Units (2) 2 2 2" xfId="8841" xr:uid="{8F04633E-A1E8-4A63-A2A3-BA21FA7A5330}"/>
    <cellStyle name="Calc Units (2) 2 3" xfId="7201" xr:uid="{3F938D87-DE37-40DA-85AF-1071A12D7D24}"/>
    <cellStyle name="Calc Units (2) 3" xfId="5671" xr:uid="{00000000-0005-0000-0000-00008D090000}"/>
    <cellStyle name="Calc Units (2) 3 2" xfId="6030" xr:uid="{00000000-0005-0000-0000-00008E090000}"/>
    <cellStyle name="Calc Units (2) 3 2 2" xfId="8842" xr:uid="{54B1714F-9F2E-4C0E-B1E2-BAAB29E08ED2}"/>
    <cellStyle name="Calc Units (2) 3 3" xfId="8572" xr:uid="{7040BBEC-40DF-4965-BBB6-B4F58DE82F2E}"/>
    <cellStyle name="Calc Units (2) 4" xfId="6028" xr:uid="{00000000-0005-0000-0000-00008F090000}"/>
    <cellStyle name="Calc Units (2) 4 2" xfId="8840" xr:uid="{648A7CFF-781C-4CD1-8A07-557C94569B1F}"/>
    <cellStyle name="Calc Units (2) 5" xfId="7200" xr:uid="{3AB71D84-170B-494E-A2FD-C01298D1B381}"/>
    <cellStyle name="Calculation 2" xfId="190" xr:uid="{00000000-0005-0000-0000-000090090000}"/>
    <cellStyle name="Calculation 2 2" xfId="1820" xr:uid="{00000000-0005-0000-0000-000091090000}"/>
    <cellStyle name="Calculation 2 2 2" xfId="3823" xr:uid="{00000000-0005-0000-0000-000092090000}"/>
    <cellStyle name="Calculation 2 2 2 2" xfId="7533" xr:uid="{5AAED398-83A8-4DEB-8BDD-1882D5FD83FD}"/>
    <cellStyle name="Calculation 2 2 2 3" xfId="7440" xr:uid="{F87817A6-FC84-4959-9736-36B8125108DD}"/>
    <cellStyle name="Calculation 2 2 3" xfId="3824" xr:uid="{00000000-0005-0000-0000-000093090000}"/>
    <cellStyle name="Calculation 2 2 3 2" xfId="7534" xr:uid="{14015136-2D84-4BBE-B074-B55156AF5CEE}"/>
    <cellStyle name="Calculation 2 2 3 3" xfId="7527" xr:uid="{306BB04C-0018-4766-8FBD-BE759D601657}"/>
    <cellStyle name="Calculation 2 2 4" xfId="6031" xr:uid="{00000000-0005-0000-0000-000094090000}"/>
    <cellStyle name="Calculation 2 2 4 2" xfId="8843" xr:uid="{81070F93-82F7-4BBC-B4A1-280CFA1882DC}"/>
    <cellStyle name="Calculation 2 2 5" xfId="7441" xr:uid="{8215DCB7-4F90-471B-9504-A44EFB637878}"/>
    <cellStyle name="Calculation 2 2 6" xfId="7489" xr:uid="{B8B48523-A484-4510-97D8-31B217D8CECD}"/>
    <cellStyle name="Calculation 2 3" xfId="1821" xr:uid="{00000000-0005-0000-0000-000095090000}"/>
    <cellStyle name="Calculation 2 3 2" xfId="6032" xr:uid="{00000000-0005-0000-0000-000096090000}"/>
    <cellStyle name="Calculation 2 3 2 2" xfId="8844" xr:uid="{4FF57E17-02B9-42D5-86B8-1F747DA09A68}"/>
    <cellStyle name="Calculation 2 3 3" xfId="7442" xr:uid="{1802183A-C9F5-45D6-AF34-9659EFEFEC8D}"/>
    <cellStyle name="Calculation 2 4" xfId="1822" xr:uid="{00000000-0005-0000-0000-000097090000}"/>
    <cellStyle name="Calculation 2 4 2" xfId="3825" xr:uid="{00000000-0005-0000-0000-000098090000}"/>
    <cellStyle name="Calculation 2 4 2 2" xfId="7535" xr:uid="{D26166A2-9063-48A0-A708-25F22B934C54}"/>
    <cellStyle name="Calculation 2 4 2 3" xfId="7439" xr:uid="{07B51931-1D50-466A-B967-17BD3508B673}"/>
    <cellStyle name="Calculation 2 4 3" xfId="6033" xr:uid="{00000000-0005-0000-0000-000099090000}"/>
    <cellStyle name="Calculation 2 4 3 2" xfId="8845" xr:uid="{941E7385-4FB8-4A73-84E6-A503B873ED0A}"/>
    <cellStyle name="Calculation 2 4 4" xfId="7443" xr:uid="{3294422A-FB05-43BA-8D9B-268D9556A4F4}"/>
    <cellStyle name="Calculation 2 4 5" xfId="9630" xr:uid="{DCF88097-AB83-404E-843F-C59D5277E76A}"/>
    <cellStyle name="Calculation 2 5" xfId="5672" xr:uid="{00000000-0005-0000-0000-00009A090000}"/>
    <cellStyle name="Calculation 2 5 2" xfId="8573" xr:uid="{C1ED8108-3B11-4E0E-8722-EA12D7FC276E}"/>
    <cellStyle name="Calculation 2 6" xfId="6482" xr:uid="{0068B96C-D6A8-4DCB-8448-ABACA7DA1585}"/>
    <cellStyle name="Calculation 2 6 2" xfId="9814" xr:uid="{BDDF75CB-9BDB-4BE0-B6C9-55FAE0BDE28A}"/>
    <cellStyle name="Calculation 2 7" xfId="7202" xr:uid="{1AB073FD-9130-40BB-A482-B674E8C4A9E8}"/>
    <cellStyle name="Calculation 3" xfId="5673" xr:uid="{00000000-0005-0000-0000-00009B090000}"/>
    <cellStyle name="Calculation 3 2" xfId="5918" xr:uid="{00000000-0005-0000-0000-00009C090000}"/>
    <cellStyle name="Calculation 3 2 2" xfId="6034" xr:uid="{00000000-0005-0000-0000-00009D090000}"/>
    <cellStyle name="Calculation 3 2 2 2" xfId="8846" xr:uid="{21D4878E-CEDD-493D-A530-231B0D8536F5}"/>
    <cellStyle name="Calculation 3 2 3" xfId="8783" xr:uid="{8EA44C88-7A7A-4BAC-A2A5-836C157AD654}"/>
    <cellStyle name="Calculation 3 3" xfId="6035" xr:uid="{00000000-0005-0000-0000-00009E090000}"/>
    <cellStyle name="Calculation 3 3 2" xfId="8847" xr:uid="{94416BAE-818E-4F7B-A634-034B7E81138D}"/>
    <cellStyle name="Calculation 3 4" xfId="6036" xr:uid="{00000000-0005-0000-0000-00009F090000}"/>
    <cellStyle name="Calculation 3 4 2" xfId="8848" xr:uid="{48F5F6D4-054A-4F77-A609-BAD626EC2B17}"/>
    <cellStyle name="Calculation 3 5" xfId="8574" xr:uid="{356E6BF3-AB7D-477D-AF57-91383BE2B639}"/>
    <cellStyle name="cf" xfId="191" xr:uid="{00000000-0005-0000-0000-0000A0090000}"/>
    <cellStyle name="cf 2" xfId="6574" xr:uid="{766B7FD4-8E04-4D5B-9923-66CD246921CE}"/>
    <cellStyle name="Check Cell 2" xfId="192" xr:uid="{00000000-0005-0000-0000-0000A1090000}"/>
    <cellStyle name="Check Cell 2 2" xfId="1823" xr:uid="{00000000-0005-0000-0000-0000A2090000}"/>
    <cellStyle name="Check Cell 2 2 2" xfId="3826" xr:uid="{00000000-0005-0000-0000-0000A3090000}"/>
    <cellStyle name="Check Cell 2 2 2 2" xfId="7536" xr:uid="{9250CF61-48AA-442B-80A7-311628528182}"/>
    <cellStyle name="Check Cell 2 2 3" xfId="7444" xr:uid="{F5C28803-7B4E-45EB-BC8A-3B0A57F49279}"/>
    <cellStyle name="Check Cell 2 3" xfId="1824" xr:uid="{00000000-0005-0000-0000-0000A4090000}"/>
    <cellStyle name="Check Cell 2 3 2" xfId="7445" xr:uid="{E3754774-D2FC-41D0-8A67-0D681B15E950}"/>
    <cellStyle name="Check Cell 2 4" xfId="6577" xr:uid="{544B3AC4-AF60-41B3-9930-B0FE3E8AF62B}"/>
    <cellStyle name="Check Cell 2 4 2" xfId="9265" xr:uid="{72B3B744-B383-4E03-B329-AFF29CA2A1E7}"/>
    <cellStyle name="Check Cell 2 5" xfId="7203" xr:uid="{47AF42CC-D26E-449C-B15B-5075218BEAAE}"/>
    <cellStyle name="Check Cell 3" xfId="5674" xr:uid="{00000000-0005-0000-0000-0000A5090000}"/>
    <cellStyle name="Check Cell 3 2" xfId="8575" xr:uid="{5F6B4A23-586C-4E41-B458-31562987A254}"/>
    <cellStyle name="Comma" xfId="7181" builtinId="3"/>
    <cellStyle name="Comma  - Style1" xfId="193" xr:uid="{00000000-0005-0000-0000-0000A7090000}"/>
    <cellStyle name="Comma  - Style1 2" xfId="1825" xr:uid="{00000000-0005-0000-0000-0000A8090000}"/>
    <cellStyle name="Comma  - Style1 3" xfId="6578" xr:uid="{8F377248-634B-4065-8715-53AA2327C038}"/>
    <cellStyle name="Comma  - Style2" xfId="194" xr:uid="{00000000-0005-0000-0000-0000A9090000}"/>
    <cellStyle name="Comma  - Style2 2" xfId="1826" xr:uid="{00000000-0005-0000-0000-0000AA090000}"/>
    <cellStyle name="Comma  - Style2 3" xfId="6548" xr:uid="{FB012B2D-450A-4247-BF61-D3E1ACACDA0B}"/>
    <cellStyle name="Comma  - Style3" xfId="195" xr:uid="{00000000-0005-0000-0000-0000AB090000}"/>
    <cellStyle name="Comma  - Style3 2" xfId="1827" xr:uid="{00000000-0005-0000-0000-0000AC090000}"/>
    <cellStyle name="Comma  - Style3 3" xfId="6582" xr:uid="{1437A2E2-1220-4699-A468-DE8FD907D059}"/>
    <cellStyle name="Comma  - Style4" xfId="1828" xr:uid="{00000000-0005-0000-0000-0000AD090000}"/>
    <cellStyle name="Comma  - Style5" xfId="1829" xr:uid="{00000000-0005-0000-0000-0000AE090000}"/>
    <cellStyle name="Comma  - Style6" xfId="1830" xr:uid="{00000000-0005-0000-0000-0000AF090000}"/>
    <cellStyle name="Comma  - Style7" xfId="1831" xr:uid="{00000000-0005-0000-0000-0000B0090000}"/>
    <cellStyle name="Comma [0]" xfId="1" builtinId="6"/>
    <cellStyle name="Comma [0] 10" xfId="196" xr:uid="{00000000-0005-0000-0000-0000B2090000}"/>
    <cellStyle name="Comma [0] 10 10" xfId="197" xr:uid="{00000000-0005-0000-0000-0000B3090000}"/>
    <cellStyle name="Comma [0] 10 10 2" xfId="6517" xr:uid="{8F8C9B0A-72E5-49B8-A5C2-D04AA7541A14}"/>
    <cellStyle name="Comma [0] 10 10 2 2" xfId="9234" xr:uid="{B30AC1F1-50AF-43DD-B4CB-3A529A669321}"/>
    <cellStyle name="Comma [0] 10 10 3" xfId="6587" xr:uid="{9ABDBB6D-B001-450F-A1CA-3B1E613AAFB6}"/>
    <cellStyle name="Comma [0] 10 10 3 2" xfId="9272" xr:uid="{031932BC-FAB6-4751-8BC6-E840B82BB36B}"/>
    <cellStyle name="Comma [0] 10 2" xfId="198" xr:uid="{00000000-0005-0000-0000-0000B4090000}"/>
    <cellStyle name="Comma [0] 10 2 2" xfId="1832" xr:uid="{00000000-0005-0000-0000-0000B5090000}"/>
    <cellStyle name="Comma [0] 10 2 2 2" xfId="6039" xr:uid="{00000000-0005-0000-0000-0000B6090000}"/>
    <cellStyle name="Comma [0] 10 2 2 2 2" xfId="8851" xr:uid="{CF5AE6F9-FB77-4289-9168-764316F3E9A3}"/>
    <cellStyle name="Comma [0] 10 2 3" xfId="5681" xr:uid="{00000000-0005-0000-0000-0000B7090000}"/>
    <cellStyle name="Comma [0] 10 2 3 2" xfId="8578" xr:uid="{846A83AA-402E-4F35-A1E4-6F566930D578}"/>
    <cellStyle name="Comma [0] 10 3" xfId="5680" xr:uid="{00000000-0005-0000-0000-0000B8090000}"/>
    <cellStyle name="Comma [0] 10 3 2" xfId="6040" xr:uid="{00000000-0005-0000-0000-0000B9090000}"/>
    <cellStyle name="Comma [0] 10 3 2 2" xfId="8852" xr:uid="{1FD56BA5-A47D-45D6-A24E-A2C73F50F7FE}"/>
    <cellStyle name="Comma [0] 10 3 3" xfId="8577" xr:uid="{CFFBA394-AB15-4714-87E5-10D8B1061574}"/>
    <cellStyle name="Comma [0] 10 5" xfId="1833" xr:uid="{00000000-0005-0000-0000-0000BA090000}"/>
    <cellStyle name="Comma [0] 10 5 2" xfId="7446" xr:uid="{BB390CB5-7E3A-470E-859A-594CED1BCE4D}"/>
    <cellStyle name="Comma [0] 11" xfId="199" xr:uid="{00000000-0005-0000-0000-0000BB090000}"/>
    <cellStyle name="Comma [0] 11 2" xfId="200" xr:uid="{00000000-0005-0000-0000-0000BC090000}"/>
    <cellStyle name="Comma [0] 11 2 2" xfId="3827" xr:uid="{00000000-0005-0000-0000-0000BD090000}"/>
    <cellStyle name="Comma [0] 11 2 2 2" xfId="7537" xr:uid="{2A77619D-20C6-4919-A89C-314E85E8815D}"/>
    <cellStyle name="Comma [0] 11 2 3" xfId="6041" xr:uid="{00000000-0005-0000-0000-0000BE090000}"/>
    <cellStyle name="Comma [0] 11 2 3 2" xfId="8853" xr:uid="{6482558F-F544-4B2F-95A6-288D4BDFC2D5}"/>
    <cellStyle name="Comma [0] 11 3" xfId="5682" xr:uid="{00000000-0005-0000-0000-0000BF090000}"/>
    <cellStyle name="Comma [0] 11 3 2" xfId="8579" xr:uid="{447F07AD-F4A1-4F57-A43E-336B96E2E94F}"/>
    <cellStyle name="Comma [0] 12" xfId="201" xr:uid="{00000000-0005-0000-0000-0000C0090000}"/>
    <cellStyle name="Comma [0] 12 2" xfId="202" xr:uid="{00000000-0005-0000-0000-0000C1090000}"/>
    <cellStyle name="Comma [0] 12 2 2" xfId="5684" xr:uid="{00000000-0005-0000-0000-0000C2090000}"/>
    <cellStyle name="Comma [0] 12 2 2 2" xfId="6042" xr:uid="{00000000-0005-0000-0000-0000C3090000}"/>
    <cellStyle name="Comma [0] 12 2 2 2 2" xfId="8854" xr:uid="{54A60924-541F-4315-8880-97C43D1AC774}"/>
    <cellStyle name="Comma [0] 12 2 2 3" xfId="8581" xr:uid="{CB784842-A0D0-40B8-A7AD-8E7EFBF595EB}"/>
    <cellStyle name="Comma [0] 12 3" xfId="203" xr:uid="{00000000-0005-0000-0000-0000C4090000}"/>
    <cellStyle name="Comma [0] 12 3 2" xfId="6043" xr:uid="{00000000-0005-0000-0000-0000C5090000}"/>
    <cellStyle name="Comma [0] 12 3 2 2" xfId="6410" xr:uid="{75574F2B-3DE8-4213-BE81-2AC260926515}"/>
    <cellStyle name="Comma [0] 12 3 2 2 2" xfId="9159" xr:uid="{D0E3B429-627B-4EA7-897B-6828764FAF77}"/>
    <cellStyle name="Comma [0] 12 3 2 3" xfId="8855" xr:uid="{6773912B-B130-4326-BB23-E6E2F09FD465}"/>
    <cellStyle name="Comma [0] 12 3 3" xfId="6589" xr:uid="{2873BDC9-1460-4FCA-8290-C6B2B7DA3929}"/>
    <cellStyle name="Comma [0] 12 3 3 2" xfId="9274" xr:uid="{3543B8DE-01C2-4073-9882-8B982512288E}"/>
    <cellStyle name="Comma [0] 12 3 4" xfId="7204" xr:uid="{D19E8B58-500D-4429-A9F9-8F80B177B4EC}"/>
    <cellStyle name="Comma [0] 12 4" xfId="5683" xr:uid="{00000000-0005-0000-0000-0000C6090000}"/>
    <cellStyle name="Comma [0] 12 4 2" xfId="8580" xr:uid="{454916CD-C70A-4775-8D38-6F1A54CE145C}"/>
    <cellStyle name="Comma [0] 13" xfId="204" xr:uid="{00000000-0005-0000-0000-0000C7090000}"/>
    <cellStyle name="Comma [0] 13 2" xfId="205" xr:uid="{00000000-0005-0000-0000-0000C8090000}"/>
    <cellStyle name="Comma [0] 13 2 2" xfId="3828" xr:uid="{00000000-0005-0000-0000-0000C9090000}"/>
    <cellStyle name="Comma [0] 13 2 2 2" xfId="6044" xr:uid="{00000000-0005-0000-0000-0000CA090000}"/>
    <cellStyle name="Comma [0] 13 2 2 2 2" xfId="8856" xr:uid="{0C1A66B7-95F3-44B7-B32E-71B56A4DA5C6}"/>
    <cellStyle name="Comma [0] 13 2 2 3" xfId="6595" xr:uid="{287CCFF9-E8AB-4415-B3AA-B684F2B97D5E}"/>
    <cellStyle name="Comma [0] 13 2 2 3 2" xfId="9280" xr:uid="{DFCE5A86-A467-4977-A24F-2F5FFC86B2E1}"/>
    <cellStyle name="Comma [0] 13 2 3" xfId="3829" xr:uid="{00000000-0005-0000-0000-0000CB090000}"/>
    <cellStyle name="Comma [0] 13 2 3 2" xfId="7538" xr:uid="{393EDCA1-B0F3-4D4A-BE09-A2FF40A87DF6}"/>
    <cellStyle name="Comma [0] 13 2 4" xfId="3830" xr:uid="{00000000-0005-0000-0000-0000CC090000}"/>
    <cellStyle name="Comma [0] 13 2 4 2" xfId="7539" xr:uid="{A9E6806B-D432-4048-89F6-EDDD6E5CF7E8}"/>
    <cellStyle name="Comma [0] 13 2 5" xfId="5686" xr:uid="{00000000-0005-0000-0000-0000CD090000}"/>
    <cellStyle name="Comma [0] 13 2 5 2" xfId="8583" xr:uid="{D1E677B8-D34D-4EB0-BF2E-3AC0A7EDA8D1}"/>
    <cellStyle name="Comma [0] 13 2 6" xfId="6533" xr:uid="{FB70AB51-DA0C-488E-8412-F4503BDD85A8}"/>
    <cellStyle name="Comma [0] 13 2 6 2" xfId="9241" xr:uid="{E34460C3-D2C2-4623-B006-FBFC54AF4880}"/>
    <cellStyle name="Comma [0] 13 2 7" xfId="7205" xr:uid="{EC985974-1FA4-48CF-87CA-4716C0518764}"/>
    <cellStyle name="Comma [0] 13 3" xfId="3831" xr:uid="{00000000-0005-0000-0000-0000CE090000}"/>
    <cellStyle name="Comma [0] 13 3 2" xfId="6045" xr:uid="{00000000-0005-0000-0000-0000CF090000}"/>
    <cellStyle name="Comma [0] 13 3 2 2" xfId="6596" xr:uid="{505E0827-2374-4B39-A81B-EF0CEEEE3007}"/>
    <cellStyle name="Comma [0] 13 3 2 2 2" xfId="9281" xr:uid="{736AAE11-CB5E-48CC-BD19-B522FB24DA84}"/>
    <cellStyle name="Comma [0] 13 3 2 3" xfId="8857" xr:uid="{E5196EB9-4883-427D-A2CD-AD30D9A21715}"/>
    <cellStyle name="Comma [0] 13 3 3" xfId="6440" xr:uid="{0E1DF47E-2120-468A-AE04-2C3C6BC2C2B4}"/>
    <cellStyle name="Comma [0] 13 3 3 2" xfId="9184" xr:uid="{BCA4E4FF-79A0-467D-9520-E517FE31DD82}"/>
    <cellStyle name="Comma [0] 13 3 4" xfId="7540" xr:uid="{AC4BE0BD-3948-4025-8EC8-5B5D6E53B92A}"/>
    <cellStyle name="Comma [0] 13 4" xfId="5685" xr:uid="{00000000-0005-0000-0000-0000D0090000}"/>
    <cellStyle name="Comma [0] 13 4 2" xfId="6406" xr:uid="{499B875A-7684-4B44-8A74-6199E50842C7}"/>
    <cellStyle name="Comma [0] 13 4 2 2" xfId="9156" xr:uid="{8102D7B8-40FB-4EAB-990F-639C97424F38}"/>
    <cellStyle name="Comma [0] 13 4 3" xfId="8582" xr:uid="{54A7537C-91A3-4024-8A87-B3178F143EA7}"/>
    <cellStyle name="Comma [0] 13 5" xfId="6458" xr:uid="{462FD430-5A3F-4EC9-94CB-B5773CF5AF93}"/>
    <cellStyle name="Comma [0] 13 5 2" xfId="9199" xr:uid="{E2516A76-AC6A-4F3F-AC93-4552928137B7}"/>
    <cellStyle name="Comma [0] 14" xfId="206" xr:uid="{00000000-0005-0000-0000-0000D1090000}"/>
    <cellStyle name="Comma [0] 14 2" xfId="207" xr:uid="{00000000-0005-0000-0000-0000D2090000}"/>
    <cellStyle name="Comma [0] 14 2 2" xfId="3832" xr:uid="{00000000-0005-0000-0000-0000D3090000}"/>
    <cellStyle name="Comma [0] 14 2 2 2" xfId="6535" xr:uid="{1F4C6054-2A41-42CC-8347-B801AB45993B}"/>
    <cellStyle name="Comma [0] 14 2 2 2 2" xfId="9242" xr:uid="{9E816FA8-104F-42EE-B801-82C429EC6587}"/>
    <cellStyle name="Comma [0] 14 2 2 3" xfId="7541" xr:uid="{5A70788D-9814-4991-A62E-B7F1BC792DC2}"/>
    <cellStyle name="Comma [0] 14 2 3" xfId="6046" xr:uid="{00000000-0005-0000-0000-0000D4090000}"/>
    <cellStyle name="Comma [0] 14 2 3 2" xfId="8858" xr:uid="{6AD1F000-D862-4361-AA8C-E2747BCF568E}"/>
    <cellStyle name="Comma [0] 14 2 4" xfId="6477" xr:uid="{78741D60-642E-46A4-A27D-952BB6658880}"/>
    <cellStyle name="Comma [0] 14 2 4 2" xfId="9215" xr:uid="{94081300-49BF-4A88-9A1D-5E22328C597C}"/>
    <cellStyle name="Comma [0] 14 2 5" xfId="7206" xr:uid="{2DBA57CD-3925-46FE-95DC-5A1648DFAC7C}"/>
    <cellStyle name="Comma [0] 14 3" xfId="5687" xr:uid="{00000000-0005-0000-0000-0000D5090000}"/>
    <cellStyle name="Comma [0] 14 3 2" xfId="6597" xr:uid="{192CB953-B481-4FB5-98AC-C1A655B07724}"/>
    <cellStyle name="Comma [0] 14 3 2 2" xfId="9282" xr:uid="{DFAE3307-CEE4-494C-A598-0E9C45EEF7F0}"/>
    <cellStyle name="Comma [0] 14 3 3" xfId="8584" xr:uid="{F1B21F2E-D5E8-4DC7-AD61-89F7BA672BEE}"/>
    <cellStyle name="Comma [0] 14 4" xfId="6465" xr:uid="{0F3A889F-E390-412F-8D3E-398C0CA83C68}"/>
    <cellStyle name="Comma [0] 14 4 2" xfId="9205" xr:uid="{D27942CC-7F1E-4D73-A292-4B27D846542D}"/>
    <cellStyle name="Comma [0] 15" xfId="208" xr:uid="{00000000-0005-0000-0000-0000D6090000}"/>
    <cellStyle name="Comma [0] 15 2" xfId="209" xr:uid="{00000000-0005-0000-0000-0000D7090000}"/>
    <cellStyle name="Comma [0] 15 2 2" xfId="3833" xr:uid="{00000000-0005-0000-0000-0000D8090000}"/>
    <cellStyle name="Comma [0] 15 2 2 2" xfId="6601" xr:uid="{C9F458D7-25DC-417B-8C88-9650025E4D5E}"/>
    <cellStyle name="Comma [0] 15 2 2 2 2" xfId="9286" xr:uid="{6CDEB4D1-3642-4983-A949-B804C97F79D2}"/>
    <cellStyle name="Comma [0] 15 2 2 3" xfId="7542" xr:uid="{418AD26E-43AC-4FED-B7FD-44C30579C271}"/>
    <cellStyle name="Comma [0] 15 2 3" xfId="6047" xr:uid="{00000000-0005-0000-0000-0000D9090000}"/>
    <cellStyle name="Comma [0] 15 2 3 2" xfId="8859" xr:uid="{3D0CF4A7-0F9E-4441-BCF1-551386D0F08E}"/>
    <cellStyle name="Comma [0] 15 2 4" xfId="6545" xr:uid="{15049A8A-42DE-412F-BFDC-EAD99F7C57C0}"/>
    <cellStyle name="Comma [0] 15 2 4 2" xfId="9248" xr:uid="{93D70A1E-E94C-4A4D-8D51-0D63F7C6B4B4}"/>
    <cellStyle name="Comma [0] 15 2 5" xfId="7207" xr:uid="{7915CB10-B176-4A6A-AFAD-787011368843}"/>
    <cellStyle name="Comma [0] 15 3" xfId="5688" xr:uid="{00000000-0005-0000-0000-0000DA090000}"/>
    <cellStyle name="Comma [0] 15 3 2" xfId="6580" xr:uid="{4E6AA062-86BE-4397-9436-8B1AA13A50EF}"/>
    <cellStyle name="Comma [0] 15 3 2 2" xfId="9267" xr:uid="{08ED8DC1-35DF-40C5-BD5B-9D633C4D1EAD}"/>
    <cellStyle name="Comma [0] 15 3 3" xfId="8585" xr:uid="{3C2A92C3-B5D5-4630-81CA-750B1CCCA2F2}"/>
    <cellStyle name="Comma [0] 15 4" xfId="6475" xr:uid="{6663BBE8-2B15-4981-9EEA-AE51A36B1522}"/>
    <cellStyle name="Comma [0] 15 4 2" xfId="9213" xr:uid="{CDC6F4B4-AE61-4827-B802-44C1D3780D5F}"/>
    <cellStyle name="Comma [0] 16" xfId="210" xr:uid="{00000000-0005-0000-0000-0000DB090000}"/>
    <cellStyle name="Comma [0] 16 2" xfId="211" xr:uid="{00000000-0005-0000-0000-0000DC090000}"/>
    <cellStyle name="Comma [0] 16 2 2" xfId="6048" xr:uid="{00000000-0005-0000-0000-0000DD090000}"/>
    <cellStyle name="Comma [0] 16 2 2 2" xfId="6430" xr:uid="{9178CFA4-7F4B-4E90-888B-129A8704D1E3}"/>
    <cellStyle name="Comma [0] 16 2 2 2 2" xfId="9174" xr:uid="{F3D7E970-03BA-44BC-8A4C-9B1B34CE2573}"/>
    <cellStyle name="Comma [0] 16 2 2 3" xfId="8860" xr:uid="{729BFEFE-D3A5-4F24-8342-050CAD2CDCCD}"/>
    <cellStyle name="Comma [0] 16 2 3" xfId="6537" xr:uid="{59FD089E-2B4D-4CD9-BFA1-D5F41F199709}"/>
    <cellStyle name="Comma [0] 16 2 3 2" xfId="9244" xr:uid="{0685C591-EF58-46A7-9BB2-B6D689DB8A59}"/>
    <cellStyle name="Comma [0] 16 2 4" xfId="7208" xr:uid="{4706BB5D-216D-4A9B-B9EF-2A941E18D879}"/>
    <cellStyle name="Comma [0] 16 3" xfId="5689" xr:uid="{00000000-0005-0000-0000-0000DE090000}"/>
    <cellStyle name="Comma [0] 16 3 2" xfId="6541" xr:uid="{AACC0143-0297-41DA-8F33-C12A11C073FF}"/>
    <cellStyle name="Comma [0] 16 3 2 2" xfId="9246" xr:uid="{0D636375-8109-4705-A568-8D713B145618}"/>
    <cellStyle name="Comma [0] 16 3 3" xfId="8586" xr:uid="{F1CCA4BB-E14E-4395-9574-FEBC537D56AC}"/>
    <cellStyle name="Comma [0] 16 4" xfId="6479" xr:uid="{643EF025-3253-45AB-B4A6-ACC73896E1E0}"/>
    <cellStyle name="Comma [0] 16 4 2" xfId="9217" xr:uid="{546DE5AC-EA17-4ADF-B802-857DD6914466}"/>
    <cellStyle name="Comma [0] 17" xfId="212" xr:uid="{00000000-0005-0000-0000-0000DF090000}"/>
    <cellStyle name="Comma [0] 17 2" xfId="213" xr:uid="{00000000-0005-0000-0000-0000E0090000}"/>
    <cellStyle name="Comma [0] 17 2 2" xfId="6049" xr:uid="{00000000-0005-0000-0000-0000E1090000}"/>
    <cellStyle name="Comma [0] 17 2 2 2" xfId="6604" xr:uid="{D21BB543-B137-43CF-AC04-D7C6B8F68EC5}"/>
    <cellStyle name="Comma [0] 17 2 2 2 2" xfId="9289" xr:uid="{62E8BC44-A2C7-4329-8888-2F674D455A66}"/>
    <cellStyle name="Comma [0] 17 2 2 3" xfId="8861" xr:uid="{A73FE81F-50E9-40D1-BD99-278E417062F0}"/>
    <cellStyle name="Comma [0] 17 2 3" xfId="6602" xr:uid="{F3334845-5945-4472-B3FB-4DD0768E23E0}"/>
    <cellStyle name="Comma [0] 17 2 3 2" xfId="9287" xr:uid="{A8DC950A-D28D-4FB6-8CDD-EBAACE5CE49E}"/>
    <cellStyle name="Comma [0] 17 2 4" xfId="7209" xr:uid="{975911BF-60F9-47DD-A85D-1AC27A44FAEE}"/>
    <cellStyle name="Comma [0] 17 3" xfId="5690" xr:uid="{00000000-0005-0000-0000-0000E2090000}"/>
    <cellStyle name="Comma [0] 17 3 2" xfId="6608" xr:uid="{5D5ED107-1F5B-4ED2-946B-C0F10DDF650B}"/>
    <cellStyle name="Comma [0] 17 3 2 2" xfId="9293" xr:uid="{C5C9C2C8-38AB-4910-B1A1-C97686BF7356}"/>
    <cellStyle name="Comma [0] 17 3 3" xfId="8587" xr:uid="{01970D0A-57E1-43C6-B4E5-8ADD731CC05E}"/>
    <cellStyle name="Comma [0] 17 4" xfId="6598" xr:uid="{7FE85EE8-2F94-4CBC-9268-BB0E15B179E1}"/>
    <cellStyle name="Comma [0] 17 4 2" xfId="9283" xr:uid="{D2507CB8-D55B-4C88-989F-B18A51FCB1A4}"/>
    <cellStyle name="Comma [0] 18" xfId="214" xr:uid="{00000000-0005-0000-0000-0000E3090000}"/>
    <cellStyle name="Comma [0] 18 2" xfId="215" xr:uid="{00000000-0005-0000-0000-0000E4090000}"/>
    <cellStyle name="Comma [0] 18 2 2" xfId="6050" xr:uid="{00000000-0005-0000-0000-0000E5090000}"/>
    <cellStyle name="Comma [0] 18 2 2 2" xfId="6612" xr:uid="{5BD7BCC5-C0F8-4487-82A3-26348F6428D6}"/>
    <cellStyle name="Comma [0] 18 2 2 2 2" xfId="9297" xr:uid="{3E4C6415-9AA8-4BF7-B9D4-FEEFD1B6B24A}"/>
    <cellStyle name="Comma [0] 18 2 2 3" xfId="8862" xr:uid="{60696AB6-FEBB-4A70-9401-70AE53D9FE1A}"/>
    <cellStyle name="Comma [0] 18 2 3" xfId="6610" xr:uid="{3003750A-2EDA-4118-9124-F4CB57AFA342}"/>
    <cellStyle name="Comma [0] 18 2 3 2" xfId="9295" xr:uid="{BAD517DC-9C45-4F28-8C87-8DE89FD8826D}"/>
    <cellStyle name="Comma [0] 18 2 4" xfId="7210" xr:uid="{3A549CDE-C60C-4CEB-A79A-A3013A542204}"/>
    <cellStyle name="Comma [0] 18 3" xfId="5691" xr:uid="{00000000-0005-0000-0000-0000E6090000}"/>
    <cellStyle name="Comma [0] 18 3 2" xfId="6615" xr:uid="{2C62EBE3-F3C4-4376-A851-2C2B36F0A8C2}"/>
    <cellStyle name="Comma [0] 18 3 2 2" xfId="9300" xr:uid="{23CC7C7B-D7D1-4CA2-B739-C0E828BB43A8}"/>
    <cellStyle name="Comma [0] 18 3 3" xfId="8588" xr:uid="{271AE74C-E4CF-4371-BEA3-D29EA3FBE538}"/>
    <cellStyle name="Comma [0] 18 4" xfId="6609" xr:uid="{444207C4-7641-4FAE-9EF1-D84DF8031A7B}"/>
    <cellStyle name="Comma [0] 18 4 2" xfId="9294" xr:uid="{9746CD59-AF71-45CE-B96A-BC79EA4E2A53}"/>
    <cellStyle name="Comma [0] 19" xfId="216" xr:uid="{00000000-0005-0000-0000-0000E7090000}"/>
    <cellStyle name="Comma [0] 19 2" xfId="3834" xr:uid="{00000000-0005-0000-0000-0000E8090000}"/>
    <cellStyle name="Comma [0] 19 2 2" xfId="6051" xr:uid="{00000000-0005-0000-0000-0000E9090000}"/>
    <cellStyle name="Comma [0] 19 2 2 2" xfId="8863" xr:uid="{5A70943F-80E1-460A-9D42-8E8B99949F4C}"/>
    <cellStyle name="Comma [0] 19 2 3" xfId="6619" xr:uid="{8CC02815-B2E6-4BAC-BAF3-4AA693F75728}"/>
    <cellStyle name="Comma [0] 19 2 3 2" xfId="9304" xr:uid="{DF6558ED-7870-42B8-8029-965DDDDF0E04}"/>
    <cellStyle name="Comma [0] 19 3" xfId="5692" xr:uid="{00000000-0005-0000-0000-0000EA090000}"/>
    <cellStyle name="Comma [0] 19 3 2" xfId="8589" xr:uid="{C61DFECC-4E66-4DB6-AA5F-BA1688B0F2D2}"/>
    <cellStyle name="Comma [0] 19 4" xfId="6617" xr:uid="{8478FEAE-4C30-44DF-8BCF-B047BB4F58BE}"/>
    <cellStyle name="Comma [0] 19 4 2" xfId="9302" xr:uid="{4FDF2FB4-48C5-434D-8248-5AE7AC991774}"/>
    <cellStyle name="Comma [0] 2" xfId="217" xr:uid="{00000000-0005-0000-0000-0000EB090000}"/>
    <cellStyle name="Comma [0] 2 10" xfId="218" xr:uid="{00000000-0005-0000-0000-0000EC090000}"/>
    <cellStyle name="Comma [0] 2 10 2" xfId="6621" xr:uid="{9F762D32-C37B-4A5E-BA1A-7F210ABD12FB}"/>
    <cellStyle name="Comma [0] 2 10 2 2" xfId="9306" xr:uid="{E5B70B27-5B2F-419C-993F-022C6371A277}"/>
    <cellStyle name="Comma [0] 2 11" xfId="219" xr:uid="{00000000-0005-0000-0000-0000ED090000}"/>
    <cellStyle name="Comma [0] 2 11 2" xfId="6384" xr:uid="{36B7A189-0CE5-4AF9-8351-B777F8E32E15}"/>
    <cellStyle name="Comma [0] 2 11 2 2" xfId="9150" xr:uid="{1C3ED8CE-BDE3-42C6-9805-68CD07067F4F}"/>
    <cellStyle name="Comma [0] 2 11 3" xfId="7211" xr:uid="{65D48EC3-D146-485D-8DFF-1831B2C90ECF}"/>
    <cellStyle name="Comma [0] 2 12" xfId="220" xr:uid="{00000000-0005-0000-0000-0000EE090000}"/>
    <cellStyle name="Comma [0] 2 12 2" xfId="7212" xr:uid="{EC99DE72-00C2-4E73-82CD-38FFEF74EEE6}"/>
    <cellStyle name="Comma [0] 2 13" xfId="221" xr:uid="{00000000-0005-0000-0000-0000EF090000}"/>
    <cellStyle name="Comma [0] 2 13 2" xfId="7213" xr:uid="{EE9E31C4-2FB0-4A61-B7EA-D21CFD70BDE4}"/>
    <cellStyle name="Comma [0] 2 14" xfId="222" xr:uid="{00000000-0005-0000-0000-0000F0090000}"/>
    <cellStyle name="Comma [0] 2 14 2" xfId="7214" xr:uid="{4E6FE5C6-72E0-4E46-BEF6-76D6CA0B8A7F}"/>
    <cellStyle name="Comma [0] 2 15" xfId="223" xr:uid="{00000000-0005-0000-0000-0000F1090000}"/>
    <cellStyle name="Comma [0] 2 15 2" xfId="7215" xr:uid="{09D69FF0-967B-4BF6-909D-3CC50671B441}"/>
    <cellStyle name="Comma [0] 2 16" xfId="224" xr:uid="{00000000-0005-0000-0000-0000F2090000}"/>
    <cellStyle name="Comma [0] 2 16 2" xfId="7216" xr:uid="{7CA3366B-28AF-422F-AEB5-A27D63BA1355}"/>
    <cellStyle name="Comma [0] 2 17" xfId="225" xr:uid="{00000000-0005-0000-0000-0000F3090000}"/>
    <cellStyle name="Comma [0] 2 17 2" xfId="7217" xr:uid="{71BD9B47-0549-4AA9-8A24-8281FDC71740}"/>
    <cellStyle name="Comma [0] 2 18" xfId="226" xr:uid="{00000000-0005-0000-0000-0000F4090000}"/>
    <cellStyle name="Comma [0] 2 18 2" xfId="7218" xr:uid="{BE4FA48A-521D-4861-8BC0-D9C9D77A7650}"/>
    <cellStyle name="Comma [0] 2 19" xfId="227" xr:uid="{00000000-0005-0000-0000-0000F5090000}"/>
    <cellStyle name="Comma [0] 2 19 2" xfId="7219" xr:uid="{3DE1291C-AC88-4945-8C41-C2721E251901}"/>
    <cellStyle name="Comma [0] 2 2" xfId="228" xr:uid="{00000000-0005-0000-0000-0000F6090000}"/>
    <cellStyle name="Comma [0] 2 2 2" xfId="229" xr:uid="{00000000-0005-0000-0000-0000F7090000}"/>
    <cellStyle name="Comma [0] 2 2 2 2" xfId="3835" xr:uid="{00000000-0005-0000-0000-0000F8090000}"/>
    <cellStyle name="Comma [0] 2 2 2 2 2" xfId="5696" xr:uid="{00000000-0005-0000-0000-0000F9090000}"/>
    <cellStyle name="Comma [0] 2 2 2 2 2 2" xfId="6053" xr:uid="{00000000-0005-0000-0000-0000FA090000}"/>
    <cellStyle name="Comma [0] 2 2 2 2 2 2 2" xfId="8865" xr:uid="{E63CF60E-00D3-455D-88A7-F3027BABBD72}"/>
    <cellStyle name="Comma [0] 2 2 2 2 2 3" xfId="8593" xr:uid="{341D9F36-04B2-41A3-B63C-161C828201CE}"/>
    <cellStyle name="Comma [0] 2 2 2 2 3" xfId="6573" xr:uid="{9F3937B0-038F-46B6-AA85-A9818393BE84}"/>
    <cellStyle name="Comma [0] 2 2 2 2 3 2" xfId="9263" xr:uid="{6763FB00-5A7A-4821-8703-8C086AEBF594}"/>
    <cellStyle name="Comma [0] 2 2 2 3" xfId="5695" xr:uid="{00000000-0005-0000-0000-0000FB090000}"/>
    <cellStyle name="Comma [0] 2 2 2 3 2" xfId="6054" xr:uid="{00000000-0005-0000-0000-0000FC090000}"/>
    <cellStyle name="Comma [0] 2 2 2 3 2 2" xfId="8866" xr:uid="{00B7A451-B73D-45EB-83CC-67032C3BC9AD}"/>
    <cellStyle name="Comma [0] 2 2 2 3 3" xfId="8592" xr:uid="{48532F17-8853-4D74-8DF1-6256F55BE17F}"/>
    <cellStyle name="Comma [0] 2 2 3" xfId="3836" xr:uid="{00000000-0005-0000-0000-0000FD090000}"/>
    <cellStyle name="Comma [0] 2 2 3 2" xfId="6055" xr:uid="{00000000-0005-0000-0000-0000FE090000}"/>
    <cellStyle name="Comma [0] 2 2 3 2 2" xfId="6629" xr:uid="{3D342EAB-A772-47C8-BC9D-3BB239607256}"/>
    <cellStyle name="Comma [0] 2 2 3 2 2 2" xfId="9313" xr:uid="{5F15BDD3-94D8-4C64-A2FB-379DFE2D8B04}"/>
    <cellStyle name="Comma [0] 2 2 3 2 3" xfId="8867" xr:uid="{E64C7145-D35D-43F4-9953-F2453F9151BE}"/>
    <cellStyle name="Comma [0] 2 2 3 3" xfId="6626" xr:uid="{7FB31C77-B672-412B-99FD-C7A08B64E4A6}"/>
    <cellStyle name="Comma [0] 2 2 3 3 2" xfId="9310" xr:uid="{6913DB8B-21AF-4057-9E7D-F3C814F5F347}"/>
    <cellStyle name="Comma [0] 2 2 4" xfId="3837" xr:uid="{00000000-0005-0000-0000-0000FF090000}"/>
    <cellStyle name="Comma [0] 2 2 4 2" xfId="6634" xr:uid="{E2F290F7-42A6-4E34-9EAD-FC9F37E995C3}"/>
    <cellStyle name="Comma [0] 2 2 4 2 2" xfId="9318" xr:uid="{6C35720B-C1AF-4E04-82FE-9B0AE340177C}"/>
    <cellStyle name="Comma [0] 2 2 4 3" xfId="6631" xr:uid="{6D92A627-B6DC-484D-B9B8-019B17181D61}"/>
    <cellStyle name="Comma [0] 2 2 4 3 2" xfId="9315" xr:uid="{2CAE0738-2D22-4183-90C2-B92685C62698}"/>
    <cellStyle name="Comma [0] 2 2 4 4" xfId="7543" xr:uid="{D0640D97-CDF8-415D-B34C-8D4E43B6BF5B}"/>
    <cellStyle name="Comma [0] 2 2 5" xfId="5694" xr:uid="{00000000-0005-0000-0000-0000000A0000}"/>
    <cellStyle name="Comma [0] 2 2 5 2" xfId="6636" xr:uid="{059BE175-7AC0-4770-9FBF-49168B6B7A3B}"/>
    <cellStyle name="Comma [0] 2 2 5 2 2" xfId="9320" xr:uid="{A70CC795-B23D-425A-9437-DBF31CA9CBF7}"/>
    <cellStyle name="Comma [0] 2 2 5 3" xfId="6635" xr:uid="{238284EC-ADF2-433A-A3DA-E8F145CA6D29}"/>
    <cellStyle name="Comma [0] 2 2 5 3 2" xfId="9319" xr:uid="{BA93297D-D4CB-4592-8FCC-C10C86E637D8}"/>
    <cellStyle name="Comma [0] 2 2 5 4" xfId="8591" xr:uid="{7EC70A0B-C25A-4E7B-8876-F6D3C47A0EEB}"/>
    <cellStyle name="Comma [0] 2 2 6" xfId="6637" xr:uid="{1E441767-AEA9-497B-96CD-AA555FC919D3}"/>
    <cellStyle name="Comma [0] 2 2 6 2" xfId="9321" xr:uid="{7A011B3E-D97C-4AB8-93CB-F0585E4A5CAD}"/>
    <cellStyle name="Comma [0] 2 2 7" xfId="7185" xr:uid="{DA9D27B7-A2A3-451F-A19E-F1C1242A5059}"/>
    <cellStyle name="Comma [0] 2 2 7 2" xfId="9694" xr:uid="{80EC5C22-52FD-4CA1-9BCD-072461BFB095}"/>
    <cellStyle name="Comma [0] 2 20" xfId="230" xr:uid="{00000000-0005-0000-0000-0000010A0000}"/>
    <cellStyle name="Comma [0] 2 20 2" xfId="7220" xr:uid="{C4E47299-09C6-4629-9B43-C183AF12AC37}"/>
    <cellStyle name="Comma [0] 2 21" xfId="231" xr:uid="{00000000-0005-0000-0000-0000020A0000}"/>
    <cellStyle name="Comma [0] 2 21 2" xfId="7221" xr:uid="{6EB9F67F-1D1A-4433-B83C-957D069CB3C5}"/>
    <cellStyle name="Comma [0] 2 22" xfId="232" xr:uid="{00000000-0005-0000-0000-0000030A0000}"/>
    <cellStyle name="Comma [0] 2 22 2" xfId="7222" xr:uid="{E36685E4-7196-4378-8912-931F74D5D8A5}"/>
    <cellStyle name="Comma [0] 2 23" xfId="233" xr:uid="{00000000-0005-0000-0000-0000040A0000}"/>
    <cellStyle name="Comma [0] 2 23 2" xfId="7223" xr:uid="{A282DBCE-E91C-48E2-BC92-12AB8120BD89}"/>
    <cellStyle name="Comma [0] 2 24" xfId="234" xr:uid="{00000000-0005-0000-0000-0000050A0000}"/>
    <cellStyle name="Comma [0] 2 24 2" xfId="7224" xr:uid="{1577A250-AAEC-4976-84F3-60EC9489664B}"/>
    <cellStyle name="Comma [0] 2 25" xfId="235" xr:uid="{00000000-0005-0000-0000-0000060A0000}"/>
    <cellStyle name="Comma [0] 2 25 2" xfId="7225" xr:uid="{5E08143F-EA1D-4B84-8B18-000E685C3629}"/>
    <cellStyle name="Comma [0] 2 26" xfId="236" xr:uid="{00000000-0005-0000-0000-0000070A0000}"/>
    <cellStyle name="Comma [0] 2 26 2" xfId="7226" xr:uid="{CEA5BD96-C583-4E1D-9BF1-95158975F4DA}"/>
    <cellStyle name="Comma [0] 2 27" xfId="1834" xr:uid="{00000000-0005-0000-0000-0000080A0000}"/>
    <cellStyle name="Comma [0] 2 27 2" xfId="1835" xr:uid="{00000000-0005-0000-0000-0000090A0000}"/>
    <cellStyle name="Comma [0] 2 27 2 2" xfId="7448" xr:uid="{9891380D-5AAD-48F5-8B72-10262AC478C0}"/>
    <cellStyle name="Comma [0] 2 27 3" xfId="3838" xr:uid="{00000000-0005-0000-0000-00000A0A0000}"/>
    <cellStyle name="Comma [0] 2 27 3 2" xfId="7544" xr:uid="{6AD63521-5CA3-4154-AB87-2AE3289E0CA7}"/>
    <cellStyle name="Comma [0] 2 27 4" xfId="7447" xr:uid="{616C0B4E-A6DC-43DC-B421-91CCB7C70B1E}"/>
    <cellStyle name="Comma [0] 2 28" xfId="3839" xr:uid="{00000000-0005-0000-0000-00000B0A0000}"/>
    <cellStyle name="Comma [0] 2 28 2" xfId="7545" xr:uid="{3FBD4BF2-8F32-48FC-98CC-9F922C11930A}"/>
    <cellStyle name="Comma [0] 2 29" xfId="3840" xr:uid="{00000000-0005-0000-0000-00000C0A0000}"/>
    <cellStyle name="Comma [0] 2 29 2" xfId="7546" xr:uid="{13ACB119-A9CF-454F-B1B7-C6E2416FEA8B}"/>
    <cellStyle name="Comma [0] 2 3" xfId="237" xr:uid="{00000000-0005-0000-0000-00000D0A0000}"/>
    <cellStyle name="Comma [0] 2 3 2" xfId="238" xr:uid="{00000000-0005-0000-0000-00000E0A0000}"/>
    <cellStyle name="Comma [0] 2 3 2 2" xfId="3841" xr:uid="{00000000-0005-0000-0000-00000F0A0000}"/>
    <cellStyle name="Comma [0] 2 3 2 2 2" xfId="6056" xr:uid="{00000000-0005-0000-0000-0000100A0000}"/>
    <cellStyle name="Comma [0] 2 3 2 2 2 2" xfId="8868" xr:uid="{E4D6A9F2-8562-478D-932C-9CCB8793FD92}"/>
    <cellStyle name="Comma [0] 2 3 2 2 3" xfId="6642" xr:uid="{29AE7FDD-EE5C-4D8A-BE89-C37CC4B64CEA}"/>
    <cellStyle name="Comma [0] 2 3 2 2 3 2" xfId="9326" xr:uid="{080605E8-588F-4F82-B658-F0E9CA63426A}"/>
    <cellStyle name="Comma [0] 2 3 2 3" xfId="3842" xr:uid="{00000000-0005-0000-0000-0000110A0000}"/>
    <cellStyle name="Comma [0] 2 3 2 3 2" xfId="7547" xr:uid="{CE75E0B8-202C-43B6-B33E-48640772F5E3}"/>
    <cellStyle name="Comma [0] 2 3 2 4" xfId="5698" xr:uid="{00000000-0005-0000-0000-0000120A0000}"/>
    <cellStyle name="Comma [0] 2 3 2 4 2" xfId="8595" xr:uid="{3EC561E4-47D6-46CD-B493-13DA61C4B5B7}"/>
    <cellStyle name="Comma [0] 2 3 2 5" xfId="6639" xr:uid="{3F912E49-42DD-45D7-B0F6-C6E1F7713272}"/>
    <cellStyle name="Comma [0] 2 3 2 5 2" xfId="9323" xr:uid="{773F335D-3CCE-4994-89F3-A93B24221682}"/>
    <cellStyle name="Comma [0] 2 3 2 6" xfId="7227" xr:uid="{58857AC8-5B20-4F33-8FE5-1C4EAA7EDB24}"/>
    <cellStyle name="Comma [0] 2 3 3" xfId="1836" xr:uid="{00000000-0005-0000-0000-0000130A0000}"/>
    <cellStyle name="Comma [0] 2 3 3 2" xfId="3843" xr:uid="{00000000-0005-0000-0000-0000140A0000}"/>
    <cellStyle name="Comma [0] 2 3 3 2 2" xfId="6648" xr:uid="{EC135B2B-F672-4086-8DA2-426AA3D715B7}"/>
    <cellStyle name="Comma [0] 2 3 3 2 2 2" xfId="9332" xr:uid="{26527EF5-6AE8-407B-A601-796649F101C6}"/>
    <cellStyle name="Comma [0] 2 3 3 2 3" xfId="7548" xr:uid="{FB7E3700-B96D-45A1-BBD6-5DB33447FEFF}"/>
    <cellStyle name="Comma [0] 2 3 3 3" xfId="6057" xr:uid="{00000000-0005-0000-0000-0000150A0000}"/>
    <cellStyle name="Comma [0] 2 3 3 3 2" xfId="8869" xr:uid="{76B79242-75BD-4C57-8019-D209D40367B7}"/>
    <cellStyle name="Comma [0] 2 3 3 4" xfId="6645" xr:uid="{5088A1BF-F9B0-47DD-908D-9FCFCA46E498}"/>
    <cellStyle name="Comma [0] 2 3 3 4 2" xfId="9329" xr:uid="{E4D0BAFD-7E3D-4E69-B701-2D41A3137F23}"/>
    <cellStyle name="Comma [0] 2 3 3 5" xfId="7449" xr:uid="{1A35E194-54B4-43D3-B0C4-20437E38735C}"/>
    <cellStyle name="Comma [0] 2 3 4" xfId="5697" xr:uid="{00000000-0005-0000-0000-0000160A0000}"/>
    <cellStyle name="Comma [0] 2 3 4 2" xfId="6650" xr:uid="{F88C56FD-1386-46D5-82A9-B5AEB6F7AABD}"/>
    <cellStyle name="Comma [0] 2 3 4 2 2" xfId="9334" xr:uid="{AFCC6161-F689-4AA2-917B-D9DF107DA44C}"/>
    <cellStyle name="Comma [0] 2 3 4 3" xfId="8594" xr:uid="{77274160-986E-4F62-9773-BD823E5DBE34}"/>
    <cellStyle name="Comma [0] 2 3 5" xfId="6568" xr:uid="{75E26068-5BB0-411F-AB40-FB7313252B5E}"/>
    <cellStyle name="Comma [0] 2 3 5 2" xfId="9259" xr:uid="{C0BD33DD-4403-4D5C-95AA-CF4420572488}"/>
    <cellStyle name="Comma [0] 2 30" xfId="3844" xr:uid="{00000000-0005-0000-0000-0000170A0000}"/>
    <cellStyle name="Comma [0] 2 30 2" xfId="7549" xr:uid="{68151037-0B36-4F11-A001-37FEF2E9F6C5}"/>
    <cellStyle name="Comma [0] 2 31" xfId="3845" xr:uid="{00000000-0005-0000-0000-0000180A0000}"/>
    <cellStyle name="Comma [0] 2 31 2" xfId="7550" xr:uid="{B7996215-EEC5-4FFD-83EE-A83559E662B6}"/>
    <cellStyle name="Comma [0] 2 32" xfId="3846" xr:uid="{00000000-0005-0000-0000-0000190A0000}"/>
    <cellStyle name="Comma [0] 2 32 2" xfId="7551" xr:uid="{09C23EB5-791A-4F29-A935-7585BC6BA8AC}"/>
    <cellStyle name="Comma [0] 2 33" xfId="3847" xr:uid="{00000000-0005-0000-0000-00001A0A0000}"/>
    <cellStyle name="Comma [0] 2 33 2" xfId="7552" xr:uid="{2F8911B6-ABBA-40A7-9984-9A6E62A1EA25}"/>
    <cellStyle name="Comma [0] 2 34" xfId="3848" xr:uid="{00000000-0005-0000-0000-00001B0A0000}"/>
    <cellStyle name="Comma [0] 2 34 2" xfId="7553" xr:uid="{C9FB821A-7AB1-46D6-9670-DCAC2332B2EA}"/>
    <cellStyle name="Comma [0] 2 35" xfId="3849" xr:uid="{00000000-0005-0000-0000-00001C0A0000}"/>
    <cellStyle name="Comma [0] 2 35 2" xfId="7554" xr:uid="{4090E951-7320-49DB-9021-50900838DCB3}"/>
    <cellStyle name="Comma [0] 2 36" xfId="3850" xr:uid="{00000000-0005-0000-0000-00001D0A0000}"/>
    <cellStyle name="Comma [0] 2 36 2" xfId="7555" xr:uid="{352BF9E5-1D02-426C-BB8B-D3DC22EDE76E}"/>
    <cellStyle name="Comma [0] 2 37" xfId="3851" xr:uid="{00000000-0005-0000-0000-00001E0A0000}"/>
    <cellStyle name="Comma [0] 2 37 2" xfId="7556" xr:uid="{86461A43-D88D-4368-87C4-3DDCDA9F05F2}"/>
    <cellStyle name="Comma [0] 2 38" xfId="3852" xr:uid="{00000000-0005-0000-0000-00001F0A0000}"/>
    <cellStyle name="Comma [0] 2 38 2" xfId="7557" xr:uid="{29F0A958-4457-4C7A-BBAF-18443C52A9C9}"/>
    <cellStyle name="Comma [0] 2 39" xfId="3853" xr:uid="{00000000-0005-0000-0000-0000200A0000}"/>
    <cellStyle name="Comma [0] 2 39 2" xfId="7558" xr:uid="{78983D81-9EB9-4715-A952-04FFB3FCF857}"/>
    <cellStyle name="Comma [0] 2 4" xfId="239" xr:uid="{00000000-0005-0000-0000-0000210A0000}"/>
    <cellStyle name="Comma [0] 2 4 2" xfId="3854" xr:uid="{00000000-0005-0000-0000-0000220A0000}"/>
    <cellStyle name="Comma [0] 2 4 2 2" xfId="3855" xr:uid="{00000000-0005-0000-0000-0000230A0000}"/>
    <cellStyle name="Comma [0] 2 4 2 2 2" xfId="6654" xr:uid="{0208BFAD-C6E3-476A-9027-85F49501B629}"/>
    <cellStyle name="Comma [0] 2 4 2 2 2 2" xfId="9338" xr:uid="{5750C159-F1EC-47EE-BBFD-B81E88C00203}"/>
    <cellStyle name="Comma [0] 2 4 2 2 3" xfId="7559" xr:uid="{DD1CF98B-9CC1-48BE-8EB3-0142430BDAE7}"/>
    <cellStyle name="Comma [0] 2 4 2 3" xfId="6058" xr:uid="{00000000-0005-0000-0000-0000240A0000}"/>
    <cellStyle name="Comma [0] 2 4 2 3 2" xfId="8870" xr:uid="{FE7C4A17-F97A-4539-B09D-8EAE6CD0E15B}"/>
    <cellStyle name="Comma [0] 2 4 2 4" xfId="6652" xr:uid="{FC87B957-F97D-4C75-9BB6-0E324D16EDB9}"/>
    <cellStyle name="Comma [0] 2 4 2 4 2" xfId="9336" xr:uid="{03B35645-88B1-4A92-81F2-46E1229F5AD6}"/>
    <cellStyle name="Comma [0] 2 4 3" xfId="3856" xr:uid="{00000000-0005-0000-0000-0000250A0000}"/>
    <cellStyle name="Comma [0] 2 4 3 2" xfId="6561" xr:uid="{04E4C9F4-A602-499E-8509-F59F4158E5F9}"/>
    <cellStyle name="Comma [0] 2 4 3 2 2" xfId="9254" xr:uid="{28E4B8F3-2BB8-4828-8783-93EE68EBBCFD}"/>
    <cellStyle name="Comma [0] 2 4 3 3" xfId="7560" xr:uid="{506C07B8-C081-47E2-AF11-32DEE75496C0}"/>
    <cellStyle name="Comma [0] 2 4 4" xfId="5699" xr:uid="{00000000-0005-0000-0000-0000260A0000}"/>
    <cellStyle name="Comma [0] 2 4 4 2" xfId="8596" xr:uid="{794169F0-2392-4896-AA1B-9917742ACA22}"/>
    <cellStyle name="Comma [0] 2 4 5" xfId="6651" xr:uid="{8BD81EC9-E15F-40C1-AA0E-7525644BCA8C}"/>
    <cellStyle name="Comma [0] 2 4 5 2" xfId="9335" xr:uid="{1044B3CA-478F-4859-8FC4-7CB6031BE42F}"/>
    <cellStyle name="Comma [0] 2 40" xfId="3857" xr:uid="{00000000-0005-0000-0000-0000270A0000}"/>
    <cellStyle name="Comma [0] 2 40 2" xfId="7561" xr:uid="{F193FC2B-B1BB-4935-AC3E-6079EA3BB1BE}"/>
    <cellStyle name="Comma [0] 2 41" xfId="3858" xr:uid="{00000000-0005-0000-0000-0000280A0000}"/>
    <cellStyle name="Comma [0] 2 41 2" xfId="7562" xr:uid="{26172EC3-490A-49D0-99CF-D5F6CC034023}"/>
    <cellStyle name="Comma [0] 2 42" xfId="3859" xr:uid="{00000000-0005-0000-0000-0000290A0000}"/>
    <cellStyle name="Comma [0] 2 42 2" xfId="7563" xr:uid="{3F49E233-9A9D-4026-99AD-19CA39513F99}"/>
    <cellStyle name="Comma [0] 2 43" xfId="3860" xr:uid="{00000000-0005-0000-0000-00002A0A0000}"/>
    <cellStyle name="Comma [0] 2 43 2" xfId="7564" xr:uid="{503F8D40-F73B-4ACC-AB47-4DE922038818}"/>
    <cellStyle name="Comma [0] 2 44" xfId="3861" xr:uid="{00000000-0005-0000-0000-00002B0A0000}"/>
    <cellStyle name="Comma [0] 2 44 2" xfId="7565" xr:uid="{4135BACD-C7D9-4B67-9188-5BFD6A067C51}"/>
    <cellStyle name="Comma [0] 2 45" xfId="3862" xr:uid="{00000000-0005-0000-0000-00002C0A0000}"/>
    <cellStyle name="Comma [0] 2 45 2" xfId="3863" xr:uid="{00000000-0005-0000-0000-00002D0A0000}"/>
    <cellStyle name="Comma [0] 2 45 2 2" xfId="7567" xr:uid="{C8463036-854D-4745-A0C1-36BA1E2BE88A}"/>
    <cellStyle name="Comma [0] 2 45 3" xfId="7566" xr:uid="{6E4606C1-CCE4-4BAF-8F35-460E514D5918}"/>
    <cellStyle name="Comma [0] 2 46" xfId="3864" xr:uid="{00000000-0005-0000-0000-00002E0A0000}"/>
    <cellStyle name="Comma [0] 2 46 2" xfId="7568" xr:uid="{BAA83EBE-3032-4F95-8218-3D036FED54E2}"/>
    <cellStyle name="Comma [0] 2 47" xfId="5693" xr:uid="{00000000-0005-0000-0000-00002F0A0000}"/>
    <cellStyle name="Comma [0] 2 47 2" xfId="8590" xr:uid="{2D00FDFD-5268-4B4C-A4A3-3C96FBAEAA0C}"/>
    <cellStyle name="Comma [0] 2 48" xfId="6052" xr:uid="{00000000-0005-0000-0000-0000300A0000}"/>
    <cellStyle name="Comma [0] 2 48 2" xfId="8864" xr:uid="{766AD6AC-6BAA-4499-8283-5DE4B3524665}"/>
    <cellStyle name="Comma [0] 2 49" xfId="7184" xr:uid="{4F77FB54-D154-458E-BEF6-AF3D3B7D09B1}"/>
    <cellStyle name="Comma [0] 2 49 2" xfId="9693" xr:uid="{FF48B3E7-10EF-43A6-8AD8-956A97C3CF6C}"/>
    <cellStyle name="Comma [0] 2 5" xfId="240" xr:uid="{00000000-0005-0000-0000-0000310A0000}"/>
    <cellStyle name="Comma [0] 2 5 2" xfId="3865" xr:uid="{00000000-0005-0000-0000-0000320A0000}"/>
    <cellStyle name="Comma [0] 2 5 2 2" xfId="6657" xr:uid="{50061F47-AC0A-41B8-A5BE-EB78832B377E}"/>
    <cellStyle name="Comma [0] 2 5 2 2 2" xfId="9340" xr:uid="{D7C4673C-F966-49BD-84B7-A04DE72021C8}"/>
    <cellStyle name="Comma [0] 2 5 2 3" xfId="7569" xr:uid="{198C8FDB-762E-46B4-A3DE-EDA6DF5B14B9}"/>
    <cellStyle name="Comma [0] 2 5 3" xfId="6059" xr:uid="{00000000-0005-0000-0000-0000330A0000}"/>
    <cellStyle name="Comma [0] 2 5 3 2" xfId="8871" xr:uid="{F6938AC1-61B0-4A48-886A-90A6121E9375}"/>
    <cellStyle name="Comma [0] 2 50" xfId="7190" xr:uid="{C649B4BD-9E9C-4000-9F00-776C75F16470}"/>
    <cellStyle name="Comma [0] 2 50 2" xfId="9697" xr:uid="{12CCE37B-CE1A-4200-89B0-75F97056CB64}"/>
    <cellStyle name="Comma [0] 2 6" xfId="241" xr:uid="{00000000-0005-0000-0000-0000340A0000}"/>
    <cellStyle name="Comma [0] 2 6 2" xfId="1837" xr:uid="{00000000-0005-0000-0000-0000350A0000}"/>
    <cellStyle name="Comma [0] 2 6 2 2" xfId="3866" xr:uid="{00000000-0005-0000-0000-0000360A0000}"/>
    <cellStyle name="Comma [0] 2 6 2 2 2" xfId="7570" xr:uid="{AE20FC20-EA14-4BDC-8817-5C35FA087B5D}"/>
    <cellStyle name="Comma [0] 2 6 2 3" xfId="6660" xr:uid="{CCD5A2ED-3781-4D39-A7A5-40EE8027CFC4}"/>
    <cellStyle name="Comma [0] 2 6 2 3 2" xfId="9343" xr:uid="{36C7E564-C220-47CC-9A95-A356144AE150}"/>
    <cellStyle name="Comma [0] 2 6 2 4" xfId="7450" xr:uid="{F58087C1-C9C1-4F90-A661-EE776DD24223}"/>
    <cellStyle name="Comma [0] 2 6 3" xfId="3867" xr:uid="{00000000-0005-0000-0000-0000370A0000}"/>
    <cellStyle name="Comma [0] 2 6 3 2" xfId="7571" xr:uid="{E20B3EF4-E36A-457D-8CBA-3520FD271908}"/>
    <cellStyle name="Comma [0] 2 6 4" xfId="3868" xr:uid="{00000000-0005-0000-0000-0000380A0000}"/>
    <cellStyle name="Comma [0] 2 6 4 2" xfId="7572" xr:uid="{0C55D61E-BDEB-40F5-8BB9-80197257D2E6}"/>
    <cellStyle name="Comma [0] 2 6 5" xfId="3869" xr:uid="{00000000-0005-0000-0000-0000390A0000}"/>
    <cellStyle name="Comma [0] 2 6 5 2" xfId="7573" xr:uid="{F1D955D9-022C-4371-9FDE-72A92DFC59D2}"/>
    <cellStyle name="Comma [0] 2 6 6" xfId="6060" xr:uid="{00000000-0005-0000-0000-00003A0A0000}"/>
    <cellStyle name="Comma [0] 2 6 6 2" xfId="8872" xr:uid="{3B364706-4E85-451F-8284-90F51214AC36}"/>
    <cellStyle name="Comma [0] 2 6 7" xfId="6659" xr:uid="{314C6DCF-23EB-493E-9580-6C99B395C26E}"/>
    <cellStyle name="Comma [0] 2 6 7 2" xfId="9342" xr:uid="{BF9DB9C1-EDDA-455F-99BF-D57E6C87B543}"/>
    <cellStyle name="Comma [0] 2 6 8" xfId="7228" xr:uid="{612CE3FE-0F82-4F59-85B9-E21CF7A35C06}"/>
    <cellStyle name="Comma [0] 2 7" xfId="242" xr:uid="{00000000-0005-0000-0000-00003B0A0000}"/>
    <cellStyle name="Comma [0] 2 7 2" xfId="3870" xr:uid="{00000000-0005-0000-0000-00003C0A0000}"/>
    <cellStyle name="Comma [0] 2 7 2 2" xfId="6664" xr:uid="{581A2F21-5B7D-4227-A086-FA6B458DED83}"/>
    <cellStyle name="Comma [0] 2 7 2 2 2" xfId="9346" xr:uid="{3892557B-08E6-4125-BF25-460029A5A3B1}"/>
    <cellStyle name="Comma [0] 2 7 2 3" xfId="7574" xr:uid="{D6637AC7-1505-40BF-A0B1-D04229AEB346}"/>
    <cellStyle name="Comma [0] 2 7 3" xfId="6663" xr:uid="{4764FF86-7B08-42C6-877D-8B6D701C6EA9}"/>
    <cellStyle name="Comma [0] 2 7 3 2" xfId="9345" xr:uid="{E2CF4204-650B-4394-A7BB-1E6BED8153CE}"/>
    <cellStyle name="Comma [0] 2 7 4" xfId="7229" xr:uid="{2187A1A9-D616-435E-9318-C8A22AF6CBDF}"/>
    <cellStyle name="Comma [0] 2 72" xfId="243" xr:uid="{00000000-0005-0000-0000-00003D0A0000}"/>
    <cellStyle name="Comma [0] 2 72 2" xfId="1838" xr:uid="{00000000-0005-0000-0000-00003E0A0000}"/>
    <cellStyle name="Comma [0] 2 72 2 2" xfId="7451" xr:uid="{40894F14-6F77-43F9-A8A8-6AE74E9E0E85}"/>
    <cellStyle name="Comma [0] 2 72 3" xfId="7230" xr:uid="{56F811ED-3DBE-4119-A766-6EEE2F239084}"/>
    <cellStyle name="Comma [0] 2 8" xfId="244" xr:uid="{00000000-0005-0000-0000-00003F0A0000}"/>
    <cellStyle name="Comma [0] 2 8 2" xfId="6667" xr:uid="{E0616EAB-E47E-43E0-8B10-8BFC0DCA7E69}"/>
    <cellStyle name="Comma [0] 2 8 2 2" xfId="9348" xr:uid="{0A990A91-0428-416B-B780-A9BD20DE7383}"/>
    <cellStyle name="Comma [0] 2 8 3" xfId="6666" xr:uid="{3E1A3BEB-5A26-4250-8EA8-72F581EE210B}"/>
    <cellStyle name="Comma [0] 2 8 3 2" xfId="9347" xr:uid="{07C5BB7F-2896-4DBA-BB06-6A67D883E629}"/>
    <cellStyle name="Comma [0] 2 8 4" xfId="7231" xr:uid="{CD10F739-D659-49CB-B6F1-1BC0AB598BEC}"/>
    <cellStyle name="Comma [0] 2 9" xfId="245" xr:uid="{00000000-0005-0000-0000-0000400A0000}"/>
    <cellStyle name="Comma [0] 2 9 2" xfId="6576" xr:uid="{C121ABF3-CC8C-47D8-A91F-A015591654ED}"/>
    <cellStyle name="Comma [0] 2 9 2 2" xfId="9264" xr:uid="{745C0864-BA3E-4734-9A37-07526CD03F22}"/>
    <cellStyle name="Comma [0] 2_53 Pelelangan Pengadaan CO &amp; Arrester" xfId="3871" xr:uid="{00000000-0005-0000-0000-0000410A0000}"/>
    <cellStyle name="Comma [0] 20" xfId="246" xr:uid="{00000000-0005-0000-0000-0000420A0000}"/>
    <cellStyle name="Comma [0] 20 2" xfId="247" xr:uid="{00000000-0005-0000-0000-0000430A0000}"/>
    <cellStyle name="Comma [0] 20 2 2" xfId="3872" xr:uid="{00000000-0005-0000-0000-0000440A0000}"/>
    <cellStyle name="Comma [0] 20 2 2 2" xfId="6600" xr:uid="{95384709-981E-4B20-AF16-90026970BA15}"/>
    <cellStyle name="Comma [0] 20 2 2 2 2" xfId="9285" xr:uid="{01B74895-8AE8-482F-8DD7-4F6F9FE11016}"/>
    <cellStyle name="Comma [0] 20 2 2 3" xfId="7575" xr:uid="{39F51A3F-2997-40DC-9218-E6566CBEEBC4}"/>
    <cellStyle name="Comma [0] 20 2 3" xfId="6061" xr:uid="{00000000-0005-0000-0000-0000450A0000}"/>
    <cellStyle name="Comma [0] 20 2 3 2" xfId="8873" xr:uid="{92F14213-163C-447F-9C36-DD6BAE2651AC}"/>
    <cellStyle name="Comma [0] 20 2 4" xfId="6544" xr:uid="{7E358580-D60B-41FF-BAE4-25FBE327C1E5}"/>
    <cellStyle name="Comma [0] 20 2 4 2" xfId="9247" xr:uid="{D6C0B579-2801-4C8A-AC00-11B7AD7B0652}"/>
    <cellStyle name="Comma [0] 20 2 5" xfId="7232" xr:uid="{159DEF09-CA4B-47C9-8482-A2B23AC9FD66}"/>
    <cellStyle name="Comma [0] 20 3" xfId="5700" xr:uid="{00000000-0005-0000-0000-0000460A0000}"/>
    <cellStyle name="Comma [0] 20 3 2" xfId="6579" xr:uid="{6F116A92-8E59-403F-BACC-049EF42B78C0}"/>
    <cellStyle name="Comma [0] 20 3 2 2" xfId="9266" xr:uid="{522283A5-72CD-4D02-82FC-B46235A272F9}"/>
    <cellStyle name="Comma [0] 20 3 3" xfId="8597" xr:uid="{501D77DE-BCA5-4CAE-9D5D-EDFE118FD7EA}"/>
    <cellStyle name="Comma [0] 20 4" xfId="6474" xr:uid="{3B835C4E-A71A-409B-B402-B6ACEE69C874}"/>
    <cellStyle name="Comma [0] 20 4 2" xfId="9212" xr:uid="{43F21DDE-2D01-477A-A75E-576B7091FC37}"/>
    <cellStyle name="Comma [0] 21" xfId="248" xr:uid="{00000000-0005-0000-0000-0000470A0000}"/>
    <cellStyle name="Comma [0] 21 2" xfId="249" xr:uid="{00000000-0005-0000-0000-0000480A0000}"/>
    <cellStyle name="Comma [0] 21 2 2" xfId="3873" xr:uid="{00000000-0005-0000-0000-0000490A0000}"/>
    <cellStyle name="Comma [0] 21 2 2 2" xfId="6429" xr:uid="{4192F4E5-3347-48CA-9105-89D26800B9BB}"/>
    <cellStyle name="Comma [0] 21 2 2 2 2" xfId="9173" xr:uid="{18522FC1-14CC-4265-9948-B1FECFD50307}"/>
    <cellStyle name="Comma [0] 21 2 2 3" xfId="7576" xr:uid="{EF046B80-A7C7-42A6-996F-AF02CC176B62}"/>
    <cellStyle name="Comma [0] 21 2 3" xfId="6062" xr:uid="{00000000-0005-0000-0000-00004A0A0000}"/>
    <cellStyle name="Comma [0] 21 2 3 2" xfId="8874" xr:uid="{3D0391F0-B232-45C0-9B21-E691744EEEEA}"/>
    <cellStyle name="Comma [0] 21 2 4" xfId="6536" xr:uid="{52D49D26-C378-44F3-B2BA-9B3F25609F6E}"/>
    <cellStyle name="Comma [0] 21 2 4 2" xfId="9243" xr:uid="{257CEFE2-70F4-4532-AA71-30AD93F4450E}"/>
    <cellStyle name="Comma [0] 21 2 5" xfId="7233" xr:uid="{8B1ED69C-538E-40C5-B3EF-83125A48F96D}"/>
    <cellStyle name="Comma [0] 21 3" xfId="5701" xr:uid="{00000000-0005-0000-0000-00004B0A0000}"/>
    <cellStyle name="Comma [0] 21 3 2" xfId="6540" xr:uid="{FA0AA191-ECCB-4859-9C3C-24E45B116B60}"/>
    <cellStyle name="Comma [0] 21 3 2 2" xfId="9245" xr:uid="{3035F37A-DF8D-4763-89F1-9D6BFDA6A09F}"/>
    <cellStyle name="Comma [0] 21 3 3" xfId="8598" xr:uid="{589A14F3-9FE2-4C83-A75A-CE3B8FF71EFC}"/>
    <cellStyle name="Comma [0] 21 4" xfId="6478" xr:uid="{42AFABFF-DCBA-41BD-84C8-3E00BFABAC86}"/>
    <cellStyle name="Comma [0] 21 4 2" xfId="9216" xr:uid="{EE7E338C-8EDA-4E90-906D-B060262C9BB6}"/>
    <cellStyle name="Comma [0] 22" xfId="250" xr:uid="{00000000-0005-0000-0000-00004C0A0000}"/>
    <cellStyle name="Comma [0] 22 2" xfId="251" xr:uid="{00000000-0005-0000-0000-00004D0A0000}"/>
    <cellStyle name="Comma [0] 22 2 2" xfId="5703" xr:uid="{00000000-0005-0000-0000-00004E0A0000}"/>
    <cellStyle name="Comma [0] 22 2 2 2" xfId="6063" xr:uid="{00000000-0005-0000-0000-00004F0A0000}"/>
    <cellStyle name="Comma [0] 22 2 2 2 2" xfId="8875" xr:uid="{1362795E-3000-4AB0-AE21-1B9DCD2B22F0}"/>
    <cellStyle name="Comma [0] 22 2 2 3" xfId="8600" xr:uid="{6CB11BC2-3A77-4E5D-BB5F-9EC98CEFD934}"/>
    <cellStyle name="Comma [0] 22 3" xfId="5702" xr:uid="{00000000-0005-0000-0000-0000500A0000}"/>
    <cellStyle name="Comma [0] 22 3 2" xfId="6064" xr:uid="{00000000-0005-0000-0000-0000510A0000}"/>
    <cellStyle name="Comma [0] 22 3 2 2" xfId="6669" xr:uid="{85FD4125-6CD1-466A-B1D1-412B4F30FBBE}"/>
    <cellStyle name="Comma [0] 22 3 2 2 2" xfId="9350" xr:uid="{B79CF01D-C198-4892-BF75-0113D87A71DF}"/>
    <cellStyle name="Comma [0] 22 3 2 3" xfId="8876" xr:uid="{E684AAD0-E6EA-4331-B2CA-4A7DD55B4346}"/>
    <cellStyle name="Comma [0] 22 3 3" xfId="6607" xr:uid="{BC3A8668-C214-473D-980E-100BCF9D42E3}"/>
    <cellStyle name="Comma [0] 22 3 3 2" xfId="9292" xr:uid="{A24F2534-75D4-4B9B-B7F3-9BF74BC72182}"/>
    <cellStyle name="Comma [0] 22 3 4" xfId="8599" xr:uid="{DE7F96D1-A5AF-48C0-9A79-E5BAFFCE147F}"/>
    <cellStyle name="Comma [0] 22 4" xfId="6671" xr:uid="{A5F42ADD-DDF8-43CF-9A9F-F2DA086FF753}"/>
    <cellStyle name="Comma [0] 22 4 2" xfId="9352" xr:uid="{0BC6F2B9-78B4-481A-AEF2-16410A0C05A9}"/>
    <cellStyle name="Comma [0] 23" xfId="252" xr:uid="{00000000-0005-0000-0000-0000520A0000}"/>
    <cellStyle name="Comma [0] 23 2" xfId="253" xr:uid="{00000000-0005-0000-0000-0000530A0000}"/>
    <cellStyle name="Comma [0] 23 2 2" xfId="5705" xr:uid="{00000000-0005-0000-0000-0000540A0000}"/>
    <cellStyle name="Comma [0] 23 2 2 2" xfId="6065" xr:uid="{00000000-0005-0000-0000-0000550A0000}"/>
    <cellStyle name="Comma [0] 23 2 2 2 2" xfId="8877" xr:uid="{C78D855F-8DD7-44D0-BA08-02E96037E111}"/>
    <cellStyle name="Comma [0] 23 2 2 3" xfId="8602" xr:uid="{1F5A1708-CEB2-4392-A3BF-53EB15D92DFC}"/>
    <cellStyle name="Comma [0] 23 3" xfId="5704" xr:uid="{00000000-0005-0000-0000-0000560A0000}"/>
    <cellStyle name="Comma [0] 23 3 2" xfId="6066" xr:uid="{00000000-0005-0000-0000-0000570A0000}"/>
    <cellStyle name="Comma [0] 23 3 2 2" xfId="6674" xr:uid="{FF671576-5076-41AB-8C94-7FC913811E19}"/>
    <cellStyle name="Comma [0] 23 3 2 2 2" xfId="9355" xr:uid="{A7B9D4E6-567A-4418-B8E9-9CFD8A4D1930}"/>
    <cellStyle name="Comma [0] 23 3 2 3" xfId="8878" xr:uid="{602E8B13-F023-4897-ABE8-B5FC41A7760F}"/>
    <cellStyle name="Comma [0] 23 3 3" xfId="6614" xr:uid="{265CC379-7F00-470F-A4FD-E4EF99A5BE6E}"/>
    <cellStyle name="Comma [0] 23 3 3 2" xfId="9299" xr:uid="{6B184509-DE54-49D2-B0FB-75F871117012}"/>
    <cellStyle name="Comma [0] 23 3 4" xfId="8601" xr:uid="{8A8DAEC3-1129-48D4-8A2B-541485709DCB}"/>
    <cellStyle name="Comma [0] 23 4" xfId="6675" xr:uid="{A61DA9A1-D050-4DE5-96ED-1FA048B1263E}"/>
    <cellStyle name="Comma [0] 23 4 2" xfId="9356" xr:uid="{AB5D452D-3E15-4387-9B7C-2EB727E8CBC6}"/>
    <cellStyle name="Comma [0] 24" xfId="254" xr:uid="{00000000-0005-0000-0000-0000580A0000}"/>
    <cellStyle name="Comma [0] 24 2" xfId="255" xr:uid="{00000000-0005-0000-0000-0000590A0000}"/>
    <cellStyle name="Comma [0] 24 2 2" xfId="3874" xr:uid="{00000000-0005-0000-0000-00005A0A0000}"/>
    <cellStyle name="Comma [0] 24 2 2 2" xfId="6676" xr:uid="{7A0B9A25-EB8E-4B61-9091-B27F284FC8EA}"/>
    <cellStyle name="Comma [0] 24 2 2 2 2" xfId="9357" xr:uid="{DB1EAC65-7A53-43B3-808F-F2E7634B28DB}"/>
    <cellStyle name="Comma [0] 24 2 2 3" xfId="7577" xr:uid="{FF51D6ED-2ECC-496D-A4F7-6BD31796731B}"/>
    <cellStyle name="Comma [0] 24 2 3" xfId="6067" xr:uid="{00000000-0005-0000-0000-00005B0A0000}"/>
    <cellStyle name="Comma [0] 24 2 3 2" xfId="8879" xr:uid="{122F4BD6-8B80-4086-9043-35C04CC162F2}"/>
    <cellStyle name="Comma [0] 24 2 4" xfId="6618" xr:uid="{CFCCE507-F043-4846-8ED3-81625FCA1A00}"/>
    <cellStyle name="Comma [0] 24 2 4 2" xfId="9303" xr:uid="{F92C73D6-776C-4A09-A1D4-748967D88C8F}"/>
    <cellStyle name="Comma [0] 24 2 5" xfId="7234" xr:uid="{B0CA6DDE-4829-4580-9BAE-0C4D76D4BACF}"/>
    <cellStyle name="Comma [0] 24 3" xfId="5706" xr:uid="{00000000-0005-0000-0000-00005C0A0000}"/>
    <cellStyle name="Comma [0] 24 3 2" xfId="6678" xr:uid="{3C301D52-A553-4532-94A2-DC10F101049A}"/>
    <cellStyle name="Comma [0] 24 3 2 2" xfId="9358" xr:uid="{00342C08-CE24-41FB-8F41-968B70D87221}"/>
    <cellStyle name="Comma [0] 24 3 3" xfId="8603" xr:uid="{A59EA7B2-3DF1-4A9C-A41D-031B610E3391}"/>
    <cellStyle name="Comma [0] 24 4" xfId="6616" xr:uid="{85666D4B-2A13-4B06-9D0A-B222B1CAB34A}"/>
    <cellStyle name="Comma [0] 24 4 2" xfId="9301" xr:uid="{3A7A1E77-6BBD-4061-94CF-D6938F80571B}"/>
    <cellStyle name="Comma [0] 25" xfId="256" xr:uid="{00000000-0005-0000-0000-00005D0A0000}"/>
    <cellStyle name="Comma [0] 25 2" xfId="257" xr:uid="{00000000-0005-0000-0000-00005E0A0000}"/>
    <cellStyle name="Comma [0] 25 2 2" xfId="6068" xr:uid="{00000000-0005-0000-0000-00005F0A0000}"/>
    <cellStyle name="Comma [0] 25 2 2 2" xfId="6627" xr:uid="{3BB3EECD-68FB-488B-BC67-34C3DC6ADF6E}"/>
    <cellStyle name="Comma [0] 25 2 2 2 2" xfId="9311" xr:uid="{BBBD2F21-AACC-4C61-ABD9-ED507699514A}"/>
    <cellStyle name="Comma [0] 25 2 2 3" xfId="8880" xr:uid="{ADA901A2-72AE-4A15-91A5-4D9C5E7CD8A0}"/>
    <cellStyle name="Comma [0] 25 2 3" xfId="6681" xr:uid="{A62FD3E0-0D8A-46C1-B113-1191E89F536F}"/>
    <cellStyle name="Comma [0] 25 2 3 2" xfId="9361" xr:uid="{43E1A761-CE38-4E62-9A37-3653140EA88E}"/>
    <cellStyle name="Comma [0] 25 2 4" xfId="7235" xr:uid="{A6496DE0-FA83-40E6-8EA9-CD7BF585C6A6}"/>
    <cellStyle name="Comma [0] 25 3" xfId="5707" xr:uid="{00000000-0005-0000-0000-0000600A0000}"/>
    <cellStyle name="Comma [0] 25 3 2" xfId="6682" xr:uid="{88B920FA-6181-4EAD-A860-AC74B4E2D1B9}"/>
    <cellStyle name="Comma [0] 25 3 2 2" xfId="9362" xr:uid="{BA17B167-6979-4226-8244-228E3CEB6EBB}"/>
    <cellStyle name="Comma [0] 25 3 3" xfId="8604" xr:uid="{F52F1F98-EEF3-4109-AB30-1A96276613DE}"/>
    <cellStyle name="Comma [0] 25 4" xfId="6680" xr:uid="{BA3C05AA-4542-44CD-9693-A965DB8F1136}"/>
    <cellStyle name="Comma [0] 25 4 2" xfId="9360" xr:uid="{8458063C-F984-486C-930E-109D32D052E5}"/>
    <cellStyle name="Comma [0] 26" xfId="258" xr:uid="{00000000-0005-0000-0000-0000610A0000}"/>
    <cellStyle name="Comma [0] 26 2" xfId="259" xr:uid="{00000000-0005-0000-0000-0000620A0000}"/>
    <cellStyle name="Comma [0] 26 2 2" xfId="1839" xr:uid="{00000000-0005-0000-0000-0000630A0000}"/>
    <cellStyle name="Comma [0] 26 2 2 2" xfId="3875" xr:uid="{00000000-0005-0000-0000-0000640A0000}"/>
    <cellStyle name="Comma [0] 26 2 2 2 2" xfId="6691" xr:uid="{BAA65E76-3834-4982-97F1-AC28CF9DCA5F}"/>
    <cellStyle name="Comma [0] 26 2 2 2 2 2" xfId="9370" xr:uid="{AC6CBAC2-1005-411B-A744-AB51CD1BEE2E}"/>
    <cellStyle name="Comma [0] 26 2 2 2 3" xfId="7578" xr:uid="{2A6E46EC-57AB-4F1C-8761-CA08400B1572}"/>
    <cellStyle name="Comma [0] 26 2 2 3" xfId="6689" xr:uid="{EC0F3F4C-8761-4E3E-9AD7-82AA6D70C839}"/>
    <cellStyle name="Comma [0] 26 2 2 3 2" xfId="9368" xr:uid="{8038A2DD-C9F0-46A3-87E7-DE1B5DE879B3}"/>
    <cellStyle name="Comma [0] 26 2 2 4" xfId="7452" xr:uid="{BE801E7F-6549-4C5A-9C57-2C604305E18E}"/>
    <cellStyle name="Comma [0] 26 2 3" xfId="3876" xr:uid="{00000000-0005-0000-0000-0000650A0000}"/>
    <cellStyle name="Comma [0] 26 2 3 2" xfId="6628" xr:uid="{45C6501D-5914-416C-98A6-89AE6049A526}"/>
    <cellStyle name="Comma [0] 26 2 3 2 2" xfId="9312" xr:uid="{2F83976A-2808-4FCD-911C-544274434868}"/>
    <cellStyle name="Comma [0] 26 2 3 3" xfId="7579" xr:uid="{427301EF-0CD6-41E3-8588-6B9DC683E97C}"/>
    <cellStyle name="Comma [0] 26 2 4" xfId="3877" xr:uid="{00000000-0005-0000-0000-0000660A0000}"/>
    <cellStyle name="Comma [0] 26 2 4 2" xfId="7580" xr:uid="{23F9D900-1CFD-4063-B23F-A526AE6320D6}"/>
    <cellStyle name="Comma [0] 26 2 5" xfId="6069" xr:uid="{00000000-0005-0000-0000-0000670A0000}"/>
    <cellStyle name="Comma [0] 26 2 5 2" xfId="8881" xr:uid="{4876A44D-A090-4658-B557-596BD48808CE}"/>
    <cellStyle name="Comma [0] 26 2 6" xfId="6686" xr:uid="{E499F190-2791-4F12-B201-E1F057FF20D6}"/>
    <cellStyle name="Comma [0] 26 2 6 2" xfId="9365" xr:uid="{C06882A2-5346-4BB3-9067-639CFFC2EF2E}"/>
    <cellStyle name="Comma [0] 26 2 7" xfId="7236" xr:uid="{40ABB6C3-2C05-4935-A8E2-828A282D3961}"/>
    <cellStyle name="Comma [0] 26 3" xfId="260" xr:uid="{00000000-0005-0000-0000-0000680A0000}"/>
    <cellStyle name="Comma [0] 26 3 2" xfId="6695" xr:uid="{22C513B4-6DCE-4B37-8BAB-BB0E2FC5980C}"/>
    <cellStyle name="Comma [0] 26 3 2 2" xfId="9374" xr:uid="{FDB373EE-D6EA-4EF6-A2A1-7C9279DCC608}"/>
    <cellStyle name="Comma [0] 26 3 3" xfId="6692" xr:uid="{7AB99879-CA90-43FE-A072-4253C2466344}"/>
    <cellStyle name="Comma [0] 26 3 3 2" xfId="9371" xr:uid="{A380AD1D-93D5-45B3-9AB7-81DF6479BA14}"/>
    <cellStyle name="Comma [0] 26 3 4" xfId="7237" xr:uid="{A5E5A43C-12F0-4BE8-B9A4-6719E06E02C1}"/>
    <cellStyle name="Comma [0] 26 4" xfId="1840" xr:uid="{00000000-0005-0000-0000-0000690A0000}"/>
    <cellStyle name="Comma [0] 26 4 2" xfId="6697" xr:uid="{7852F704-7DF0-4DE7-BC85-6D8ED3C2B375}"/>
    <cellStyle name="Comma [0] 26 4 2 2" xfId="9376" xr:uid="{2283088E-4DB8-4ABA-A320-FE8C223EC878}"/>
    <cellStyle name="Comma [0] 26 4 3" xfId="6696" xr:uid="{DDBE4515-C9F1-4F15-997A-2BF92FE09B0F}"/>
    <cellStyle name="Comma [0] 26 4 3 2" xfId="9375" xr:uid="{4159C466-78B3-482E-A229-B78794D0392D}"/>
    <cellStyle name="Comma [0] 26 4 4" xfId="7453" xr:uid="{7C1213FC-6F8A-4843-A2C6-0A8B33D14EEF}"/>
    <cellStyle name="Comma [0] 26 5" xfId="3878" xr:uid="{00000000-0005-0000-0000-00006A0A0000}"/>
    <cellStyle name="Comma [0] 26 5 2" xfId="6699" xr:uid="{47636B25-7A47-4B94-8CFD-EA7C8FE81932}"/>
    <cellStyle name="Comma [0] 26 5 2 2" xfId="9378" xr:uid="{DDE8031C-783F-4CFA-9CE1-15EE5AF3AB6F}"/>
    <cellStyle name="Comma [0] 26 5 3" xfId="7581" xr:uid="{1C29D307-B37B-4B29-AEAD-9A5B02481A0A}"/>
    <cellStyle name="Comma [0] 26 6" xfId="5708" xr:uid="{00000000-0005-0000-0000-00006B0A0000}"/>
    <cellStyle name="Comma [0] 26 6 2" xfId="8605" xr:uid="{3E3F292F-2226-4822-BEF2-73D62E5B2F6A}"/>
    <cellStyle name="Comma [0] 26 7" xfId="6684" xr:uid="{D4CD057F-3350-46F5-B1BB-34089B5AD224}"/>
    <cellStyle name="Comma [0] 26 7 2" xfId="9363" xr:uid="{BDE54D29-A98C-4E25-BFAC-19C84D0B9CEF}"/>
    <cellStyle name="Comma [0] 27" xfId="261" xr:uid="{00000000-0005-0000-0000-00006C0A0000}"/>
    <cellStyle name="Comma [0] 27 2" xfId="3879" xr:uid="{00000000-0005-0000-0000-00006D0A0000}"/>
    <cellStyle name="Comma [0] 27 2 2" xfId="6070" xr:uid="{00000000-0005-0000-0000-00006E0A0000}"/>
    <cellStyle name="Comma [0] 27 2 2 2" xfId="8882" xr:uid="{CE4816B9-B331-404B-A455-42855E22760C}"/>
    <cellStyle name="Comma [0] 27 2 3" xfId="6703" xr:uid="{F69D9A26-3D99-4EEE-AD86-115AFCFA9308}"/>
    <cellStyle name="Comma [0] 27 2 3 2" xfId="9382" xr:uid="{122F4156-3326-49A0-9BE5-29A1BD9F6900}"/>
    <cellStyle name="Comma [0] 27 2 4" xfId="7582" xr:uid="{4BB49E56-349F-43F7-B8A1-8C44E42BF69D}"/>
    <cellStyle name="Comma [0] 27 3" xfId="5709" xr:uid="{00000000-0005-0000-0000-00006F0A0000}"/>
    <cellStyle name="Comma [0] 27 3 2" xfId="8606" xr:uid="{E423F4F9-7333-4D5C-8EF9-06F99C2AB677}"/>
    <cellStyle name="Comma [0] 27 4" xfId="6701" xr:uid="{46B671E3-019C-495E-B5DE-96D2BD5D3B0E}"/>
    <cellStyle name="Comma [0] 27 4 2" xfId="9380" xr:uid="{211B88E9-8B39-4569-92E3-961606985B04}"/>
    <cellStyle name="Comma [0] 28" xfId="262" xr:uid="{00000000-0005-0000-0000-0000700A0000}"/>
    <cellStyle name="Comma [0] 28 2" xfId="3880" xr:uid="{00000000-0005-0000-0000-0000710A0000}"/>
    <cellStyle name="Comma [0] 28 2 2" xfId="6071" xr:uid="{00000000-0005-0000-0000-0000720A0000}"/>
    <cellStyle name="Comma [0] 28 2 2 2" xfId="8883" xr:uid="{859DD099-6563-408F-9A56-506BD884226A}"/>
    <cellStyle name="Comma [0] 28 2 3" xfId="6485" xr:uid="{1E376A62-615C-4C00-90F1-322B7F1E9424}"/>
    <cellStyle name="Comma [0] 28 2 3 2" xfId="9219" xr:uid="{E362C7A3-2A10-4BC5-9727-27551BB79465}"/>
    <cellStyle name="Comma [0] 28 2 4" xfId="7583" xr:uid="{5CDD4CA5-AF0F-499C-ACF1-D770E330912E}"/>
    <cellStyle name="Comma [0] 28 3" xfId="5710" xr:uid="{00000000-0005-0000-0000-0000730A0000}"/>
    <cellStyle name="Comma [0] 28 3 2" xfId="8607" xr:uid="{9A690DA8-E08C-4F21-A369-322B47D7DB40}"/>
    <cellStyle name="Comma [0] 28 4" xfId="6435" xr:uid="{9C9D2DDE-3817-4E3A-8974-E0C017556F98}"/>
    <cellStyle name="Comma [0] 28 4 2" xfId="9179" xr:uid="{1B45617F-A83C-4E06-8554-26050F515AE3}"/>
    <cellStyle name="Comma [0] 29" xfId="263" xr:uid="{00000000-0005-0000-0000-0000740A0000}"/>
    <cellStyle name="Comma [0] 29 2" xfId="1841" xr:uid="{00000000-0005-0000-0000-0000750A0000}"/>
    <cellStyle name="Comma [0] 29 2 2" xfId="1842" xr:uid="{00000000-0005-0000-0000-0000760A0000}"/>
    <cellStyle name="Comma [0] 29 2 2 2" xfId="7455" xr:uid="{D2B7AA74-FAF4-45F8-8862-B35D4B5FBF3C}"/>
    <cellStyle name="Comma [0] 29 2 3" xfId="6072" xr:uid="{00000000-0005-0000-0000-0000770A0000}"/>
    <cellStyle name="Comma [0] 29 2 3 2" xfId="8884" xr:uid="{4C3F23AC-33B1-488A-8437-537E1952CAAB}"/>
    <cellStyle name="Comma [0] 29 2 4" xfId="6488" xr:uid="{67BC6353-3F5B-4D4B-BF0B-97B9EA6BD61B}"/>
    <cellStyle name="Comma [0] 29 2 4 2" xfId="9221" xr:uid="{9331ECD3-B7F6-4580-BC2C-AC165E11D06A}"/>
    <cellStyle name="Comma [0] 29 2 5" xfId="7454" xr:uid="{884281FB-A92B-418B-A32C-EA14CCF76A19}"/>
    <cellStyle name="Comma [0] 29 3" xfId="1843" xr:uid="{00000000-0005-0000-0000-0000780A0000}"/>
    <cellStyle name="Comma [0] 29 3 2" xfId="7456" xr:uid="{B4E85FD5-D2FF-4104-9B9F-C81BD3F511AA}"/>
    <cellStyle name="Comma [0] 29 4" xfId="3881" xr:uid="{00000000-0005-0000-0000-0000790A0000}"/>
    <cellStyle name="Comma [0] 29 4 2" xfId="7584" xr:uid="{A4AECA91-8495-4FA8-9CB4-95626F4305D1}"/>
    <cellStyle name="Comma [0] 29 5" xfId="5711" xr:uid="{00000000-0005-0000-0000-00007A0A0000}"/>
    <cellStyle name="Comma [0] 29 5 2" xfId="8608" xr:uid="{EBCD9053-CFE6-47B2-9F77-E40C9928372A}"/>
    <cellStyle name="Comma [0] 29 6" xfId="6450" xr:uid="{824E5966-75D1-4124-833D-D2701960F495}"/>
    <cellStyle name="Comma [0] 29 6 2" xfId="9193" xr:uid="{A6860F99-439E-4067-949C-88B35066D0A6}"/>
    <cellStyle name="Comma [0] 3" xfId="264" xr:uid="{00000000-0005-0000-0000-00007B0A0000}"/>
    <cellStyle name="Comma [0] 3 10" xfId="5712" xr:uid="{00000000-0005-0000-0000-00007C0A0000}"/>
    <cellStyle name="Comma [0] 3 10 2" xfId="8609" xr:uid="{3AFF86A7-6D26-48F7-B3AA-FBAD918874AD}"/>
    <cellStyle name="Comma [0] 3 11" xfId="7188" xr:uid="{F0309503-29DE-478A-91F4-A03C92418222}"/>
    <cellStyle name="Comma [0] 3 11 2" xfId="9696" xr:uid="{42731B70-472D-4368-9A22-02C2FE2FB1EB}"/>
    <cellStyle name="Comma [0] 3 2" xfId="265" xr:uid="{00000000-0005-0000-0000-00007D0A0000}"/>
    <cellStyle name="Comma [0] 3 2 2" xfId="266" xr:uid="{00000000-0005-0000-0000-00007E0A0000}"/>
    <cellStyle name="Comma [0] 3 2 2 2" xfId="5714" xr:uid="{00000000-0005-0000-0000-00007F0A0000}"/>
    <cellStyle name="Comma [0] 3 2 2 2 2" xfId="6073" xr:uid="{00000000-0005-0000-0000-0000800A0000}"/>
    <cellStyle name="Comma [0] 3 2 2 2 2 2" xfId="8885" xr:uid="{A7FBC994-737F-446B-BEC3-1C6414001F07}"/>
    <cellStyle name="Comma [0] 3 2 2 2 3" xfId="8611" xr:uid="{445065F8-2FF5-49FB-AD38-69B376195665}"/>
    <cellStyle name="Comma [0] 3 2 3" xfId="267" xr:uid="{00000000-0005-0000-0000-0000810A0000}"/>
    <cellStyle name="Comma [0] 3 2 3 2" xfId="6074" xr:uid="{00000000-0005-0000-0000-0000820A0000}"/>
    <cellStyle name="Comma [0] 3 2 3 2 2" xfId="8886" xr:uid="{EB2C3A7E-BEB7-4242-A5A8-7C2829861128}"/>
    <cellStyle name="Comma [0] 3 2 3 3" xfId="7238" xr:uid="{68AAD686-25D2-4FA5-B2D2-49DBD175ECD6}"/>
    <cellStyle name="Comma [0] 3 2 4" xfId="268" xr:uid="{00000000-0005-0000-0000-0000830A0000}"/>
    <cellStyle name="Comma [0] 3 2 4 2" xfId="7239" xr:uid="{37611CD0-A34F-4A12-8994-A0283E560DA8}"/>
    <cellStyle name="Comma [0] 3 2 5" xfId="5713" xr:uid="{00000000-0005-0000-0000-0000840A0000}"/>
    <cellStyle name="Comma [0] 3 2 5 2" xfId="8610" xr:uid="{53792EDD-51B8-4618-AE66-7ECD1CE2F746}"/>
    <cellStyle name="Comma [0] 3 3" xfId="269" xr:uid="{00000000-0005-0000-0000-0000850A0000}"/>
    <cellStyle name="Comma [0] 3 3 2" xfId="5716" xr:uid="{00000000-0005-0000-0000-0000860A0000}"/>
    <cellStyle name="Comma [0] 3 3 2 2" xfId="6075" xr:uid="{00000000-0005-0000-0000-0000870A0000}"/>
    <cellStyle name="Comma [0] 3 3 2 2 2" xfId="8887" xr:uid="{786AC63E-A09E-4B71-AAD0-6E13C130D4E2}"/>
    <cellStyle name="Comma [0] 3 3 2 3" xfId="8613" xr:uid="{20A734CE-A793-4FFD-A5C3-4A9151B00BA8}"/>
    <cellStyle name="Comma [0] 3 3 3" xfId="5715" xr:uid="{00000000-0005-0000-0000-0000880A0000}"/>
    <cellStyle name="Comma [0] 3 3 3 2" xfId="6076" xr:uid="{00000000-0005-0000-0000-0000890A0000}"/>
    <cellStyle name="Comma [0] 3 3 3 2 2" xfId="8888" xr:uid="{793B4453-F105-4B35-9856-BFD13281407B}"/>
    <cellStyle name="Comma [0] 3 3 3 3" xfId="8612" xr:uid="{7B46BFCD-C0D2-41DD-9A93-50A15B361C2B}"/>
    <cellStyle name="Comma [0] 3 4" xfId="270" xr:uid="{00000000-0005-0000-0000-00008A0A0000}"/>
    <cellStyle name="Comma [0] 3 4 2" xfId="1844" xr:uid="{00000000-0005-0000-0000-00008B0A0000}"/>
    <cellStyle name="Comma [0] 3 4 2 2" xfId="6077" xr:uid="{00000000-0005-0000-0000-00008C0A0000}"/>
    <cellStyle name="Comma [0] 3 4 2 2 2" xfId="8889" xr:uid="{5D48B844-68F9-4DDA-88C7-CF1165991C4D}"/>
    <cellStyle name="Comma [0] 3 4 2 3" xfId="6726" xr:uid="{311130D1-DD59-43B1-AFAE-E84BC08EFFDA}"/>
    <cellStyle name="Comma [0] 3 4 2 3 2" xfId="9396" xr:uid="{F3684258-359D-4172-B3BC-43B433DD4B53}"/>
    <cellStyle name="Comma [0] 3 4 2 4" xfId="7457" xr:uid="{51A74F0B-B2E4-44DD-87A3-02ADFB9B032D}"/>
    <cellStyle name="Comma [0] 3 4 3" xfId="3882" xr:uid="{00000000-0005-0000-0000-00008D0A0000}"/>
    <cellStyle name="Comma [0] 3 4 3 2" xfId="7585" xr:uid="{F79B3947-D943-4B92-BFB4-4C5BC436B5BB}"/>
    <cellStyle name="Comma [0] 3 4 4" xfId="5717" xr:uid="{00000000-0005-0000-0000-00008E0A0000}"/>
    <cellStyle name="Comma [0] 3 4 4 2" xfId="8614" xr:uid="{771D52B0-B1D6-4F13-AA52-B8AA578483CF}"/>
    <cellStyle name="Comma [0] 3 4 5" xfId="6723" xr:uid="{FD4D47D6-2801-4373-B57F-C26129CEA010}"/>
    <cellStyle name="Comma [0] 3 4 5 2" xfId="9393" xr:uid="{0C34A857-09D2-40A2-AAD4-025A8C72FF44}"/>
    <cellStyle name="Comma [0] 3 5" xfId="271" xr:uid="{00000000-0005-0000-0000-00008F0A0000}"/>
    <cellStyle name="Comma [0] 3 5 2" xfId="5718" xr:uid="{00000000-0005-0000-0000-0000900A0000}"/>
    <cellStyle name="Comma [0] 3 5 2 2" xfId="6078" xr:uid="{00000000-0005-0000-0000-0000910A0000}"/>
    <cellStyle name="Comma [0] 3 5 2 2 2" xfId="8890" xr:uid="{17D1A8A5-B600-4D1F-8A2B-E5275F20F953}"/>
    <cellStyle name="Comma [0] 3 5 2 3" xfId="6734" xr:uid="{63561534-2391-43F7-85B4-123F5BA07758}"/>
    <cellStyle name="Comma [0] 3 5 2 3 2" xfId="9401" xr:uid="{652746A0-B42B-47F5-A66B-B032AC36C45B}"/>
    <cellStyle name="Comma [0] 3 5 2 4" xfId="8615" xr:uid="{652B5A19-922A-4AF1-AB82-DDD1F00F66A2}"/>
    <cellStyle name="Comma [0] 3 5 3" xfId="6731" xr:uid="{D96E1F34-C7E0-41C0-A0FE-92A1C9294FE5}"/>
    <cellStyle name="Comma [0] 3 5 3 2" xfId="9398" xr:uid="{E9AB425D-10CF-4576-B85E-A349B3B25247}"/>
    <cellStyle name="Comma [0] 3 6" xfId="272" xr:uid="{00000000-0005-0000-0000-0000920A0000}"/>
    <cellStyle name="Comma [0] 3 6 2" xfId="6079" xr:uid="{00000000-0005-0000-0000-0000930A0000}"/>
    <cellStyle name="Comma [0] 3 6 2 2" xfId="6741" xr:uid="{A1CE9C0A-9583-4498-8B84-D98F305F5098}"/>
    <cellStyle name="Comma [0] 3 6 2 2 2" xfId="9406" xr:uid="{E76C2609-3D40-4D7D-A777-A7EC04DEB12E}"/>
    <cellStyle name="Comma [0] 3 6 2 3" xfId="8891" xr:uid="{472B19D4-BC67-4C1C-9BFE-6BF23436AD47}"/>
    <cellStyle name="Comma [0] 3 6 3" xfId="6739" xr:uid="{13498C4E-0B96-4DFF-AAC2-F65BEAE049B7}"/>
    <cellStyle name="Comma [0] 3 6 3 2" xfId="9404" xr:uid="{543088C7-8D4B-4852-A62E-C2B69E69334E}"/>
    <cellStyle name="Comma [0] 3 7" xfId="273" xr:uid="{00000000-0005-0000-0000-0000940A0000}"/>
    <cellStyle name="Comma [0] 3 7 2" xfId="6747" xr:uid="{D57814B5-348A-4724-BF93-C76A30CA434B}"/>
    <cellStyle name="Comma [0] 3 7 2 2" xfId="9410" xr:uid="{0ED89C54-DFB6-4636-BFBC-B59196109DC5}"/>
    <cellStyle name="Comma [0] 3 7 3" xfId="6745" xr:uid="{8CF040CF-8DBA-4B8D-9B49-D4A0905BA08C}"/>
    <cellStyle name="Comma [0] 3 7 3 2" xfId="9408" xr:uid="{D3C393F2-5C88-43D0-922F-FCC63BD99EE9}"/>
    <cellStyle name="Comma [0] 3 8" xfId="3883" xr:uid="{00000000-0005-0000-0000-0000950A0000}"/>
    <cellStyle name="Comma [0] 3 8 2" xfId="3884" xr:uid="{00000000-0005-0000-0000-0000960A0000}"/>
    <cellStyle name="Comma [0] 3 8 2 2" xfId="7587" xr:uid="{6FC2140C-3447-4375-8720-5AF73F8BDA50}"/>
    <cellStyle name="Comma [0] 3 8 3" xfId="3885" xr:uid="{00000000-0005-0000-0000-0000970A0000}"/>
    <cellStyle name="Comma [0] 3 8 3 2" xfId="7588" xr:uid="{2B60FC35-4E6A-43BA-97AC-04A823CE3308}"/>
    <cellStyle name="Comma [0] 3 8 4" xfId="6751" xr:uid="{40A75EE8-2E5B-4B5E-BBCB-1F49642B5012}"/>
    <cellStyle name="Comma [0] 3 8 4 2" xfId="9412" xr:uid="{54C017E2-CCE4-4762-9C89-1D15A93F65DE}"/>
    <cellStyle name="Comma [0] 3 8 5" xfId="7586" xr:uid="{14B0CD7F-F312-4E61-A820-831CDD38FA12}"/>
    <cellStyle name="Comma [0] 3 9" xfId="3886" xr:uid="{00000000-0005-0000-0000-0000980A0000}"/>
    <cellStyle name="Comma [0] 3 9 2" xfId="6704" xr:uid="{410839AA-F102-471C-96C7-D7E8C186DB03}"/>
    <cellStyle name="Comma [0] 3 9 2 2" xfId="9383" xr:uid="{8E4FCE37-EAE6-4762-B9BF-D970C6E56EB8}"/>
    <cellStyle name="Comma [0] 3 9 3" xfId="7589" xr:uid="{53CA5F4E-61A6-4A6D-90A4-A65EAD0706F6}"/>
    <cellStyle name="Comma [0] 3_JUNI" xfId="5719" xr:uid="{00000000-0005-0000-0000-0000990A0000}"/>
    <cellStyle name="Comma [0] 30" xfId="274" xr:uid="{00000000-0005-0000-0000-00009A0A0000}"/>
    <cellStyle name="Comma [0] 30 2" xfId="1845" xr:uid="{00000000-0005-0000-0000-00009B0A0000}"/>
    <cellStyle name="Comma [0] 30 2 2" xfId="1846" xr:uid="{00000000-0005-0000-0000-00009C0A0000}"/>
    <cellStyle name="Comma [0] 30 2 2 2" xfId="7459" xr:uid="{6E7391F3-6FF0-4CC6-9DB7-5B0E32CB605D}"/>
    <cellStyle name="Comma [0] 30 2 3" xfId="6080" xr:uid="{00000000-0005-0000-0000-00009D0A0000}"/>
    <cellStyle name="Comma [0] 30 2 3 2" xfId="8892" xr:uid="{A1F005BC-75DF-497C-94FC-787323950C72}"/>
    <cellStyle name="Comma [0] 30 2 4" xfId="7458" xr:uid="{E6FCD027-D802-453B-92AC-6417C16BF010}"/>
    <cellStyle name="Comma [0] 30 3" xfId="3887" xr:uid="{00000000-0005-0000-0000-00009E0A0000}"/>
    <cellStyle name="Comma [0] 30 3 2" xfId="7590" xr:uid="{551D1272-757B-4508-AA4A-A359A6429312}"/>
    <cellStyle name="Comma [0] 30 4" xfId="5720" xr:uid="{00000000-0005-0000-0000-00009F0A0000}"/>
    <cellStyle name="Comma [0] 30 4 2" xfId="8616" xr:uid="{5C4A2722-AE66-493D-94D9-015BC32054A6}"/>
    <cellStyle name="Comma [0] 31" xfId="275" xr:uid="{00000000-0005-0000-0000-0000A00A0000}"/>
    <cellStyle name="Comma [0] 31 2" xfId="3888" xr:uid="{00000000-0005-0000-0000-0000A10A0000}"/>
    <cellStyle name="Comma [0] 31 2 2" xfId="6081" xr:uid="{00000000-0005-0000-0000-0000A20A0000}"/>
    <cellStyle name="Comma [0] 31 2 2 2" xfId="8893" xr:uid="{10AAE01A-B52F-4301-B842-E5809B8FC95A}"/>
    <cellStyle name="Comma [0] 31 2 3" xfId="7591" xr:uid="{2C01C12E-6CCF-4AAD-8F4E-1091EFE7C5D2}"/>
    <cellStyle name="Comma [0] 31 3" xfId="5721" xr:uid="{00000000-0005-0000-0000-0000A30A0000}"/>
    <cellStyle name="Comma [0] 31 3 2" xfId="8617" xr:uid="{17A1C1D2-B275-4BA8-AD45-4E1DEDA7A7B5}"/>
    <cellStyle name="Comma [0] 32" xfId="276" xr:uid="{00000000-0005-0000-0000-0000A40A0000}"/>
    <cellStyle name="Comma [0] 32 2" xfId="3889" xr:uid="{00000000-0005-0000-0000-0000A50A0000}"/>
    <cellStyle name="Comma [0] 32 2 2" xfId="6082" xr:uid="{00000000-0005-0000-0000-0000A60A0000}"/>
    <cellStyle name="Comma [0] 32 2 2 2" xfId="8894" xr:uid="{9176DD70-6895-40E7-AFA1-C0585078C6AB}"/>
    <cellStyle name="Comma [0] 32 2 3" xfId="7592" xr:uid="{7B3DF084-CAC1-416B-8C96-43324FDAB7B9}"/>
    <cellStyle name="Comma [0] 32 3" xfId="5722" xr:uid="{00000000-0005-0000-0000-0000A70A0000}"/>
    <cellStyle name="Comma [0] 32 3 2" xfId="8618" xr:uid="{1D881618-7B2C-40E4-9D7A-126150A5AB37}"/>
    <cellStyle name="Comma [0] 33" xfId="277" xr:uid="{00000000-0005-0000-0000-0000A80A0000}"/>
    <cellStyle name="Comma [0] 33 2" xfId="3890" xr:uid="{00000000-0005-0000-0000-0000A90A0000}"/>
    <cellStyle name="Comma [0] 33 2 2" xfId="6083" xr:uid="{00000000-0005-0000-0000-0000AA0A0000}"/>
    <cellStyle name="Comma [0] 33 2 2 2" xfId="8895" xr:uid="{5A5415F2-B5A3-4C76-9ACE-8D5A8ACC3E45}"/>
    <cellStyle name="Comma [0] 33 2 3" xfId="7593" xr:uid="{8E85BE94-48EE-4495-AE77-01DB6EC7AB78}"/>
    <cellStyle name="Comma [0] 33 3" xfId="5723" xr:uid="{00000000-0005-0000-0000-0000AB0A0000}"/>
    <cellStyle name="Comma [0] 33 3 2" xfId="8619" xr:uid="{C57313CE-E57C-4EC7-8D2F-740599536F32}"/>
    <cellStyle name="Comma [0] 34" xfId="278" xr:uid="{00000000-0005-0000-0000-0000AC0A0000}"/>
    <cellStyle name="Comma [0] 34 2" xfId="3891" xr:uid="{00000000-0005-0000-0000-0000AD0A0000}"/>
    <cellStyle name="Comma [0] 34 2 2" xfId="6084" xr:uid="{00000000-0005-0000-0000-0000AE0A0000}"/>
    <cellStyle name="Comma [0] 34 2 2 2" xfId="8896" xr:uid="{B65EA290-DE91-4617-9400-F1CE9BA6DE43}"/>
    <cellStyle name="Comma [0] 34 2 3" xfId="6487" xr:uid="{610A5E8E-8014-4B1E-AF69-3100BB493410}"/>
    <cellStyle name="Comma [0] 34 2 3 2" xfId="9220" xr:uid="{EC27E814-8FC6-4639-AC41-A22ECB1D5717}"/>
    <cellStyle name="Comma [0] 34 3" xfId="3892" xr:uid="{00000000-0005-0000-0000-0000AF0A0000}"/>
    <cellStyle name="Comma [0] 34 3 2" xfId="7594" xr:uid="{1B6E5198-7739-4123-ADC0-9C7679993B03}"/>
    <cellStyle name="Comma [0] 34 4" xfId="5724" xr:uid="{00000000-0005-0000-0000-0000B00A0000}"/>
    <cellStyle name="Comma [0] 34 4 2" xfId="8620" xr:uid="{624533C8-EF5E-4ACB-8194-373781F466CB}"/>
    <cellStyle name="Comma [0] 34 5" xfId="6449" xr:uid="{B3CFF89E-11FB-4F22-BAB6-E46ED7CB4369}"/>
    <cellStyle name="Comma [0] 34 5 2" xfId="9192" xr:uid="{996863A6-EB7A-44AE-84F9-D118B5EB0DB0}"/>
    <cellStyle name="Comma [0] 34 6" xfId="7240" xr:uid="{9F46D540-2C0D-451B-B33B-DBE700667514}"/>
    <cellStyle name="Comma [0] 35" xfId="279" xr:uid="{00000000-0005-0000-0000-0000B10A0000}"/>
    <cellStyle name="Comma [0] 35 2" xfId="3893" xr:uid="{00000000-0005-0000-0000-0000B20A0000}"/>
    <cellStyle name="Comma [0] 35 2 2" xfId="6085" xr:uid="{00000000-0005-0000-0000-0000B30A0000}"/>
    <cellStyle name="Comma [0] 35 2 2 2" xfId="8897" xr:uid="{F6F18303-A0B9-4AB4-8A9A-8C36AC938145}"/>
    <cellStyle name="Comma [0] 35 2 3" xfId="6427" xr:uid="{66F8964D-2D01-4965-A059-2CE881DB719B}"/>
    <cellStyle name="Comma [0] 35 2 3 2" xfId="9172" xr:uid="{17F3C466-4A10-4F0A-8154-B58046E35DF9}"/>
    <cellStyle name="Comma [0] 35 3" xfId="3894" xr:uid="{00000000-0005-0000-0000-0000B40A0000}"/>
    <cellStyle name="Comma [0] 35 3 2" xfId="7595" xr:uid="{3FCE1F28-E97E-4AC2-97A6-20AE0E104C79}"/>
    <cellStyle name="Comma [0] 35 4" xfId="5725" xr:uid="{00000000-0005-0000-0000-0000B50A0000}"/>
    <cellStyle name="Comma [0] 35 4 2" xfId="8621" xr:uid="{855ACF10-5808-40CC-B0F9-74DA4950430D}"/>
    <cellStyle name="Comma [0] 35 5" xfId="6461" xr:uid="{61CBE636-3F05-4848-89E1-F15EC1C878AD}"/>
    <cellStyle name="Comma [0] 35 5 2" xfId="9202" xr:uid="{F129F065-B6DB-464C-B0D2-C6AE6AB83C57}"/>
    <cellStyle name="Comma [0] 35 6" xfId="7241" xr:uid="{099C1C73-4B7E-495E-9C10-AB97F1B05A7F}"/>
    <cellStyle name="Comma [0] 36" xfId="280" xr:uid="{00000000-0005-0000-0000-0000B60A0000}"/>
    <cellStyle name="Comma [0] 36 2" xfId="3895" xr:uid="{00000000-0005-0000-0000-0000B70A0000}"/>
    <cellStyle name="Comma [0] 36 2 2" xfId="6086" xr:uid="{00000000-0005-0000-0000-0000B80A0000}"/>
    <cellStyle name="Comma [0] 36 2 2 2" xfId="8898" xr:uid="{C2C621DC-8595-43D1-A215-D8394E4BABC4}"/>
    <cellStyle name="Comma [0] 36 2 3" xfId="6470" xr:uid="{AC1DA598-621E-450F-A03B-F675AC339E5C}"/>
    <cellStyle name="Comma [0] 36 2 3 2" xfId="9210" xr:uid="{F55D0AA0-66C7-4F94-8509-01D333D56BD8}"/>
    <cellStyle name="Comma [0] 36 3" xfId="3896" xr:uid="{00000000-0005-0000-0000-0000B90A0000}"/>
    <cellStyle name="Comma [0] 36 3 2" xfId="7596" xr:uid="{24361883-A1F1-4076-ACDD-1900FE2A3F83}"/>
    <cellStyle name="Comma [0] 36 4" xfId="5726" xr:uid="{00000000-0005-0000-0000-0000BA0A0000}"/>
    <cellStyle name="Comma [0] 36 4 2" xfId="8622" xr:uid="{F0C9DB46-5F2D-4F6C-9163-36E5CEA74DD1}"/>
    <cellStyle name="Comma [0] 36 5" xfId="6468" xr:uid="{E6A72773-71A3-4EB8-9A4C-FA40FEC75484}"/>
    <cellStyle name="Comma [0] 36 5 2" xfId="9208" xr:uid="{5E8D3F08-25C6-463B-8173-769890A3558B}"/>
    <cellStyle name="Comma [0] 36 6" xfId="7242" xr:uid="{C2F65932-40BC-4853-AB85-1D563448879A}"/>
    <cellStyle name="Comma [0] 37" xfId="281" xr:uid="{00000000-0005-0000-0000-0000BB0A0000}"/>
    <cellStyle name="Comma [0] 37 2" xfId="3897" xr:uid="{00000000-0005-0000-0000-0000BC0A0000}"/>
    <cellStyle name="Comma [0] 37 2 2" xfId="6087" xr:uid="{00000000-0005-0000-0000-0000BD0A0000}"/>
    <cellStyle name="Comma [0] 37 2 2 2" xfId="8899" xr:uid="{1EEED780-5A08-4F1E-ADA8-140F08CBAA4B}"/>
    <cellStyle name="Comma [0] 37 2 3" xfId="6493" xr:uid="{5096D98E-FBF4-491F-BE7B-9FFDAF65F04D}"/>
    <cellStyle name="Comma [0] 37 2 3 2" xfId="9223" xr:uid="{BC7E4987-5E32-469E-B4A3-8C5BE3D23952}"/>
    <cellStyle name="Comma [0] 37 3" xfId="3898" xr:uid="{00000000-0005-0000-0000-0000BE0A0000}"/>
    <cellStyle name="Comma [0] 37 3 2" xfId="7597" xr:uid="{2FD40383-8E58-4898-9BA5-1BB3A38D2059}"/>
    <cellStyle name="Comma [0] 37 4" xfId="5727" xr:uid="{00000000-0005-0000-0000-0000BF0A0000}"/>
    <cellStyle name="Comma [0] 37 4 2" xfId="8623" xr:uid="{9DDD8A37-DAB6-456A-B6F8-FC55231C4C34}"/>
    <cellStyle name="Comma [0] 37 5" xfId="6446" xr:uid="{84399692-55D5-41D7-A530-66CD8115A67D}"/>
    <cellStyle name="Comma [0] 37 5 2" xfId="9189" xr:uid="{CB59754F-4A71-4180-BC93-E32406364063}"/>
    <cellStyle name="Comma [0] 37 6" xfId="7243" xr:uid="{8657635D-72BC-4E22-8AB7-7852E2E2238A}"/>
    <cellStyle name="Comma [0] 38" xfId="282" xr:uid="{00000000-0005-0000-0000-0000C00A0000}"/>
    <cellStyle name="Comma [0] 38 2" xfId="3899" xr:uid="{00000000-0005-0000-0000-0000C10A0000}"/>
    <cellStyle name="Comma [0] 38 2 2" xfId="6088" xr:uid="{00000000-0005-0000-0000-0000C20A0000}"/>
    <cellStyle name="Comma [0] 38 2 2 2" xfId="8900" xr:uid="{132D6935-2766-413E-B4DD-1EC17DB963DC}"/>
    <cellStyle name="Comma [0] 38 2 3" xfId="6497" xr:uid="{7F9274C8-C40A-47A1-900F-62B025D8B810}"/>
    <cellStyle name="Comma [0] 38 2 3 2" xfId="9226" xr:uid="{3B45B6E7-E675-4C69-B66B-5C655895D8B4}"/>
    <cellStyle name="Comma [0] 38 3" xfId="3900" xr:uid="{00000000-0005-0000-0000-0000C30A0000}"/>
    <cellStyle name="Comma [0] 38 3 2" xfId="7598" xr:uid="{55E45A8A-BC5A-4C32-8416-8D49A6D34591}"/>
    <cellStyle name="Comma [0] 38 4" xfId="5728" xr:uid="{00000000-0005-0000-0000-0000C40A0000}"/>
    <cellStyle name="Comma [0] 38 4 2" xfId="8624" xr:uid="{DD0A2BAB-9031-41C3-958D-58AFC50253E2}"/>
    <cellStyle name="Comma [0] 38 5" xfId="6456" xr:uid="{0A3DF090-ADD2-445B-9D06-B427D835D6E4}"/>
    <cellStyle name="Comma [0] 38 5 2" xfId="9197" xr:uid="{85C5884F-7044-47EE-BD0B-3EDA312C6D0F}"/>
    <cellStyle name="Comma [0] 38 6" xfId="7244" xr:uid="{55FB28EF-CF53-452D-8167-BD0583DEBCED}"/>
    <cellStyle name="Comma [0] 39" xfId="283" xr:uid="{00000000-0005-0000-0000-0000C50A0000}"/>
    <cellStyle name="Comma [0] 39 2" xfId="5729" xr:uid="{00000000-0005-0000-0000-0000C60A0000}"/>
    <cellStyle name="Comma [0] 39 2 2" xfId="6089" xr:uid="{00000000-0005-0000-0000-0000C70A0000}"/>
    <cellStyle name="Comma [0] 39 2 2 2" xfId="8901" xr:uid="{9F6A50B1-FC9E-4EBC-A1E4-E5B39090A56F}"/>
    <cellStyle name="Comma [0] 39 2 3" xfId="8625" xr:uid="{1686F72E-A5A3-46C9-ABC1-6D2B5302D6E1}"/>
    <cellStyle name="Comma [0] 4" xfId="284" xr:uid="{00000000-0005-0000-0000-0000C80A0000}"/>
    <cellStyle name="Comma [0] 4 10" xfId="6400" xr:uid="{935C7B8D-6965-4EC4-9C53-533856E897B3}"/>
    <cellStyle name="Comma [0] 4 10 2" xfId="9153" xr:uid="{5CA2DC00-E933-49A9-8303-925AF59ED337}"/>
    <cellStyle name="Comma [0] 4 2" xfId="285" xr:uid="{00000000-0005-0000-0000-0000C90A0000}"/>
    <cellStyle name="Comma [0] 4 2 2" xfId="286" xr:uid="{00000000-0005-0000-0000-0000CA0A0000}"/>
    <cellStyle name="Comma [0] 4 2 2 2" xfId="287" xr:uid="{00000000-0005-0000-0000-0000CB0A0000}"/>
    <cellStyle name="Comma [0] 4 2 2 2 2" xfId="288" xr:uid="{00000000-0005-0000-0000-0000CC0A0000}"/>
    <cellStyle name="Comma [0] 4 2 2 2 2 2" xfId="6762" xr:uid="{B67ABF32-D353-4107-A8C9-F649A2F788D9}"/>
    <cellStyle name="Comma [0] 4 2 2 2 2 2 2" xfId="6763" xr:uid="{7FD24497-7B67-4388-A751-8D112D2D6978}"/>
    <cellStyle name="Comma [0] 4 2 2 2 2 2 2 2" xfId="9423" xr:uid="{E7060143-0173-45E6-A652-0FE0D2F1BA87}"/>
    <cellStyle name="Comma [0] 4 2 2 2 2 2 3" xfId="9422" xr:uid="{6C8B1E7E-3F64-4F15-9C76-FE5B070F5F3D}"/>
    <cellStyle name="Comma [0] 4 2 2 2 2 3" xfId="6764" xr:uid="{7089F172-7EA6-4059-AC7C-83F44A270503}"/>
    <cellStyle name="Comma [0] 4 2 2 2 2 3 2" xfId="9424" xr:uid="{2DA7264B-DE7E-4C0A-8591-9C5562FB21BC}"/>
    <cellStyle name="Comma [0] 4 2 2 2 2 4" xfId="6761" xr:uid="{D2CE8B68-CE8F-4EDA-865F-C115042096C3}"/>
    <cellStyle name="Comma [0] 4 2 2 2 2 4 2" xfId="9421" xr:uid="{5C017D60-B3D1-483F-BEC9-F7ADBDADE391}"/>
    <cellStyle name="Comma [0] 4 2 2 2 3" xfId="6765" xr:uid="{F84A3BD1-0D08-4654-B28F-B0A96355109F}"/>
    <cellStyle name="Comma [0] 4 2 2 2 3 2" xfId="9425" xr:uid="{20231B76-5EC4-4DBD-B4B3-15BE62CA614B}"/>
    <cellStyle name="Comma [0] 4 2 2 2 4" xfId="6760" xr:uid="{20B11925-936E-479C-8E54-A11098940E9D}"/>
    <cellStyle name="Comma [0] 4 2 2 2 4 2" xfId="9420" xr:uid="{76ED6FB0-A914-44B5-AA1E-E8812B6C95D4}"/>
    <cellStyle name="Comma [0] 4 2 2 2 5" xfId="7245" xr:uid="{8B5CB730-27F7-467D-8180-61354E2DD566}"/>
    <cellStyle name="Comma [0] 4 2 2 3" xfId="6090" xr:uid="{00000000-0005-0000-0000-0000CD0A0000}"/>
    <cellStyle name="Comma [0] 4 2 2 3 2" xfId="6766" xr:uid="{3AFDFE55-34F5-4CC6-8DBE-D2B762E8A6BD}"/>
    <cellStyle name="Comma [0] 4 2 2 3 2 2" xfId="9426" xr:uid="{DE103783-36E6-4D18-ACDA-A4305FADC8C3}"/>
    <cellStyle name="Comma [0] 4 2 2 3 3" xfId="8902" xr:uid="{3B5FAD07-0267-4E44-8BF0-AC1428ACBD3C}"/>
    <cellStyle name="Comma [0] 4 2 2 4" xfId="6759" xr:uid="{C130215E-9E45-4B04-9169-70061C48A417}"/>
    <cellStyle name="Comma [0] 4 2 2 4 2" xfId="9419" xr:uid="{B0459AB3-0E35-4AEB-807F-EBED7D0C24DC}"/>
    <cellStyle name="Comma [0] 4 2 3" xfId="5731" xr:uid="{00000000-0005-0000-0000-0000CE0A0000}"/>
    <cellStyle name="Comma [0] 4 2 3 2" xfId="6768" xr:uid="{C20BE25B-A574-46AE-940D-962635A5F144}"/>
    <cellStyle name="Comma [0] 4 2 3 2 2" xfId="9428" xr:uid="{E7E271C8-C20F-4DAB-8BAC-D89B6311A31C}"/>
    <cellStyle name="Comma [0] 4 2 3 3" xfId="8627" xr:uid="{507D8192-0922-4896-8EE0-296106277CD4}"/>
    <cellStyle name="Comma [0] 4 2 4" xfId="6758" xr:uid="{640E4AB2-05EA-4CF6-9B1F-F76D53112F29}"/>
    <cellStyle name="Comma [0] 4 2 4 2" xfId="9418" xr:uid="{8A1F9987-5126-4805-ACF9-F046B909AE20}"/>
    <cellStyle name="Comma [0] 4 3" xfId="289" xr:uid="{00000000-0005-0000-0000-0000CF0A0000}"/>
    <cellStyle name="Comma [0] 4 3 2" xfId="5732" xr:uid="{00000000-0005-0000-0000-0000D00A0000}"/>
    <cellStyle name="Comma [0] 4 3 2 2" xfId="6091" xr:uid="{00000000-0005-0000-0000-0000D10A0000}"/>
    <cellStyle name="Comma [0] 4 3 2 2 2" xfId="6775" xr:uid="{9266C454-6F6A-47E9-8AEA-486E7B401BAE}"/>
    <cellStyle name="Comma [0] 4 3 2 2 2 2" xfId="9435" xr:uid="{CDAF759F-9A1E-4617-8BAF-0EE6E5650F28}"/>
    <cellStyle name="Comma [0] 4 3 2 2 3" xfId="8903" xr:uid="{4C37D0B8-ECA0-4D35-B755-1C8F99C2CB47}"/>
    <cellStyle name="Comma [0] 4 3 2 3" xfId="6771" xr:uid="{1BF93ACC-472E-49E0-A91E-47DACD774C8F}"/>
    <cellStyle name="Comma [0] 4 3 2 3 2" xfId="9431" xr:uid="{4134500F-9921-4DE8-AD2F-BBB12146F3A5}"/>
    <cellStyle name="Comma [0] 4 3 2 4" xfId="8628" xr:uid="{5C3BC983-C7BE-479B-91E8-5DEF7D7E17F1}"/>
    <cellStyle name="Comma [0] 4 3 3" xfId="6776" xr:uid="{78C78D54-00A0-4617-84DF-FC1D0A4195F6}"/>
    <cellStyle name="Comma [0] 4 3 3 2" xfId="9436" xr:uid="{C6A0E0EB-BE7E-4E60-9B9F-2B1FAEF8B10A}"/>
    <cellStyle name="Comma [0] 4 3 4" xfId="6769" xr:uid="{2E304849-0AD1-445F-93E3-112CBD94B355}"/>
    <cellStyle name="Comma [0] 4 3 4 2" xfId="9429" xr:uid="{4C780D29-E7AA-4700-8F68-C6B62610374B}"/>
    <cellStyle name="Comma [0] 4 4" xfId="290" xr:uid="{00000000-0005-0000-0000-0000D20A0000}"/>
    <cellStyle name="Comma [0] 4 4 2" xfId="3901" xr:uid="{00000000-0005-0000-0000-0000D30A0000}"/>
    <cellStyle name="Comma [0] 4 4 2 2" xfId="6780" xr:uid="{DCFD9028-6AF8-4050-93ED-3837A01A8189}"/>
    <cellStyle name="Comma [0] 4 4 2 2 2" xfId="9440" xr:uid="{F58B7CD3-38C9-431D-A653-4F3D6949036C}"/>
    <cellStyle name="Comma [0] 4 4 3" xfId="3902" xr:uid="{00000000-0005-0000-0000-0000D40A0000}"/>
    <cellStyle name="Comma [0] 4 4 3 2" xfId="7599" xr:uid="{F1CFB6E4-65B1-4373-87C9-9CF55D833D44}"/>
    <cellStyle name="Comma [0] 4 4 4" xfId="6092" xr:uid="{00000000-0005-0000-0000-0000D50A0000}"/>
    <cellStyle name="Comma [0] 4 4 4 2" xfId="8904" xr:uid="{FE6A8245-2B4B-43A8-9E6B-252EF01482C2}"/>
    <cellStyle name="Comma [0] 4 4 5" xfId="6779" xr:uid="{17CD3939-6DEE-4913-B975-00CAF21D7D6C}"/>
    <cellStyle name="Comma [0] 4 4 5 2" xfId="9439" xr:uid="{B9611E90-137D-41E1-A128-A74B4DB846C3}"/>
    <cellStyle name="Comma [0] 4 4 6" xfId="7246" xr:uid="{EB618D16-A0F0-4097-87CC-5909ADD58398}"/>
    <cellStyle name="Comma [0] 4 5" xfId="291" xr:uid="{00000000-0005-0000-0000-0000D60A0000}"/>
    <cellStyle name="Comma [0] 4 5 2" xfId="6679" xr:uid="{0868F97A-C878-416B-B90D-45DFCEFB61F4}"/>
    <cellStyle name="Comma [0] 4 5 2 2" xfId="9359" xr:uid="{637ADB39-3BE7-4847-9012-5D3CA6D8759B}"/>
    <cellStyle name="Comma [0] 4 5 3" xfId="6782" xr:uid="{D083A735-4F01-4847-8CD5-07D29D92E4C4}"/>
    <cellStyle name="Comma [0] 4 5 3 2" xfId="9441" xr:uid="{AD74D20C-D51D-4AA4-89E7-3C778CA2F937}"/>
    <cellStyle name="Comma [0] 4 5 4" xfId="7247" xr:uid="{19DEFF32-DDC8-49A6-863D-5B4B4274FD4A}"/>
    <cellStyle name="Comma [0] 4 6" xfId="292" xr:uid="{00000000-0005-0000-0000-0000D70A0000}"/>
    <cellStyle name="Comma [0] 4 6 2" xfId="6599" xr:uid="{5A6B9B8C-A247-4A2E-B595-DACE33CE595A}"/>
    <cellStyle name="Comma [0] 4 6 2 2" xfId="9284" xr:uid="{CEAB422D-974A-41A1-A9F6-9BB05303321C}"/>
    <cellStyle name="Comma [0] 4 6 3" xfId="7248" xr:uid="{32C5DC51-4823-4586-8A9B-9A82CAA28367}"/>
    <cellStyle name="Comma [0] 4 7" xfId="293" xr:uid="{00000000-0005-0000-0000-0000D80A0000}"/>
    <cellStyle name="Comma [0] 4 7 2" xfId="6756" xr:uid="{0AFEE007-51E3-4727-916C-3BFC7355605A}"/>
    <cellStyle name="Comma [0] 4 7 2 2" xfId="9417" xr:uid="{273C275A-6FA7-448B-8C2D-3B902A14201E}"/>
    <cellStyle name="Comma [0] 4 7 3" xfId="7249" xr:uid="{537B13B1-0C8E-480B-BA58-74104099BB37}"/>
    <cellStyle name="Comma [0] 4 8" xfId="294" xr:uid="{00000000-0005-0000-0000-0000D90A0000}"/>
    <cellStyle name="Comma [0] 4 8 2" xfId="7250" xr:uid="{4AF86A30-8A89-4774-9E77-E39F74356300}"/>
    <cellStyle name="Comma [0] 4 9" xfId="5730" xr:uid="{00000000-0005-0000-0000-0000DA0A0000}"/>
    <cellStyle name="Comma [0] 4 9 2" xfId="8626" xr:uid="{67FF6F4D-623B-453A-9594-54EE96F324C7}"/>
    <cellStyle name="Comma [0] 40" xfId="295" xr:uid="{00000000-0005-0000-0000-0000DB0A0000}"/>
    <cellStyle name="Comma [0] 40 2" xfId="3903" xr:uid="{00000000-0005-0000-0000-0000DC0A0000}"/>
    <cellStyle name="Comma [0] 40 2 2" xfId="3904" xr:uid="{00000000-0005-0000-0000-0000DD0A0000}"/>
    <cellStyle name="Comma [0] 40 2 2 2" xfId="7601" xr:uid="{5423100E-D348-498F-8592-33A21BC87395}"/>
    <cellStyle name="Comma [0] 40 2 3" xfId="3905" xr:uid="{00000000-0005-0000-0000-0000DE0A0000}"/>
    <cellStyle name="Comma [0] 40 2 4" xfId="6426" xr:uid="{A8EB9BEB-48BA-46BD-9EA5-84FCA7C76733}"/>
    <cellStyle name="Comma [0] 40 2 4 2" xfId="9171" xr:uid="{13202D42-4F3E-4F4E-8C84-91ABEE272C48}"/>
    <cellStyle name="Comma [0] 40 2 5" xfId="7600" xr:uid="{9950C92C-6A8F-4A54-951F-7AE6F1688751}"/>
    <cellStyle name="Comma [0] 40 3" xfId="3906" xr:uid="{00000000-0005-0000-0000-0000DF0A0000}"/>
    <cellStyle name="Comma [0] 40 3 2" xfId="7602" xr:uid="{BC468EB3-2A3F-43FA-9847-24D89E216292}"/>
    <cellStyle name="Comma [0] 40 4" xfId="3907" xr:uid="{00000000-0005-0000-0000-0000E00A0000}"/>
    <cellStyle name="Comma [0] 40 4 2" xfId="3908" xr:uid="{00000000-0005-0000-0000-0000E10A0000}"/>
    <cellStyle name="Comma [0] 40 4 2 2" xfId="7604" xr:uid="{16EAD241-8300-4109-9F64-4D959D3CC6DE}"/>
    <cellStyle name="Comma [0] 40 4 3" xfId="7603" xr:uid="{5894D474-04CE-4F96-9FA3-010BBC7B1D3D}"/>
    <cellStyle name="Comma [0] 40 5" xfId="3909" xr:uid="{00000000-0005-0000-0000-0000E20A0000}"/>
    <cellStyle name="Comma [0] 40 5 2" xfId="7605" xr:uid="{4BF9C161-CDBE-46E9-9565-78A6E5E01F7E}"/>
    <cellStyle name="Comma [0] 40 6" xfId="3910" xr:uid="{00000000-0005-0000-0000-0000E30A0000}"/>
    <cellStyle name="Comma [0] 40 6 2" xfId="7606" xr:uid="{6B2EACC0-D028-431B-A27C-EA3CF45AF0F8}"/>
    <cellStyle name="Comma [0] 40 7" xfId="6460" xr:uid="{59169604-5F7A-41AD-8743-ECD3F3ED7394}"/>
    <cellStyle name="Comma [0] 40 7 2" xfId="9201" xr:uid="{B88578F7-52DA-4885-B51F-B6B3524E304F}"/>
    <cellStyle name="Comma [0] 41" xfId="296" xr:uid="{00000000-0005-0000-0000-0000E40A0000}"/>
    <cellStyle name="Comma [0] 41 2" xfId="3911" xr:uid="{00000000-0005-0000-0000-0000E50A0000}"/>
    <cellStyle name="Comma [0] 41 2 2" xfId="6469" xr:uid="{42A8C965-CEA3-41FD-8BE0-C34E57DED58A}"/>
    <cellStyle name="Comma [0] 41 2 2 2" xfId="9209" xr:uid="{2C98EA6B-D03F-4A06-8A75-8DCEF819AD06}"/>
    <cellStyle name="Comma [0] 41 2 3" xfId="7607" xr:uid="{3BEC5EE8-8527-498F-A015-CB08BB9C3CAD}"/>
    <cellStyle name="Comma [0] 41 3" xfId="3912" xr:uid="{00000000-0005-0000-0000-0000E60A0000}"/>
    <cellStyle name="Comma [0] 41 3 2" xfId="3913" xr:uid="{00000000-0005-0000-0000-0000E70A0000}"/>
    <cellStyle name="Comma [0] 41 3 2 2" xfId="7609" xr:uid="{3CE272CA-433C-4884-8D7F-4919D3EF9FE0}"/>
    <cellStyle name="Comma [0] 41 3 3" xfId="7608" xr:uid="{CA232508-C151-4C53-9C84-1E3D84019CEF}"/>
    <cellStyle name="Comma [0] 41 4" xfId="3914" xr:uid="{00000000-0005-0000-0000-0000E80A0000}"/>
    <cellStyle name="Comma [0] 41 4 2" xfId="7610" xr:uid="{6FAC1B46-3EBD-4F60-86AE-6398885AAB59}"/>
    <cellStyle name="Comma [0] 41 5" xfId="3915" xr:uid="{00000000-0005-0000-0000-0000E90A0000}"/>
    <cellStyle name="Comma [0] 41 5 2" xfId="7611" xr:uid="{4385473E-14F4-4AF9-833C-82E2A31B18AE}"/>
    <cellStyle name="Comma [0] 41 6" xfId="5734" xr:uid="{00000000-0005-0000-0000-0000EA0A0000}"/>
    <cellStyle name="Comma [0] 41 7" xfId="6467" xr:uid="{3F6C563A-F568-4962-92AE-BDDD390B34E7}"/>
    <cellStyle name="Comma [0] 41 7 2" xfId="9207" xr:uid="{7A7068A2-A646-4B26-8D90-1C76D483490B}"/>
    <cellStyle name="Comma [0] 42" xfId="297" xr:uid="{00000000-0005-0000-0000-0000EB0A0000}"/>
    <cellStyle name="Comma [0] 42 2" xfId="3916" xr:uid="{00000000-0005-0000-0000-0000EC0A0000}"/>
    <cellStyle name="Comma [0] 42 2 2" xfId="6094" xr:uid="{00000000-0005-0000-0000-0000ED0A0000}"/>
    <cellStyle name="Comma [0] 42 2 2 2" xfId="8905" xr:uid="{324EA0D4-9CD5-4CA6-BD57-52053963D630}"/>
    <cellStyle name="Comma [0] 42 2 3" xfId="6492" xr:uid="{DED7659B-EFB9-4F47-AFB5-27F576822B9C}"/>
    <cellStyle name="Comma [0] 42 2 3 2" xfId="9222" xr:uid="{3F2B26CD-F1C5-4BF3-99FE-80BF2EF4BA1E}"/>
    <cellStyle name="Comma [0] 42 3" xfId="3917" xr:uid="{00000000-0005-0000-0000-0000EE0A0000}"/>
    <cellStyle name="Comma [0] 42 3 2" xfId="7612" xr:uid="{435BBC9D-84CE-4149-B24C-173CBE999BCC}"/>
    <cellStyle name="Comma [0] 42 4" xfId="3918" xr:uid="{00000000-0005-0000-0000-0000EF0A0000}"/>
    <cellStyle name="Comma [0] 42 5" xfId="5735" xr:uid="{00000000-0005-0000-0000-0000F00A0000}"/>
    <cellStyle name="Comma [0] 42 5 2" xfId="8629" xr:uid="{9E1EEEA4-BD54-4DBB-9D2A-F80627AE5C81}"/>
    <cellStyle name="Comma [0] 42 6" xfId="6093" xr:uid="{00000000-0005-0000-0000-0000F10A0000}"/>
    <cellStyle name="Comma [0] 42 7" xfId="6445" xr:uid="{878274A7-7850-4041-A777-0525A259E289}"/>
    <cellStyle name="Comma [0] 42 7 2" xfId="9188" xr:uid="{765B2A45-4E5E-43CB-9DD6-BF39AB9162E2}"/>
    <cellStyle name="Comma [0] 42 8" xfId="7251" xr:uid="{4A8FAD37-3554-413E-B305-B03B8207BE25}"/>
    <cellStyle name="Comma [0] 43" xfId="1847" xr:uid="{00000000-0005-0000-0000-0000F20A0000}"/>
    <cellStyle name="Comma [0] 43 2" xfId="3919" xr:uid="{00000000-0005-0000-0000-0000F30A0000}"/>
    <cellStyle name="Comma [0] 43 2 2" xfId="6496" xr:uid="{3A3D9478-9D06-4A48-9627-B4A7F6DA4653}"/>
    <cellStyle name="Comma [0] 43 2 2 2" xfId="9225" xr:uid="{368227C1-73BE-40E3-ADFC-F8C33032E7A1}"/>
    <cellStyle name="Comma [0] 43 2 3" xfId="7613" xr:uid="{4D071797-1883-4120-A405-34DA8678053E}"/>
    <cellStyle name="Comma [0] 43 3" xfId="6095" xr:uid="{00000000-0005-0000-0000-0000F40A0000}"/>
    <cellStyle name="Comma [0] 43 3 2" xfId="6455" xr:uid="{2DB3B5E0-9B0E-46A1-8BAA-7645C2CD6A18}"/>
    <cellStyle name="Comma [0] 43 3 2 2" xfId="9196" xr:uid="{2A4D34EF-45E2-4110-8F98-814662D094F7}"/>
    <cellStyle name="Comma [0] 43 4" xfId="7460" xr:uid="{4A3F6DD8-6927-4FAA-B80D-21595E12B79C}"/>
    <cellStyle name="Comma [0] 44" xfId="3920" xr:uid="{00000000-0005-0000-0000-0000F50A0000}"/>
    <cellStyle name="Comma [0] 44 2" xfId="3921" xr:uid="{00000000-0005-0000-0000-0000F60A0000}"/>
    <cellStyle name="Comma [0] 44 2 2" xfId="6755" xr:uid="{D2031B61-97CF-4E1F-81E2-E90381869F5D}"/>
    <cellStyle name="Comma [0] 44 2 2 2" xfId="9416" xr:uid="{FD498765-A5F2-4069-B5C7-D73D30F72BD3}"/>
    <cellStyle name="Comma [0] 44 2 3" xfId="7615" xr:uid="{974ABAAD-17E1-4058-AF12-E5023A9AE5AC}"/>
    <cellStyle name="Comma [0] 44 3" xfId="3922" xr:uid="{00000000-0005-0000-0000-0000F70A0000}"/>
    <cellStyle name="Comma [0] 44 3 2" xfId="7616" xr:uid="{4BC43A3F-2AAB-4907-A87C-DF8887E06004}"/>
    <cellStyle name="Comma [0] 44 4" xfId="6096" xr:uid="{00000000-0005-0000-0000-0000F80A0000}"/>
    <cellStyle name="Comma [0] 44 5" xfId="6754" xr:uid="{8C83E8CA-1ACA-4F0D-8747-310CE706BF0C}"/>
    <cellStyle name="Comma [0] 44 5 2" xfId="9415" xr:uid="{DFC017D0-50D2-43DA-B980-79AA1AC19DAD}"/>
    <cellStyle name="Comma [0] 44 6" xfId="7614" xr:uid="{F7328CA0-6D27-4413-9513-39F2B579153F}"/>
    <cellStyle name="Comma [0] 45" xfId="3923" xr:uid="{00000000-0005-0000-0000-0000F90A0000}"/>
    <cellStyle name="Comma [0] 45 2" xfId="3924" xr:uid="{00000000-0005-0000-0000-0000FA0A0000}"/>
    <cellStyle name="Comma [0] 45 2 2" xfId="6785" xr:uid="{24990B1B-7D90-4E55-B83A-8D1435C4F67E}"/>
    <cellStyle name="Comma [0] 45 2 2 2" xfId="9443" xr:uid="{C96694E9-90F7-46A5-AD16-DD32B1D87A81}"/>
    <cellStyle name="Comma [0] 45 2 3" xfId="7618" xr:uid="{98CFE494-DB2E-4CB0-B755-2D024592FF09}"/>
    <cellStyle name="Comma [0] 45 3" xfId="3925" xr:uid="{00000000-0005-0000-0000-0000FB0A0000}"/>
    <cellStyle name="Comma [0] 45 3 2" xfId="7619" xr:uid="{B4EAA5FB-C9E3-485B-B823-496EB6AF0217}"/>
    <cellStyle name="Comma [0] 45 4" xfId="6097" xr:uid="{00000000-0005-0000-0000-0000FC0A0000}"/>
    <cellStyle name="Comma [0] 45 5" xfId="6783" xr:uid="{5FE5DACC-18FE-4DC6-86E7-79CF7CF62B36}"/>
    <cellStyle name="Comma [0] 45 5 2" xfId="9442" xr:uid="{8C84C79C-F487-46C5-9142-CF0EB1F50C0B}"/>
    <cellStyle name="Comma [0] 45 6" xfId="7617" xr:uid="{0C12CB8D-FB3A-4464-BB5F-B0DA4209D39D}"/>
    <cellStyle name="Comma [0] 46" xfId="3926" xr:uid="{00000000-0005-0000-0000-0000FD0A0000}"/>
    <cellStyle name="Comma [0] 46 2" xfId="3927" xr:uid="{00000000-0005-0000-0000-0000FE0A0000}"/>
    <cellStyle name="Comma [0] 46 2 2" xfId="6786" xr:uid="{182C3C97-4949-41F4-8659-780AF29FAE28}"/>
    <cellStyle name="Comma [0] 46 2 2 2" xfId="9444" xr:uid="{1EF9992B-006C-4D1C-AC5B-4EE868739168}"/>
    <cellStyle name="Comma [0] 46 2 3" xfId="7621" xr:uid="{073D5743-08C6-49C7-BE79-56EEDA284065}"/>
    <cellStyle name="Comma [0] 46 3" xfId="3928" xr:uid="{00000000-0005-0000-0000-0000FF0A0000}"/>
    <cellStyle name="Comma [0] 46 3 2" xfId="7622" xr:uid="{B472A5FD-1580-4259-A057-B95AB660B227}"/>
    <cellStyle name="Comma [0] 46 4" xfId="6098" xr:uid="{00000000-0005-0000-0000-0000000B0000}"/>
    <cellStyle name="Comma [0] 46 5" xfId="6673" xr:uid="{A38AC907-BC18-4D1B-ABF1-A388A6A030C8}"/>
    <cellStyle name="Comma [0] 46 5 2" xfId="9354" xr:uid="{EF80AE24-4A10-4803-82C9-F4638EE510CD}"/>
    <cellStyle name="Comma [0] 46 6" xfId="7620" xr:uid="{6ABB2D00-27FC-458C-8A8D-CDC1C16029C1}"/>
    <cellStyle name="Comma [0] 47" xfId="3929" xr:uid="{00000000-0005-0000-0000-0000010B0000}"/>
    <cellStyle name="Comma [0] 47 2" xfId="3930" xr:uid="{00000000-0005-0000-0000-0000020B0000}"/>
    <cellStyle name="Comma [0] 47 2 2" xfId="7624" xr:uid="{6FDE5F67-B048-4A6A-AEF7-449438483CFA}"/>
    <cellStyle name="Comma [0] 47 3" xfId="3931" xr:uid="{00000000-0005-0000-0000-0000030B0000}"/>
    <cellStyle name="Comma [0] 47 3 2" xfId="7625" xr:uid="{2EF8B6E1-B781-4EAD-BC53-3F1DA81D521C}"/>
    <cellStyle name="Comma [0] 47 4" xfId="6099" xr:uid="{00000000-0005-0000-0000-0000040B0000}"/>
    <cellStyle name="Comma [0] 47 5" xfId="6408" xr:uid="{4424D2D6-8B77-407D-9D3D-1AE7B41418DE}"/>
    <cellStyle name="Comma [0] 47 6" xfId="7623" xr:uid="{CEC24B58-F145-4918-9CB4-B5F1996005C0}"/>
    <cellStyle name="Comma [0] 48" xfId="3932" xr:uid="{00000000-0005-0000-0000-0000050B0000}"/>
    <cellStyle name="Comma [0] 48 2" xfId="3933" xr:uid="{00000000-0005-0000-0000-0000060B0000}"/>
    <cellStyle name="Comma [0] 48 2 2" xfId="7627" xr:uid="{0A807E17-8337-4E3C-BAEF-887BEEA3A94E}"/>
    <cellStyle name="Comma [0] 48 3" xfId="3934" xr:uid="{00000000-0005-0000-0000-0000070B0000}"/>
    <cellStyle name="Comma [0] 48 3 2" xfId="7628" xr:uid="{9D5BB50E-2B07-486C-A6B3-F8754CB5E59E}"/>
    <cellStyle name="Comma [0] 48 4" xfId="6100" xr:uid="{00000000-0005-0000-0000-0000080B0000}"/>
    <cellStyle name="Comma [0] 48 5" xfId="6378" xr:uid="{CEDCE4CF-1421-4C95-A7D4-6461800C12AB}"/>
    <cellStyle name="Comma [0] 48 5 2" xfId="9146" xr:uid="{1596EBB9-4D46-449B-B9A5-437026793D82}"/>
    <cellStyle name="Comma [0] 48 6" xfId="7626" xr:uid="{F6C9F522-119F-4884-B0D0-73DDA5254F47}"/>
    <cellStyle name="Comma [0] 49" xfId="3935" xr:uid="{00000000-0005-0000-0000-0000090B0000}"/>
    <cellStyle name="Comma [0] 49 2" xfId="3936" xr:uid="{00000000-0005-0000-0000-00000A0B0000}"/>
    <cellStyle name="Comma [0] 49 2 2" xfId="7630" xr:uid="{2F6EC813-23A2-45B0-BC36-F7CE450C756F}"/>
    <cellStyle name="Comma [0] 49 3" xfId="3937" xr:uid="{00000000-0005-0000-0000-00000B0B0000}"/>
    <cellStyle name="Comma [0] 49 3 2" xfId="7631" xr:uid="{17974FF4-D470-40F1-BA45-EC1FE5699147}"/>
    <cellStyle name="Comma [0] 49 4" xfId="6101" xr:uid="{00000000-0005-0000-0000-00000C0B0000}"/>
    <cellStyle name="Comma [0] 49 5" xfId="7629" xr:uid="{49C452B2-DCBA-437F-8C32-66E2EAB48372}"/>
    <cellStyle name="Comma [0] 5" xfId="298" xr:uid="{00000000-0005-0000-0000-00000D0B0000}"/>
    <cellStyle name="Comma [0] 5 10" xfId="3938" xr:uid="{00000000-0005-0000-0000-00000E0B0000}"/>
    <cellStyle name="Comma [0] 5 10 2" xfId="6672" xr:uid="{E0996D64-CF61-4AED-8FEC-2E5E4132466B}"/>
    <cellStyle name="Comma [0] 5 10 2 2" xfId="9353" xr:uid="{E98128AA-6807-45E6-8DF2-2FBF090AEA83}"/>
    <cellStyle name="Comma [0] 5 10 3" xfId="6690" xr:uid="{42E6F93C-92B5-4C92-A4A4-BE6DD430E23B}"/>
    <cellStyle name="Comma [0] 5 10 3 2" xfId="9369" xr:uid="{7376C8C0-267B-4C28-A21A-357E72B6AAF0}"/>
    <cellStyle name="Comma [0] 5 11" xfId="3939" xr:uid="{00000000-0005-0000-0000-00000F0B0000}"/>
    <cellStyle name="Comma [0] 5 11 2" xfId="6790" xr:uid="{0D25882A-5816-4128-A5F5-A22842D60F24}"/>
    <cellStyle name="Comma [0] 5 11 2 2" xfId="9447" xr:uid="{631D19CD-ED28-498E-A04B-41C415920CDD}"/>
    <cellStyle name="Comma [0] 5 11 3" xfId="7632" xr:uid="{381E507F-047D-4274-9457-22C27F5A2AD7}"/>
    <cellStyle name="Comma [0] 5 12" xfId="5736" xr:uid="{00000000-0005-0000-0000-0000100B0000}"/>
    <cellStyle name="Comma [0] 5 12 2" xfId="6787" xr:uid="{E2C027C7-CC0F-46EE-8215-A62323BBBAAA}"/>
    <cellStyle name="Comma [0] 5 12 2 2" xfId="9445" xr:uid="{745B5AE1-A462-48E7-8E37-768AA0D67316}"/>
    <cellStyle name="Comma [0] 5 12 3" xfId="8630" xr:uid="{D5CE202D-E393-40CC-BD89-4F360B1C1777}"/>
    <cellStyle name="Comma [0] 5 13" xfId="6404" xr:uid="{C3E9A231-2B3C-4703-A7F0-06856DFFB6ED}"/>
    <cellStyle name="Comma [0] 5 13 2" xfId="9155" xr:uid="{E3E1B70E-5775-4366-983B-2577689D69DC}"/>
    <cellStyle name="Comma [0] 5 2" xfId="299" xr:uid="{00000000-0005-0000-0000-0000110B0000}"/>
    <cellStyle name="Comma [0] 5 2 2" xfId="300" xr:uid="{00000000-0005-0000-0000-0000120B0000}"/>
    <cellStyle name="Comma [0] 5 2 2 2" xfId="301" xr:uid="{00000000-0005-0000-0000-0000130B0000}"/>
    <cellStyle name="Comma [0] 5 2 2 2 2" xfId="6668" xr:uid="{6C02966E-2CBB-410B-B52E-CA76F72DD3DF}"/>
    <cellStyle name="Comma [0] 5 2 2 2 2 2" xfId="6770" xr:uid="{F9065EF4-E649-47BC-B6C2-C763D0F2C9C3}"/>
    <cellStyle name="Comma [0] 5 2 2 2 2 2 2" xfId="9430" xr:uid="{F3604DDA-942C-4AD2-920C-2E98A6FE1407}"/>
    <cellStyle name="Comma [0] 5 2 2 2 2 3" xfId="9349" xr:uid="{43A16A4D-C04D-435A-8518-1541F31B37A0}"/>
    <cellStyle name="Comma [0] 5 2 2 2 3" xfId="6791" xr:uid="{97F70A72-874A-4AFB-9D53-55E6E7B4E036}"/>
    <cellStyle name="Comma [0] 5 2 2 2 3 2" xfId="9448" xr:uid="{E0CD265A-6043-4D75-AF16-F5805644F6C6}"/>
    <cellStyle name="Comma [0] 5 2 2 2 4" xfId="6606" xr:uid="{B13FAFF1-739B-4806-A8DE-CC8158D34B9E}"/>
    <cellStyle name="Comma [0] 5 2 2 2 4 2" xfId="9291" xr:uid="{9D1327BA-CD20-468E-B5FA-AF6AF4C6D337}"/>
    <cellStyle name="Comma [0] 5 2 2 3" xfId="3940" xr:uid="{00000000-0005-0000-0000-0000140B0000}"/>
    <cellStyle name="Comma [0] 5 2 2 3 2" xfId="6670" xr:uid="{5B31D01C-59D5-4723-AB62-5BC342817610}"/>
    <cellStyle name="Comma [0] 5 2 2 3 2 2" xfId="9351" xr:uid="{7EABA073-CCE9-4EEB-A252-C4CAD1DD94BC}"/>
    <cellStyle name="Comma [0] 5 2 2 3 3" xfId="7633" xr:uid="{C66226A2-D70A-4969-B66D-3830377CD477}"/>
    <cellStyle name="Comma [0] 5 2 2 4" xfId="6102" xr:uid="{00000000-0005-0000-0000-0000150B0000}"/>
    <cellStyle name="Comma [0] 5 2 2 4 2" xfId="8906" xr:uid="{37DFCFFC-7506-47A3-B2BB-C38DE14EEAC9}"/>
    <cellStyle name="Comma [0] 5 2 3" xfId="5737" xr:uid="{00000000-0005-0000-0000-0000160B0000}"/>
    <cellStyle name="Comma [0] 5 2 3 2" xfId="6613" xr:uid="{10AEBD1B-9B44-4A5B-B330-7567B06CEC6E}"/>
    <cellStyle name="Comma [0] 5 2 3 2 2" xfId="9298" xr:uid="{1FBDBC39-9343-4DAE-93F6-ED796C9B1F47}"/>
    <cellStyle name="Comma [0] 5 2 3 3" xfId="6792" xr:uid="{0E65F736-D19F-4387-9FE1-AFE65C711C0B}"/>
    <cellStyle name="Comma [0] 5 2 3 3 2" xfId="9449" xr:uid="{2AFF55AD-A07B-48F3-BB97-9FBB07D228BB}"/>
    <cellStyle name="Comma [0] 5 2 3 4" xfId="8631" xr:uid="{CE287DB7-E40F-49A3-8395-942FB97235A2}"/>
    <cellStyle name="Comma [0] 5 2 4" xfId="6794" xr:uid="{E85F1957-41C3-44FF-8024-683BC642009D}"/>
    <cellStyle name="Comma [0] 5 2 4 2" xfId="9450" xr:uid="{9E78AB68-C664-4B88-89E9-3FDC66EED429}"/>
    <cellStyle name="Comma [0] 5 3" xfId="302" xr:uid="{00000000-0005-0000-0000-0000170B0000}"/>
    <cellStyle name="Comma [0] 5 3 2" xfId="3941" xr:uid="{00000000-0005-0000-0000-0000180B0000}"/>
    <cellStyle name="Comma [0] 5 3 2 2" xfId="6103" xr:uid="{00000000-0005-0000-0000-0000190B0000}"/>
    <cellStyle name="Comma [0] 5 3 2 2 2" xfId="8907" xr:uid="{18C252DD-6F83-4AA2-B02C-2A02E2991921}"/>
    <cellStyle name="Comma [0] 5 3 2 3" xfId="7634" xr:uid="{65A303C4-4789-497F-8DD0-98EEA7BDFE42}"/>
    <cellStyle name="Comma [0] 5 3 3" xfId="5738" xr:uid="{00000000-0005-0000-0000-00001A0B0000}"/>
    <cellStyle name="Comma [0] 5 3 3 2" xfId="8632" xr:uid="{E76C7275-1F76-4ECC-BEC3-B175CFD747A2}"/>
    <cellStyle name="Comma [0] 5 3 4" xfId="7252" xr:uid="{45B7C104-C31A-4275-988C-30268F9D1D51}"/>
    <cellStyle name="Comma [0] 5 4" xfId="303" xr:uid="{00000000-0005-0000-0000-00001B0B0000}"/>
    <cellStyle name="Comma [0] 5 4 2" xfId="3942" xr:uid="{00000000-0005-0000-0000-00001C0B0000}"/>
    <cellStyle name="Comma [0] 5 4 2 2" xfId="6796" xr:uid="{69D154A5-35EC-4CE9-8D35-EB883A5596F5}"/>
    <cellStyle name="Comma [0] 5 4 2 2 2" xfId="9452" xr:uid="{F08FAEF8-1B18-450D-AD6D-95B18E81A67E}"/>
    <cellStyle name="Comma [0] 5 4 2 3" xfId="7635" xr:uid="{38AA6F6C-6F1D-4545-BB9B-3D083EC68DEB}"/>
    <cellStyle name="Comma [0] 5 4 3" xfId="6104" xr:uid="{00000000-0005-0000-0000-00001D0B0000}"/>
    <cellStyle name="Comma [0] 5 4 3 2" xfId="8908" xr:uid="{7FBAE404-46CA-4F15-A3CA-B126756C84F8}"/>
    <cellStyle name="Comma [0] 5 4 4" xfId="6795" xr:uid="{BF80B9A7-1DF1-4D62-99AA-064DDCE2A4DD}"/>
    <cellStyle name="Comma [0] 5 4 4 2" xfId="9451" xr:uid="{4E823934-2B1B-4B87-BB8F-2B7DD15A97F1}"/>
    <cellStyle name="Comma [0] 5 4 5" xfId="7253" xr:uid="{C0C04184-F102-4541-942F-3B9C0E45461E}"/>
    <cellStyle name="Comma [0] 5 5" xfId="304" xr:uid="{00000000-0005-0000-0000-00001E0B0000}"/>
    <cellStyle name="Comma [0] 5 5 2" xfId="6798" xr:uid="{31E359E7-657B-4CC8-A632-A32B8130B6DE}"/>
    <cellStyle name="Comma [0] 5 5 2 2" xfId="9454" xr:uid="{B91F1FAE-3CA7-409C-9FFC-F058BC3B585A}"/>
    <cellStyle name="Comma [0] 5 5 3" xfId="6797" xr:uid="{36C2D71E-68CA-435D-8D25-A495CB990311}"/>
    <cellStyle name="Comma [0] 5 5 3 2" xfId="9453" xr:uid="{C228E137-4444-41E8-B3FB-1B754EBE8868}"/>
    <cellStyle name="Comma [0] 5 5 4" xfId="7254" xr:uid="{C1954A56-E3E1-4497-AABA-7F64398CE70E}"/>
    <cellStyle name="Comma [0] 5 6" xfId="305" xr:uid="{00000000-0005-0000-0000-00001F0B0000}"/>
    <cellStyle name="Comma [0] 5 6 2" xfId="6416" xr:uid="{B0DE1874-7F46-454A-82F3-731D7B4176CD}"/>
    <cellStyle name="Comma [0] 5 6 2 2" xfId="9163" xr:uid="{77EB50BB-D4D3-457B-8055-73CA13BDE00A}"/>
    <cellStyle name="Comma [0] 5 6 3" xfId="6799" xr:uid="{62ACA66C-62E4-463F-B329-F6A67B9E8826}"/>
    <cellStyle name="Comma [0] 5 6 3 2" xfId="9455" xr:uid="{AF0AC456-0690-4D1F-81C1-A00780AFC172}"/>
    <cellStyle name="Comma [0] 5 6 4" xfId="7255" xr:uid="{62AC7EC5-EA17-4243-B2AF-DFFB6111F750}"/>
    <cellStyle name="Comma [0] 5 7" xfId="306" xr:uid="{00000000-0005-0000-0000-0000200B0000}"/>
    <cellStyle name="Comma [0] 5 7 2" xfId="6425" xr:uid="{D46442F7-BD9E-4CCC-B034-1E02DB18185C}"/>
    <cellStyle name="Comma [0] 5 7 2 2" xfId="9170" xr:uid="{9BBDEA73-F079-4350-843F-957153434556}"/>
    <cellStyle name="Comma [0] 5 7 3" xfId="6800" xr:uid="{A3148BC4-5A44-44D6-9766-89575AE3C39C}"/>
    <cellStyle name="Comma [0] 5 7 3 2" xfId="9456" xr:uid="{6F4CAD98-7B89-41F5-B34F-634EBEAAE72E}"/>
    <cellStyle name="Comma [0] 5 7 4" xfId="7256" xr:uid="{A896F25B-D235-48E4-85F9-50298CB02EF6}"/>
    <cellStyle name="Comma [0] 5 8" xfId="307" xr:uid="{00000000-0005-0000-0000-0000210B0000}"/>
    <cellStyle name="Comma [0] 5 8 2" xfId="6803" xr:uid="{E5DE3798-A247-438C-8EA6-2EAEF9581551}"/>
    <cellStyle name="Comma [0] 5 8 2 2" xfId="9459" xr:uid="{A9499F70-1946-47D6-96B5-25492D8A0F8B}"/>
    <cellStyle name="Comma [0] 5 8 3" xfId="6801" xr:uid="{98A72FB5-DB29-47FE-BE74-FF8C536035E4}"/>
    <cellStyle name="Comma [0] 5 8 3 2" xfId="9457" xr:uid="{3B138987-1440-4948-B69E-928C6A92F54A}"/>
    <cellStyle name="Comma [0] 5 9" xfId="3943" xr:uid="{00000000-0005-0000-0000-0000220B0000}"/>
    <cellStyle name="Comma [0] 5 9 2" xfId="6630" xr:uid="{2951E9FB-FB97-458F-8D03-C9FC151DFD65}"/>
    <cellStyle name="Comma [0] 5 9 2 2" xfId="9314" xr:uid="{CD370E8E-2824-4EF8-8285-88AC2E139AC8}"/>
    <cellStyle name="Comma [0] 5 9 3" xfId="6804" xr:uid="{14339893-6766-43D3-BE0C-1A5089D68C54}"/>
    <cellStyle name="Comma [0] 5 9 3 2" xfId="9460" xr:uid="{90EF1CBA-0916-4E4C-9A6E-21ECFC20F145}"/>
    <cellStyle name="Comma [0] 50" xfId="3944" xr:uid="{00000000-0005-0000-0000-0000230B0000}"/>
    <cellStyle name="Comma [0] 50 2" xfId="3945" xr:uid="{00000000-0005-0000-0000-0000240B0000}"/>
    <cellStyle name="Comma [0] 50 2 2" xfId="7637" xr:uid="{F80283C3-27C2-46B5-9900-3F3DB6A1B43A}"/>
    <cellStyle name="Comma [0] 50 3" xfId="3946" xr:uid="{00000000-0005-0000-0000-0000250B0000}"/>
    <cellStyle name="Comma [0] 50 3 2" xfId="7638" xr:uid="{6E570C1A-B14E-4628-8138-3C2C81F68F9A}"/>
    <cellStyle name="Comma [0] 50 4" xfId="7636" xr:uid="{B90F85F0-6A28-4C86-8D1F-EE5C3007C338}"/>
    <cellStyle name="Comma [0] 51" xfId="2341" xr:uid="{00000000-0005-0000-0000-0000260B0000}"/>
    <cellStyle name="Comma [0] 51 2" xfId="3947" xr:uid="{00000000-0005-0000-0000-0000270B0000}"/>
    <cellStyle name="Comma [0] 51 2 2" xfId="7639" xr:uid="{FB4C935B-CE2C-42C9-A2F4-F3445A2B9EF0}"/>
    <cellStyle name="Comma [0] 51 3" xfId="3948" xr:uid="{00000000-0005-0000-0000-0000280B0000}"/>
    <cellStyle name="Comma [0] 51 3 2" xfId="7640" xr:uid="{39E27C8A-8771-40AC-91A5-DBC132B62EF9}"/>
    <cellStyle name="Comma [0] 51 4" xfId="7526" xr:uid="{0F5AC756-1189-4924-B933-39C2D7243568}"/>
    <cellStyle name="Comma [0] 52" xfId="3949" xr:uid="{00000000-0005-0000-0000-0000290B0000}"/>
    <cellStyle name="Comma [0] 52 2" xfId="3950" xr:uid="{00000000-0005-0000-0000-00002A0B0000}"/>
    <cellStyle name="Comma [0] 52 2 2" xfId="7642" xr:uid="{7693F6AE-C60C-4723-80FA-A35C3852A616}"/>
    <cellStyle name="Comma [0] 52 3" xfId="3951" xr:uid="{00000000-0005-0000-0000-00002B0B0000}"/>
    <cellStyle name="Comma [0] 52 3 2" xfId="7643" xr:uid="{22876F1E-875C-42E5-904C-09448F5B67CB}"/>
    <cellStyle name="Comma [0] 52 4" xfId="7641" xr:uid="{802D2CBB-D77F-4141-888C-D2B9574EF723}"/>
    <cellStyle name="Comma [0] 53" xfId="3952" xr:uid="{00000000-0005-0000-0000-00002C0B0000}"/>
    <cellStyle name="Comma [0] 53 2" xfId="3953" xr:uid="{00000000-0005-0000-0000-00002D0B0000}"/>
    <cellStyle name="Comma [0] 53 2 2" xfId="7645" xr:uid="{5610F11A-C0D8-4618-B648-AED19AE0B27B}"/>
    <cellStyle name="Comma [0] 53 3" xfId="3954" xr:uid="{00000000-0005-0000-0000-00002E0B0000}"/>
    <cellStyle name="Comma [0] 53 3 2" xfId="7646" xr:uid="{E1CB3CF2-65C8-4147-A4B6-DAB8AE92EFF3}"/>
    <cellStyle name="Comma [0] 53 4" xfId="7644" xr:uid="{B1C6DAAF-7F60-4174-AB6D-5CBE7FC923BC}"/>
    <cellStyle name="Comma [0] 54" xfId="308" xr:uid="{00000000-0005-0000-0000-00002F0B0000}"/>
    <cellStyle name="Comma [0] 54 2" xfId="6805" xr:uid="{4C178E9C-0B42-4234-A16F-71C9CB442434}"/>
    <cellStyle name="Comma [0] 54 2 2" xfId="9461" xr:uid="{9F4404A1-5F3A-450B-A640-FF0700BCAA5D}"/>
    <cellStyle name="Comma [0] 54 3" xfId="6420" xr:uid="{117C0022-BA91-40F2-BD8B-DC2D551049DB}"/>
    <cellStyle name="Comma [0] 54 3 2" xfId="9165" xr:uid="{511C88E3-C30E-4B34-8E8C-4F9023EF13F6}"/>
    <cellStyle name="Comma [0] 55" xfId="3955" xr:uid="{00000000-0005-0000-0000-0000300B0000}"/>
    <cellStyle name="Comma [0] 55 2" xfId="3956" xr:uid="{00000000-0005-0000-0000-0000310B0000}"/>
    <cellStyle name="Comma [0] 55 2 2" xfId="7648" xr:uid="{4472AC5B-43CA-464A-8471-FDC645CB83EB}"/>
    <cellStyle name="Comma [0] 55 3" xfId="3957" xr:uid="{00000000-0005-0000-0000-0000320B0000}"/>
    <cellStyle name="Comma [0] 55 3 2" xfId="7649" xr:uid="{ADC4DAC8-6B51-48C4-BBDD-A0EA56F8ADC9}"/>
    <cellStyle name="Comma [0] 55 4" xfId="7647" xr:uid="{D0316E5A-F706-4F37-8422-AF6794E67C87}"/>
    <cellStyle name="Comma [0] 56" xfId="3958" xr:uid="{00000000-0005-0000-0000-0000330B0000}"/>
    <cellStyle name="Comma [0] 56 2" xfId="3959" xr:uid="{00000000-0005-0000-0000-0000340B0000}"/>
    <cellStyle name="Comma [0] 56 2 2" xfId="7651" xr:uid="{A54C1D3D-6C74-4490-8F57-25FFC23EED8E}"/>
    <cellStyle name="Comma [0] 56 3" xfId="3960" xr:uid="{00000000-0005-0000-0000-0000350B0000}"/>
    <cellStyle name="Comma [0] 56 3 2" xfId="7652" xr:uid="{75BDA7D4-111E-45ED-B7AB-AB4B41BDE167}"/>
    <cellStyle name="Comma [0] 56 4" xfId="7650" xr:uid="{0E0F083B-2AA2-469A-8221-026BB9C30B03}"/>
    <cellStyle name="Comma [0] 57" xfId="3961" xr:uid="{00000000-0005-0000-0000-0000360B0000}"/>
    <cellStyle name="Comma [0] 57 2" xfId="3962" xr:uid="{00000000-0005-0000-0000-0000370B0000}"/>
    <cellStyle name="Comma [0] 57 2 2" xfId="7654" xr:uid="{DE113553-A9BB-486C-A7D5-489596F81B41}"/>
    <cellStyle name="Comma [0] 57 3" xfId="3963" xr:uid="{00000000-0005-0000-0000-0000380B0000}"/>
    <cellStyle name="Comma [0] 57 3 2" xfId="7655" xr:uid="{8E91A503-46FF-4E72-A533-2BBF8DA99837}"/>
    <cellStyle name="Comma [0] 57 4" xfId="7653" xr:uid="{A220E075-1717-4FA9-9A6F-373ED10EB72E}"/>
    <cellStyle name="Comma [0] 58" xfId="3964" xr:uid="{00000000-0005-0000-0000-0000390B0000}"/>
    <cellStyle name="Comma [0] 58 2" xfId="3965" xr:uid="{00000000-0005-0000-0000-00003A0B0000}"/>
    <cellStyle name="Comma [0] 58 2 2" xfId="7657" xr:uid="{84EF8DFF-6616-4993-9851-AE93500E5477}"/>
    <cellStyle name="Comma [0] 58 3" xfId="3966" xr:uid="{00000000-0005-0000-0000-00003B0B0000}"/>
    <cellStyle name="Comma [0] 58 3 2" xfId="7658" xr:uid="{A302E3BA-5C8F-4EFC-A798-362C7306B16D}"/>
    <cellStyle name="Comma [0] 58 4" xfId="7656" xr:uid="{06577B7E-520C-41E9-B6BA-EF6F459302F9}"/>
    <cellStyle name="Comma [0] 59" xfId="3967" xr:uid="{00000000-0005-0000-0000-00003C0B0000}"/>
    <cellStyle name="Comma [0] 59 2" xfId="3968" xr:uid="{00000000-0005-0000-0000-00003D0B0000}"/>
    <cellStyle name="Comma [0] 59 2 2" xfId="7660" xr:uid="{076E9C13-CE78-46DF-BEBE-911B8A3CE06F}"/>
    <cellStyle name="Comma [0] 59 3" xfId="3969" xr:uid="{00000000-0005-0000-0000-00003E0B0000}"/>
    <cellStyle name="Comma [0] 59 3 2" xfId="7661" xr:uid="{73C97D15-5E4E-43C7-8493-6A170D7DA859}"/>
    <cellStyle name="Comma [0] 59 4" xfId="7659" xr:uid="{113C1964-AFE6-4289-98A2-537790ADDB6A}"/>
    <cellStyle name="Comma [0] 6" xfId="309" xr:uid="{00000000-0005-0000-0000-00003F0B0000}"/>
    <cellStyle name="Comma [0] 6 2" xfId="310" xr:uid="{00000000-0005-0000-0000-0000400B0000}"/>
    <cellStyle name="Comma [0] 6 2 2" xfId="311" xr:uid="{00000000-0005-0000-0000-0000410B0000}"/>
    <cellStyle name="Comma [0] 6 2 2 2" xfId="6105" xr:uid="{00000000-0005-0000-0000-0000420B0000}"/>
    <cellStyle name="Comma [0] 6 2 2 2 2" xfId="6807" xr:uid="{D4F0519B-119A-4FFA-8594-B7B3791B9E4A}"/>
    <cellStyle name="Comma [0] 6 2 2 2 2 2" xfId="9463" xr:uid="{CBE5E201-142B-4502-AB51-4B89B2626EC2}"/>
    <cellStyle name="Comma [0] 6 2 2 2 3" xfId="8909" xr:uid="{CF8D7AA9-09E7-467D-B8E5-6EF0AA696763}"/>
    <cellStyle name="Comma [0] 6 2 2 3" xfId="6808" xr:uid="{A36463B5-8804-4E70-90D9-295F159AFBCC}"/>
    <cellStyle name="Comma [0] 6 2 2 3 2" xfId="9464" xr:uid="{D1B6889B-8256-4A92-9CD8-E3D372DE6AB8}"/>
    <cellStyle name="Comma [0] 6 2 2 4" xfId="6806" xr:uid="{DE8D5D0F-1693-4DFB-8550-CAEB67C891C8}"/>
    <cellStyle name="Comma [0] 6 2 2 4 2" xfId="9462" xr:uid="{A1078136-D19A-4BC7-B40F-43150932E72B}"/>
    <cellStyle name="Comma [0] 6 2 3" xfId="5740" xr:uid="{00000000-0005-0000-0000-0000430B0000}"/>
    <cellStyle name="Comma [0] 6 2 3 2" xfId="8634" xr:uid="{22EFE08C-BB54-4120-B6D4-9711FC0CC661}"/>
    <cellStyle name="Comma [0] 6 2 4" xfId="7257" xr:uid="{59F4DAAD-67F2-43B4-B33F-85BD57CD9490}"/>
    <cellStyle name="Comma [0] 6 3" xfId="312" xr:uid="{00000000-0005-0000-0000-0000440B0000}"/>
    <cellStyle name="Comma [0] 6 3 2" xfId="6106" xr:uid="{00000000-0005-0000-0000-0000450B0000}"/>
    <cellStyle name="Comma [0] 6 3 2 2" xfId="6811" xr:uid="{D9761A81-EA84-4988-99DC-61A608F8F8F4}"/>
    <cellStyle name="Comma [0] 6 3 2 2 2" xfId="9466" xr:uid="{76FE88E4-548D-4A94-8FAB-09A57379F91D}"/>
    <cellStyle name="Comma [0] 6 3 2 3" xfId="8910" xr:uid="{2CD387C4-0FB2-4120-BE15-928AD30E0ABE}"/>
    <cellStyle name="Comma [0] 6 3 3" xfId="6810" xr:uid="{3E0B2558-D441-463F-9A2E-B1AA26232629}"/>
    <cellStyle name="Comma [0] 6 3 3 2" xfId="9465" xr:uid="{479ACB4F-210E-4D98-A8EA-1F91E814066E}"/>
    <cellStyle name="Comma [0] 6 3 4" xfId="7258" xr:uid="{EECC28A6-4AB1-4CB3-B72E-1DB2FC9670B5}"/>
    <cellStyle name="Comma [0] 6 4" xfId="313" xr:uid="{00000000-0005-0000-0000-0000460B0000}"/>
    <cellStyle name="Comma [0] 6 4 2" xfId="3970" xr:uid="{00000000-0005-0000-0000-0000470B0000}"/>
    <cellStyle name="Comma [0] 6 4 2 2" xfId="6815" xr:uid="{C7F4AFEE-9C7D-4AB2-AC6F-18C5B4B30FF1}"/>
    <cellStyle name="Comma [0] 6 4 2 2 2" xfId="9469" xr:uid="{2595F802-5387-487D-924A-6FBF9304565D}"/>
    <cellStyle name="Comma [0] 6 4 3" xfId="6812" xr:uid="{0FD8322D-60DC-415A-BCC5-B187E607E127}"/>
    <cellStyle name="Comma [0] 6 4 3 2" xfId="9467" xr:uid="{8DD1EF7D-103F-4A3A-86C0-2A5368DAE3B7}"/>
    <cellStyle name="Comma [0] 6 4 4" xfId="7259" xr:uid="{D5089E34-65A7-4C33-AE6D-7EF971685729}"/>
    <cellStyle name="Comma [0] 6 5" xfId="314" xr:uid="{00000000-0005-0000-0000-0000480B0000}"/>
    <cellStyle name="Comma [0] 6 5 2" xfId="6818" xr:uid="{3989B060-A3E6-4D0E-8A4A-F078BCA34325}"/>
    <cellStyle name="Comma [0] 6 5 2 2" xfId="9472" xr:uid="{FB2E192F-69C2-4801-9373-46C3B54C0EDE}"/>
    <cellStyle name="Comma [0] 6 5 3" xfId="6816" xr:uid="{F019AC16-1F68-46AA-8E27-2518E6EB6AE4}"/>
    <cellStyle name="Comma [0] 6 5 3 2" xfId="9470" xr:uid="{57CED0D1-5292-496F-8530-01421A511D42}"/>
    <cellStyle name="Comma [0] 6 5 4" xfId="7260" xr:uid="{341B2AB7-D320-4D9D-8A72-E766C01D0779}"/>
    <cellStyle name="Comma [0] 6 6" xfId="315" xr:uid="{00000000-0005-0000-0000-0000490B0000}"/>
    <cellStyle name="Comma [0] 6 6 2" xfId="6821" xr:uid="{84EFF2D3-F2CD-4820-B256-331F1DB860CD}"/>
    <cellStyle name="Comma [0] 6 6 2 2" xfId="9473" xr:uid="{AC9787B0-3292-4E81-9138-B615E61F8542}"/>
    <cellStyle name="Comma [0] 6 6 3" xfId="6413" xr:uid="{5EB63F42-A0D2-4EC1-96B2-792579B30AD9}"/>
    <cellStyle name="Comma [0] 6 6 3 2" xfId="9162" xr:uid="{D59EF694-2360-488D-816F-145B56C78ACC}"/>
    <cellStyle name="Comma [0] 6 6 4" xfId="7261" xr:uid="{4657E4E0-D23F-4971-99C0-BE02674A7026}"/>
    <cellStyle name="Comma [0] 6 7" xfId="316" xr:uid="{00000000-0005-0000-0000-00004A0B0000}"/>
    <cellStyle name="Comma [0] 6 7 2" xfId="6824" xr:uid="{21BFF2F4-8946-4766-ADF5-59C727D23EC5}"/>
    <cellStyle name="Comma [0] 6 7 2 2" xfId="9475" xr:uid="{F0EB311E-CEE4-4D29-8449-1464E92E09F3}"/>
    <cellStyle name="Comma [0] 6 7 3" xfId="6822" xr:uid="{D00EF218-E37E-4144-96CF-D8C4A016FCDD}"/>
    <cellStyle name="Comma [0] 6 7 3 2" xfId="9474" xr:uid="{BF72B969-6815-48F1-B781-42D90389DACF}"/>
    <cellStyle name="Comma [0] 6 7 4" xfId="7262" xr:uid="{4760839B-6835-4AFA-8800-3E62A3C98350}"/>
    <cellStyle name="Comma [0] 6 8" xfId="3971" xr:uid="{00000000-0005-0000-0000-00004B0B0000}"/>
    <cellStyle name="Comma [0] 6 8 2" xfId="6572" xr:uid="{FCE668CC-8EA8-4784-AA09-F0832A118177}"/>
    <cellStyle name="Comma [0] 6 8 2 2" xfId="9262" xr:uid="{A0E1BEBA-A50A-41EF-AE46-BEE247DE9CA4}"/>
    <cellStyle name="Comma [0] 6 8 3" xfId="6624" xr:uid="{7F8E6AF2-5AED-4A35-90E0-5C1D8D8D6803}"/>
    <cellStyle name="Comma [0] 6 8 3 2" xfId="9308" xr:uid="{A11EB6E4-88F8-4E9D-BA4F-DDEF7E405EFE}"/>
    <cellStyle name="Comma [0] 6 9" xfId="5739" xr:uid="{00000000-0005-0000-0000-00004C0B0000}"/>
    <cellStyle name="Comma [0] 6 9 2" xfId="6625" xr:uid="{07577E15-B52F-48DB-853F-A1F31FA4D1D8}"/>
    <cellStyle name="Comma [0] 6 9 2 2" xfId="9309" xr:uid="{5C8985A5-543B-411A-B478-1E9AEED85657}"/>
    <cellStyle name="Comma [0] 6 9 3" xfId="8633" xr:uid="{0930D648-30A0-4F5C-A3EB-7BD7630FF196}"/>
    <cellStyle name="Comma [0] 60" xfId="3972" xr:uid="{00000000-0005-0000-0000-00004D0B0000}"/>
    <cellStyle name="Comma [0] 60 2" xfId="3973" xr:uid="{00000000-0005-0000-0000-00004E0B0000}"/>
    <cellStyle name="Comma [0] 60 2 2" xfId="7663" xr:uid="{036EAA46-13C2-4472-85B4-72596F6FC303}"/>
    <cellStyle name="Comma [0] 60 3" xfId="3974" xr:uid="{00000000-0005-0000-0000-00004F0B0000}"/>
    <cellStyle name="Comma [0] 60 3 2" xfId="7664" xr:uid="{DF999B9B-5FFE-46F8-A49E-9F871AF7127E}"/>
    <cellStyle name="Comma [0] 60 4" xfId="7662" xr:uid="{B4218045-9604-4F95-8699-FAFC714C0086}"/>
    <cellStyle name="Comma [0] 61" xfId="3975" xr:uid="{00000000-0005-0000-0000-0000500B0000}"/>
    <cellStyle name="Comma [0] 61 2" xfId="3976" xr:uid="{00000000-0005-0000-0000-0000510B0000}"/>
    <cellStyle name="Comma [0] 61 2 2" xfId="7666" xr:uid="{91FF30B4-6A07-419E-8ABB-0E6BAFA074B3}"/>
    <cellStyle name="Comma [0] 61 3" xfId="3977" xr:uid="{00000000-0005-0000-0000-0000520B0000}"/>
    <cellStyle name="Comma [0] 61 3 2" xfId="7667" xr:uid="{957B606C-59CA-4E90-A318-0CA48C6FC230}"/>
    <cellStyle name="Comma [0] 61 4" xfId="7665" xr:uid="{A4F0C091-3D80-4867-8204-FB35C8B62325}"/>
    <cellStyle name="Comma [0] 62" xfId="3978" xr:uid="{00000000-0005-0000-0000-0000530B0000}"/>
    <cellStyle name="Comma [0] 62 2" xfId="3979" xr:uid="{00000000-0005-0000-0000-0000540B0000}"/>
    <cellStyle name="Comma [0] 62 2 2" xfId="7669" xr:uid="{9EAFDAD0-0A6E-4302-983C-44C4C476309C}"/>
    <cellStyle name="Comma [0] 62 3" xfId="7668" xr:uid="{4250B5D7-1AD5-43F0-BCF8-664ABA7FA26E}"/>
    <cellStyle name="Comma [0] 63" xfId="3980" xr:uid="{00000000-0005-0000-0000-0000550B0000}"/>
    <cellStyle name="Comma [0] 63 2" xfId="3981" xr:uid="{00000000-0005-0000-0000-0000560B0000}"/>
    <cellStyle name="Comma [0] 63 3" xfId="7670" xr:uid="{AE59D4B9-7D8C-40E8-8D21-92B44A54D2CE}"/>
    <cellStyle name="Comma [0] 64" xfId="3982" xr:uid="{00000000-0005-0000-0000-0000570B0000}"/>
    <cellStyle name="Comma [0] 64 2" xfId="3983" xr:uid="{00000000-0005-0000-0000-0000580B0000}"/>
    <cellStyle name="Comma [0] 64 2 2" xfId="7672" xr:uid="{0BEFC726-BD6F-4A1B-9A56-7292085AD034}"/>
    <cellStyle name="Comma [0] 64 3" xfId="7671" xr:uid="{1314F812-2418-484E-A15E-A8B9DB0D851D}"/>
    <cellStyle name="Comma [0] 65" xfId="3984" xr:uid="{00000000-0005-0000-0000-0000590B0000}"/>
    <cellStyle name="Comma [0] 65 2" xfId="3985" xr:uid="{00000000-0005-0000-0000-00005A0B0000}"/>
    <cellStyle name="Comma [0] 65 2 2" xfId="7674" xr:uid="{23690501-957D-4429-8109-1581F0E8ED9B}"/>
    <cellStyle name="Comma [0] 65 3" xfId="7673" xr:uid="{6A946CE3-581B-4629-A532-E16575B2FB62}"/>
    <cellStyle name="Comma [0] 66" xfId="3986" xr:uid="{00000000-0005-0000-0000-00005B0B0000}"/>
    <cellStyle name="Comma [0] 66 2" xfId="3987" xr:uid="{00000000-0005-0000-0000-00005C0B0000}"/>
    <cellStyle name="Comma [0] 66 2 2" xfId="7676" xr:uid="{85DC04A7-5D04-4205-A7C5-C12366A6486A}"/>
    <cellStyle name="Comma [0] 66 3" xfId="7675" xr:uid="{4347BB2A-D334-4D61-BB38-499D128D4E42}"/>
    <cellStyle name="Comma [0] 67" xfId="3988" xr:uid="{00000000-0005-0000-0000-00005D0B0000}"/>
    <cellStyle name="Comma [0] 67 2" xfId="3989" xr:uid="{00000000-0005-0000-0000-00005E0B0000}"/>
    <cellStyle name="Comma [0] 67 2 2" xfId="7678" xr:uid="{A789B000-B6E9-43BA-96F2-DEC12489C061}"/>
    <cellStyle name="Comma [0] 67 3" xfId="7677" xr:uid="{53B3F68B-9C43-49DD-AE8A-8B8F7020B51C}"/>
    <cellStyle name="Comma [0] 68" xfId="3990" xr:uid="{00000000-0005-0000-0000-00005F0B0000}"/>
    <cellStyle name="Comma [0] 68 2" xfId="3991" xr:uid="{00000000-0005-0000-0000-0000600B0000}"/>
    <cellStyle name="Comma [0] 68 2 2" xfId="7680" xr:uid="{214DEFA3-F102-459F-81A4-A374749025D1}"/>
    <cellStyle name="Comma [0] 68 3" xfId="7679" xr:uid="{6F4A8250-6788-4999-81A3-F79D58158BEA}"/>
    <cellStyle name="Comma [0] 69" xfId="3992" xr:uid="{00000000-0005-0000-0000-0000610B0000}"/>
    <cellStyle name="Comma [0] 69 2" xfId="7681" xr:uid="{05B75DFD-50D6-4E14-8AD2-04ACA72336CA}"/>
    <cellStyle name="Comma [0] 7" xfId="317" xr:uid="{00000000-0005-0000-0000-0000620B0000}"/>
    <cellStyle name="Comma [0] 7 10" xfId="5741" xr:uid="{00000000-0005-0000-0000-0000630B0000}"/>
    <cellStyle name="Comma [0] 7 10 2" xfId="8635" xr:uid="{09022675-28D2-4616-9D62-5769CC0EAABA}"/>
    <cellStyle name="Comma [0] 7 2" xfId="318" xr:uid="{00000000-0005-0000-0000-0000640B0000}"/>
    <cellStyle name="Comma [0] 7 2 2" xfId="319" xr:uid="{00000000-0005-0000-0000-0000650B0000}"/>
    <cellStyle name="Comma [0] 7 2 2 2" xfId="320" xr:uid="{00000000-0005-0000-0000-0000660B0000}"/>
    <cellStyle name="Comma [0] 7 2 2 2 2" xfId="6830" xr:uid="{5E6584F7-F7FB-4B82-B468-67FE98F2D6CE}"/>
    <cellStyle name="Comma [0] 7 2 2 2 2 2" xfId="9481" xr:uid="{9625D07F-C394-4821-938E-6F81AB2EB313}"/>
    <cellStyle name="Comma [0] 7 2 2 2 3" xfId="6828" xr:uid="{39A07D63-5AF5-48FB-A8BC-6F3AA2E668F9}"/>
    <cellStyle name="Comma [0] 7 2 2 2 3 2" xfId="9479" xr:uid="{F9BE1AB7-67BE-44E1-BA0D-35C12D546533}"/>
    <cellStyle name="Comma [0] 7 2 2 2 4" xfId="7264" xr:uid="{EEAAB34C-2B87-4EDE-B129-4E0F362C7311}"/>
    <cellStyle name="Comma [0] 7 2 2 3" xfId="6831" xr:uid="{C032E4F5-7707-4EA3-9019-75203B92A796}"/>
    <cellStyle name="Comma [0] 7 2 2 3 2" xfId="9482" xr:uid="{2AC52E92-975B-4B11-A5ED-8C6D7FFC1478}"/>
    <cellStyle name="Comma [0] 7 2 2 4" xfId="6827" xr:uid="{34A6CE3A-9678-4E7F-8BB5-4E79CFCA2D90}"/>
    <cellStyle name="Comma [0] 7 2 2 4 2" xfId="9478" xr:uid="{17367201-5093-45F1-92B2-9F01AEEA7C90}"/>
    <cellStyle name="Comma [0] 7 2 3" xfId="6107" xr:uid="{00000000-0005-0000-0000-0000670B0000}"/>
    <cellStyle name="Comma [0] 7 2 3 2" xfId="6832" xr:uid="{589CCC36-121C-42B2-831D-3892160A2182}"/>
    <cellStyle name="Comma [0] 7 2 3 2 2" xfId="9483" xr:uid="{C894F79F-F526-41A6-B66E-A9B3AFAA2F48}"/>
    <cellStyle name="Comma [0] 7 2 3 3" xfId="8911" xr:uid="{F6182888-2509-425F-A698-396FA55A03F5}"/>
    <cellStyle name="Comma [0] 7 2 4" xfId="6826" xr:uid="{417670CB-F26F-4284-9801-FFC825021B51}"/>
    <cellStyle name="Comma [0] 7 2 4 2" xfId="9477" xr:uid="{6E6E3E95-FD5B-45AC-AB90-F8D08BC0D44F}"/>
    <cellStyle name="Comma [0] 7 2 5" xfId="7263" xr:uid="{50DCEFD1-DA82-4A03-94B2-6C4E002DAA07}"/>
    <cellStyle name="Comma [0] 7 3" xfId="321" xr:uid="{00000000-0005-0000-0000-0000680B0000}"/>
    <cellStyle name="Comma [0] 7 3 2" xfId="6834" xr:uid="{1FBDA35C-AB87-49EA-A597-57F44E5C4FB2}"/>
    <cellStyle name="Comma [0] 7 3 2 2" xfId="9485" xr:uid="{563DD8EE-33B7-4422-9663-6B75E325391F}"/>
    <cellStyle name="Comma [0] 7 3 3" xfId="6570" xr:uid="{02DDAB61-1AFA-4829-8CC4-384A6C08CE2F}"/>
    <cellStyle name="Comma [0] 7 3 3 2" xfId="9261" xr:uid="{A9F5459C-ED41-4C8D-AD8E-F604F47B862C}"/>
    <cellStyle name="Comma [0] 7 3 4" xfId="7265" xr:uid="{BA9125B4-A98B-4196-8528-9C4EBD09BF2E}"/>
    <cellStyle name="Comma [0] 7 4" xfId="322" xr:uid="{00000000-0005-0000-0000-0000690B0000}"/>
    <cellStyle name="Comma [0] 7 4 2" xfId="6836" xr:uid="{E4EF2DE1-A643-4F5C-9AE8-1FC01FF09B39}"/>
    <cellStyle name="Comma [0] 7 4 2 2" xfId="9487" xr:uid="{B8C2635E-81A0-44CA-B139-9483195DBEF3}"/>
    <cellStyle name="Comma [0] 7 4 3" xfId="6835" xr:uid="{EA44C2AB-915D-4B08-A4FC-9DAEB248E524}"/>
    <cellStyle name="Comma [0] 7 4 3 2" xfId="9486" xr:uid="{08954775-9193-45FB-8F8B-34D07D92021F}"/>
    <cellStyle name="Comma [0] 7 4 4" xfId="7266" xr:uid="{C1695F5A-6DD9-4A8B-9A8D-53B862CEFA2D}"/>
    <cellStyle name="Comma [0] 7 5" xfId="323" xr:uid="{00000000-0005-0000-0000-00006A0B0000}"/>
    <cellStyle name="Comma [0] 7 5 2" xfId="6839" xr:uid="{D36EFEFD-AAB4-4D50-B5C9-0CF244A69231}"/>
    <cellStyle name="Comma [0] 7 5 2 2" xfId="9490" xr:uid="{92CFAFF2-4BC0-4744-9E37-DE6071FC7D92}"/>
    <cellStyle name="Comma [0] 7 5 3" xfId="6837" xr:uid="{C171504B-A7A8-4AF1-9163-513A84E59500}"/>
    <cellStyle name="Comma [0] 7 5 3 2" xfId="9488" xr:uid="{54BC4CAB-8E79-4754-A2E9-AC8073D5D312}"/>
    <cellStyle name="Comma [0] 7 5 4" xfId="7267" xr:uid="{A00D823F-0C82-47E2-883C-6CD48D3E48DD}"/>
    <cellStyle name="Comma [0] 7 6" xfId="324" xr:uid="{00000000-0005-0000-0000-00006B0B0000}"/>
    <cellStyle name="Comma [0] 7 6 2" xfId="6845" xr:uid="{BC33B9FB-B3E3-4A8D-8A7D-212FD18C284E}"/>
    <cellStyle name="Comma [0] 7 6 2 2" xfId="9494" xr:uid="{467C3EC4-84FB-46E8-AA5A-47C011C58CFE}"/>
    <cellStyle name="Comma [0] 7 6 3" xfId="6843" xr:uid="{86F82A5E-DDD2-4CE2-A015-0FDBB0EC6590}"/>
    <cellStyle name="Comma [0] 7 6 3 2" xfId="9492" xr:uid="{DEA4E04A-D5B5-4537-A5D2-CF04C88041E3}"/>
    <cellStyle name="Comma [0] 7 6 4" xfId="7268" xr:uid="{EBA51BC4-C846-4DD8-BD2D-BC092EB46E03}"/>
    <cellStyle name="Comma [0] 7 7" xfId="325" xr:uid="{00000000-0005-0000-0000-00006C0B0000}"/>
    <cellStyle name="Comma [0] 7 7 2" xfId="6847" xr:uid="{EFDBD76D-3F98-4860-8974-6BBAC87CFE50}"/>
    <cellStyle name="Comma [0] 7 7 2 2" xfId="9496" xr:uid="{1150EAEF-A9C9-46DC-8952-668F97E2F2A1}"/>
    <cellStyle name="Comma [0] 7 7 3" xfId="6438" xr:uid="{9F5A5141-28EF-415D-BF8C-6C22986C4D1F}"/>
    <cellStyle name="Comma [0] 7 7 3 2" xfId="9182" xr:uid="{E6D448CD-EF07-4413-829E-90109D0E6842}"/>
    <cellStyle name="Comma [0] 7 7 4" xfId="7269" xr:uid="{A3A53268-6A60-4277-969F-64D7D61F0A85}"/>
    <cellStyle name="Comma [0] 7 8" xfId="326" xr:uid="{00000000-0005-0000-0000-00006D0B0000}"/>
    <cellStyle name="Comma [0] 7 8 2" xfId="6643" xr:uid="{BB6FEFBF-289B-4D8C-A224-6C98CB6D3A5A}"/>
    <cellStyle name="Comma [0] 7 8 2 2" xfId="9327" xr:uid="{68F5891B-9D63-4533-81A2-16AA4E2A3ACF}"/>
    <cellStyle name="Comma [0] 7 8 3" xfId="6640" xr:uid="{A4225256-B70A-4763-ADBB-E2D03A37AF6F}"/>
    <cellStyle name="Comma [0] 7 8 3 2" xfId="9324" xr:uid="{90FCC44C-F258-4B59-8054-BAE406395A64}"/>
    <cellStyle name="Comma [0] 7 8 4" xfId="7270" xr:uid="{B187176B-7BA7-4EB7-A673-CDBD71699688}"/>
    <cellStyle name="Comma [0] 7 9" xfId="3993" xr:uid="{00000000-0005-0000-0000-00006E0B0000}"/>
    <cellStyle name="Comma [0] 7 9 2" xfId="6646" xr:uid="{3750E3BB-A9B1-4E51-AD00-BD5EF1BBE9A4}"/>
    <cellStyle name="Comma [0] 7 9 2 2" xfId="9330" xr:uid="{636CE3D3-3141-4E69-8A7C-207CCC381A48}"/>
    <cellStyle name="Comma [0] 7 9 3" xfId="7682" xr:uid="{6398A3FA-113D-4BDD-99D2-0ECEAA84538B}"/>
    <cellStyle name="Comma [0] 70" xfId="3994" xr:uid="{00000000-0005-0000-0000-00006F0B0000}"/>
    <cellStyle name="Comma [0] 70 2" xfId="7683" xr:uid="{6A12549F-D4D0-4A91-8C8B-FE62B83738CE}"/>
    <cellStyle name="Comma [0] 71" xfId="5679" xr:uid="{00000000-0005-0000-0000-0000700B0000}"/>
    <cellStyle name="Comma [0] 72" xfId="5915" xr:uid="{00000000-0005-0000-0000-0000710B0000}"/>
    <cellStyle name="Comma [0] 73" xfId="5986" xr:uid="{00000000-0005-0000-0000-0000720B0000}"/>
    <cellStyle name="Comma [0] 74" xfId="5920" xr:uid="{00000000-0005-0000-0000-0000730B0000}"/>
    <cellStyle name="Comma [0] 75" xfId="5987" xr:uid="{00000000-0005-0000-0000-0000740B0000}"/>
    <cellStyle name="Comma [0] 76" xfId="5923" xr:uid="{00000000-0005-0000-0000-0000750B0000}"/>
    <cellStyle name="Comma [0] 77" xfId="5989" xr:uid="{00000000-0005-0000-0000-0000760B0000}"/>
    <cellStyle name="Comma [0] 78" xfId="5927" xr:uid="{00000000-0005-0000-0000-0000770B0000}"/>
    <cellStyle name="Comma [0] 79" xfId="5991" xr:uid="{00000000-0005-0000-0000-0000780B0000}"/>
    <cellStyle name="Comma [0] 8" xfId="327" xr:uid="{00000000-0005-0000-0000-0000790B0000}"/>
    <cellStyle name="Comma [0] 8 2" xfId="328" xr:uid="{00000000-0005-0000-0000-00007A0B0000}"/>
    <cellStyle name="Comma [0] 8 2 2" xfId="329" xr:uid="{00000000-0005-0000-0000-00007B0B0000}"/>
    <cellStyle name="Comma [0] 8 2 2 2" xfId="330" xr:uid="{00000000-0005-0000-0000-00007C0B0000}"/>
    <cellStyle name="Comma [0] 8 2 2 2 2" xfId="6412" xr:uid="{595529D0-04DC-42E0-805D-900A6BDC8619}"/>
    <cellStyle name="Comma [0] 8 2 2 2 2 2" xfId="9161" xr:uid="{BDC19B9D-5C9E-4BF3-A8CD-E27455AC1171}"/>
    <cellStyle name="Comma [0] 8 2 2 2 3" xfId="6852" xr:uid="{DA334884-6488-42CF-8D8D-694AB22B3F38}"/>
    <cellStyle name="Comma [0] 8 2 2 2 3 2" xfId="9501" xr:uid="{930C0CFD-661A-4CEA-AA89-B2C1949F6026}"/>
    <cellStyle name="Comma [0] 8 2 2 3" xfId="3995" xr:uid="{00000000-0005-0000-0000-00007D0B0000}"/>
    <cellStyle name="Comma [0] 8 2 2 3 2" xfId="6854" xr:uid="{90685AD6-C802-40CF-9D50-017E401D2DEE}"/>
    <cellStyle name="Comma [0] 8 2 2 3 2 2" xfId="9503" xr:uid="{076221CA-04B2-4DFA-82EA-0FAEDA794B91}"/>
    <cellStyle name="Comma [0] 8 2 2 4" xfId="6850" xr:uid="{14CF5153-D9B2-492D-AEDC-CA46D2D6EC1B}"/>
    <cellStyle name="Comma [0] 8 2 2 4 2" xfId="9499" xr:uid="{04864A67-00B2-47BA-9956-442A54748C81}"/>
    <cellStyle name="Comma [0] 8 2 2 5" xfId="7271" xr:uid="{85B6E0E2-F853-4E0E-B392-76EDF74A91CF}"/>
    <cellStyle name="Comma [0] 8 2 3" xfId="3996" xr:uid="{00000000-0005-0000-0000-00007E0B0000}"/>
    <cellStyle name="Comma [0] 8 2 3 2" xfId="6855" xr:uid="{1DF0DBF5-65E6-46A6-A62F-90015D093D21}"/>
    <cellStyle name="Comma [0] 8 2 3 2 2" xfId="9504" xr:uid="{7631EA65-FDAF-4806-A3C2-5A2B6D4CB352}"/>
    <cellStyle name="Comma [0] 8 2 4" xfId="6108" xr:uid="{00000000-0005-0000-0000-00007F0B0000}"/>
    <cellStyle name="Comma [0] 8 2 4 2" xfId="8912" xr:uid="{24CBCAEF-B853-4BD9-A884-0FCDDE2A1D95}"/>
    <cellStyle name="Comma [0] 8 2 5" xfId="6849" xr:uid="{C5AD58AC-105A-4E4E-A962-5726536CDC78}"/>
    <cellStyle name="Comma [0] 8 2 5 2" xfId="9498" xr:uid="{EAF7445B-840E-4E61-BAC7-A69C3210E8C0}"/>
    <cellStyle name="Comma [0] 8 3" xfId="5742" xr:uid="{00000000-0005-0000-0000-0000800B0000}"/>
    <cellStyle name="Comma [0] 8 3 2" xfId="6857" xr:uid="{4327CA5D-3F45-4BEB-B710-78C96879AFD8}"/>
    <cellStyle name="Comma [0] 8 3 2 2" xfId="9506" xr:uid="{6C0A3FF3-0F4A-4DDD-9868-31FFC7F252E3}"/>
    <cellStyle name="Comma [0] 8 3 3" xfId="6856" xr:uid="{5D5AC8E7-DE29-427F-B52A-C58882DA0374}"/>
    <cellStyle name="Comma [0] 8 3 3 2" xfId="9505" xr:uid="{B2625B98-0A4E-44C0-AA56-F47E9FA5A95B}"/>
    <cellStyle name="Comma [0] 8 3 4" xfId="8636" xr:uid="{E0595951-9435-48C5-AC14-F88F3EC9B4E3}"/>
    <cellStyle name="Comma [0] 8 4" xfId="6558" xr:uid="{E85081E3-20FA-4C6F-9CED-80F7B2DD32D7}"/>
    <cellStyle name="Comma [0] 8 4 2" xfId="9253" xr:uid="{AE003A07-3BA7-43DE-9075-AD8C1BBA9DF5}"/>
    <cellStyle name="Comma [0] 8 5" xfId="6848" xr:uid="{99784996-E3AB-4279-9625-C4166A45286B}"/>
    <cellStyle name="Comma [0] 8 5 2" xfId="9497" xr:uid="{167BBB68-5A89-4781-A4D8-9133C6B7187E}"/>
    <cellStyle name="Comma [0] 80" xfId="6038" xr:uid="{00000000-0005-0000-0000-0000810B0000}"/>
    <cellStyle name="Comma [0] 80 2" xfId="8850" xr:uid="{298D16D4-FCB4-40C2-8028-D1E75D803A64}"/>
    <cellStyle name="Comma [0] 81" xfId="6358" xr:uid="{002139F0-AB0E-441F-99A4-CF3C51AC4BB3}"/>
    <cellStyle name="Comma [0] 81 2" xfId="9140" xr:uid="{B6447168-12CF-48FF-A013-11A84E88DD5C}"/>
    <cellStyle name="Comma [0] 82" xfId="6364" xr:uid="{5E71BF63-72CB-4F5E-9394-CB59C3C1E95F}"/>
    <cellStyle name="Comma [0] 82 2" xfId="9145" xr:uid="{08AD7E1F-ACC7-4831-B40C-813DBB6E0C70}"/>
    <cellStyle name="Comma [0] 83" xfId="6363" xr:uid="{F28AE259-FADC-43F2-BC1A-719210230A63}"/>
    <cellStyle name="Comma [0] 83 2" xfId="9144" xr:uid="{A25CC731-1269-40E6-9198-0A4E5AE89078}"/>
    <cellStyle name="Comma [0] 84" xfId="7183" xr:uid="{5BAC42C9-12ED-4DEA-8E69-282368509F24}"/>
    <cellStyle name="Comma [0] 84 2" xfId="9692" xr:uid="{0B2ABB7B-B072-4830-A0B0-806AA9612005}"/>
    <cellStyle name="Comma [0] 9" xfId="331" xr:uid="{00000000-0005-0000-0000-0000820B0000}"/>
    <cellStyle name="Comma [0] 9 2" xfId="332" xr:uid="{00000000-0005-0000-0000-0000830B0000}"/>
    <cellStyle name="Comma [0] 9 2 2" xfId="333" xr:uid="{00000000-0005-0000-0000-0000840B0000}"/>
    <cellStyle name="Comma [0] 9 2 2 2" xfId="6109" xr:uid="{00000000-0005-0000-0000-0000850B0000}"/>
    <cellStyle name="Comma [0] 9 2 2 2 2" xfId="8913" xr:uid="{21B1A2E1-B21E-4159-847E-1D579370C705}"/>
    <cellStyle name="Comma [0] 9 2 2 3" xfId="6859" xr:uid="{12BC8D8F-E42E-4FD6-8609-CDCEC07DAC98}"/>
    <cellStyle name="Comma [0] 9 2 2 3 2" xfId="9508" xr:uid="{7836CB27-DCD3-455B-AB32-F2581B073A74}"/>
    <cellStyle name="Comma [0] 9 2 3" xfId="5744" xr:uid="{00000000-0005-0000-0000-0000860B0000}"/>
    <cellStyle name="Comma [0] 9 2 3 2" xfId="8638" xr:uid="{8834DC4C-F178-4E1D-AD58-44BB0839ADDE}"/>
    <cellStyle name="Comma [0] 9 2 4" xfId="6858" xr:uid="{2F2BBB0F-A279-4BDC-B9AA-7D6E000B01FE}"/>
    <cellStyle name="Comma [0] 9 2 4 2" xfId="9507" xr:uid="{3F2E478A-3FF0-4FBB-B08D-9050D34EA4F5}"/>
    <cellStyle name="Comma [0] 9 3" xfId="334" xr:uid="{00000000-0005-0000-0000-0000870B0000}"/>
    <cellStyle name="Comma [0] 9 3 2" xfId="6110" xr:uid="{00000000-0005-0000-0000-0000880B0000}"/>
    <cellStyle name="Comma [0] 9 3 2 2" xfId="6436" xr:uid="{1AC2ADAD-04B5-4B02-8517-81EC3FA41847}"/>
    <cellStyle name="Comma [0] 9 3 2 2 2" xfId="9180" xr:uid="{F98B536F-D2F3-4EC2-B827-EC5C7666A371}"/>
    <cellStyle name="Comma [0] 9 3 2 3" xfId="8914" xr:uid="{5C82F366-1E79-462D-8211-E0084FE7B013}"/>
    <cellStyle name="Comma [0] 9 3 3" xfId="6860" xr:uid="{FFED2C95-A6F3-4810-922A-F44AFCF191C9}"/>
    <cellStyle name="Comma [0] 9 3 3 2" xfId="9509" xr:uid="{E276C6F6-D0AC-4BE6-A78C-3ADBF840EFC7}"/>
    <cellStyle name="Comma [0] 9 4" xfId="3997" xr:uid="{00000000-0005-0000-0000-0000890B0000}"/>
    <cellStyle name="Comma [0] 9 4 2" xfId="6861" xr:uid="{4CD47E7E-DB93-432B-9362-BF1984709FFF}"/>
    <cellStyle name="Comma [0] 9 4 2 2" xfId="9510" xr:uid="{188F3364-8078-4489-BB8C-6AC742750E27}"/>
    <cellStyle name="Comma [0] 9 5" xfId="5743" xr:uid="{00000000-0005-0000-0000-00008A0B0000}"/>
    <cellStyle name="Comma [0] 9 5 2" xfId="6725" xr:uid="{E2068ECB-6ACE-46CE-BEB2-C33C8B298803}"/>
    <cellStyle name="Comma [0] 9 5 2 2" xfId="9395" xr:uid="{146C9CE5-49E8-404E-AF4E-8F96FDC797F6}"/>
    <cellStyle name="Comma [0] 9 5 3" xfId="8637" xr:uid="{BB0834A1-E70F-45DF-9C01-A074F23BCB8E}"/>
    <cellStyle name="Comma [0] 9 6" xfId="6393" xr:uid="{53B5ABA4-B6C8-46FE-A25E-DD763FBE6486}"/>
    <cellStyle name="Comma [0] 9 6 2" xfId="9152" xr:uid="{C8EB35DA-EF45-4CBC-BC4A-B6FB1D9909C2}"/>
    <cellStyle name="Comma [00]" xfId="335" xr:uid="{00000000-0005-0000-0000-00008B0B0000}"/>
    <cellStyle name="Comma [00] 2" xfId="336" xr:uid="{00000000-0005-0000-0000-00008C0B0000}"/>
    <cellStyle name="Comma [00] 2 2" xfId="6112" xr:uid="{00000000-0005-0000-0000-00008D0B0000}"/>
    <cellStyle name="Comma [00] 2 2 2" xfId="8916" xr:uid="{E1EACD72-1657-4E10-BE8B-448841C850C6}"/>
    <cellStyle name="Comma [00] 2 3" xfId="7273" xr:uid="{7C2CE2B9-59D4-4549-BC82-1C7E035BBAEB}"/>
    <cellStyle name="Comma [00] 3" xfId="5745" xr:uid="{00000000-0005-0000-0000-00008E0B0000}"/>
    <cellStyle name="Comma [00] 3 2" xfId="6113" xr:uid="{00000000-0005-0000-0000-00008F0B0000}"/>
    <cellStyle name="Comma [00] 3 2 2" xfId="8917" xr:uid="{6CD546D6-07AA-471D-9EFB-BB946CD7720A}"/>
    <cellStyle name="Comma [00] 3 3" xfId="8639" xr:uid="{4E9086AF-6E4D-4A38-9B72-4E3237E69080}"/>
    <cellStyle name="Comma [00] 4" xfId="6111" xr:uid="{00000000-0005-0000-0000-0000900B0000}"/>
    <cellStyle name="Comma [00] 4 2" xfId="8915" xr:uid="{1ACD9124-70B6-47D6-9D45-781BA629AE93}"/>
    <cellStyle name="Comma [00] 5" xfId="7272" xr:uid="{676A5CC6-E602-4131-8FFD-08780D1CDB89}"/>
    <cellStyle name="Comma 10" xfId="337" xr:uid="{00000000-0005-0000-0000-0000910B0000}"/>
    <cellStyle name="Comma 10 10" xfId="3998" xr:uid="{00000000-0005-0000-0000-0000920B0000}"/>
    <cellStyle name="Comma 10 10 2" xfId="3999" xr:uid="{00000000-0005-0000-0000-0000930B0000}"/>
    <cellStyle name="Comma 10 10 2 2" xfId="7685" xr:uid="{300991D4-1457-4C9F-BE64-39E3BA9E70C3}"/>
    <cellStyle name="Comma 10 10 3" xfId="7684" xr:uid="{BCB2083C-AE47-4C0A-9FE3-7D660A38397C}"/>
    <cellStyle name="Comma 10 11" xfId="4000" xr:uid="{00000000-0005-0000-0000-0000940B0000}"/>
    <cellStyle name="Comma 10 11 2" xfId="4001" xr:uid="{00000000-0005-0000-0000-0000950B0000}"/>
    <cellStyle name="Comma 10 11 2 2" xfId="7687" xr:uid="{3C0C1771-5C37-42AC-8B14-9B078B7F5EDB}"/>
    <cellStyle name="Comma 10 11 3" xfId="7686" xr:uid="{A807767C-8FF1-4970-BECC-59F62B9B5E39}"/>
    <cellStyle name="Comma 10 12" xfId="4002" xr:uid="{00000000-0005-0000-0000-0000960B0000}"/>
    <cellStyle name="Comma 10 12 2" xfId="4003" xr:uid="{00000000-0005-0000-0000-0000970B0000}"/>
    <cellStyle name="Comma 10 12 2 2" xfId="7689" xr:uid="{F788658B-7074-4B42-96AC-3C23B4243DAA}"/>
    <cellStyle name="Comma 10 12 3" xfId="7688" xr:uid="{42E488BB-2E2E-45DF-9029-CBE2DC267925}"/>
    <cellStyle name="Comma 10 13" xfId="4004" xr:uid="{00000000-0005-0000-0000-0000980B0000}"/>
    <cellStyle name="Comma 10 13 2" xfId="4005" xr:uid="{00000000-0005-0000-0000-0000990B0000}"/>
    <cellStyle name="Comma 10 13 2 2" xfId="7691" xr:uid="{DC4DDE7D-DB37-45BD-A0EE-ADF9E47B3341}"/>
    <cellStyle name="Comma 10 13 3" xfId="7690" xr:uid="{94F0CD84-0152-4163-9B4B-5CAC1920137B}"/>
    <cellStyle name="Comma 10 14" xfId="4006" xr:uid="{00000000-0005-0000-0000-00009A0B0000}"/>
    <cellStyle name="Comma 10 14 2" xfId="4007" xr:uid="{00000000-0005-0000-0000-00009B0B0000}"/>
    <cellStyle name="Comma 10 14 2 2" xfId="7693" xr:uid="{0D1CD4B6-82C1-47BE-818B-BE2C6BBCE7D3}"/>
    <cellStyle name="Comma 10 14 3" xfId="7692" xr:uid="{82C88C67-8AE6-4B7B-92F4-119DC6DF14C1}"/>
    <cellStyle name="Comma 10 15" xfId="4008" xr:uid="{00000000-0005-0000-0000-00009C0B0000}"/>
    <cellStyle name="Comma 10 15 2" xfId="4009" xr:uid="{00000000-0005-0000-0000-00009D0B0000}"/>
    <cellStyle name="Comma 10 15 2 2" xfId="7695" xr:uid="{3B32F4A6-6DC7-4B83-B855-7B7E6D272049}"/>
    <cellStyle name="Comma 10 15 3" xfId="7694" xr:uid="{D6C8FC75-A950-4971-84F5-8B86DEFEBA67}"/>
    <cellStyle name="Comma 10 16" xfId="4010" xr:uid="{00000000-0005-0000-0000-00009E0B0000}"/>
    <cellStyle name="Comma 10 16 2" xfId="7696" xr:uid="{39AFA944-D423-49FE-B71F-C3E4225DADA6}"/>
    <cellStyle name="Comma 10 17" xfId="4011" xr:uid="{00000000-0005-0000-0000-00009F0B0000}"/>
    <cellStyle name="Comma 10 17 2" xfId="7697" xr:uid="{6A75152E-09A5-4DA6-8874-417A9D4FB4F4}"/>
    <cellStyle name="Comma 10 18" xfId="5746" xr:uid="{00000000-0005-0000-0000-0000A00B0000}"/>
    <cellStyle name="Comma 10 18 2" xfId="8640" xr:uid="{D4959841-F168-40AA-9B80-66C6F83D85D8}"/>
    <cellStyle name="Comma 10 19" xfId="6862" xr:uid="{07DB7716-CBA8-44F6-9A75-E35922B745BA}"/>
    <cellStyle name="Comma 10 19 2" xfId="9511" xr:uid="{CBC8ED70-23D3-430E-BE8E-D8D8BFD22E29}"/>
    <cellStyle name="Comma 10 2" xfId="338" xr:uid="{00000000-0005-0000-0000-0000A10B0000}"/>
    <cellStyle name="Comma 10 2 2" xfId="4012" xr:uid="{00000000-0005-0000-0000-0000A20B0000}"/>
    <cellStyle name="Comma 10 2 2 2" xfId="5748" xr:uid="{00000000-0005-0000-0000-0000A30B0000}"/>
    <cellStyle name="Comma 10 2 2 2 2" xfId="6114" xr:uid="{00000000-0005-0000-0000-0000A40B0000}"/>
    <cellStyle name="Comma 10 2 2 2 2 2" xfId="8918" xr:uid="{F7203A30-E5F3-4EC9-883D-5248FBE0EEB5}"/>
    <cellStyle name="Comma 10 2 2 2 3" xfId="8642" xr:uid="{BC0F1082-D70F-4A49-8276-C25D81141DBB}"/>
    <cellStyle name="Comma 10 2 2 3" xfId="7698" xr:uid="{905B398D-7847-403A-B80E-A820CD005569}"/>
    <cellStyle name="Comma 10 2 3" xfId="5747" xr:uid="{00000000-0005-0000-0000-0000A50B0000}"/>
    <cellStyle name="Comma 10 2 3 2" xfId="6115" xr:uid="{00000000-0005-0000-0000-0000A60B0000}"/>
    <cellStyle name="Comma 10 2 3 2 2" xfId="8919" xr:uid="{393146B7-669C-46C8-B26D-6642FF9221E6}"/>
    <cellStyle name="Comma 10 2 3 3" xfId="8641" xr:uid="{3B664724-0152-4780-B7DC-68D34CE65086}"/>
    <cellStyle name="Comma 10 3" xfId="4013" xr:uid="{00000000-0005-0000-0000-0000A70B0000}"/>
    <cellStyle name="Comma 10 3 2" xfId="4014" xr:uid="{00000000-0005-0000-0000-0000A80B0000}"/>
    <cellStyle name="Comma 10 3 2 2" xfId="6116" xr:uid="{00000000-0005-0000-0000-0000A90B0000}"/>
    <cellStyle name="Comma 10 3 2 2 2" xfId="8920" xr:uid="{BDF2CBDF-B1BA-47DB-99EF-3CAA75F15EA9}"/>
    <cellStyle name="Comma 10 3 2 3" xfId="7700" xr:uid="{87BCA99A-9665-4FC8-B88D-B274DA24BAC4}"/>
    <cellStyle name="Comma 10 3 3" xfId="5749" xr:uid="{00000000-0005-0000-0000-0000AA0B0000}"/>
    <cellStyle name="Comma 10 3 3 2" xfId="8643" xr:uid="{18B69972-544E-40FA-A6F4-AE0331028F7E}"/>
    <cellStyle name="Comma 10 3 4" xfId="7699" xr:uid="{D9A4DE21-532A-4DA9-AF1F-2375619AB78F}"/>
    <cellStyle name="Comma 10 4" xfId="4015" xr:uid="{00000000-0005-0000-0000-0000AB0B0000}"/>
    <cellStyle name="Comma 10 4 2" xfId="4016" xr:uid="{00000000-0005-0000-0000-0000AC0B0000}"/>
    <cellStyle name="Comma 10 4 2 2" xfId="7702" xr:uid="{97939C5E-FC23-408A-84F9-F5BC18385DEC}"/>
    <cellStyle name="Comma 10 4 3" xfId="6117" xr:uid="{00000000-0005-0000-0000-0000AD0B0000}"/>
    <cellStyle name="Comma 10 4 3 2" xfId="8921" xr:uid="{20ABD97C-5618-42A6-9EF6-D43984CB8DE0}"/>
    <cellStyle name="Comma 10 4 4" xfId="6868" xr:uid="{63655F33-C39A-4465-9C14-91CF4F7078DE}"/>
    <cellStyle name="Comma 10 4 4 2" xfId="9514" xr:uid="{4CCAA8D5-A2AE-4BA6-88F3-FED83DC5ACD1}"/>
    <cellStyle name="Comma 10 4 5" xfId="7701" xr:uid="{51EF3A26-FD37-440D-93C3-BAD2A267B1E3}"/>
    <cellStyle name="Comma 10 5" xfId="4017" xr:uid="{00000000-0005-0000-0000-0000AE0B0000}"/>
    <cellStyle name="Comma 10 5 2" xfId="4018" xr:uid="{00000000-0005-0000-0000-0000AF0B0000}"/>
    <cellStyle name="Comma 10 5 2 2" xfId="7704" xr:uid="{4456C327-C964-4C83-9F0D-F656DBE54FC6}"/>
    <cellStyle name="Comma 10 5 3" xfId="7703" xr:uid="{CA582318-AFA5-4CBA-A3AD-FE1C9E9D8EBA}"/>
    <cellStyle name="Comma 10 6" xfId="4019" xr:uid="{00000000-0005-0000-0000-0000B00B0000}"/>
    <cellStyle name="Comma 10 6 2" xfId="4020" xr:uid="{00000000-0005-0000-0000-0000B10B0000}"/>
    <cellStyle name="Comma 10 6 2 2" xfId="7706" xr:uid="{04AF0EA1-F4DB-4398-863F-7CB4C443DE40}"/>
    <cellStyle name="Comma 10 6 3" xfId="7705" xr:uid="{67CF819B-2723-4B4B-9E3B-112CC65DE2F7}"/>
    <cellStyle name="Comma 10 7" xfId="4021" xr:uid="{00000000-0005-0000-0000-0000B20B0000}"/>
    <cellStyle name="Comma 10 7 2" xfId="4022" xr:uid="{00000000-0005-0000-0000-0000B30B0000}"/>
    <cellStyle name="Comma 10 7 2 2" xfId="7708" xr:uid="{7D8F470A-929E-4BF7-AE90-4C4ABB70FEA9}"/>
    <cellStyle name="Comma 10 7 3" xfId="7707" xr:uid="{461CCCE4-BBB4-4F1D-91CD-81F4AF35B034}"/>
    <cellStyle name="Comma 10 8" xfId="4023" xr:uid="{00000000-0005-0000-0000-0000B40B0000}"/>
    <cellStyle name="Comma 10 8 2" xfId="4024" xr:uid="{00000000-0005-0000-0000-0000B50B0000}"/>
    <cellStyle name="Comma 10 8 2 2" xfId="7710" xr:uid="{AC9DD4A9-4465-4435-B5C4-BCDF16BC10BB}"/>
    <cellStyle name="Comma 10 8 3" xfId="7709" xr:uid="{A56B6E3A-8230-475A-87A1-18AD1352EC8F}"/>
    <cellStyle name="Comma 10 9" xfId="4025" xr:uid="{00000000-0005-0000-0000-0000B60B0000}"/>
    <cellStyle name="Comma 10 9 2" xfId="4026" xr:uid="{00000000-0005-0000-0000-0000B70B0000}"/>
    <cellStyle name="Comma 10 9 2 2" xfId="7712" xr:uid="{3BBE26AD-FBFB-464D-BB4F-F094E075D108}"/>
    <cellStyle name="Comma 10 9 3" xfId="7711" xr:uid="{FE4B53B9-110B-4F4F-9689-D4FBA5B19BA4}"/>
    <cellStyle name="Comma 11" xfId="339" xr:uid="{00000000-0005-0000-0000-0000B80B0000}"/>
    <cellStyle name="Comma 11 10" xfId="4027" xr:uid="{00000000-0005-0000-0000-0000B90B0000}"/>
    <cellStyle name="Comma 11 10 2" xfId="4028" xr:uid="{00000000-0005-0000-0000-0000BA0B0000}"/>
    <cellStyle name="Comma 11 10 2 2" xfId="7714" xr:uid="{4E3B384C-070B-4C4D-A4C0-06CE3BAAC788}"/>
    <cellStyle name="Comma 11 10 3" xfId="7713" xr:uid="{207AB8C7-12FB-4EFB-B5DE-F08852872DDC}"/>
    <cellStyle name="Comma 11 11" xfId="4029" xr:uid="{00000000-0005-0000-0000-0000BB0B0000}"/>
    <cellStyle name="Comma 11 11 2" xfId="4030" xr:uid="{00000000-0005-0000-0000-0000BC0B0000}"/>
    <cellStyle name="Comma 11 11 2 2" xfId="7716" xr:uid="{573757E2-3C01-4DF5-83A9-735374149C6B}"/>
    <cellStyle name="Comma 11 11 3" xfId="7715" xr:uid="{E4904ACC-C485-4A7C-AF01-A58FBFEBD76E}"/>
    <cellStyle name="Comma 11 12" xfId="4031" xr:uid="{00000000-0005-0000-0000-0000BD0B0000}"/>
    <cellStyle name="Comma 11 12 2" xfId="4032" xr:uid="{00000000-0005-0000-0000-0000BE0B0000}"/>
    <cellStyle name="Comma 11 12 2 2" xfId="7718" xr:uid="{4FD08663-0944-424D-9498-7151CA054BC8}"/>
    <cellStyle name="Comma 11 12 3" xfId="7717" xr:uid="{2CBD4C7E-FB2A-4623-AB70-2DF91341B938}"/>
    <cellStyle name="Comma 11 13" xfId="4033" xr:uid="{00000000-0005-0000-0000-0000BF0B0000}"/>
    <cellStyle name="Comma 11 13 2" xfId="4034" xr:uid="{00000000-0005-0000-0000-0000C00B0000}"/>
    <cellStyle name="Comma 11 13 2 2" xfId="7720" xr:uid="{87B4C201-673B-4559-BAED-091D391EC61B}"/>
    <cellStyle name="Comma 11 13 3" xfId="7719" xr:uid="{67559B9C-9E35-4BE8-A5B9-582221DB7E32}"/>
    <cellStyle name="Comma 11 14" xfId="4035" xr:uid="{00000000-0005-0000-0000-0000C10B0000}"/>
    <cellStyle name="Comma 11 14 2" xfId="4036" xr:uid="{00000000-0005-0000-0000-0000C20B0000}"/>
    <cellStyle name="Comma 11 14 2 2" xfId="7722" xr:uid="{CB89D1F3-847C-45C1-AAF3-50D7919DD452}"/>
    <cellStyle name="Comma 11 14 3" xfId="7721" xr:uid="{E00C71D6-5AF9-4BFF-8521-0B53BF86F0D8}"/>
    <cellStyle name="Comma 11 15" xfId="4037" xr:uid="{00000000-0005-0000-0000-0000C30B0000}"/>
    <cellStyle name="Comma 11 15 2" xfId="4038" xr:uid="{00000000-0005-0000-0000-0000C40B0000}"/>
    <cellStyle name="Comma 11 15 2 2" xfId="7724" xr:uid="{629A8CDE-72CA-49BE-BFF8-0564D17DB0A0}"/>
    <cellStyle name="Comma 11 15 3" xfId="7723" xr:uid="{EFD77217-7180-496F-A803-BAEA95CE02E1}"/>
    <cellStyle name="Comma 11 16" xfId="4039" xr:uid="{00000000-0005-0000-0000-0000C50B0000}"/>
    <cellStyle name="Comma 11 16 2" xfId="7725" xr:uid="{F4DE8806-EE5A-49DC-B6F0-116C38414259}"/>
    <cellStyle name="Comma 11 17" xfId="5750" xr:uid="{00000000-0005-0000-0000-0000C60B0000}"/>
    <cellStyle name="Comma 11 17 2" xfId="8644" xr:uid="{BFFB3432-AB52-4C6C-AA30-01ADD275DE33}"/>
    <cellStyle name="Comma 11 2" xfId="340" xr:uid="{00000000-0005-0000-0000-0000C70B0000}"/>
    <cellStyle name="Comma 11 2 2" xfId="341" xr:uid="{00000000-0005-0000-0000-0000C80B0000}"/>
    <cellStyle name="Comma 11 2 2 2" xfId="4040" xr:uid="{00000000-0005-0000-0000-0000C90B0000}"/>
    <cellStyle name="Comma 11 2 2 2 2" xfId="7726" xr:uid="{9100477A-6134-42BA-9793-3E921B4167EB}"/>
    <cellStyle name="Comma 11 2 2 3" xfId="6118" xr:uid="{00000000-0005-0000-0000-0000CA0B0000}"/>
    <cellStyle name="Comma 11 2 2 3 2" xfId="8922" xr:uid="{2E8A02C9-3E76-45A8-AEED-CCEE4C985386}"/>
    <cellStyle name="Comma 11 2 3" xfId="5751" xr:uid="{00000000-0005-0000-0000-0000CB0B0000}"/>
    <cellStyle name="Comma 11 2 3 2" xfId="8645" xr:uid="{C46CCC9D-34F3-4786-9C7A-8EB6F910BBF6}"/>
    <cellStyle name="Comma 11 3" xfId="342" xr:uid="{00000000-0005-0000-0000-0000CC0B0000}"/>
    <cellStyle name="Comma 11 3 2" xfId="4041" xr:uid="{00000000-0005-0000-0000-0000CD0B0000}"/>
    <cellStyle name="Comma 11 3 2 2" xfId="6825" xr:uid="{C934050D-834F-45C5-A0FD-DC5C672DA026}"/>
    <cellStyle name="Comma 11 3 2 2 2" xfId="9476" xr:uid="{EEF69AA8-4700-442B-AF22-AE0C593139ED}"/>
    <cellStyle name="Comma 11 3 2 3" xfId="7727" xr:uid="{C4850F43-B559-4E2A-A97E-DB40085E0C00}"/>
    <cellStyle name="Comma 11 3 3" xfId="6119" xr:uid="{00000000-0005-0000-0000-0000CE0B0000}"/>
    <cellStyle name="Comma 11 3 3 2" xfId="8923" xr:uid="{A289023C-EA0E-47D9-8010-48E346D04B64}"/>
    <cellStyle name="Comma 11 3 4" xfId="6870" xr:uid="{DE2DE83C-4023-422F-8ABA-32D7539520CA}"/>
    <cellStyle name="Comma 11 3 4 2" xfId="9516" xr:uid="{FC8942BD-B8BD-4F2B-81FF-92E68ECC581D}"/>
    <cellStyle name="Comma 11 4" xfId="343" xr:uid="{00000000-0005-0000-0000-0000CF0B0000}"/>
    <cellStyle name="Comma 11 4 2" xfId="4042" xr:uid="{00000000-0005-0000-0000-0000D00B0000}"/>
    <cellStyle name="Comma 11 4 2 2" xfId="7728" xr:uid="{B8822030-9A74-4428-88B1-83E1C77D7838}"/>
    <cellStyle name="Comma 11 4 3" xfId="4043" xr:uid="{00000000-0005-0000-0000-0000D10B0000}"/>
    <cellStyle name="Comma 11 4 3 2" xfId="7729" xr:uid="{03F6B303-23B4-4E96-9679-92C258596861}"/>
    <cellStyle name="Comma 11 4 4" xfId="6871" xr:uid="{8A0E8439-E6F4-4E18-8C66-4F81EABB9B21}"/>
    <cellStyle name="Comma 11 4 4 2" xfId="9517" xr:uid="{3AC90780-13BA-4B54-9E4A-C3A63B6C148D}"/>
    <cellStyle name="Comma 11 4 5" xfId="7274" xr:uid="{EEB03DC6-9B1C-4218-95E6-191C112B3488}"/>
    <cellStyle name="Comma 11 5" xfId="4044" xr:uid="{00000000-0005-0000-0000-0000D20B0000}"/>
    <cellStyle name="Comma 11 5 2" xfId="4045" xr:uid="{00000000-0005-0000-0000-0000D30B0000}"/>
    <cellStyle name="Comma 11 5 2 2" xfId="7731" xr:uid="{8385B1EB-8044-4D81-92FD-519EBCCDC27A}"/>
    <cellStyle name="Comma 11 5 3" xfId="7730" xr:uid="{F6F69FE5-E323-4D52-A33A-67DEEEDD63C5}"/>
    <cellStyle name="Comma 11 6" xfId="4046" xr:uid="{00000000-0005-0000-0000-0000D40B0000}"/>
    <cellStyle name="Comma 11 6 2" xfId="4047" xr:uid="{00000000-0005-0000-0000-0000D50B0000}"/>
    <cellStyle name="Comma 11 6 2 2" xfId="7733" xr:uid="{2F2BA3DC-EF70-4429-9FF1-EA40CC87BC0C}"/>
    <cellStyle name="Comma 11 6 3" xfId="7732" xr:uid="{118E1C1F-8689-430C-BA42-031769EA7319}"/>
    <cellStyle name="Comma 11 7" xfId="4048" xr:uid="{00000000-0005-0000-0000-0000D60B0000}"/>
    <cellStyle name="Comma 11 7 2" xfId="4049" xr:uid="{00000000-0005-0000-0000-0000D70B0000}"/>
    <cellStyle name="Comma 11 7 2 2" xfId="7735" xr:uid="{FC57CB73-C11C-4D48-A2A3-09027DB473DA}"/>
    <cellStyle name="Comma 11 7 3" xfId="7734" xr:uid="{93B56B26-D0B2-4B0B-BB70-DBDB47444A8A}"/>
    <cellStyle name="Comma 11 8" xfId="4050" xr:uid="{00000000-0005-0000-0000-0000D80B0000}"/>
    <cellStyle name="Comma 11 8 2" xfId="4051" xr:uid="{00000000-0005-0000-0000-0000D90B0000}"/>
    <cellStyle name="Comma 11 8 2 2" xfId="7737" xr:uid="{E273A2A0-0B83-4E2B-BFF3-4E623099D220}"/>
    <cellStyle name="Comma 11 8 3" xfId="7736" xr:uid="{BC59C9B7-A609-41C4-A7E3-88B7BB37E931}"/>
    <cellStyle name="Comma 11 9" xfId="4052" xr:uid="{00000000-0005-0000-0000-0000DA0B0000}"/>
    <cellStyle name="Comma 11 9 2" xfId="4053" xr:uid="{00000000-0005-0000-0000-0000DB0B0000}"/>
    <cellStyle name="Comma 11 9 2 2" xfId="7739" xr:uid="{82A214F4-EDF8-4BFE-85E6-253C57BC1ADD}"/>
    <cellStyle name="Comma 11 9 3" xfId="7738" xr:uid="{6AC8A062-931B-4061-BB42-3F1578EA9542}"/>
    <cellStyle name="Comma 12" xfId="344" xr:uid="{00000000-0005-0000-0000-0000DC0B0000}"/>
    <cellStyle name="Comma 12 10" xfId="4054" xr:uid="{00000000-0005-0000-0000-0000DD0B0000}"/>
    <cellStyle name="Comma 12 10 2" xfId="4055" xr:uid="{00000000-0005-0000-0000-0000DE0B0000}"/>
    <cellStyle name="Comma 12 10 2 2" xfId="7741" xr:uid="{7BB42967-7D7E-4045-AB02-E9CB12571813}"/>
    <cellStyle name="Comma 12 10 3" xfId="7740" xr:uid="{FDA9037A-D29C-4D77-92F9-048106F74806}"/>
    <cellStyle name="Comma 12 11" xfId="4056" xr:uid="{00000000-0005-0000-0000-0000DF0B0000}"/>
    <cellStyle name="Comma 12 11 2" xfId="4057" xr:uid="{00000000-0005-0000-0000-0000E00B0000}"/>
    <cellStyle name="Comma 12 11 2 2" xfId="7743" xr:uid="{64193EF6-5D32-489C-A384-176F737E8DD9}"/>
    <cellStyle name="Comma 12 11 3" xfId="7742" xr:uid="{0916F676-7F7C-4E1B-9EE8-78CDBF939577}"/>
    <cellStyle name="Comma 12 12" xfId="4058" xr:uid="{00000000-0005-0000-0000-0000E10B0000}"/>
    <cellStyle name="Comma 12 12 2" xfId="4059" xr:uid="{00000000-0005-0000-0000-0000E20B0000}"/>
    <cellStyle name="Comma 12 12 2 2" xfId="7745" xr:uid="{62C6D617-A6E2-4A47-A203-83624AECD37F}"/>
    <cellStyle name="Comma 12 12 3" xfId="7744" xr:uid="{AAD03AFD-8AFA-481F-A86D-68EC6CFB596F}"/>
    <cellStyle name="Comma 12 13" xfId="4060" xr:uid="{00000000-0005-0000-0000-0000E30B0000}"/>
    <cellStyle name="Comma 12 13 2" xfId="4061" xr:uid="{00000000-0005-0000-0000-0000E40B0000}"/>
    <cellStyle name="Comma 12 13 2 2" xfId="7747" xr:uid="{1B5ACF97-8251-4467-8DE5-551FD19FB248}"/>
    <cellStyle name="Comma 12 13 3" xfId="7746" xr:uid="{BA1602A7-AF16-4A58-AFEB-296394AEEEBC}"/>
    <cellStyle name="Comma 12 14" xfId="4062" xr:uid="{00000000-0005-0000-0000-0000E50B0000}"/>
    <cellStyle name="Comma 12 14 2" xfId="4063" xr:uid="{00000000-0005-0000-0000-0000E60B0000}"/>
    <cellStyle name="Comma 12 14 2 2" xfId="7749" xr:uid="{987D9D4E-DB60-4D72-9E14-652493C68B32}"/>
    <cellStyle name="Comma 12 14 3" xfId="7748" xr:uid="{F9536F1D-5097-40DD-972D-64E982EB271C}"/>
    <cellStyle name="Comma 12 15" xfId="4064" xr:uid="{00000000-0005-0000-0000-0000E70B0000}"/>
    <cellStyle name="Comma 12 15 2" xfId="4065" xr:uid="{00000000-0005-0000-0000-0000E80B0000}"/>
    <cellStyle name="Comma 12 15 2 2" xfId="7751" xr:uid="{47A65C41-B317-435C-B9C8-56A039494EC8}"/>
    <cellStyle name="Comma 12 15 3" xfId="7750" xr:uid="{F389F0FE-F3B7-4FEC-9BD8-F73BC5CB7569}"/>
    <cellStyle name="Comma 12 16" xfId="4066" xr:uid="{00000000-0005-0000-0000-0000E90B0000}"/>
    <cellStyle name="Comma 12 16 2" xfId="7752" xr:uid="{8F525919-6121-428A-8797-F2C45E320F86}"/>
    <cellStyle name="Comma 12 17" xfId="5752" xr:uid="{00000000-0005-0000-0000-0000EA0B0000}"/>
    <cellStyle name="Comma 12 17 2" xfId="8646" xr:uid="{001A2473-3A8D-4789-9C0A-8876284C471E}"/>
    <cellStyle name="Comma 12 2" xfId="345" xr:uid="{00000000-0005-0000-0000-0000EB0B0000}"/>
    <cellStyle name="Comma 12 2 2" xfId="4067" xr:uid="{00000000-0005-0000-0000-0000EC0B0000}"/>
    <cellStyle name="Comma 12 2 2 2" xfId="6120" xr:uid="{00000000-0005-0000-0000-0000ED0B0000}"/>
    <cellStyle name="Comma 12 2 2 2 2" xfId="8924" xr:uid="{F27FBEFB-4190-4756-A9FA-5FE3E8017F75}"/>
    <cellStyle name="Comma 12 2 2 3" xfId="7753" xr:uid="{C34CEF35-5AF6-4D86-9BCA-356DDCAD85B2}"/>
    <cellStyle name="Comma 12 2 3" xfId="4068" xr:uid="{00000000-0005-0000-0000-0000EE0B0000}"/>
    <cellStyle name="Comma 12 2 3 2" xfId="7754" xr:uid="{C1BC09F6-6AE2-47AA-9A18-1A7F5FE3E859}"/>
    <cellStyle name="Comma 12 2 4" xfId="5753" xr:uid="{00000000-0005-0000-0000-0000EF0B0000}"/>
    <cellStyle name="Comma 12 2 4 2" xfId="8647" xr:uid="{4B4CF3FA-F16B-4B3D-A6B7-D8406371C344}"/>
    <cellStyle name="Comma 12 3" xfId="4069" xr:uid="{00000000-0005-0000-0000-0000F00B0000}"/>
    <cellStyle name="Comma 12 3 2" xfId="4070" xr:uid="{00000000-0005-0000-0000-0000F10B0000}"/>
    <cellStyle name="Comma 12 3 2 2" xfId="7756" xr:uid="{229325EC-D206-4051-B6BB-1C88719277B1}"/>
    <cellStyle name="Comma 12 3 3" xfId="6121" xr:uid="{00000000-0005-0000-0000-0000F20B0000}"/>
    <cellStyle name="Comma 12 3 3 2" xfId="8925" xr:uid="{C89AF90E-7757-4CC9-A475-9472B528CEFA}"/>
    <cellStyle name="Comma 12 3 4" xfId="7755" xr:uid="{360AD431-FFF4-4A33-9E6C-67F7E8209C06}"/>
    <cellStyle name="Comma 12 4" xfId="4071" xr:uid="{00000000-0005-0000-0000-0000F30B0000}"/>
    <cellStyle name="Comma 12 4 2" xfId="4072" xr:uid="{00000000-0005-0000-0000-0000F40B0000}"/>
    <cellStyle name="Comma 12 4 2 2" xfId="7758" xr:uid="{A0C003AF-9D98-4445-8339-A3769FE838F0}"/>
    <cellStyle name="Comma 12 4 3" xfId="7757" xr:uid="{08469AF0-F41F-46EC-A03E-4FA140C93416}"/>
    <cellStyle name="Comma 12 5" xfId="4073" xr:uid="{00000000-0005-0000-0000-0000F50B0000}"/>
    <cellStyle name="Comma 12 5 2" xfId="4074" xr:uid="{00000000-0005-0000-0000-0000F60B0000}"/>
    <cellStyle name="Comma 12 5 2 2" xfId="7760" xr:uid="{3F14AE63-9E49-4207-9CFC-86950E3DBF4E}"/>
    <cellStyle name="Comma 12 5 3" xfId="7759" xr:uid="{419F4A57-C822-4315-905B-C36F0C05BA7F}"/>
    <cellStyle name="Comma 12 6" xfId="4075" xr:uid="{00000000-0005-0000-0000-0000F70B0000}"/>
    <cellStyle name="Comma 12 6 2" xfId="4076" xr:uid="{00000000-0005-0000-0000-0000F80B0000}"/>
    <cellStyle name="Comma 12 6 2 2" xfId="7762" xr:uid="{477BDE26-337D-4D2D-A2AC-F847FBB6D4A6}"/>
    <cellStyle name="Comma 12 6 3" xfId="7761" xr:uid="{F1511F5E-7903-4EBA-8D65-791F876FA2D2}"/>
    <cellStyle name="Comma 12 7" xfId="4077" xr:uid="{00000000-0005-0000-0000-0000F90B0000}"/>
    <cellStyle name="Comma 12 7 2" xfId="4078" xr:uid="{00000000-0005-0000-0000-0000FA0B0000}"/>
    <cellStyle name="Comma 12 7 2 2" xfId="7764" xr:uid="{52972F37-7ED7-4AC8-B422-EBF52E872F0C}"/>
    <cellStyle name="Comma 12 7 3" xfId="7763" xr:uid="{948AF9E4-EF33-4E87-8B3E-F23FC83928C5}"/>
    <cellStyle name="Comma 12 8" xfId="4079" xr:uid="{00000000-0005-0000-0000-0000FB0B0000}"/>
    <cellStyle name="Comma 12 8 2" xfId="4080" xr:uid="{00000000-0005-0000-0000-0000FC0B0000}"/>
    <cellStyle name="Comma 12 8 2 2" xfId="7766" xr:uid="{FD2CF9AD-A924-43B5-BC5D-EC5065F5650F}"/>
    <cellStyle name="Comma 12 8 3" xfId="7765" xr:uid="{DDE6D3E7-1B90-4B9F-86A4-BEC014714CB4}"/>
    <cellStyle name="Comma 12 9" xfId="4081" xr:uid="{00000000-0005-0000-0000-0000FD0B0000}"/>
    <cellStyle name="Comma 12 9 2" xfId="4082" xr:uid="{00000000-0005-0000-0000-0000FE0B0000}"/>
    <cellStyle name="Comma 12 9 2 2" xfId="7768" xr:uid="{EB95A053-00E7-4233-A68A-BDCDAFFB73E3}"/>
    <cellStyle name="Comma 12 9 3" xfId="7767" xr:uid="{B3AAC16A-DAF7-4AB3-9553-34C60EC45B7A}"/>
    <cellStyle name="Comma 13" xfId="346" xr:uid="{00000000-0005-0000-0000-0000FF0B0000}"/>
    <cellStyle name="Comma 13 10" xfId="4083" xr:uid="{00000000-0005-0000-0000-0000000C0000}"/>
    <cellStyle name="Comma 13 10 2" xfId="4084" xr:uid="{00000000-0005-0000-0000-0000010C0000}"/>
    <cellStyle name="Comma 13 10 2 2" xfId="7770" xr:uid="{62064822-EBE6-470C-94DF-A003AF4239DD}"/>
    <cellStyle name="Comma 13 10 3" xfId="7769" xr:uid="{342243E9-9ABC-4B77-80C1-2FA24AC81B34}"/>
    <cellStyle name="Comma 13 11" xfId="4085" xr:uid="{00000000-0005-0000-0000-0000020C0000}"/>
    <cellStyle name="Comma 13 11 2" xfId="4086" xr:uid="{00000000-0005-0000-0000-0000030C0000}"/>
    <cellStyle name="Comma 13 11 2 2" xfId="7772" xr:uid="{3A1D0B2D-CC37-445C-8006-CB22D7E41263}"/>
    <cellStyle name="Comma 13 11 3" xfId="7771" xr:uid="{329121CB-2C46-4AD7-BB26-7008AC5FC622}"/>
    <cellStyle name="Comma 13 12" xfId="4087" xr:uid="{00000000-0005-0000-0000-0000040C0000}"/>
    <cellStyle name="Comma 13 12 2" xfId="4088" xr:uid="{00000000-0005-0000-0000-0000050C0000}"/>
    <cellStyle name="Comma 13 12 2 2" xfId="7774" xr:uid="{79E4ECC7-1499-4831-BDE6-FA271F3CE4BA}"/>
    <cellStyle name="Comma 13 12 3" xfId="7773" xr:uid="{FECE4F27-177D-4441-9829-BD750F7E2459}"/>
    <cellStyle name="Comma 13 13" xfId="4089" xr:uid="{00000000-0005-0000-0000-0000060C0000}"/>
    <cellStyle name="Comma 13 13 2" xfId="4090" xr:uid="{00000000-0005-0000-0000-0000070C0000}"/>
    <cellStyle name="Comma 13 13 2 2" xfId="7776" xr:uid="{21543D43-4A95-439E-9D2F-ACC6CA94C33F}"/>
    <cellStyle name="Comma 13 13 3" xfId="7775" xr:uid="{E444D909-9B7E-43A3-9B90-B441F1CBA070}"/>
    <cellStyle name="Comma 13 14" xfId="4091" xr:uid="{00000000-0005-0000-0000-0000080C0000}"/>
    <cellStyle name="Comma 13 14 2" xfId="4092" xr:uid="{00000000-0005-0000-0000-0000090C0000}"/>
    <cellStyle name="Comma 13 14 2 2" xfId="7778" xr:uid="{E87FF7FA-69DC-40FD-85ED-242E68D63F19}"/>
    <cellStyle name="Comma 13 14 3" xfId="7777" xr:uid="{76CA6984-F219-4C56-9308-CEEC325B93E5}"/>
    <cellStyle name="Comma 13 15" xfId="4093" xr:uid="{00000000-0005-0000-0000-00000A0C0000}"/>
    <cellStyle name="Comma 13 15 2" xfId="4094" xr:uid="{00000000-0005-0000-0000-00000B0C0000}"/>
    <cellStyle name="Comma 13 15 2 2" xfId="7780" xr:uid="{CB42D8A4-B60C-4821-8F9D-50A5C34C4DF7}"/>
    <cellStyle name="Comma 13 15 3" xfId="7779" xr:uid="{85EC8A10-B344-4255-BFE8-2823A70BF7FD}"/>
    <cellStyle name="Comma 13 16" xfId="4095" xr:uid="{00000000-0005-0000-0000-00000C0C0000}"/>
    <cellStyle name="Comma 13 16 2" xfId="7781" xr:uid="{C6CFBBF0-24A0-44D6-8EBF-46D7C146C56D}"/>
    <cellStyle name="Comma 13 17" xfId="5754" xr:uid="{00000000-0005-0000-0000-00000D0C0000}"/>
    <cellStyle name="Comma 13 17 2" xfId="8648" xr:uid="{1FAE533A-E178-4768-98E7-96F73254E3D4}"/>
    <cellStyle name="Comma 13 2" xfId="347" xr:uid="{00000000-0005-0000-0000-00000E0C0000}"/>
    <cellStyle name="Comma 13 2 2" xfId="4096" xr:uid="{00000000-0005-0000-0000-00000F0C0000}"/>
    <cellStyle name="Comma 13 2 2 2" xfId="6122" xr:uid="{00000000-0005-0000-0000-0000100C0000}"/>
    <cellStyle name="Comma 13 2 2 2 2" xfId="8926" xr:uid="{B2461649-6B6A-4265-810A-3BC507BE51FD}"/>
    <cellStyle name="Comma 13 2 2 3" xfId="7782" xr:uid="{F87A0740-FD07-44B9-9BD5-958186DFF426}"/>
    <cellStyle name="Comma 13 2 3" xfId="4097" xr:uid="{00000000-0005-0000-0000-0000110C0000}"/>
    <cellStyle name="Comma 13 2 3 2" xfId="7783" xr:uid="{01C7F336-5F94-4119-A4DA-0D04724F7B23}"/>
    <cellStyle name="Comma 13 2 4" xfId="5755" xr:uid="{00000000-0005-0000-0000-0000120C0000}"/>
    <cellStyle name="Comma 13 2 4 2" xfId="8649" xr:uid="{6FFFD405-2B0D-426C-84E9-E2452F9D2CE8}"/>
    <cellStyle name="Comma 13 3" xfId="4098" xr:uid="{00000000-0005-0000-0000-0000130C0000}"/>
    <cellStyle name="Comma 13 3 2" xfId="4099" xr:uid="{00000000-0005-0000-0000-0000140C0000}"/>
    <cellStyle name="Comma 13 3 2 2" xfId="7785" xr:uid="{E35DBB80-FFD6-41C3-AAFF-28AC44A7EC1A}"/>
    <cellStyle name="Comma 13 3 3" xfId="6123" xr:uid="{00000000-0005-0000-0000-0000150C0000}"/>
    <cellStyle name="Comma 13 3 3 2" xfId="8927" xr:uid="{7EE2E3BC-E1F1-4242-B79A-C7EC3F93422B}"/>
    <cellStyle name="Comma 13 3 4" xfId="7784" xr:uid="{D182FF32-1CB2-4874-B22C-F5DD40DE0E0D}"/>
    <cellStyle name="Comma 13 4" xfId="4100" xr:uid="{00000000-0005-0000-0000-0000160C0000}"/>
    <cellStyle name="Comma 13 4 2" xfId="4101" xr:uid="{00000000-0005-0000-0000-0000170C0000}"/>
    <cellStyle name="Comma 13 4 2 2" xfId="7787" xr:uid="{176A35BC-A3E3-4B5C-B98A-845C9A5F2650}"/>
    <cellStyle name="Comma 13 4 3" xfId="7786" xr:uid="{6C8E98F3-B339-4D95-94DB-D649EC303829}"/>
    <cellStyle name="Comma 13 5" xfId="4102" xr:uid="{00000000-0005-0000-0000-0000180C0000}"/>
    <cellStyle name="Comma 13 5 2" xfId="4103" xr:uid="{00000000-0005-0000-0000-0000190C0000}"/>
    <cellStyle name="Comma 13 5 2 2" xfId="7789" xr:uid="{298527E5-5E4E-42E3-BCF3-456503AB10FC}"/>
    <cellStyle name="Comma 13 5 3" xfId="7788" xr:uid="{6F616B0F-8AEE-4663-9C3B-A22F6D32D337}"/>
    <cellStyle name="Comma 13 6" xfId="4104" xr:uid="{00000000-0005-0000-0000-00001A0C0000}"/>
    <cellStyle name="Comma 13 6 2" xfId="4105" xr:uid="{00000000-0005-0000-0000-00001B0C0000}"/>
    <cellStyle name="Comma 13 6 2 2" xfId="7791" xr:uid="{B7CA4070-E178-4A49-8029-6D7FF96C88E0}"/>
    <cellStyle name="Comma 13 6 3" xfId="7790" xr:uid="{F008CC4D-E260-4CCC-910A-D656F5E2EB59}"/>
    <cellStyle name="Comma 13 7" xfId="4106" xr:uid="{00000000-0005-0000-0000-00001C0C0000}"/>
    <cellStyle name="Comma 13 7 2" xfId="4107" xr:uid="{00000000-0005-0000-0000-00001D0C0000}"/>
    <cellStyle name="Comma 13 7 2 2" xfId="7793" xr:uid="{B9973B44-F68A-48C2-9DAF-8675B9BD4242}"/>
    <cellStyle name="Comma 13 7 3" xfId="7792" xr:uid="{F0E5176A-0693-4280-917F-B8799BA3D785}"/>
    <cellStyle name="Comma 13 8" xfId="4108" xr:uid="{00000000-0005-0000-0000-00001E0C0000}"/>
    <cellStyle name="Comma 13 8 2" xfId="4109" xr:uid="{00000000-0005-0000-0000-00001F0C0000}"/>
    <cellStyle name="Comma 13 8 2 2" xfId="7795" xr:uid="{BA82D523-BEAD-42EA-816F-E86C81563276}"/>
    <cellStyle name="Comma 13 8 3" xfId="7794" xr:uid="{E14C53E0-F9DD-4BA2-94A0-4484538C9E6A}"/>
    <cellStyle name="Comma 13 9" xfId="4110" xr:uid="{00000000-0005-0000-0000-0000200C0000}"/>
    <cellStyle name="Comma 13 9 2" xfId="4111" xr:uid="{00000000-0005-0000-0000-0000210C0000}"/>
    <cellStyle name="Comma 13 9 2 2" xfId="7797" xr:uid="{F8AA6C33-E0F7-427B-84E2-6707F478E2C4}"/>
    <cellStyle name="Comma 13 9 3" xfId="7796" xr:uid="{CF623EDF-18CC-465B-8B98-A598726EECC3}"/>
    <cellStyle name="Comma 14" xfId="348" xr:uid="{00000000-0005-0000-0000-0000220C0000}"/>
    <cellStyle name="Comma 14 10" xfId="4112" xr:uid="{00000000-0005-0000-0000-0000230C0000}"/>
    <cellStyle name="Comma 14 10 2" xfId="4113" xr:uid="{00000000-0005-0000-0000-0000240C0000}"/>
    <cellStyle name="Comma 14 10 2 2" xfId="7799" xr:uid="{7C339E41-0F8D-4BD7-8846-698CE1C5CE22}"/>
    <cellStyle name="Comma 14 10 3" xfId="7798" xr:uid="{D5F0CEB9-CE2D-4E69-BDAF-E918471AED72}"/>
    <cellStyle name="Comma 14 11" xfId="4114" xr:uid="{00000000-0005-0000-0000-0000250C0000}"/>
    <cellStyle name="Comma 14 11 2" xfId="4115" xr:uid="{00000000-0005-0000-0000-0000260C0000}"/>
    <cellStyle name="Comma 14 11 2 2" xfId="7801" xr:uid="{FFA97C24-3DCA-4CF5-8F73-677658BEAA6E}"/>
    <cellStyle name="Comma 14 11 3" xfId="7800" xr:uid="{A2D32853-56EE-48CA-81D1-04692F1D6D6A}"/>
    <cellStyle name="Comma 14 12" xfId="4116" xr:uid="{00000000-0005-0000-0000-0000270C0000}"/>
    <cellStyle name="Comma 14 12 2" xfId="4117" xr:uid="{00000000-0005-0000-0000-0000280C0000}"/>
    <cellStyle name="Comma 14 12 2 2" xfId="7803" xr:uid="{EC90875C-730F-47D7-A381-A405E288EAFB}"/>
    <cellStyle name="Comma 14 12 3" xfId="7802" xr:uid="{931DCEB6-7A33-48BD-944D-B43538BCD10C}"/>
    <cellStyle name="Comma 14 13" xfId="4118" xr:uid="{00000000-0005-0000-0000-0000290C0000}"/>
    <cellStyle name="Comma 14 13 2" xfId="4119" xr:uid="{00000000-0005-0000-0000-00002A0C0000}"/>
    <cellStyle name="Comma 14 13 2 2" xfId="7805" xr:uid="{FED4AC06-274D-4481-8298-33BE684344FA}"/>
    <cellStyle name="Comma 14 13 3" xfId="7804" xr:uid="{7AD32313-E11A-484A-AA62-BCE10E0BC04C}"/>
    <cellStyle name="Comma 14 14" xfId="4120" xr:uid="{00000000-0005-0000-0000-00002B0C0000}"/>
    <cellStyle name="Comma 14 14 2" xfId="4121" xr:uid="{00000000-0005-0000-0000-00002C0C0000}"/>
    <cellStyle name="Comma 14 14 2 2" xfId="7807" xr:uid="{B293628B-3A07-47FE-B98F-C52AAC30B617}"/>
    <cellStyle name="Comma 14 14 3" xfId="7806" xr:uid="{638EB5B4-17B6-46DE-83DB-324120B75E06}"/>
    <cellStyle name="Comma 14 15" xfId="4122" xr:uid="{00000000-0005-0000-0000-00002D0C0000}"/>
    <cellStyle name="Comma 14 15 2" xfId="4123" xr:uid="{00000000-0005-0000-0000-00002E0C0000}"/>
    <cellStyle name="Comma 14 15 2 2" xfId="7809" xr:uid="{ECCBAF47-EFDB-42B8-9DB9-968D190C5466}"/>
    <cellStyle name="Comma 14 15 3" xfId="7808" xr:uid="{8B04E3B3-9047-4956-BC69-CFBCA078F1B3}"/>
    <cellStyle name="Comma 14 16" xfId="4124" xr:uid="{00000000-0005-0000-0000-00002F0C0000}"/>
    <cellStyle name="Comma 14 16 2" xfId="7810" xr:uid="{E3A848C4-9946-496C-AB9C-611E867DAFDE}"/>
    <cellStyle name="Comma 14 17" xfId="5756" xr:uid="{00000000-0005-0000-0000-0000300C0000}"/>
    <cellStyle name="Comma 14 17 2" xfId="8650" xr:uid="{7762A4BD-778C-4CAD-B638-C3E0444324F5}"/>
    <cellStyle name="Comma 14 2" xfId="349" xr:uid="{00000000-0005-0000-0000-0000310C0000}"/>
    <cellStyle name="Comma 14 2 2" xfId="4125" xr:uid="{00000000-0005-0000-0000-0000320C0000}"/>
    <cellStyle name="Comma 14 2 2 2" xfId="6124" xr:uid="{00000000-0005-0000-0000-0000330C0000}"/>
    <cellStyle name="Comma 14 2 2 2 2" xfId="8928" xr:uid="{A68B334B-68DC-4D71-A855-29BDAC3418BF}"/>
    <cellStyle name="Comma 14 2 2 3" xfId="7811" xr:uid="{6B2E8AE0-85FB-4492-B678-6BCACB8BC888}"/>
    <cellStyle name="Comma 14 2 3" xfId="4126" xr:uid="{00000000-0005-0000-0000-0000340C0000}"/>
    <cellStyle name="Comma 14 2 3 2" xfId="7812" xr:uid="{7B4AF47B-D81A-4B11-A848-354080AC3AE2}"/>
    <cellStyle name="Comma 14 2 4" xfId="5757" xr:uid="{00000000-0005-0000-0000-0000350C0000}"/>
    <cellStyle name="Comma 14 2 4 2" xfId="8651" xr:uid="{8873FC45-7DC5-45D4-A14C-703370D0F796}"/>
    <cellStyle name="Comma 14 3" xfId="4127" xr:uid="{00000000-0005-0000-0000-0000360C0000}"/>
    <cellStyle name="Comma 14 3 2" xfId="4128" xr:uid="{00000000-0005-0000-0000-0000370C0000}"/>
    <cellStyle name="Comma 14 3 2 2" xfId="7814" xr:uid="{69082E3C-C2E4-4D6F-878F-EDB476AA193C}"/>
    <cellStyle name="Comma 14 3 3" xfId="6125" xr:uid="{00000000-0005-0000-0000-0000380C0000}"/>
    <cellStyle name="Comma 14 3 3 2" xfId="8929" xr:uid="{CAD98AC5-FB3A-4D2F-8F5B-E7D2C3F382AA}"/>
    <cellStyle name="Comma 14 3 4" xfId="7813" xr:uid="{19B15FF6-1C3C-4C9A-9625-AE4017FCE1A8}"/>
    <cellStyle name="Comma 14 4" xfId="4129" xr:uid="{00000000-0005-0000-0000-0000390C0000}"/>
    <cellStyle name="Comma 14 4 2" xfId="4130" xr:uid="{00000000-0005-0000-0000-00003A0C0000}"/>
    <cellStyle name="Comma 14 4 2 2" xfId="7816" xr:uid="{37BD1426-AD08-4ABE-AFC0-7B20AAB446D9}"/>
    <cellStyle name="Comma 14 4 3" xfId="7815" xr:uid="{046F5B39-3E1E-4267-B4C0-7AAFCCB06744}"/>
    <cellStyle name="Comma 14 5" xfId="4131" xr:uid="{00000000-0005-0000-0000-00003B0C0000}"/>
    <cellStyle name="Comma 14 5 2" xfId="4132" xr:uid="{00000000-0005-0000-0000-00003C0C0000}"/>
    <cellStyle name="Comma 14 5 2 2" xfId="7818" xr:uid="{2CA3B27E-9946-498C-A54A-DD13A862B9F9}"/>
    <cellStyle name="Comma 14 5 3" xfId="7817" xr:uid="{259132AA-8414-4BAE-91B5-5C00FD8864A3}"/>
    <cellStyle name="Comma 14 6" xfId="4133" xr:uid="{00000000-0005-0000-0000-00003D0C0000}"/>
    <cellStyle name="Comma 14 6 2" xfId="4134" xr:uid="{00000000-0005-0000-0000-00003E0C0000}"/>
    <cellStyle name="Comma 14 6 2 2" xfId="7820" xr:uid="{BA59FCCD-EABA-48EC-BFAC-6ED45B7DB484}"/>
    <cellStyle name="Comma 14 6 3" xfId="7819" xr:uid="{C23AEF75-6460-4E4B-BA4F-A1F0134D3F91}"/>
    <cellStyle name="Comma 14 7" xfId="4135" xr:uid="{00000000-0005-0000-0000-00003F0C0000}"/>
    <cellStyle name="Comma 14 7 2" xfId="4136" xr:uid="{00000000-0005-0000-0000-0000400C0000}"/>
    <cellStyle name="Comma 14 7 2 2" xfId="7822" xr:uid="{679C787C-34AD-4152-834E-5F1BEEA94089}"/>
    <cellStyle name="Comma 14 7 3" xfId="7821" xr:uid="{876EE8D7-A95D-4F91-A48E-5EBC80690D92}"/>
    <cellStyle name="Comma 14 8" xfId="4137" xr:uid="{00000000-0005-0000-0000-0000410C0000}"/>
    <cellStyle name="Comma 14 8 2" xfId="4138" xr:uid="{00000000-0005-0000-0000-0000420C0000}"/>
    <cellStyle name="Comma 14 8 2 2" xfId="7824" xr:uid="{9B7B177E-2A16-460B-8710-A2E5B6147BCC}"/>
    <cellStyle name="Comma 14 8 3" xfId="7823" xr:uid="{57B6AC39-2C0D-4008-85DA-63EEAEA7AC46}"/>
    <cellStyle name="Comma 14 9" xfId="4139" xr:uid="{00000000-0005-0000-0000-0000430C0000}"/>
    <cellStyle name="Comma 14 9 2" xfId="4140" xr:uid="{00000000-0005-0000-0000-0000440C0000}"/>
    <cellStyle name="Comma 14 9 2 2" xfId="7826" xr:uid="{C4A62141-F944-48D8-B703-69CFCB776700}"/>
    <cellStyle name="Comma 14 9 3" xfId="7825" xr:uid="{9077484A-F26F-46F6-85A9-5A8414FB913F}"/>
    <cellStyle name="Comma 15" xfId="350" xr:uid="{00000000-0005-0000-0000-0000450C0000}"/>
    <cellStyle name="Comma 15 10" xfId="4141" xr:uid="{00000000-0005-0000-0000-0000460C0000}"/>
    <cellStyle name="Comma 15 10 2" xfId="4142" xr:uid="{00000000-0005-0000-0000-0000470C0000}"/>
    <cellStyle name="Comma 15 10 2 2" xfId="7828" xr:uid="{C6AB4D80-84F3-4954-81E8-5583E3D6DB69}"/>
    <cellStyle name="Comma 15 10 3" xfId="7827" xr:uid="{A8DB8E1D-F7CD-4557-A38F-E8A30271124B}"/>
    <cellStyle name="Comma 15 11" xfId="4143" xr:uid="{00000000-0005-0000-0000-0000480C0000}"/>
    <cellStyle name="Comma 15 11 2" xfId="4144" xr:uid="{00000000-0005-0000-0000-0000490C0000}"/>
    <cellStyle name="Comma 15 11 2 2" xfId="7830" xr:uid="{C1DA6F14-0948-47A4-8B14-A4C33DC35F14}"/>
    <cellStyle name="Comma 15 11 3" xfId="7829" xr:uid="{FCF7CE57-28C3-4278-961E-FA35A68136B0}"/>
    <cellStyle name="Comma 15 12" xfId="4145" xr:uid="{00000000-0005-0000-0000-00004A0C0000}"/>
    <cellStyle name="Comma 15 12 2" xfId="4146" xr:uid="{00000000-0005-0000-0000-00004B0C0000}"/>
    <cellStyle name="Comma 15 12 2 2" xfId="7832" xr:uid="{DE86DBF0-CD32-4638-AA9D-7DDD85C15F2F}"/>
    <cellStyle name="Comma 15 12 3" xfId="7831" xr:uid="{AA2043BA-70CC-40AB-907A-869D85DBD89E}"/>
    <cellStyle name="Comma 15 13" xfId="4147" xr:uid="{00000000-0005-0000-0000-00004C0C0000}"/>
    <cellStyle name="Comma 15 13 2" xfId="4148" xr:uid="{00000000-0005-0000-0000-00004D0C0000}"/>
    <cellStyle name="Comma 15 13 2 2" xfId="7834" xr:uid="{6FFBAA45-045D-46BE-AEF7-ABE363F031D1}"/>
    <cellStyle name="Comma 15 13 3" xfId="7833" xr:uid="{69F3C32E-1EEC-4297-9398-96F6672C8236}"/>
    <cellStyle name="Comma 15 14" xfId="4149" xr:uid="{00000000-0005-0000-0000-00004E0C0000}"/>
    <cellStyle name="Comma 15 14 2" xfId="4150" xr:uid="{00000000-0005-0000-0000-00004F0C0000}"/>
    <cellStyle name="Comma 15 14 2 2" xfId="7836" xr:uid="{1876CD81-D469-4A85-ABD2-372FCD272C75}"/>
    <cellStyle name="Comma 15 14 3" xfId="7835" xr:uid="{D4B6ADDC-38E4-4961-809F-0C52B6AACC15}"/>
    <cellStyle name="Comma 15 15" xfId="4151" xr:uid="{00000000-0005-0000-0000-0000500C0000}"/>
    <cellStyle name="Comma 15 15 2" xfId="4152" xr:uid="{00000000-0005-0000-0000-0000510C0000}"/>
    <cellStyle name="Comma 15 15 2 2" xfId="7838" xr:uid="{37330D08-1E8E-4D3B-83D1-61D89497E21C}"/>
    <cellStyle name="Comma 15 15 3" xfId="7837" xr:uid="{6BD0C251-F1C3-4CC3-AA5A-EDB5DA162EDD}"/>
    <cellStyle name="Comma 15 16" xfId="4153" xr:uid="{00000000-0005-0000-0000-0000520C0000}"/>
    <cellStyle name="Comma 15 16 2" xfId="7839" xr:uid="{313656FC-D7EF-4007-AC76-AFB231D0FD46}"/>
    <cellStyle name="Comma 15 17" xfId="5758" xr:uid="{00000000-0005-0000-0000-0000530C0000}"/>
    <cellStyle name="Comma 15 17 2" xfId="8652" xr:uid="{4140F078-E782-4959-AA9B-A7ACA7F63C70}"/>
    <cellStyle name="Comma 15 2" xfId="351" xr:uid="{00000000-0005-0000-0000-0000540C0000}"/>
    <cellStyle name="Comma 15 2 2" xfId="4154" xr:uid="{00000000-0005-0000-0000-0000550C0000}"/>
    <cellStyle name="Comma 15 2 2 2" xfId="6126" xr:uid="{00000000-0005-0000-0000-0000560C0000}"/>
    <cellStyle name="Comma 15 2 2 2 2" xfId="8930" xr:uid="{E6060E02-8EC3-49AC-9EAF-6A2B0A20E230}"/>
    <cellStyle name="Comma 15 2 2 3" xfId="7840" xr:uid="{665B3A2B-D539-48DC-90DB-C25AECDE2F26}"/>
    <cellStyle name="Comma 15 2 3" xfId="4155" xr:uid="{00000000-0005-0000-0000-0000570C0000}"/>
    <cellStyle name="Comma 15 2 3 2" xfId="7841" xr:uid="{0EA6E728-886F-49F7-BDCB-6CEB8FAF3146}"/>
    <cellStyle name="Comma 15 2 4" xfId="5759" xr:uid="{00000000-0005-0000-0000-0000580C0000}"/>
    <cellStyle name="Comma 15 2 4 2" xfId="8653" xr:uid="{6567A48E-20F4-45F2-B733-CE524B12EB72}"/>
    <cellStyle name="Comma 15 2 5" xfId="7275" xr:uid="{9249FCAE-EC15-4783-B749-44ACD71ACCE0}"/>
    <cellStyle name="Comma 15 3" xfId="4156" xr:uid="{00000000-0005-0000-0000-0000590C0000}"/>
    <cellStyle name="Comma 15 3 2" xfId="4157" xr:uid="{00000000-0005-0000-0000-00005A0C0000}"/>
    <cellStyle name="Comma 15 3 2 2" xfId="7843" xr:uid="{1BAAC030-C3D5-44D8-A647-91FDFED1C434}"/>
    <cellStyle name="Comma 15 3 3" xfId="6127" xr:uid="{00000000-0005-0000-0000-00005B0C0000}"/>
    <cellStyle name="Comma 15 3 3 2" xfId="8931" xr:uid="{18C08FD1-D312-46AF-B08E-F5E90EE0FBF2}"/>
    <cellStyle name="Comma 15 3 4" xfId="7842" xr:uid="{68950579-7533-4DA3-8D52-1BB22B7DBF5A}"/>
    <cellStyle name="Comma 15 4" xfId="4158" xr:uid="{00000000-0005-0000-0000-00005C0C0000}"/>
    <cellStyle name="Comma 15 4 2" xfId="4159" xr:uid="{00000000-0005-0000-0000-00005D0C0000}"/>
    <cellStyle name="Comma 15 4 2 2" xfId="7845" xr:uid="{B68EBA00-6DC1-45EF-AA2B-E9206CD69D8B}"/>
    <cellStyle name="Comma 15 4 3" xfId="7844" xr:uid="{306FD5CC-7DCC-46CC-9C83-B784AA6CBE45}"/>
    <cellStyle name="Comma 15 5" xfId="4160" xr:uid="{00000000-0005-0000-0000-00005E0C0000}"/>
    <cellStyle name="Comma 15 5 2" xfId="4161" xr:uid="{00000000-0005-0000-0000-00005F0C0000}"/>
    <cellStyle name="Comma 15 5 2 2" xfId="7847" xr:uid="{52E15F29-1C97-4BA5-B6DA-C4A156B5F496}"/>
    <cellStyle name="Comma 15 5 3" xfId="7846" xr:uid="{6A846C78-7504-43EF-9E1D-F1DB0806B526}"/>
    <cellStyle name="Comma 15 6" xfId="4162" xr:uid="{00000000-0005-0000-0000-0000600C0000}"/>
    <cellStyle name="Comma 15 6 2" xfId="4163" xr:uid="{00000000-0005-0000-0000-0000610C0000}"/>
    <cellStyle name="Comma 15 6 2 2" xfId="7849" xr:uid="{1FFD1F90-CAD2-43CA-BE84-991684C13EDE}"/>
    <cellStyle name="Comma 15 6 3" xfId="7848" xr:uid="{A8A6671C-AA88-4EE6-B4FB-48474B18169D}"/>
    <cellStyle name="Comma 15 7" xfId="4164" xr:uid="{00000000-0005-0000-0000-0000620C0000}"/>
    <cellStyle name="Comma 15 7 2" xfId="4165" xr:uid="{00000000-0005-0000-0000-0000630C0000}"/>
    <cellStyle name="Comma 15 7 2 2" xfId="7851" xr:uid="{A2EFA9FF-E7D3-4B62-B001-0DACECC93DF8}"/>
    <cellStyle name="Comma 15 7 3" xfId="7850" xr:uid="{BEE72CC0-6297-4E2E-81A3-F9810E7AD0CC}"/>
    <cellStyle name="Comma 15 8" xfId="4166" xr:uid="{00000000-0005-0000-0000-0000640C0000}"/>
    <cellStyle name="Comma 15 8 2" xfId="4167" xr:uid="{00000000-0005-0000-0000-0000650C0000}"/>
    <cellStyle name="Comma 15 8 2 2" xfId="7853" xr:uid="{D86C1204-896B-4A58-9714-506A1F190AEC}"/>
    <cellStyle name="Comma 15 8 3" xfId="7852" xr:uid="{81EB8724-0F94-41B5-B3BD-140A62AE4EE8}"/>
    <cellStyle name="Comma 15 9" xfId="4168" xr:uid="{00000000-0005-0000-0000-0000660C0000}"/>
    <cellStyle name="Comma 15 9 2" xfId="4169" xr:uid="{00000000-0005-0000-0000-0000670C0000}"/>
    <cellStyle name="Comma 15 9 2 2" xfId="7855" xr:uid="{F8DDD13C-02A0-4DCF-9B9D-BE7E6C23313F}"/>
    <cellStyle name="Comma 15 9 3" xfId="7854" xr:uid="{B5BCA6EA-E04C-4E6F-896D-8D438BEEB583}"/>
    <cellStyle name="Comma 16" xfId="352" xr:uid="{00000000-0005-0000-0000-0000680C0000}"/>
    <cellStyle name="Comma 16 10" xfId="4170" xr:uid="{00000000-0005-0000-0000-0000690C0000}"/>
    <cellStyle name="Comma 16 10 2" xfId="4171" xr:uid="{00000000-0005-0000-0000-00006A0C0000}"/>
    <cellStyle name="Comma 16 10 2 2" xfId="7857" xr:uid="{AF807AD0-D9F8-46D2-A8BD-7A9B2401DF21}"/>
    <cellStyle name="Comma 16 10 3" xfId="7856" xr:uid="{213615A9-39AD-4A37-86DF-3D4A27F00948}"/>
    <cellStyle name="Comma 16 11" xfId="4172" xr:uid="{00000000-0005-0000-0000-00006B0C0000}"/>
    <cellStyle name="Comma 16 11 2" xfId="4173" xr:uid="{00000000-0005-0000-0000-00006C0C0000}"/>
    <cellStyle name="Comma 16 11 2 2" xfId="7859" xr:uid="{6158F625-DE34-4AEB-B9D0-8273E385E41F}"/>
    <cellStyle name="Comma 16 11 3" xfId="7858" xr:uid="{4E8FBB4E-6D01-4567-AD95-1160FD89B45C}"/>
    <cellStyle name="Comma 16 12" xfId="4174" xr:uid="{00000000-0005-0000-0000-00006D0C0000}"/>
    <cellStyle name="Comma 16 12 2" xfId="4175" xr:uid="{00000000-0005-0000-0000-00006E0C0000}"/>
    <cellStyle name="Comma 16 12 2 2" xfId="7861" xr:uid="{584A93D0-63FD-41A6-BB32-86E9241DE303}"/>
    <cellStyle name="Comma 16 12 3" xfId="7860" xr:uid="{9AEB984F-0DB0-4CA4-87FD-9E7321DA5FA8}"/>
    <cellStyle name="Comma 16 13" xfId="4176" xr:uid="{00000000-0005-0000-0000-00006F0C0000}"/>
    <cellStyle name="Comma 16 13 2" xfId="4177" xr:uid="{00000000-0005-0000-0000-0000700C0000}"/>
    <cellStyle name="Comma 16 13 2 2" xfId="7863" xr:uid="{BFB949E5-6C25-41FD-B6B4-137D572378EA}"/>
    <cellStyle name="Comma 16 13 3" xfId="7862" xr:uid="{F0EC30A0-E106-48C2-A0E1-E1BC55A25327}"/>
    <cellStyle name="Comma 16 14" xfId="4178" xr:uid="{00000000-0005-0000-0000-0000710C0000}"/>
    <cellStyle name="Comma 16 14 2" xfId="4179" xr:uid="{00000000-0005-0000-0000-0000720C0000}"/>
    <cellStyle name="Comma 16 14 2 2" xfId="7865" xr:uid="{8539BACF-9552-4597-BE72-BD28EDD53317}"/>
    <cellStyle name="Comma 16 14 3" xfId="7864" xr:uid="{57473C1A-7A31-4EB0-8B30-5DAC7881675A}"/>
    <cellStyle name="Comma 16 15" xfId="4180" xr:uid="{00000000-0005-0000-0000-0000730C0000}"/>
    <cellStyle name="Comma 16 15 2" xfId="4181" xr:uid="{00000000-0005-0000-0000-0000740C0000}"/>
    <cellStyle name="Comma 16 15 2 2" xfId="7867" xr:uid="{95A45AF4-5194-4B31-9C7C-6BA8559710E3}"/>
    <cellStyle name="Comma 16 15 3" xfId="7866" xr:uid="{66C0958C-7327-428F-A0D7-87941E1B7458}"/>
    <cellStyle name="Comma 16 16" xfId="4182" xr:uid="{00000000-0005-0000-0000-0000750C0000}"/>
    <cellStyle name="Comma 16 16 2" xfId="7868" xr:uid="{1D2A600A-A9F1-45A9-B6AE-7787C80C7EC3}"/>
    <cellStyle name="Comma 16 17" xfId="4183" xr:uid="{00000000-0005-0000-0000-0000760C0000}"/>
    <cellStyle name="Comma 16 17 2" xfId="7869" xr:uid="{3318C352-6CB5-4E84-9DCB-5326C1BB4206}"/>
    <cellStyle name="Comma 16 18" xfId="5760" xr:uid="{00000000-0005-0000-0000-0000770C0000}"/>
    <cellStyle name="Comma 16 18 2" xfId="8654" xr:uid="{DE4A8762-0F42-40B5-A9FA-0C22F7B1D2E0}"/>
    <cellStyle name="Comma 16 19" xfId="6874" xr:uid="{44F408EF-23A8-497F-B6AB-5FE1466EAE33}"/>
    <cellStyle name="Comma 16 19 2" xfId="9519" xr:uid="{552BC2F9-9B01-4496-993F-F2BE5152CEEC}"/>
    <cellStyle name="Comma 16 2" xfId="353" xr:uid="{00000000-0005-0000-0000-0000780C0000}"/>
    <cellStyle name="Comma 16 2 2" xfId="4184" xr:uid="{00000000-0005-0000-0000-0000790C0000}"/>
    <cellStyle name="Comma 16 2 2 2" xfId="6128" xr:uid="{00000000-0005-0000-0000-00007A0C0000}"/>
    <cellStyle name="Comma 16 2 2 2 2" xfId="8932" xr:uid="{56D8508E-31F4-499F-B154-5509CA4B384F}"/>
    <cellStyle name="Comma 16 2 2 3" xfId="6877" xr:uid="{D9819642-DD9B-47C9-8E0D-C6759BFA1FC6}"/>
    <cellStyle name="Comma 16 2 2 3 2" xfId="9522" xr:uid="{EEDB75CF-3D0E-4D64-A08A-6642B53BABC3}"/>
    <cellStyle name="Comma 16 2 2 4" xfId="7870" xr:uid="{6AA7E3BE-CF61-4BD9-ADAD-2175C662E455}"/>
    <cellStyle name="Comma 16 2 3" xfId="4185" xr:uid="{00000000-0005-0000-0000-00007B0C0000}"/>
    <cellStyle name="Comma 16 2 3 2" xfId="7871" xr:uid="{B6411C6B-C857-41FE-A9E1-B86259B86BE9}"/>
    <cellStyle name="Comma 16 2 4" xfId="4186" xr:uid="{00000000-0005-0000-0000-00007C0C0000}"/>
    <cellStyle name="Comma 16 2 4 2" xfId="7872" xr:uid="{21F312D6-33BA-4B8E-9105-27ACDAA2310A}"/>
    <cellStyle name="Comma 16 2 5" xfId="5761" xr:uid="{00000000-0005-0000-0000-00007D0C0000}"/>
    <cellStyle name="Comma 16 2 5 2" xfId="8655" xr:uid="{ECCD5955-C0AE-4419-96DC-4983C3F7AAF3}"/>
    <cellStyle name="Comma 16 2 6" xfId="6698" xr:uid="{DB5821B5-D847-4FFE-88C2-BD9035292B09}"/>
    <cellStyle name="Comma 16 2 6 2" xfId="9377" xr:uid="{8440EC7A-9C64-4F45-9E7C-A645B248BE25}"/>
    <cellStyle name="Comma 16 3" xfId="1848" xr:uid="{00000000-0005-0000-0000-00007E0C0000}"/>
    <cellStyle name="Comma 16 3 2" xfId="4187" xr:uid="{00000000-0005-0000-0000-00007F0C0000}"/>
    <cellStyle name="Comma 16 3 2 2" xfId="7873" xr:uid="{039DA526-6337-4E55-8A97-A3EBEDBA9552}"/>
    <cellStyle name="Comma 16 3 3" xfId="4188" xr:uid="{00000000-0005-0000-0000-0000800C0000}"/>
    <cellStyle name="Comma 16 3 3 2" xfId="7874" xr:uid="{B21BBC89-8D17-43EB-B2F3-C669280433D8}"/>
    <cellStyle name="Comma 16 3 4" xfId="6129" xr:uid="{00000000-0005-0000-0000-0000810C0000}"/>
    <cellStyle name="Comma 16 3 4 2" xfId="8933" xr:uid="{20402050-A4C2-468B-AEA1-3B5D6D2BC4F8}"/>
    <cellStyle name="Comma 16 3 5" xfId="6502" xr:uid="{458AD4EA-B4CB-4155-A932-6B32013D99DB}"/>
    <cellStyle name="Comma 16 3 5 2" xfId="9228" xr:uid="{77362246-9961-4D52-B072-04F0617998C3}"/>
    <cellStyle name="Comma 16 3 6" xfId="7461" xr:uid="{E61E859A-88D0-445F-B6C0-EF499E4D372C}"/>
    <cellStyle name="Comma 16 4" xfId="4189" xr:uid="{00000000-0005-0000-0000-0000820C0000}"/>
    <cellStyle name="Comma 16 4 2" xfId="4190" xr:uid="{00000000-0005-0000-0000-0000830C0000}"/>
    <cellStyle name="Comma 16 4 2 2" xfId="7876" xr:uid="{124A0EE3-FFE6-4C50-985C-871EC7AE958C}"/>
    <cellStyle name="Comma 16 4 3" xfId="7875" xr:uid="{760BD209-4B85-4D7D-9F02-0831F97897A0}"/>
    <cellStyle name="Comma 16 5" xfId="4191" xr:uid="{00000000-0005-0000-0000-0000840C0000}"/>
    <cellStyle name="Comma 16 5 2" xfId="4192" xr:uid="{00000000-0005-0000-0000-0000850C0000}"/>
    <cellStyle name="Comma 16 5 2 2" xfId="7878" xr:uid="{005E384F-F74E-45C1-A1C7-17725F34BFCF}"/>
    <cellStyle name="Comma 16 5 3" xfId="7877" xr:uid="{D6018C61-D5F0-477F-A189-72889E31EEB3}"/>
    <cellStyle name="Comma 16 6" xfId="4193" xr:uid="{00000000-0005-0000-0000-0000860C0000}"/>
    <cellStyle name="Comma 16 6 2" xfId="4194" xr:uid="{00000000-0005-0000-0000-0000870C0000}"/>
    <cellStyle name="Comma 16 6 2 2" xfId="7880" xr:uid="{F35BE06B-C2D2-47C7-9CC3-7AC63D01A30E}"/>
    <cellStyle name="Comma 16 6 3" xfId="7879" xr:uid="{034255AF-FB69-4982-91F6-71BFA0891833}"/>
    <cellStyle name="Comma 16 7" xfId="4195" xr:uid="{00000000-0005-0000-0000-0000880C0000}"/>
    <cellStyle name="Comma 16 7 2" xfId="4196" xr:uid="{00000000-0005-0000-0000-0000890C0000}"/>
    <cellStyle name="Comma 16 7 2 2" xfId="7882" xr:uid="{31327E40-6108-4B52-A76C-FF0323FE6D82}"/>
    <cellStyle name="Comma 16 7 3" xfId="7881" xr:uid="{72087A95-7530-412E-989B-662A74E1F9B4}"/>
    <cellStyle name="Comma 16 8" xfId="4197" xr:uid="{00000000-0005-0000-0000-00008A0C0000}"/>
    <cellStyle name="Comma 16 8 2" xfId="4198" xr:uid="{00000000-0005-0000-0000-00008B0C0000}"/>
    <cellStyle name="Comma 16 8 2 2" xfId="7884" xr:uid="{D5F73E6B-7D9B-48E8-BA7C-3116B5209214}"/>
    <cellStyle name="Comma 16 8 3" xfId="7883" xr:uid="{F5AE9E93-B3D2-409D-8477-A3D0A9C11E36}"/>
    <cellStyle name="Comma 16 9" xfId="4199" xr:uid="{00000000-0005-0000-0000-00008C0C0000}"/>
    <cellStyle name="Comma 16 9 2" xfId="4200" xr:uid="{00000000-0005-0000-0000-00008D0C0000}"/>
    <cellStyle name="Comma 16 9 2 2" xfId="7886" xr:uid="{51E4F4A1-7435-4AF9-A07D-2F4982D7EBA7}"/>
    <cellStyle name="Comma 16 9 3" xfId="7885" xr:uid="{989E7862-2C6E-430F-A22F-318297F5F75D}"/>
    <cellStyle name="Comma 17" xfId="354" xr:uid="{00000000-0005-0000-0000-00008E0C0000}"/>
    <cellStyle name="Comma 17 10" xfId="4201" xr:uid="{00000000-0005-0000-0000-00008F0C0000}"/>
    <cellStyle name="Comma 17 10 2" xfId="4202" xr:uid="{00000000-0005-0000-0000-0000900C0000}"/>
    <cellStyle name="Comma 17 10 2 2" xfId="7888" xr:uid="{78F38426-AA0B-42BA-882C-AFDE6A026860}"/>
    <cellStyle name="Comma 17 10 3" xfId="7887" xr:uid="{E3BEBE92-591B-4B92-906B-E250546D6DA0}"/>
    <cellStyle name="Comma 17 11" xfId="4203" xr:uid="{00000000-0005-0000-0000-0000910C0000}"/>
    <cellStyle name="Comma 17 11 2" xfId="4204" xr:uid="{00000000-0005-0000-0000-0000920C0000}"/>
    <cellStyle name="Comma 17 11 2 2" xfId="7890" xr:uid="{5ED3D4A0-71B6-4560-B104-D1697AD00B09}"/>
    <cellStyle name="Comma 17 11 3" xfId="7889" xr:uid="{444E1BAE-55F1-437D-BB63-7ED1DE261D45}"/>
    <cellStyle name="Comma 17 12" xfId="4205" xr:uid="{00000000-0005-0000-0000-0000930C0000}"/>
    <cellStyle name="Comma 17 12 2" xfId="4206" xr:uid="{00000000-0005-0000-0000-0000940C0000}"/>
    <cellStyle name="Comma 17 12 2 2" xfId="7892" xr:uid="{96D21155-A331-43ED-B8E7-CA647A1FDC51}"/>
    <cellStyle name="Comma 17 12 3" xfId="7891" xr:uid="{5B8DE290-88A1-41B0-B13C-4DFE81013C91}"/>
    <cellStyle name="Comma 17 13" xfId="4207" xr:uid="{00000000-0005-0000-0000-0000950C0000}"/>
    <cellStyle name="Comma 17 13 2" xfId="4208" xr:uid="{00000000-0005-0000-0000-0000960C0000}"/>
    <cellStyle name="Comma 17 13 2 2" xfId="7894" xr:uid="{53C07D9A-9543-4945-884F-25641E8140C4}"/>
    <cellStyle name="Comma 17 13 3" xfId="7893" xr:uid="{9508DE70-E02F-435D-A855-74676068EED0}"/>
    <cellStyle name="Comma 17 14" xfId="4209" xr:uid="{00000000-0005-0000-0000-0000970C0000}"/>
    <cellStyle name="Comma 17 14 2" xfId="4210" xr:uid="{00000000-0005-0000-0000-0000980C0000}"/>
    <cellStyle name="Comma 17 14 2 2" xfId="7896" xr:uid="{4D64CD40-EF14-4F09-9055-B4AC12CE3E5E}"/>
    <cellStyle name="Comma 17 14 3" xfId="7895" xr:uid="{98063C8F-94E9-4041-83F4-9E27C5FE6139}"/>
    <cellStyle name="Comma 17 15" xfId="4211" xr:uid="{00000000-0005-0000-0000-0000990C0000}"/>
    <cellStyle name="Comma 17 15 2" xfId="4212" xr:uid="{00000000-0005-0000-0000-00009A0C0000}"/>
    <cellStyle name="Comma 17 15 2 2" xfId="7898" xr:uid="{9DB94A9D-F468-4B74-8598-B944CC965285}"/>
    <cellStyle name="Comma 17 15 3" xfId="7897" xr:uid="{C9D382D4-6645-4B2E-8420-5EA4780CE8E6}"/>
    <cellStyle name="Comma 17 16" xfId="4213" xr:uid="{00000000-0005-0000-0000-00009B0C0000}"/>
    <cellStyle name="Comma 17 16 2" xfId="7899" xr:uid="{BBDBD22A-89BD-415A-B4F5-A8C1FC946FC2}"/>
    <cellStyle name="Comma 17 17" xfId="4214" xr:uid="{00000000-0005-0000-0000-00009C0C0000}"/>
    <cellStyle name="Comma 17 17 2" xfId="7900" xr:uid="{DF6F64D4-C8C8-4AA1-88BA-EBFD120431B3}"/>
    <cellStyle name="Comma 17 18" xfId="4215" xr:uid="{00000000-0005-0000-0000-00009D0C0000}"/>
    <cellStyle name="Comma 17 18 2" xfId="7901" xr:uid="{6785C66F-EAD1-4C29-9958-2A76FEF2B257}"/>
    <cellStyle name="Comma 17 19" xfId="4216" xr:uid="{00000000-0005-0000-0000-00009E0C0000}"/>
    <cellStyle name="Comma 17 19 2" xfId="7902" xr:uid="{98B3F7F7-666A-498F-8069-BF58022CDC2E}"/>
    <cellStyle name="Comma 17 2" xfId="1849" xr:uid="{00000000-0005-0000-0000-00009F0C0000}"/>
    <cellStyle name="Comma 17 2 2" xfId="1850" xr:uid="{00000000-0005-0000-0000-0000A00C0000}"/>
    <cellStyle name="Comma 17 2 2 2" xfId="4217" xr:uid="{00000000-0005-0000-0000-0000A10C0000}"/>
    <cellStyle name="Comma 17 2 2 2 2" xfId="6687" xr:uid="{26E76636-3803-46AF-A08C-0851459C1328}"/>
    <cellStyle name="Comma 17 2 2 2 2 2" xfId="9366" xr:uid="{C4A261AB-DE77-498D-AE93-E3D4C2FE5DB4}"/>
    <cellStyle name="Comma 17 2 2 2 3" xfId="7903" xr:uid="{258F237A-059F-42F7-B0EB-1003AA490508}"/>
    <cellStyle name="Comma 17 2 2 3" xfId="6130" xr:uid="{00000000-0005-0000-0000-0000A20C0000}"/>
    <cellStyle name="Comma 17 2 2 3 2" xfId="8934" xr:uid="{9CA03019-30C8-4FDF-BB2E-D561AD2ADC05}"/>
    <cellStyle name="Comma 17 2 2 4" xfId="6685" xr:uid="{6EBB3D0B-24A9-4843-A435-D83BDC36DBD0}"/>
    <cellStyle name="Comma 17 2 2 4 2" xfId="9364" xr:uid="{201C0617-95AD-4AC0-AA99-77EB275A67A8}"/>
    <cellStyle name="Comma 17 2 2 5" xfId="7463" xr:uid="{EC41D06A-1851-458F-97B1-E70C50CF69E5}"/>
    <cellStyle name="Comma 17 2 3" xfId="4218" xr:uid="{00000000-0005-0000-0000-0000A30C0000}"/>
    <cellStyle name="Comma 17 2 3 2" xfId="6702" xr:uid="{21B3DD20-88D2-491D-A95F-1F79343735D1}"/>
    <cellStyle name="Comma 17 2 3 2 2" xfId="9381" xr:uid="{79C9AB59-DCC2-4772-8417-FA6E8C061F2E}"/>
    <cellStyle name="Comma 17 2 3 3" xfId="7904" xr:uid="{47A759F0-8009-4F73-AC8B-D67820D84445}"/>
    <cellStyle name="Comma 17 2 4" xfId="5763" xr:uid="{00000000-0005-0000-0000-0000A40C0000}"/>
    <cellStyle name="Comma 17 2 4 2" xfId="8657" xr:uid="{1A98DFB3-C5A7-4E47-8728-E839070F2434}"/>
    <cellStyle name="Comma 17 2 5" xfId="6880" xr:uid="{F8C310FC-F7EF-43F9-BAF8-A4FFA0905760}"/>
    <cellStyle name="Comma 17 2 5 2" xfId="9524" xr:uid="{9D53E7E4-DE62-4078-910C-57549FB3421F}"/>
    <cellStyle name="Comma 17 2 6" xfId="7462" xr:uid="{3A4EA070-877D-4932-8578-41BD16C9A4AE}"/>
    <cellStyle name="Comma 17 20" xfId="5762" xr:uid="{00000000-0005-0000-0000-0000A50C0000}"/>
    <cellStyle name="Comma 17 20 2" xfId="8656" xr:uid="{E7E50B99-68C6-4A03-87F7-9E1C52B97B3E}"/>
    <cellStyle name="Comma 17 21" xfId="6878" xr:uid="{B3DD0ED9-D716-438F-BB4A-59B334F68D25}"/>
    <cellStyle name="Comma 17 21 2" xfId="9523" xr:uid="{FD78C67D-1376-4BA3-BB37-FC477C552A2F}"/>
    <cellStyle name="Comma 17 22" xfId="7276" xr:uid="{7738A93F-8E48-4904-96A8-CE3387D1246D}"/>
    <cellStyle name="Comma 17 3" xfId="4219" xr:uid="{00000000-0005-0000-0000-0000A60C0000}"/>
    <cellStyle name="Comma 17 3 2" xfId="4220" xr:uid="{00000000-0005-0000-0000-0000A70C0000}"/>
    <cellStyle name="Comma 17 3 2 2" xfId="7906" xr:uid="{F924DF54-61C0-4EA4-A212-17E70FCD4B16}"/>
    <cellStyle name="Comma 17 3 3" xfId="6131" xr:uid="{00000000-0005-0000-0000-0000A80C0000}"/>
    <cellStyle name="Comma 17 3 3 2" xfId="8935" xr:uid="{A7CB4C4A-C1FC-4DED-AB48-C38808853AD0}"/>
    <cellStyle name="Comma 17 3 4" xfId="6454" xr:uid="{BE3CC29F-8C43-4298-B2CA-FB19E5FA3D30}"/>
    <cellStyle name="Comma 17 3 4 2" xfId="9195" xr:uid="{A0D3E05A-7A57-414A-A3AA-90BB54F270D2}"/>
    <cellStyle name="Comma 17 3 5" xfId="7905" xr:uid="{540C18DD-FBF9-4E15-81A8-CDFBED0DA1BE}"/>
    <cellStyle name="Comma 17 4" xfId="4221" xr:uid="{00000000-0005-0000-0000-0000A90C0000}"/>
    <cellStyle name="Comma 17 4 2" xfId="4222" xr:uid="{00000000-0005-0000-0000-0000AA0C0000}"/>
    <cellStyle name="Comma 17 4 2 2" xfId="7908" xr:uid="{9999B540-D05B-432B-8755-19A11B2F6116}"/>
    <cellStyle name="Comma 17 4 3" xfId="7907" xr:uid="{9B4D6831-4E20-452B-BE4B-E44309BBBB5A}"/>
    <cellStyle name="Comma 17 5" xfId="4223" xr:uid="{00000000-0005-0000-0000-0000AB0C0000}"/>
    <cellStyle name="Comma 17 5 2" xfId="4224" xr:uid="{00000000-0005-0000-0000-0000AC0C0000}"/>
    <cellStyle name="Comma 17 5 2 2" xfId="7910" xr:uid="{7B383D8E-6EE9-4F1A-B541-5B03F9076002}"/>
    <cellStyle name="Comma 17 5 3" xfId="7909" xr:uid="{CDD94564-167E-4C55-8C32-11722FF9A020}"/>
    <cellStyle name="Comma 17 6" xfId="4225" xr:uid="{00000000-0005-0000-0000-0000AD0C0000}"/>
    <cellStyle name="Comma 17 6 2" xfId="4226" xr:uid="{00000000-0005-0000-0000-0000AE0C0000}"/>
    <cellStyle name="Comma 17 6 2 2" xfId="7912" xr:uid="{8176E480-368F-4BF5-BA7C-F64C303C19B2}"/>
    <cellStyle name="Comma 17 6 3" xfId="7911" xr:uid="{6FB671FC-8095-4054-A99A-6FD5DD8BF1A6}"/>
    <cellStyle name="Comma 17 7" xfId="4227" xr:uid="{00000000-0005-0000-0000-0000AF0C0000}"/>
    <cellStyle name="Comma 17 7 2" xfId="4228" xr:uid="{00000000-0005-0000-0000-0000B00C0000}"/>
    <cellStyle name="Comma 17 7 2 2" xfId="7914" xr:uid="{D25D4C30-4475-45FD-B3CE-FB3241A85323}"/>
    <cellStyle name="Comma 17 7 3" xfId="7913" xr:uid="{5BD83B2C-2412-488F-B92A-E899D148FA25}"/>
    <cellStyle name="Comma 17 8" xfId="4229" xr:uid="{00000000-0005-0000-0000-0000B10C0000}"/>
    <cellStyle name="Comma 17 8 2" xfId="4230" xr:uid="{00000000-0005-0000-0000-0000B20C0000}"/>
    <cellStyle name="Comma 17 8 2 2" xfId="7916" xr:uid="{1DA1DC5D-3640-4CB4-ADF9-22AAD65D7A81}"/>
    <cellStyle name="Comma 17 8 3" xfId="7915" xr:uid="{1646C70B-FB01-4841-9D1F-9BC6DA0E4C56}"/>
    <cellStyle name="Comma 17 9" xfId="4231" xr:uid="{00000000-0005-0000-0000-0000B30C0000}"/>
    <cellStyle name="Comma 17 9 2" xfId="4232" xr:uid="{00000000-0005-0000-0000-0000B40C0000}"/>
    <cellStyle name="Comma 17 9 2 2" xfId="7918" xr:uid="{6232B0BE-4F3D-48ED-A197-06FC0A28D1E2}"/>
    <cellStyle name="Comma 17 9 3" xfId="7917" xr:uid="{9DC0994E-D214-471C-B1EC-53890D431AE2}"/>
    <cellStyle name="Comma 18" xfId="355" xr:uid="{00000000-0005-0000-0000-0000B50C0000}"/>
    <cellStyle name="Comma 18 10" xfId="4233" xr:uid="{00000000-0005-0000-0000-0000B60C0000}"/>
    <cellStyle name="Comma 18 10 2" xfId="4234" xr:uid="{00000000-0005-0000-0000-0000B70C0000}"/>
    <cellStyle name="Comma 18 10 2 2" xfId="7920" xr:uid="{FBFC16FB-5B41-48E8-9772-987E2F39C28C}"/>
    <cellStyle name="Comma 18 10 3" xfId="7919" xr:uid="{180A6956-6E8B-4D42-BA75-70A6AA2EFBBF}"/>
    <cellStyle name="Comma 18 11" xfId="4235" xr:uid="{00000000-0005-0000-0000-0000B80C0000}"/>
    <cellStyle name="Comma 18 11 2" xfId="4236" xr:uid="{00000000-0005-0000-0000-0000B90C0000}"/>
    <cellStyle name="Comma 18 11 2 2" xfId="7922" xr:uid="{39590746-E308-416F-87C8-26DC82253F6C}"/>
    <cellStyle name="Comma 18 11 3" xfId="7921" xr:uid="{F6269D8B-CDC1-4526-829D-87A358A064B9}"/>
    <cellStyle name="Comma 18 12" xfId="4237" xr:uid="{00000000-0005-0000-0000-0000BA0C0000}"/>
    <cellStyle name="Comma 18 12 2" xfId="4238" xr:uid="{00000000-0005-0000-0000-0000BB0C0000}"/>
    <cellStyle name="Comma 18 12 2 2" xfId="7924" xr:uid="{484EFB77-CCDF-4247-9AFE-329E45B87D6F}"/>
    <cellStyle name="Comma 18 12 3" xfId="7923" xr:uid="{76EA5B66-C3DF-4882-895A-C2F71800B9E6}"/>
    <cellStyle name="Comma 18 13" xfId="4239" xr:uid="{00000000-0005-0000-0000-0000BC0C0000}"/>
    <cellStyle name="Comma 18 13 2" xfId="4240" xr:uid="{00000000-0005-0000-0000-0000BD0C0000}"/>
    <cellStyle name="Comma 18 13 2 2" xfId="7926" xr:uid="{61A49800-2CBC-40F1-87C9-6104FFC22545}"/>
    <cellStyle name="Comma 18 13 3" xfId="7925" xr:uid="{F9D31CBB-F2E7-4894-AD0E-B8FD26345D21}"/>
    <cellStyle name="Comma 18 14" xfId="4241" xr:uid="{00000000-0005-0000-0000-0000BE0C0000}"/>
    <cellStyle name="Comma 18 14 2" xfId="4242" xr:uid="{00000000-0005-0000-0000-0000BF0C0000}"/>
    <cellStyle name="Comma 18 14 2 2" xfId="7928" xr:uid="{A71D1016-35D8-413E-B98F-A77792C2CBC7}"/>
    <cellStyle name="Comma 18 14 3" xfId="7927" xr:uid="{8F6DE20B-A881-4686-A3D1-836A31BE2CAA}"/>
    <cellStyle name="Comma 18 15" xfId="4243" xr:uid="{00000000-0005-0000-0000-0000C00C0000}"/>
    <cellStyle name="Comma 18 15 2" xfId="4244" xr:uid="{00000000-0005-0000-0000-0000C10C0000}"/>
    <cellStyle name="Comma 18 15 2 2" xfId="7930" xr:uid="{3E7B3025-E755-40F8-B130-205922836780}"/>
    <cellStyle name="Comma 18 15 3" xfId="7929" xr:uid="{E4CAEBD9-EB2F-4A54-A146-AC902491F5EB}"/>
    <cellStyle name="Comma 18 16" xfId="4245" xr:uid="{00000000-0005-0000-0000-0000C20C0000}"/>
    <cellStyle name="Comma 18 16 2" xfId="7931" xr:uid="{39656205-A207-4B88-82D0-A22FF5B63EC1}"/>
    <cellStyle name="Comma 18 17" xfId="4246" xr:uid="{00000000-0005-0000-0000-0000C30C0000}"/>
    <cellStyle name="Comma 18 17 2" xfId="7932" xr:uid="{C388784B-9A23-49CF-BB8F-E930724CCE01}"/>
    <cellStyle name="Comma 18 18" xfId="5764" xr:uid="{00000000-0005-0000-0000-0000C40C0000}"/>
    <cellStyle name="Comma 18 18 2" xfId="8658" xr:uid="{23589C22-FBBD-4BEF-98CB-E883F2DB58EB}"/>
    <cellStyle name="Comma 18 2" xfId="4247" xr:uid="{00000000-0005-0000-0000-0000C50C0000}"/>
    <cellStyle name="Comma 18 2 2" xfId="4248" xr:uid="{00000000-0005-0000-0000-0000C60C0000}"/>
    <cellStyle name="Comma 18 2 2 2" xfId="6132" xr:uid="{00000000-0005-0000-0000-0000C70C0000}"/>
    <cellStyle name="Comma 18 2 2 2 2" xfId="8936" xr:uid="{BA094C4E-1821-4F7B-94DD-74D6C41D3E4A}"/>
    <cellStyle name="Comma 18 2 2 3" xfId="7934" xr:uid="{90884960-0C4C-41C6-9089-58F9F72B46BA}"/>
    <cellStyle name="Comma 18 2 3" xfId="5765" xr:uid="{00000000-0005-0000-0000-0000C80C0000}"/>
    <cellStyle name="Comma 18 2 3 2" xfId="8659" xr:uid="{03F7D03D-670B-43E7-AEE1-DA7A4091402B}"/>
    <cellStyle name="Comma 18 2 4" xfId="7933" xr:uid="{76A06092-AB84-40A3-B843-145BEA0C0789}"/>
    <cellStyle name="Comma 18 3" xfId="4249" xr:uid="{00000000-0005-0000-0000-0000C90C0000}"/>
    <cellStyle name="Comma 18 3 2" xfId="4250" xr:uid="{00000000-0005-0000-0000-0000CA0C0000}"/>
    <cellStyle name="Comma 18 3 2 2" xfId="7936" xr:uid="{B0F25BB8-7553-4D3F-812C-A7491ABE1BF3}"/>
    <cellStyle name="Comma 18 3 3" xfId="6133" xr:uid="{00000000-0005-0000-0000-0000CB0C0000}"/>
    <cellStyle name="Comma 18 3 3 2" xfId="8937" xr:uid="{59490462-4499-4054-9B72-FA0390C9D557}"/>
    <cellStyle name="Comma 18 3 4" xfId="7935" xr:uid="{8DCE37B9-07CB-46F0-8B05-F8C2C7864212}"/>
    <cellStyle name="Comma 18 4" xfId="4251" xr:uid="{00000000-0005-0000-0000-0000CC0C0000}"/>
    <cellStyle name="Comma 18 4 2" xfId="4252" xr:uid="{00000000-0005-0000-0000-0000CD0C0000}"/>
    <cellStyle name="Comma 18 4 2 2" xfId="7938" xr:uid="{7B2DBF2B-626E-4620-ABE5-0D9FD384E91C}"/>
    <cellStyle name="Comma 18 4 3" xfId="7937" xr:uid="{959E873A-F324-4381-801D-AF42ABA80E2B}"/>
    <cellStyle name="Comma 18 5" xfId="4253" xr:uid="{00000000-0005-0000-0000-0000CE0C0000}"/>
    <cellStyle name="Comma 18 5 2" xfId="4254" xr:uid="{00000000-0005-0000-0000-0000CF0C0000}"/>
    <cellStyle name="Comma 18 5 2 2" xfId="7940" xr:uid="{FC6A706C-691A-4C76-8330-E1EC90DED0E4}"/>
    <cellStyle name="Comma 18 5 3" xfId="7939" xr:uid="{E283C385-053B-4725-A76B-10E03B242BFE}"/>
    <cellStyle name="Comma 18 6" xfId="4255" xr:uid="{00000000-0005-0000-0000-0000D00C0000}"/>
    <cellStyle name="Comma 18 6 2" xfId="4256" xr:uid="{00000000-0005-0000-0000-0000D10C0000}"/>
    <cellStyle name="Comma 18 6 2 2" xfId="7942" xr:uid="{A09497E5-3652-4EBB-B41D-DC877490BA68}"/>
    <cellStyle name="Comma 18 6 3" xfId="7941" xr:uid="{ACA0DC63-3E1C-4F9F-B64D-6C680D598FE8}"/>
    <cellStyle name="Comma 18 7" xfId="4257" xr:uid="{00000000-0005-0000-0000-0000D20C0000}"/>
    <cellStyle name="Comma 18 7 2" xfId="4258" xr:uid="{00000000-0005-0000-0000-0000D30C0000}"/>
    <cellStyle name="Comma 18 7 2 2" xfId="7944" xr:uid="{EE4BF7ED-5D25-41F6-96DD-A359334780CF}"/>
    <cellStyle name="Comma 18 7 3" xfId="7943" xr:uid="{916D3683-1A72-408F-8F00-45A124368C25}"/>
    <cellStyle name="Comma 18 8" xfId="4259" xr:uid="{00000000-0005-0000-0000-0000D40C0000}"/>
    <cellStyle name="Comma 18 8 2" xfId="4260" xr:uid="{00000000-0005-0000-0000-0000D50C0000}"/>
    <cellStyle name="Comma 18 8 2 2" xfId="7946" xr:uid="{EB3101A4-65F9-4957-ADDB-BFEB45601D53}"/>
    <cellStyle name="Comma 18 8 3" xfId="7945" xr:uid="{85771EA6-53C0-4604-B253-A1CDB580C531}"/>
    <cellStyle name="Comma 18 9" xfId="4261" xr:uid="{00000000-0005-0000-0000-0000D60C0000}"/>
    <cellStyle name="Comma 18 9 2" xfId="4262" xr:uid="{00000000-0005-0000-0000-0000D70C0000}"/>
    <cellStyle name="Comma 18 9 2 2" xfId="7948" xr:uid="{AB520FD1-43AA-478F-A701-5E4655935E4D}"/>
    <cellStyle name="Comma 18 9 3" xfId="7947" xr:uid="{38FE1696-6EA6-44CC-9370-80C7EC44CCF1}"/>
    <cellStyle name="Comma 19" xfId="356" xr:uid="{00000000-0005-0000-0000-0000D80C0000}"/>
    <cellStyle name="Comma 19 2" xfId="4263" xr:uid="{00000000-0005-0000-0000-0000D90C0000}"/>
    <cellStyle name="Comma 19 2 2" xfId="5767" xr:uid="{00000000-0005-0000-0000-0000DA0C0000}"/>
    <cellStyle name="Comma 19 2 2 2" xfId="6134" xr:uid="{00000000-0005-0000-0000-0000DB0C0000}"/>
    <cellStyle name="Comma 19 2 2 2 2" xfId="8938" xr:uid="{E307001C-FD69-42FB-93E1-21F43D69DC5E}"/>
    <cellStyle name="Comma 19 2 2 3" xfId="8661" xr:uid="{F708C83B-393E-47AF-B20B-C4657E191F83}"/>
    <cellStyle name="Comma 19 2 3" xfId="7949" xr:uid="{E3B6746F-2C55-42A3-BF34-92690A8C7189}"/>
    <cellStyle name="Comma 19 3" xfId="4264" xr:uid="{00000000-0005-0000-0000-0000DC0C0000}"/>
    <cellStyle name="Comma 19 3 2" xfId="6135" xr:uid="{00000000-0005-0000-0000-0000DD0C0000}"/>
    <cellStyle name="Comma 19 3 2 2" xfId="8939" xr:uid="{1001014F-916F-4BC7-B3C0-ED79E1021EC9}"/>
    <cellStyle name="Comma 19 3 3" xfId="7950" xr:uid="{4015EA06-AE4D-4E0B-8D05-9ED386026B9A}"/>
    <cellStyle name="Comma 19 4" xfId="5766" xr:uid="{00000000-0005-0000-0000-0000DE0C0000}"/>
    <cellStyle name="Comma 19 4 2" xfId="8660" xr:uid="{2D71743B-7924-4FAC-AA60-0275A8977F97}"/>
    <cellStyle name="Comma 2" xfId="357" xr:uid="{00000000-0005-0000-0000-0000DF0C0000}"/>
    <cellStyle name="Comma 2 10" xfId="358" xr:uid="{00000000-0005-0000-0000-0000E00C0000}"/>
    <cellStyle name="Comma 2 10 2" xfId="4265" xr:uid="{00000000-0005-0000-0000-0000E10C0000}"/>
    <cellStyle name="Comma 2 10 2 2" xfId="6889" xr:uid="{49C8D2C7-35CA-4754-AF07-5AEBF3B823F4}"/>
    <cellStyle name="Comma 2 10 2 2 2" xfId="9530" xr:uid="{A02F73F0-073D-42AB-BC68-A2C456FDDA83}"/>
    <cellStyle name="Comma 2 10 2 3" xfId="7951" xr:uid="{5B439E84-822F-4DDD-803F-889DFD787000}"/>
    <cellStyle name="Comma 2 10 3" xfId="6888" xr:uid="{4660A511-F549-4B03-A434-ECA531DBBFCC}"/>
    <cellStyle name="Comma 2 10 3 2" xfId="9529" xr:uid="{8A4110B1-2055-4009-8C02-603CBCB79D69}"/>
    <cellStyle name="Comma 2 11" xfId="359" xr:uid="{00000000-0005-0000-0000-0000E20C0000}"/>
    <cellStyle name="Comma 2 11 2" xfId="4266" xr:uid="{00000000-0005-0000-0000-0000E30C0000}"/>
    <cellStyle name="Comma 2 11 2 2" xfId="6890" xr:uid="{FD677C7F-DAEE-4EDD-9B70-85238C7F4F48}"/>
    <cellStyle name="Comma 2 11 2 2 2" xfId="9531" xr:uid="{2DD0FE08-944A-4364-9B5F-B50C8DC1AECB}"/>
    <cellStyle name="Comma 2 11 2 3" xfId="7952" xr:uid="{8080F923-3E67-4F01-96E6-84195688A743}"/>
    <cellStyle name="Comma 2 11 3" xfId="6549" xr:uid="{318611E1-2912-4F68-9942-C9FC7B7CAFE5}"/>
    <cellStyle name="Comma 2 11 3 2" xfId="9250" xr:uid="{98C03E58-9C1D-4D62-9CA3-A29E87A451E0}"/>
    <cellStyle name="Comma 2 12" xfId="360" xr:uid="{00000000-0005-0000-0000-0000E40C0000}"/>
    <cellStyle name="Comma 2 12 2" xfId="4267" xr:uid="{00000000-0005-0000-0000-0000E50C0000}"/>
    <cellStyle name="Comma 2 12 2 2" xfId="6499" xr:uid="{87AC4728-65AA-4438-B544-2E7E2161F2AD}"/>
    <cellStyle name="Comma 2 12 2 2 2" xfId="9227" xr:uid="{1DDEA6C3-31EC-4A3D-A3CD-880EDF1747C5}"/>
    <cellStyle name="Comma 2 12 2 3" xfId="7953" xr:uid="{BE5CF097-1928-4075-9CB3-E24184C5C83E}"/>
    <cellStyle name="Comma 2 12 3" xfId="6495" xr:uid="{783CD684-64CA-4D0F-8D76-AA8E248EC8A7}"/>
    <cellStyle name="Comma 2 12 3 2" xfId="9224" xr:uid="{6AE047C8-CCFB-4E89-B73D-994C2AD15D10}"/>
    <cellStyle name="Comma 2 13" xfId="361" xr:uid="{00000000-0005-0000-0000-0000E60C0000}"/>
    <cellStyle name="Comma 2 13 2" xfId="4268" xr:uid="{00000000-0005-0000-0000-0000E70C0000}"/>
    <cellStyle name="Comma 2 13 2 2" xfId="6554" xr:uid="{09010AAC-A83F-4029-B5AD-4347F6A65102}"/>
    <cellStyle name="Comma 2 13 2 2 2" xfId="9251" xr:uid="{59FD7470-4B98-405E-9746-87923071D0CB}"/>
    <cellStyle name="Comma 2 13 2 3" xfId="7954" xr:uid="{74230CB5-18A7-48A1-9BB5-869A55214C2F}"/>
    <cellStyle name="Comma 2 13 3" xfId="6442" xr:uid="{76981719-E16F-4CC1-AABF-9678B21416FA}"/>
    <cellStyle name="Comma 2 13 3 2" xfId="9185" xr:uid="{40635169-D298-4929-B8FA-64DEFBA9CADE}"/>
    <cellStyle name="Comma 2 14" xfId="362" xr:uid="{00000000-0005-0000-0000-0000E80C0000}"/>
    <cellStyle name="Comma 2 14 2" xfId="4269" xr:uid="{00000000-0005-0000-0000-0000E90C0000}"/>
    <cellStyle name="Comma 2 14 2 2" xfId="6419" xr:uid="{20871ACD-67F5-4C00-8029-49B7AF694D3F}"/>
    <cellStyle name="Comma 2 14 2 2 2" xfId="9164" xr:uid="{73A31946-113D-4615-B253-68EF31C2BD6E}"/>
    <cellStyle name="Comma 2 14 2 3" xfId="7955" xr:uid="{AD534E8B-03F3-48A6-8F87-9AA73280F785}"/>
    <cellStyle name="Comma 2 14 3" xfId="6829" xr:uid="{23C49CDB-B5FE-4851-A63A-F2C5956AA441}"/>
    <cellStyle name="Comma 2 14 3 2" xfId="9480" xr:uid="{5BE867FB-9885-49BE-9EB2-17F793AAB084}"/>
    <cellStyle name="Comma 2 15" xfId="363" xr:uid="{00000000-0005-0000-0000-0000EA0C0000}"/>
    <cellStyle name="Comma 2 15 2" xfId="4270" xr:uid="{00000000-0005-0000-0000-0000EB0C0000}"/>
    <cellStyle name="Comma 2 15 2 2" xfId="6423" xr:uid="{9D83DE22-3766-4944-B66D-DD5B4615AEFC}"/>
    <cellStyle name="Comma 2 15 2 2 2" xfId="9168" xr:uid="{A05C2182-2850-4C98-8508-0D4F2EC26A20}"/>
    <cellStyle name="Comma 2 15 2 3" xfId="7956" xr:uid="{3BAA0A38-B526-402D-BD76-9A3D47392D5A}"/>
    <cellStyle name="Comma 2 15 3" xfId="6717" xr:uid="{62D83B99-E72F-4357-A155-DE9BC08CB713}"/>
    <cellStyle name="Comma 2 15 3 2" xfId="9390" xr:uid="{D6F2BB5B-0E10-4DC1-A37B-F2581D512466}"/>
    <cellStyle name="Comma 2 16" xfId="364" xr:uid="{00000000-0005-0000-0000-0000EC0C0000}"/>
    <cellStyle name="Comma 2 16 2" xfId="4271" xr:uid="{00000000-0005-0000-0000-0000ED0C0000}"/>
    <cellStyle name="Comma 2 16 2 2" xfId="6893" xr:uid="{8E8DD3F1-2086-42FE-AA40-54F509545A46}"/>
    <cellStyle name="Comma 2 16 2 2 2" xfId="9533" xr:uid="{BC29C3BE-7464-4D83-979E-A3CC734F5886}"/>
    <cellStyle name="Comma 2 16 2 3" xfId="7957" xr:uid="{25FD53BD-C4BC-4CE8-823D-E39FDA3C1F95}"/>
    <cellStyle name="Comma 2 16 3" xfId="6694" xr:uid="{A4BD6608-262A-4E5E-B878-7335DF36AF36}"/>
    <cellStyle name="Comma 2 16 3 2" xfId="9373" xr:uid="{0A55732D-C523-406C-B31A-CCBA4374A211}"/>
    <cellStyle name="Comma 2 17" xfId="365" xr:uid="{00000000-0005-0000-0000-0000EE0C0000}"/>
    <cellStyle name="Comma 2 17 2" xfId="6895" xr:uid="{62E03907-38C6-45A8-8BB2-6F71DA2BE6E3}"/>
    <cellStyle name="Comma 2 17 2 2" xfId="9535" xr:uid="{30396130-AC1D-47E5-A79B-30B274836579}"/>
    <cellStyle name="Comma 2 17 3" xfId="6633" xr:uid="{783F7FE0-76B0-45D6-9F1E-0EA87D233D50}"/>
    <cellStyle name="Comma 2 17 3 2" xfId="9317" xr:uid="{691DFFE3-C4BF-48DB-BA61-808CF3BDD62E}"/>
    <cellStyle name="Comma 2 18" xfId="366" xr:uid="{00000000-0005-0000-0000-0000EF0C0000}"/>
    <cellStyle name="Comma 2 18 2" xfId="6897" xr:uid="{D5B26807-501B-4A64-8A84-DB2355B63A25}"/>
    <cellStyle name="Comma 2 18 2 2" xfId="9537" xr:uid="{CAD636B1-94A8-4698-A45B-C58D4957449D}"/>
    <cellStyle name="Comma 2 18 3" xfId="6523" xr:uid="{1268BF0B-7A9D-4021-9C0A-965C6ED341AE}"/>
    <cellStyle name="Comma 2 18 3 2" xfId="9236" xr:uid="{604416C0-E197-4D19-B8CB-8EDA9CE18992}"/>
    <cellStyle name="Comma 2 19" xfId="367" xr:uid="{00000000-0005-0000-0000-0000F00C0000}"/>
    <cellStyle name="Comma 2 19 2" xfId="6565" xr:uid="{19263ED1-0AF3-4C3C-9B35-BCA40C31C71C}"/>
    <cellStyle name="Comma 2 19 2 2" xfId="9257" xr:uid="{4ABC1528-EB40-46CA-AE09-157BF5AEEE63}"/>
    <cellStyle name="Comma 2 19 3" xfId="6526" xr:uid="{38DC7828-1ADE-4A2A-BC98-1989FCAA408C}"/>
    <cellStyle name="Comma 2 19 3 2" xfId="9238" xr:uid="{64956A5A-678D-48EF-920B-5878746A7399}"/>
    <cellStyle name="Comma 2 2" xfId="368" xr:uid="{00000000-0005-0000-0000-0000F10C0000}"/>
    <cellStyle name="Comma 2 2 2" xfId="369" xr:uid="{00000000-0005-0000-0000-0000F20C0000}"/>
    <cellStyle name="Comma 2 2 2 2" xfId="4272" xr:uid="{00000000-0005-0000-0000-0000F30C0000}"/>
    <cellStyle name="Comma 2 2 2 2 2" xfId="5771" xr:uid="{00000000-0005-0000-0000-0000F40C0000}"/>
    <cellStyle name="Comma 2 2 2 2 2 2" xfId="6136" xr:uid="{00000000-0005-0000-0000-0000F50C0000}"/>
    <cellStyle name="Comma 2 2 2 2 2 2 2" xfId="8940" xr:uid="{06609C38-2CA7-4443-899D-44DC7E268760}"/>
    <cellStyle name="Comma 2 2 2 2 2 3" xfId="6869" xr:uid="{72827C20-B1A8-4FBA-8332-AED688B1F629}"/>
    <cellStyle name="Comma 2 2 2 2 2 3 2" xfId="9515" xr:uid="{B89A7D39-6B47-4736-93D0-2B3418D46B88}"/>
    <cellStyle name="Comma 2 2 2 2 2 4" xfId="8665" xr:uid="{FCE7B9D7-EB6D-4241-A1F6-5898301413A8}"/>
    <cellStyle name="Comma 2 2 2 2 3" xfId="6898" xr:uid="{A560135B-079C-4D4D-A349-C1D42AE987C2}"/>
    <cellStyle name="Comma 2 2 2 2 3 2" xfId="9538" xr:uid="{06B8A662-BA66-4A21-A9FA-98ADB1EF5CEC}"/>
    <cellStyle name="Comma 2 2 2 3" xfId="4273" xr:uid="{00000000-0005-0000-0000-0000F60C0000}"/>
    <cellStyle name="Comma 2 2 2 3 2" xfId="6137" xr:uid="{00000000-0005-0000-0000-0000F70C0000}"/>
    <cellStyle name="Comma 2 2 2 3 2 2" xfId="8941" xr:uid="{B182C9F9-9C1A-4DD8-99E8-B4DEA1B44728}"/>
    <cellStyle name="Comma 2 2 2 3 3" xfId="7958" xr:uid="{F4EA1C53-D527-47FE-AB90-FDF6CC6CDB3E}"/>
    <cellStyle name="Comma 2 2 2 4" xfId="5770" xr:uid="{00000000-0005-0000-0000-0000F80C0000}"/>
    <cellStyle name="Comma 2 2 2 4 2" xfId="6899" xr:uid="{80FA879A-3090-488E-A5E4-58C8C67D6386}"/>
    <cellStyle name="Comma 2 2 2 4 2 2" xfId="9539" xr:uid="{74589F60-8D85-4C74-A5A9-9BF9E2DF9DB3}"/>
    <cellStyle name="Comma 2 2 2 4 3" xfId="8664" xr:uid="{2D9C9081-786E-49DC-90A6-090CD6E0C3B6}"/>
    <cellStyle name="Comma 2 2 2 5" xfId="6838" xr:uid="{AA0F641C-790B-45B7-B07B-0BEBE45B0BE4}"/>
    <cellStyle name="Comma 2 2 2 5 2" xfId="9489" xr:uid="{B32FB496-F365-48D3-9639-67C1907872D8}"/>
    <cellStyle name="Comma 2 2 3" xfId="370" xr:uid="{00000000-0005-0000-0000-0000F90C0000}"/>
    <cellStyle name="Comma 2 2 3 2" xfId="5772" xr:uid="{00000000-0005-0000-0000-0000FA0C0000}"/>
    <cellStyle name="Comma 2 2 3 2 2" xfId="6138" xr:uid="{00000000-0005-0000-0000-0000FB0C0000}"/>
    <cellStyle name="Comma 2 2 3 2 2 2" xfId="8942" xr:uid="{3C77F852-3F2A-4726-AFEF-94FF35AFA982}"/>
    <cellStyle name="Comma 2 2 3 2 3" xfId="6901" xr:uid="{42DA6F6E-8375-4E9E-AB7D-3E278E8D3E6F}"/>
    <cellStyle name="Comma 2 2 3 2 3 2" xfId="9541" xr:uid="{9348DB0A-5E1C-4273-A449-5DFC05E3ECEA}"/>
    <cellStyle name="Comma 2 2 3 2 4" xfId="8666" xr:uid="{B6C0D774-0CCE-4569-983A-6F31314831E0}"/>
    <cellStyle name="Comma 2 2 3 3" xfId="6900" xr:uid="{00556F19-4EDD-45A9-B44C-ED8875D852F1}"/>
    <cellStyle name="Comma 2 2 3 3 2" xfId="9540" xr:uid="{FB5C1C91-047A-4930-94A0-65B99128F430}"/>
    <cellStyle name="Comma 2 2 4" xfId="371" xr:uid="{00000000-0005-0000-0000-0000FC0C0000}"/>
    <cellStyle name="Comma 2 2 4 2" xfId="5773" xr:uid="{00000000-0005-0000-0000-0000FD0C0000}"/>
    <cellStyle name="Comma 2 2 4 2 2" xfId="6139" xr:uid="{00000000-0005-0000-0000-0000FE0C0000}"/>
    <cellStyle name="Comma 2 2 4 2 2 2" xfId="8943" xr:uid="{A8DBE29D-7BEF-4FA9-9A55-4B9B5B422BB8}"/>
    <cellStyle name="Comma 2 2 4 2 3" xfId="8667" xr:uid="{582D1007-4B04-4EF9-8130-72EA24834886}"/>
    <cellStyle name="Comma 2 2 4 3" xfId="6902" xr:uid="{18DC03A6-313B-4F55-BE2F-D79557BA6648}"/>
    <cellStyle name="Comma 2 2 4 3 2" xfId="9542" xr:uid="{428D3F1E-7B70-4EF5-B913-0E7E76C6A4C8}"/>
    <cellStyle name="Comma 2 2 5" xfId="5769" xr:uid="{00000000-0005-0000-0000-0000FF0C0000}"/>
    <cellStyle name="Comma 2 2 5 2" xfId="6140" xr:uid="{00000000-0005-0000-0000-0000000D0000}"/>
    <cellStyle name="Comma 2 2 5 2 2" xfId="8944" xr:uid="{9138EF4B-F5FF-40AE-9894-AB7D958A67EF}"/>
    <cellStyle name="Comma 2 2 5 3" xfId="8663" xr:uid="{FD1A9467-C3A4-4A03-8410-7749186F148C}"/>
    <cellStyle name="Comma 2 2 6" xfId="7187" xr:uid="{A0ED4357-44BE-453D-A4AF-6FEC55C2759B}"/>
    <cellStyle name="Comma 2 2 6 2" xfId="9695" xr:uid="{DCB5E677-0DE4-4ECF-A3C8-5139E1A64C72}"/>
    <cellStyle name="Comma 2 20" xfId="372" xr:uid="{00000000-0005-0000-0000-0000010D0000}"/>
    <cellStyle name="Comma 2 20 2" xfId="6422" xr:uid="{1B1207D2-529C-4FE2-988F-9E0FE6A6DA38}"/>
    <cellStyle name="Comma 2 20 2 2" xfId="9167" xr:uid="{92983024-B2EE-4178-B688-C25ECDF25205}"/>
    <cellStyle name="Comma 2 20 3" xfId="6716" xr:uid="{E6234120-CC96-4B70-80F0-DA05E78213C6}"/>
    <cellStyle name="Comma 2 20 3 2" xfId="9389" xr:uid="{480BA630-A35C-4D3F-BB70-EA735481879F}"/>
    <cellStyle name="Comma 2 21" xfId="373" xr:uid="{00000000-0005-0000-0000-0000020D0000}"/>
    <cellStyle name="Comma 2 21 2" xfId="6892" xr:uid="{13593571-763E-45A3-9AA5-F6CF9DD38923}"/>
    <cellStyle name="Comma 2 21 2 2" xfId="9532" xr:uid="{1A04072D-76F5-4E5F-B365-C0FCE5E2CE90}"/>
    <cellStyle name="Comma 2 21 3" xfId="6693" xr:uid="{28B3C8D5-3366-4E0A-94E8-911C22F1591F}"/>
    <cellStyle name="Comma 2 21 3 2" xfId="9372" xr:uid="{0CAB8A52-78DC-41CE-86BB-22C4940921A2}"/>
    <cellStyle name="Comma 2 22" xfId="374" xr:uid="{00000000-0005-0000-0000-0000030D0000}"/>
    <cellStyle name="Comma 2 22 2" xfId="6894" xr:uid="{1D5366B1-BE5A-436F-9025-97953C982D4B}"/>
    <cellStyle name="Comma 2 22 2 2" xfId="9534" xr:uid="{63759326-4FDF-4C38-8077-AAF198DD2A0A}"/>
    <cellStyle name="Comma 2 22 3" xfId="6632" xr:uid="{2C4CE85E-37E1-42A8-8C08-31D5A7B728CB}"/>
    <cellStyle name="Comma 2 22 3 2" xfId="9316" xr:uid="{A22D795A-A91C-4C4B-AC23-B89E9741B9E8}"/>
    <cellStyle name="Comma 2 23" xfId="375" xr:uid="{00000000-0005-0000-0000-0000040D0000}"/>
    <cellStyle name="Comma 2 23 2" xfId="6896" xr:uid="{3660456A-0B12-49F3-8BC6-D65BD5EEB3A6}"/>
    <cellStyle name="Comma 2 23 2 2" xfId="9536" xr:uid="{CB5824D3-E99B-42C0-B769-E7919EBE58E5}"/>
    <cellStyle name="Comma 2 23 3" xfId="6522" xr:uid="{66DCEC6D-77FB-4666-9E8E-4EC1C10042BC}"/>
    <cellStyle name="Comma 2 23 3 2" xfId="9235" xr:uid="{2986DFBA-14BB-43EA-A6FB-66C92988D755}"/>
    <cellStyle name="Comma 2 24" xfId="376" xr:uid="{00000000-0005-0000-0000-0000050D0000}"/>
    <cellStyle name="Comma 2 24 2" xfId="6564" xr:uid="{133625F0-41A0-4203-B340-B6E7957CA666}"/>
    <cellStyle name="Comma 2 24 2 2" xfId="9256" xr:uid="{60C5CA00-29B0-45E6-AE99-CF24C28F5298}"/>
    <cellStyle name="Comma 2 24 3" xfId="6525" xr:uid="{9E604520-26A9-4A3F-A454-0D4E53C2A6E5}"/>
    <cellStyle name="Comma 2 24 3 2" xfId="9237" xr:uid="{B6F035C2-8BCC-4F7B-BE60-146BCAA3EB04}"/>
    <cellStyle name="Comma 2 25" xfId="377" xr:uid="{00000000-0005-0000-0000-0000060D0000}"/>
    <cellStyle name="Comma 2 25 2" xfId="4274" xr:uid="{00000000-0005-0000-0000-0000070D0000}"/>
    <cellStyle name="Comma 2 25 2 2" xfId="6905" xr:uid="{D1BFD46F-DE75-4B11-BC2E-2979ADAF1594}"/>
    <cellStyle name="Comma 2 25 2 2 2" xfId="9545" xr:uid="{5A06DC4A-5017-4C5D-9945-4621F4264EC7}"/>
    <cellStyle name="Comma 2 25 2 3" xfId="7959" xr:uid="{A8ADB30A-5C4F-41E1-B8BE-5FE20B3B123A}"/>
    <cellStyle name="Comma 2 25 3" xfId="4275" xr:uid="{00000000-0005-0000-0000-0000080D0000}"/>
    <cellStyle name="Comma 2 25 3 2" xfId="7960" xr:uid="{49B257B3-BCD2-41DB-B005-76BB502C41F0}"/>
    <cellStyle name="Comma 2 25 4" xfId="6904" xr:uid="{3662A270-5D8D-4A11-B1F6-19E6DB85663D}"/>
    <cellStyle name="Comma 2 25 4 2" xfId="9544" xr:uid="{D03A044C-62DA-490E-94C4-F93A32C8A208}"/>
    <cellStyle name="Comma 2 25 5" xfId="7277" xr:uid="{262D40F1-07A3-4244-A8EA-D3150BCAA389}"/>
    <cellStyle name="Comma 2 26" xfId="378" xr:uid="{00000000-0005-0000-0000-0000090D0000}"/>
    <cellStyle name="Comma 2 26 2" xfId="4276" xr:uid="{00000000-0005-0000-0000-00000A0D0000}"/>
    <cellStyle name="Comma 2 26 2 2" xfId="6411" xr:uid="{D4E9AA2D-64BA-4D4C-8FEB-AD583FE4C026}"/>
    <cellStyle name="Comma 2 26 2 2 2" xfId="9160" xr:uid="{E0851FDC-7C3A-4377-8F17-447D03E6B897}"/>
    <cellStyle name="Comma 2 26 3" xfId="6851" xr:uid="{4F1E8E8B-C361-4D76-9F3B-B80DFFF637E1}"/>
    <cellStyle name="Comma 2 26 3 2" xfId="9500" xr:uid="{BCB40767-FF91-473F-8D14-CE04F4FD7C44}"/>
    <cellStyle name="Comma 2 27" xfId="379" xr:uid="{00000000-0005-0000-0000-00000B0D0000}"/>
    <cellStyle name="Comma 2 27 2" xfId="4277" xr:uid="{00000000-0005-0000-0000-00000C0D0000}"/>
    <cellStyle name="Comma 2 27 2 2" xfId="6907" xr:uid="{B889AB3D-5A90-497E-B9A9-811D4CFEA449}"/>
    <cellStyle name="Comma 2 27 2 2 2" xfId="9546" xr:uid="{47860EAD-4C7F-4FF9-8177-101DA2271B76}"/>
    <cellStyle name="Comma 2 27 3" xfId="6853" xr:uid="{D7CAF734-0A09-40C8-AC52-26049E673680}"/>
    <cellStyle name="Comma 2 27 3 2" xfId="9502" xr:uid="{58667F03-77B8-40E3-B21D-FCC402F559B6}"/>
    <cellStyle name="Comma 2 28" xfId="4278" xr:uid="{00000000-0005-0000-0000-00000D0D0000}"/>
    <cellStyle name="Comma 2 28 2" xfId="6623" xr:uid="{16BA64AB-E164-4FE4-B88A-10BB68348267}"/>
    <cellStyle name="Comma 2 28 2 2" xfId="9307" xr:uid="{4528BA9E-3471-4AD9-ACD4-4E5FCC940CEB}"/>
    <cellStyle name="Comma 2 28 3" xfId="6409" xr:uid="{864820FA-9059-449F-BA31-348B272C3D44}"/>
    <cellStyle name="Comma 2 28 3 2" xfId="9158" xr:uid="{904AAFB8-326C-4FEF-ABB5-C395BBF388AD}"/>
    <cellStyle name="Comma 2 29" xfId="4279" xr:uid="{00000000-0005-0000-0000-00000E0D0000}"/>
    <cellStyle name="Comma 2 29 2" xfId="4280" xr:uid="{00000000-0005-0000-0000-00000F0D0000}"/>
    <cellStyle name="Comma 2 29 2 2" xfId="6910" xr:uid="{4FB73A54-6CCE-40CC-8295-5CA2F1EC9941}"/>
    <cellStyle name="Comma 2 29 2 2 2" xfId="9549" xr:uid="{4F533B7E-2572-4640-9245-D155266928A7}"/>
    <cellStyle name="Comma 2 29 2 3" xfId="7962" xr:uid="{730F9854-DC6A-4634-ADCF-E871A667A60E}"/>
    <cellStyle name="Comma 2 29 3" xfId="6908" xr:uid="{F86AA6B4-770E-4019-BA74-D5B0C497138C}"/>
    <cellStyle name="Comma 2 29 3 2" xfId="9547" xr:uid="{1A065194-0C3D-466F-9E08-239A7C9B9686}"/>
    <cellStyle name="Comma 2 29 4" xfId="7961" xr:uid="{F108A757-46B9-4FDA-915A-C242A83BE1D0}"/>
    <cellStyle name="Comma 2 3" xfId="380" xr:uid="{00000000-0005-0000-0000-0000100D0000}"/>
    <cellStyle name="Comma 2 3 2" xfId="381" xr:uid="{00000000-0005-0000-0000-0000110D0000}"/>
    <cellStyle name="Comma 2 3 2 2" xfId="382" xr:uid="{00000000-0005-0000-0000-0000120D0000}"/>
    <cellStyle name="Comma 2 3 2 2 2" xfId="6141" xr:uid="{00000000-0005-0000-0000-0000130D0000}"/>
    <cellStyle name="Comma 2 3 2 2 2 2" xfId="6914" xr:uid="{BAF89726-C2CC-4F32-A535-FBA8179B8E65}"/>
    <cellStyle name="Comma 2 3 2 2 2 2 2" xfId="9552" xr:uid="{7261F7D1-227E-4423-B4DD-C9B6EFE5CFCC}"/>
    <cellStyle name="Comma 2 3 2 2 2 3" xfId="8945" xr:uid="{461F8751-64BC-4F3A-8731-BBA5FA908A89}"/>
    <cellStyle name="Comma 2 3 2 2 3" xfId="6912" xr:uid="{CA861749-63B1-42D6-9916-1E67A9CE6578}"/>
    <cellStyle name="Comma 2 3 2 2 3 2" xfId="9551" xr:uid="{71EFF9A7-C4B8-46AE-9095-69AE0026DCA0}"/>
    <cellStyle name="Comma 2 3 2 3" xfId="4281" xr:uid="{00000000-0005-0000-0000-0000140D0000}"/>
    <cellStyle name="Comma 2 3 2 3 2" xfId="6557" xr:uid="{BE6A3925-0355-4EAC-9296-D59B2FA2332F}"/>
    <cellStyle name="Comma 2 3 2 3 2 2" xfId="9252" xr:uid="{5EDFAA06-9F45-41E1-A188-809ECB0058E7}"/>
    <cellStyle name="Comma 2 3 2 3 3" xfId="7963" xr:uid="{079C4673-61BD-4A0A-9AC8-8524387B4E99}"/>
    <cellStyle name="Comma 2 3 2 4" xfId="5775" xr:uid="{00000000-0005-0000-0000-0000150D0000}"/>
    <cellStyle name="Comma 2 3 2 4 2" xfId="8669" xr:uid="{C50DAE24-D6AE-4CE9-B383-636C9C9FD284}"/>
    <cellStyle name="Comma 2 3 2 5" xfId="6844" xr:uid="{F7D99A50-B568-4B5C-B114-9FB10447B640}"/>
    <cellStyle name="Comma 2 3 2 5 2" xfId="9493" xr:uid="{3525FE13-8A7A-4335-BFA6-ED0F67DAD374}"/>
    <cellStyle name="Comma 2 3 2 6" xfId="7278" xr:uid="{D441AC49-B3A9-417E-BFB7-AFDB5AE704D8}"/>
    <cellStyle name="Comma 2 3 3" xfId="1851" xr:uid="{00000000-0005-0000-0000-0000160D0000}"/>
    <cellStyle name="Comma 2 3 3 2" xfId="6142" xr:uid="{00000000-0005-0000-0000-0000170D0000}"/>
    <cellStyle name="Comma 2 3 3 2 2" xfId="6918" xr:uid="{B5DC2798-960B-4D9A-8826-AA996CAA897B}"/>
    <cellStyle name="Comma 2 3 3 2 2 2" xfId="9554" xr:uid="{2EBCEF6E-61EF-466B-A36B-DEE605087A18}"/>
    <cellStyle name="Comma 2 3 3 2 3" xfId="8946" xr:uid="{8798F2CF-4D5F-4C44-8245-071908BBB53C}"/>
    <cellStyle name="Comma 2 3 3 3" xfId="6916" xr:uid="{86E801B8-A638-4AA9-AD94-FB55B8E0E5E7}"/>
    <cellStyle name="Comma 2 3 3 3 2" xfId="9553" xr:uid="{EE30D2A9-F0DF-4675-8BD9-36DB1AFF8DC6}"/>
    <cellStyle name="Comma 2 3 4" xfId="5774" xr:uid="{00000000-0005-0000-0000-0000180D0000}"/>
    <cellStyle name="Comma 2 3 4 2" xfId="6789" xr:uid="{D857220F-22DA-4A2D-86BA-77466B9C98C1}"/>
    <cellStyle name="Comma 2 3 4 2 2" xfId="9446" xr:uid="{4811E8AD-B1D1-4C6D-B4C3-226FF3D6D586}"/>
    <cellStyle name="Comma 2 3 4 3" xfId="6919" xr:uid="{0D72B5CF-040D-4EDE-BD24-CD0F2BD158AA}"/>
    <cellStyle name="Comma 2 3 4 3 2" xfId="9555" xr:uid="{B1ECBFE0-A497-49A3-B088-0930CB024B80}"/>
    <cellStyle name="Comma 2 3 4 4" xfId="8668" xr:uid="{AF7F370B-1DB3-4DAF-8C36-0236512B7BEB}"/>
    <cellStyle name="Comma 2 3 5" xfId="6620" xr:uid="{2BBC9CDC-8B2A-4F48-9888-273521FD122F}"/>
    <cellStyle name="Comma 2 3 5 2" xfId="9305" xr:uid="{3E14E26C-4567-4D34-A780-953325019F75}"/>
    <cellStyle name="Comma 2 3 6" xfId="6842" xr:uid="{B0AA44B1-5EBA-4F93-9D55-161970F63484}"/>
    <cellStyle name="Comma 2 3 6 2" xfId="9491" xr:uid="{DFAC057D-E52B-4F48-985C-E92AFF9EC1F1}"/>
    <cellStyle name="Comma 2 3 7" xfId="6382" xr:uid="{41EDE607-3A1D-4200-B991-0A33E61EB6C3}"/>
    <cellStyle name="Comma 2 3 7 2" xfId="9149" xr:uid="{3F461EE6-4298-42B0-96F9-BF4FA4E1B31A}"/>
    <cellStyle name="Comma 2 30" xfId="4282" xr:uid="{00000000-0005-0000-0000-0000190D0000}"/>
    <cellStyle name="Comma 2 30 2" xfId="6903" xr:uid="{18AC1410-E7B7-43BC-82FD-6777B3BD0517}"/>
    <cellStyle name="Comma 2 30 2 2" xfId="9543" xr:uid="{E324CCC5-F04E-4D0F-A8C2-CC4F8015F855}"/>
    <cellStyle name="Comma 2 30 3" xfId="7964" xr:uid="{2EA7A53B-CE3F-4E0F-A1A3-B87B7F19975F}"/>
    <cellStyle name="Comma 2 31" xfId="4283" xr:uid="{00000000-0005-0000-0000-00001A0D0000}"/>
    <cellStyle name="Comma 2 31 2" xfId="6887" xr:uid="{37F4460C-1C55-431C-8F7B-BA12373D94EC}"/>
    <cellStyle name="Comma 2 31 2 2" xfId="9528" xr:uid="{FAAC7D17-C17D-42D4-9440-06E9AAA2AA91}"/>
    <cellStyle name="Comma 2 31 3" xfId="7965" xr:uid="{C26C6888-20E4-459E-8889-D7BD3354840D}"/>
    <cellStyle name="Comma 2 32" xfId="5768" xr:uid="{00000000-0005-0000-0000-00001B0D0000}"/>
    <cellStyle name="Comma 2 32 2" xfId="8662" xr:uid="{B51383CA-F498-488C-AF20-FAB6877672E4}"/>
    <cellStyle name="Comma 2 33" xfId="6385" xr:uid="{AA33386C-42C1-4C96-A8C2-3659ADFB500F}"/>
    <cellStyle name="Comma 2 33 2" xfId="9151" xr:uid="{6BB64F57-46E4-4B29-8EDD-E76286D38243}"/>
    <cellStyle name="Comma 2 4" xfId="383" xr:uid="{00000000-0005-0000-0000-00001C0D0000}"/>
    <cellStyle name="Comma 2 4 2" xfId="1852" xr:uid="{00000000-0005-0000-0000-00001D0D0000}"/>
    <cellStyle name="Comma 2 4 2 2" xfId="4284" xr:uid="{00000000-0005-0000-0000-00001E0D0000}"/>
    <cellStyle name="Comma 2 4 2 2 2" xfId="7966" xr:uid="{E87D7489-2580-49D8-8920-4CE2E20AA5B3}"/>
    <cellStyle name="Comma 2 4 2 3" xfId="6143" xr:uid="{00000000-0005-0000-0000-00001F0D0000}"/>
    <cellStyle name="Comma 2 4 2 3 2" xfId="8947" xr:uid="{D3197B31-4A66-492F-9677-C66BD96748C7}"/>
    <cellStyle name="Comma 2 4 2 4" xfId="6846" xr:uid="{090E72F3-65D0-4D57-AAC9-22AE4A265FE8}"/>
    <cellStyle name="Comma 2 4 2 4 2" xfId="9495" xr:uid="{30DB9BE2-4E63-4776-993E-7C06EFCA1DBA}"/>
    <cellStyle name="Comma 2 4 3" xfId="4285" xr:uid="{00000000-0005-0000-0000-0000200D0000}"/>
    <cellStyle name="Comma 2 4 3 2" xfId="7967" xr:uid="{AD9A7FAD-7137-4CA5-8875-3B9779288DC4}"/>
    <cellStyle name="Comma 2 4 4" xfId="5776" xr:uid="{00000000-0005-0000-0000-0000210D0000}"/>
    <cellStyle name="Comma 2 4 4 2" xfId="8670" xr:uid="{134A4FB4-73E3-416C-8B40-46E0BE9902A3}"/>
    <cellStyle name="Comma 2 4 5" xfId="6437" xr:uid="{380E220C-6C23-4F7B-92A6-E77DA6A63A76}"/>
    <cellStyle name="Comma 2 4 5 2" xfId="9181" xr:uid="{EEA4E4DD-CBD3-4385-8CA3-E215F0CF09BA}"/>
    <cellStyle name="Comma 2 5" xfId="384" xr:uid="{00000000-0005-0000-0000-0000220D0000}"/>
    <cellStyle name="Comma 2 5 2" xfId="1853" xr:uid="{00000000-0005-0000-0000-0000230D0000}"/>
    <cellStyle name="Comma 2 5 2 2" xfId="4286" xr:uid="{00000000-0005-0000-0000-0000240D0000}"/>
    <cellStyle name="Comma 2 5 2 2 2" xfId="7968" xr:uid="{7DCE3B27-5A2B-454C-8946-D82EFC07B25A}"/>
    <cellStyle name="Comma 2 5 2 3" xfId="6144" xr:uid="{00000000-0005-0000-0000-0000250D0000}"/>
    <cellStyle name="Comma 2 5 2 3 2" xfId="8948" xr:uid="{5EB2E334-DDF6-4EE9-84C9-82A999679B8D}"/>
    <cellStyle name="Comma 2 5 2 4" xfId="6641" xr:uid="{914B585B-7A8C-4EAC-89C4-5DCA63EB347B}"/>
    <cellStyle name="Comma 2 5 2 4 2" xfId="9325" xr:uid="{52902A41-6753-410C-8AB8-A9B455904159}"/>
    <cellStyle name="Comma 2 5 3" xfId="5777" xr:uid="{00000000-0005-0000-0000-0000260D0000}"/>
    <cellStyle name="Comma 2 5 3 2" xfId="8671" xr:uid="{D5DF9093-E520-4CA4-BBD2-560E4612592A}"/>
    <cellStyle name="Comma 2 5 4" xfId="6638" xr:uid="{B9C2F967-A51A-40CB-9766-3ACDB07C4D54}"/>
    <cellStyle name="Comma 2 5 4 2" xfId="9322" xr:uid="{C837ED06-8154-4324-986C-169753E75C37}"/>
    <cellStyle name="Comma 2 6" xfId="385" xr:uid="{00000000-0005-0000-0000-0000270D0000}"/>
    <cellStyle name="Comma 2 6 2" xfId="1854" xr:uid="{00000000-0005-0000-0000-0000280D0000}"/>
    <cellStyle name="Comma 2 6 2 2" xfId="4287" xr:uid="{00000000-0005-0000-0000-0000290D0000}"/>
    <cellStyle name="Comma 2 6 2 2 2" xfId="7969" xr:uid="{35501EBD-57D6-4F74-A305-5C17A7B25FCA}"/>
    <cellStyle name="Comma 2 6 2 3" xfId="6145" xr:uid="{00000000-0005-0000-0000-00002A0D0000}"/>
    <cellStyle name="Comma 2 6 2 3 2" xfId="8949" xr:uid="{21C8A0B6-366C-4E88-A6B9-3D55D1672D80}"/>
    <cellStyle name="Comma 2 6 2 4" xfId="6647" xr:uid="{412BC0CB-2184-479D-A06B-1D1DE848438C}"/>
    <cellStyle name="Comma 2 6 2 4 2" xfId="9331" xr:uid="{9AB8C9E5-7C64-4D77-94E0-A49F8F3A78C7}"/>
    <cellStyle name="Comma 2 6 3" xfId="4288" xr:uid="{00000000-0005-0000-0000-00002B0D0000}"/>
    <cellStyle name="Comma 2 6 3 2" xfId="7970" xr:uid="{C959C1EA-C23D-4725-BC90-31398F0F62FA}"/>
    <cellStyle name="Comma 2 6 4" xfId="5778" xr:uid="{00000000-0005-0000-0000-00002C0D0000}"/>
    <cellStyle name="Comma 2 6 4 2" xfId="8672" xr:uid="{8ACC3EF5-F6AE-4084-BEE8-4AA89CECCC10}"/>
    <cellStyle name="Comma 2 6 5" xfId="6644" xr:uid="{687FEE04-3F77-4EFA-92E3-B51341A78B35}"/>
    <cellStyle name="Comma 2 6 5 2" xfId="9328" xr:uid="{228E489C-E08E-4C4F-957F-58ECF62B9F78}"/>
    <cellStyle name="Comma 2 7" xfId="386" xr:uid="{00000000-0005-0000-0000-00002D0D0000}"/>
    <cellStyle name="Comma 2 7 2" xfId="4289" xr:uid="{00000000-0005-0000-0000-00002E0D0000}"/>
    <cellStyle name="Comma 2 7 2 2" xfId="6921" xr:uid="{08B17C70-304C-4887-BE2B-818E1B3E2429}"/>
    <cellStyle name="Comma 2 7 2 2 2" xfId="9557" xr:uid="{DAA09375-1685-4A3D-A4EC-586DC84904FA}"/>
    <cellStyle name="Comma 2 7 2 3" xfId="7971" xr:uid="{6D51EDE5-AFE5-4363-90B1-C68173E54EB7}"/>
    <cellStyle name="Comma 2 7 3" xfId="6146" xr:uid="{00000000-0005-0000-0000-00002F0D0000}"/>
    <cellStyle name="Comma 2 7 3 2" xfId="8950" xr:uid="{B5392A10-3F1B-42DC-8FBD-78AA10EA458C}"/>
    <cellStyle name="Comma 2 7 4" xfId="6649" xr:uid="{104A8323-8110-4C09-85AE-2EED8B4ACE69}"/>
    <cellStyle name="Comma 2 7 4 2" xfId="9333" xr:uid="{99527CAC-53EA-46D6-93ED-3429E498F39B}"/>
    <cellStyle name="Comma 2 8" xfId="387" xr:uid="{00000000-0005-0000-0000-0000300D0000}"/>
    <cellStyle name="Comma 2 8 2" xfId="4290" xr:uid="{00000000-0005-0000-0000-0000310D0000}"/>
    <cellStyle name="Comma 2 8 2 2" xfId="6923" xr:uid="{B7F4E3E5-EC93-4C85-868A-5DC21DC1FD5D}"/>
    <cellStyle name="Comma 2 8 2 2 2" xfId="9559" xr:uid="{21F241EE-2DF8-4758-BC6B-E087B8648AD9}"/>
    <cellStyle name="Comma 2 8 2 3" xfId="7972" xr:uid="{FC06C123-0F0E-4039-8F1F-5EC1341A530C}"/>
    <cellStyle name="Comma 2 8 3" xfId="6147" xr:uid="{00000000-0005-0000-0000-0000320D0000}"/>
    <cellStyle name="Comma 2 8 3 2" xfId="8951" xr:uid="{91DDAF93-CC18-4744-B22F-B8ADD46DC56C}"/>
    <cellStyle name="Comma 2 8 4" xfId="6922" xr:uid="{227D801F-044C-43E7-B733-F9A27813F7A8}"/>
    <cellStyle name="Comma 2 8 4 2" xfId="9558" xr:uid="{7F148F33-6CC5-4380-8299-7F692BFF797F}"/>
    <cellStyle name="Comma 2 9" xfId="388" xr:uid="{00000000-0005-0000-0000-0000330D0000}"/>
    <cellStyle name="Comma 2 9 2" xfId="4291" xr:uid="{00000000-0005-0000-0000-0000340D0000}"/>
    <cellStyle name="Comma 2 9 2 2" xfId="6700" xr:uid="{5DB12C65-EC7D-4052-BBF5-A8B891843EA9}"/>
    <cellStyle name="Comma 2 9 2 2 2" xfId="9379" xr:uid="{79A0A083-6FE7-4C36-BC85-378B0031BECD}"/>
    <cellStyle name="Comma 2 9 2 3" xfId="7973" xr:uid="{B887A564-6E33-4B3F-9497-78A3B9F546E5}"/>
    <cellStyle name="Comma 2 9 3" xfId="6924" xr:uid="{1C24F8AE-AFAA-479B-BACA-E88120B6F09D}"/>
    <cellStyle name="Comma 2 9 3 2" xfId="9560" xr:uid="{4E1757E0-97AC-46AC-9281-0BD379717F92}"/>
    <cellStyle name="Comma 20" xfId="389" xr:uid="{00000000-0005-0000-0000-0000350D0000}"/>
    <cellStyle name="Comma 20 2" xfId="4292" xr:uid="{00000000-0005-0000-0000-0000360D0000}"/>
    <cellStyle name="Comma 20 2 2" xfId="5780" xr:uid="{00000000-0005-0000-0000-0000370D0000}"/>
    <cellStyle name="Comma 20 2 2 2" xfId="6148" xr:uid="{00000000-0005-0000-0000-0000380D0000}"/>
    <cellStyle name="Comma 20 2 2 2 2" xfId="8952" xr:uid="{DB3ED868-8CED-4662-BD82-E289525D3EC7}"/>
    <cellStyle name="Comma 20 2 2 3" xfId="8674" xr:uid="{4A5E694D-DA46-4826-B922-0F8DF287775F}"/>
    <cellStyle name="Comma 20 2 3" xfId="6876" xr:uid="{02A0CC24-30AE-47DC-BCE3-F75B2673ECD1}"/>
    <cellStyle name="Comma 20 2 3 2" xfId="9521" xr:uid="{1D955BBC-D195-4D35-A9AD-AE7DBD665299}"/>
    <cellStyle name="Comma 20 3" xfId="4293" xr:uid="{00000000-0005-0000-0000-0000390D0000}"/>
    <cellStyle name="Comma 20 3 2" xfId="6149" xr:uid="{00000000-0005-0000-0000-00003A0D0000}"/>
    <cellStyle name="Comma 20 3 2 2" xfId="8953" xr:uid="{92616F1B-FCF9-44F6-83F4-012D191833B5}"/>
    <cellStyle name="Comma 20 3 3" xfId="7974" xr:uid="{F00B95C5-F4B4-4D7C-9231-DA2C0EB9953C}"/>
    <cellStyle name="Comma 20 4" xfId="4294" xr:uid="{00000000-0005-0000-0000-00003B0D0000}"/>
    <cellStyle name="Comma 20 4 2" xfId="7975" xr:uid="{2DCA76D8-2A23-450E-9237-411929DB8091}"/>
    <cellStyle name="Comma 20 5" xfId="5779" xr:uid="{00000000-0005-0000-0000-00003C0D0000}"/>
    <cellStyle name="Comma 20 5 2" xfId="8673" xr:uid="{EB44FE82-8C2B-42C4-BCBC-322CFF06D734}"/>
    <cellStyle name="Comma 20 6" xfId="6875" xr:uid="{EECF7ABC-7E25-4473-8100-2C47F544FB48}"/>
    <cellStyle name="Comma 20 6 2" xfId="9520" xr:uid="{0817E29A-699C-4856-A161-93B8F99D6DFF}"/>
    <cellStyle name="Comma 20 7" xfId="7279" xr:uid="{78628E71-D806-47A9-9891-834B0234D972}"/>
    <cellStyle name="Comma 21" xfId="390" xr:uid="{00000000-0005-0000-0000-00003D0D0000}"/>
    <cellStyle name="Comma 21 2" xfId="5782" xr:uid="{00000000-0005-0000-0000-00003E0D0000}"/>
    <cellStyle name="Comma 21 2 2" xfId="6150" xr:uid="{00000000-0005-0000-0000-00003F0D0000}"/>
    <cellStyle name="Comma 21 2 2 2" xfId="8954" xr:uid="{774318C0-62B5-40E6-9648-F0153646B2F4}"/>
    <cellStyle name="Comma 21 2 3" xfId="8676" xr:uid="{D6DCDE22-4462-4A59-865A-EFA1E137AE68}"/>
    <cellStyle name="Comma 21 3" xfId="5781" xr:uid="{00000000-0005-0000-0000-0000400D0000}"/>
    <cellStyle name="Comma 21 3 2" xfId="6151" xr:uid="{00000000-0005-0000-0000-0000410D0000}"/>
    <cellStyle name="Comma 21 3 2 2" xfId="8955" xr:uid="{327B9B14-7477-46BC-9586-6ADF6CE3D56A}"/>
    <cellStyle name="Comma 21 3 3" xfId="8675" xr:uid="{67B7B035-819D-4FCB-83E9-FBF5D4284DEA}"/>
    <cellStyle name="Comma 22" xfId="391" xr:uid="{00000000-0005-0000-0000-0000420D0000}"/>
    <cellStyle name="Comma 22 2" xfId="4295" xr:uid="{00000000-0005-0000-0000-0000430D0000}"/>
    <cellStyle name="Comma 22 2 2" xfId="5784" xr:uid="{00000000-0005-0000-0000-0000440D0000}"/>
    <cellStyle name="Comma 22 2 2 2" xfId="6152" xr:uid="{00000000-0005-0000-0000-0000450D0000}"/>
    <cellStyle name="Comma 22 2 2 2 2" xfId="8956" xr:uid="{F1E5A186-60F0-4BD7-8713-04EB769D9A60}"/>
    <cellStyle name="Comma 22 2 2 3" xfId="8678" xr:uid="{088346EC-9362-4705-B013-B87F8384E3CA}"/>
    <cellStyle name="Comma 22 3" xfId="5783" xr:uid="{00000000-0005-0000-0000-0000460D0000}"/>
    <cellStyle name="Comma 22 3 2" xfId="6153" xr:uid="{00000000-0005-0000-0000-0000470D0000}"/>
    <cellStyle name="Comma 22 3 2 2" xfId="8957" xr:uid="{FEB81E57-F8EA-4A38-8B4D-4341912A1F25}"/>
    <cellStyle name="Comma 22 3 3" xfId="8677" xr:uid="{1C5E2C32-86CC-4BB2-8F0B-AF6BC8DF6DE4}"/>
    <cellStyle name="Comma 23" xfId="392" xr:uid="{00000000-0005-0000-0000-0000480D0000}"/>
    <cellStyle name="Comma 23 2" xfId="393" xr:uid="{00000000-0005-0000-0000-0000490D0000}"/>
    <cellStyle name="Comma 23 2 2" xfId="4296" xr:uid="{00000000-0005-0000-0000-00004A0D0000}"/>
    <cellStyle name="Comma 23 2 2 2" xfId="6154" xr:uid="{00000000-0005-0000-0000-00004B0D0000}"/>
    <cellStyle name="Comma 23 2 2 2 2" xfId="8958" xr:uid="{687FC09B-FC03-4321-A514-4174E92092F4}"/>
    <cellStyle name="Comma 23 2 2 3" xfId="6925" xr:uid="{532384E2-A1CF-4FC4-BCEE-F445E69EA4DF}"/>
    <cellStyle name="Comma 23 2 2 3 2" xfId="9561" xr:uid="{7F7EA1E8-8896-4605-8BEB-1BC941E88CB3}"/>
    <cellStyle name="Comma 23 2 2 4" xfId="7976" xr:uid="{60204B90-DAD4-4C2C-B95E-C98E0FAD014F}"/>
    <cellStyle name="Comma 23 2 3" xfId="4297" xr:uid="{00000000-0005-0000-0000-00004C0D0000}"/>
    <cellStyle name="Comma 23 2 3 2" xfId="7977" xr:uid="{D5783B58-65D7-426E-8B10-2A966181A5F8}"/>
    <cellStyle name="Comma 23 2 4" xfId="4298" xr:uid="{00000000-0005-0000-0000-00004D0D0000}"/>
    <cellStyle name="Comma 23 2 4 2" xfId="7978" xr:uid="{58E59BA4-8E74-488B-938F-DE2D46858849}"/>
    <cellStyle name="Comma 23 2 5" xfId="5786" xr:uid="{00000000-0005-0000-0000-00004E0D0000}"/>
    <cellStyle name="Comma 23 2 5 2" xfId="8680" xr:uid="{99080D69-87D7-450C-8DED-CE4B3F07B88B}"/>
    <cellStyle name="Comma 23 2 6" xfId="6882" xr:uid="{6B448F74-5658-43B3-942D-6846320C0D58}"/>
    <cellStyle name="Comma 23 2 6 2" xfId="9525" xr:uid="{D38BFC62-397A-43A0-8D51-264CDF3B1BCD}"/>
    <cellStyle name="Comma 23 2 7" xfId="7280" xr:uid="{DF9B7269-9D5C-4CCF-83AF-E397F2860004}"/>
    <cellStyle name="Comma 23 3" xfId="394" xr:uid="{00000000-0005-0000-0000-00004F0D0000}"/>
    <cellStyle name="Comma 23 3 2" xfId="4299" xr:uid="{00000000-0005-0000-0000-0000500D0000}"/>
    <cellStyle name="Comma 23 3 2 2" xfId="6926" xr:uid="{2399E12C-9F23-4206-86F4-BE3514BD8789}"/>
    <cellStyle name="Comma 23 3 2 2 2" xfId="9562" xr:uid="{84F96E5D-35A9-40C0-9B40-0F2FC8435E7F}"/>
    <cellStyle name="Comma 23 3 2 3" xfId="7979" xr:uid="{1333E0E1-34D9-4E00-A8F9-B1630EFC6E17}"/>
    <cellStyle name="Comma 23 3 3" xfId="4300" xr:uid="{00000000-0005-0000-0000-0000510D0000}"/>
    <cellStyle name="Comma 23 3 3 2" xfId="7980" xr:uid="{2ED0FAB1-590D-4C4D-9EB9-4B987F0903AE}"/>
    <cellStyle name="Comma 23 3 4" xfId="6155" xr:uid="{00000000-0005-0000-0000-0000520D0000}"/>
    <cellStyle name="Comma 23 3 4 2" xfId="8959" xr:uid="{6CEDECFD-5571-46DE-9E4D-981EA949B729}"/>
    <cellStyle name="Comma 23 3 5" xfId="6505" xr:uid="{6AEFD5C0-F921-448D-AEE5-3CEA6153F7B8}"/>
    <cellStyle name="Comma 23 3 5 2" xfId="9230" xr:uid="{246B09D1-3AFE-4FEE-97DE-A3CB2259A43F}"/>
    <cellStyle name="Comma 23 3 6" xfId="7281" xr:uid="{D87E9440-C887-4685-A148-280E8E9ADFF5}"/>
    <cellStyle name="Comma 23 4" xfId="395" xr:uid="{00000000-0005-0000-0000-0000530D0000}"/>
    <cellStyle name="Comma 23 4 2" xfId="4301" xr:uid="{00000000-0005-0000-0000-0000540D0000}"/>
    <cellStyle name="Comma 23 4 2 2" xfId="6928" xr:uid="{9BE3232E-B493-467C-8012-504F3A109EC0}"/>
    <cellStyle name="Comma 23 4 2 2 2" xfId="9563" xr:uid="{99B3A860-6431-4257-B095-62ECB67FC223}"/>
    <cellStyle name="Comma 23 4 2 3" xfId="7981" xr:uid="{E7F33492-5686-4FE6-ADDA-6262BEE80F27}"/>
    <cellStyle name="Comma 23 4 3" xfId="4302" xr:uid="{00000000-0005-0000-0000-0000550D0000}"/>
    <cellStyle name="Comma 23 4 3 2" xfId="7982" xr:uid="{3315F79F-CD16-4CDA-B3D9-CD6EDA163C48}"/>
    <cellStyle name="Comma 23 4 4" xfId="6817" xr:uid="{785CFAA5-A239-4233-9DA8-437890B62E47}"/>
    <cellStyle name="Comma 23 4 4 2" xfId="9471" xr:uid="{9972EC51-B551-4F77-96DF-250E205924F4}"/>
    <cellStyle name="Comma 23 4 5" xfId="7282" xr:uid="{968E92AC-4FDD-4388-AAAF-EC26EF938AEE}"/>
    <cellStyle name="Comma 23 5" xfId="4303" xr:uid="{00000000-0005-0000-0000-0000560D0000}"/>
    <cellStyle name="Comma 23 5 2" xfId="6929" xr:uid="{D530F532-A898-475C-B656-54BFF1E8B3A6}"/>
    <cellStyle name="Comma 23 5 2 2" xfId="9564" xr:uid="{99A5AC51-5EB8-4EF6-A163-223C3A91FF49}"/>
    <cellStyle name="Comma 23 5 3" xfId="7983" xr:uid="{8E04011A-D400-4852-8530-BFF9241AD499}"/>
    <cellStyle name="Comma 23 6" xfId="5785" xr:uid="{00000000-0005-0000-0000-0000570D0000}"/>
    <cellStyle name="Comma 23 6 2" xfId="8679" xr:uid="{280331CA-6067-4EBB-9D3D-8E5EA5C071B3}"/>
    <cellStyle name="Comma 24" xfId="396" xr:uid="{00000000-0005-0000-0000-0000580D0000}"/>
    <cellStyle name="Comma 24 2" xfId="4304" xr:uid="{00000000-0005-0000-0000-0000590D0000}"/>
    <cellStyle name="Comma 24 2 2" xfId="4305" xr:uid="{00000000-0005-0000-0000-00005A0D0000}"/>
    <cellStyle name="Comma 24 2 2 2" xfId="6156" xr:uid="{00000000-0005-0000-0000-00005B0D0000}"/>
    <cellStyle name="Comma 24 2 2 2 2" xfId="8960" xr:uid="{B44124EE-BDB3-4C3F-BF85-AD0EFFFC9A9F}"/>
    <cellStyle name="Comma 24 2 2 3" xfId="7985" xr:uid="{A147822B-C9F3-4862-87E6-D3871A75E01F}"/>
    <cellStyle name="Comma 24 2 3" xfId="4306" xr:uid="{00000000-0005-0000-0000-00005C0D0000}"/>
    <cellStyle name="Comma 24 2 3 2" xfId="7986" xr:uid="{7AEA4B3E-F5BC-4576-8DF4-AB6627B36101}"/>
    <cellStyle name="Comma 24 2 4" xfId="5788" xr:uid="{00000000-0005-0000-0000-00005D0D0000}"/>
    <cellStyle name="Comma 24 2 4 2" xfId="8682" xr:uid="{143CD5C2-48EB-48C4-8D13-42F57D0F192F}"/>
    <cellStyle name="Comma 24 2 5" xfId="6886" xr:uid="{CA367FE5-5632-4636-95AD-FE1E8BF67FA8}"/>
    <cellStyle name="Comma 24 2 5 2" xfId="9527" xr:uid="{FD90E172-26F9-49FE-94EC-702904FAB558}"/>
    <cellStyle name="Comma 24 2 6" xfId="7984" xr:uid="{47196E01-8FFB-4EC4-A5E1-4D9B2F6A28E2}"/>
    <cellStyle name="Comma 24 3" xfId="4307" xr:uid="{00000000-0005-0000-0000-00005E0D0000}"/>
    <cellStyle name="Comma 24 3 2" xfId="4308" xr:uid="{00000000-0005-0000-0000-00005F0D0000}"/>
    <cellStyle name="Comma 24 3 2 2" xfId="7988" xr:uid="{17D11386-0D03-4C9B-96FD-EF8615B3A33F}"/>
    <cellStyle name="Comma 24 3 3" xfId="6157" xr:uid="{00000000-0005-0000-0000-0000600D0000}"/>
    <cellStyle name="Comma 24 3 3 2" xfId="8961" xr:uid="{81D3EAAD-EF95-495F-A414-C64DF758DB1C}"/>
    <cellStyle name="Comma 24 3 4" xfId="7987" xr:uid="{5E4846E7-6EBF-4677-ACBA-AE5218FDB8E6}"/>
    <cellStyle name="Comma 24 4" xfId="4309" xr:uid="{00000000-0005-0000-0000-0000610D0000}"/>
    <cellStyle name="Comma 24 4 2" xfId="7989" xr:uid="{E3FEF328-7286-40E3-A872-0D77325403EB}"/>
    <cellStyle name="Comma 24 5" xfId="5787" xr:uid="{00000000-0005-0000-0000-0000620D0000}"/>
    <cellStyle name="Comma 24 5 2" xfId="8681" xr:uid="{47F2452C-296E-4F4F-BAFB-516884F017CB}"/>
    <cellStyle name="Comma 24 6" xfId="6885" xr:uid="{CCDF1794-13D2-4D21-9430-8143B65E0B6F}"/>
    <cellStyle name="Comma 24 6 2" xfId="9526" xr:uid="{196DE350-9D68-4081-ADB9-0AA9A95B43D9}"/>
    <cellStyle name="Comma 25" xfId="397" xr:uid="{00000000-0005-0000-0000-0000630D0000}"/>
    <cellStyle name="Comma 25 2" xfId="4310" xr:uid="{00000000-0005-0000-0000-0000640D0000}"/>
    <cellStyle name="Comma 25 2 2" xfId="4311" xr:uid="{00000000-0005-0000-0000-0000650D0000}"/>
    <cellStyle name="Comma 25 2 2 2" xfId="6158" xr:uid="{00000000-0005-0000-0000-0000660D0000}"/>
    <cellStyle name="Comma 25 2 2 2 2" xfId="8962" xr:uid="{381E4F7E-9863-40EE-8034-C12223A2839E}"/>
    <cellStyle name="Comma 25 2 3" xfId="5790" xr:uid="{00000000-0005-0000-0000-0000670D0000}"/>
    <cellStyle name="Comma 25 2 3 2" xfId="8684" xr:uid="{171326D4-510E-4A6A-8DE8-3DC0DB74D8C0}"/>
    <cellStyle name="Comma 25 2 4" xfId="6934" xr:uid="{1C69907D-4F40-4FC5-9E29-6C5C6017DEC5}"/>
    <cellStyle name="Comma 25 2 4 2" xfId="9567" xr:uid="{365C61F7-0CD7-49AE-9958-DCA11465ABD8}"/>
    <cellStyle name="Comma 25 2 5" xfId="7990" xr:uid="{49368F28-B6C4-4339-AD71-95E929B48A62}"/>
    <cellStyle name="Comma 25 3" xfId="4312" xr:uid="{00000000-0005-0000-0000-0000680D0000}"/>
    <cellStyle name="Comma 25 3 2" xfId="4313" xr:uid="{00000000-0005-0000-0000-0000690D0000}"/>
    <cellStyle name="Comma 25 3 2 2" xfId="7992" xr:uid="{FD12034B-B12D-4482-A2B8-7F138B9CD441}"/>
    <cellStyle name="Comma 25 3 3" xfId="6159" xr:uid="{00000000-0005-0000-0000-00006A0D0000}"/>
    <cellStyle name="Comma 25 3 3 2" xfId="8963" xr:uid="{B457E88B-A6C4-463A-B304-10A2661FB2F8}"/>
    <cellStyle name="Comma 25 3 4" xfId="7991" xr:uid="{1FCEC345-9BFC-461B-8645-9E17F9082E80}"/>
    <cellStyle name="Comma 25 4" xfId="5789" xr:uid="{00000000-0005-0000-0000-00006B0D0000}"/>
    <cellStyle name="Comma 25 4 2" xfId="8683" xr:uid="{DFFEAAC3-5A48-484D-ABBC-D72BB22C9031}"/>
    <cellStyle name="Comma 25 5" xfId="6931" xr:uid="{CCF35459-6D0D-4354-8CE5-EF9E82FD2638}"/>
    <cellStyle name="Comma 25 5 2" xfId="9565" xr:uid="{023540B8-6E19-4832-8D9C-7212A6280EA1}"/>
    <cellStyle name="Comma 26" xfId="398" xr:uid="{00000000-0005-0000-0000-00006C0D0000}"/>
    <cellStyle name="Comma 26 2" xfId="4314" xr:uid="{00000000-0005-0000-0000-00006D0D0000}"/>
    <cellStyle name="Comma 26 2 2" xfId="4315" xr:uid="{00000000-0005-0000-0000-00006E0D0000}"/>
    <cellStyle name="Comma 26 2 2 2" xfId="6160" xr:uid="{00000000-0005-0000-0000-00006F0D0000}"/>
    <cellStyle name="Comma 26 2 2 2 2" xfId="8964" xr:uid="{456645B3-13F3-4C3D-8FDA-3AD3A52EB79D}"/>
    <cellStyle name="Comma 26 2 2 3" xfId="6939" xr:uid="{D3B3AF85-33F2-43A1-9FAB-04D6ED58C091}"/>
    <cellStyle name="Comma 26 2 2 3 2" xfId="9571" xr:uid="{A80CACFE-89ED-4EF8-975D-A576E41C848D}"/>
    <cellStyle name="Comma 26 2 3" xfId="5792" xr:uid="{00000000-0005-0000-0000-0000700D0000}"/>
    <cellStyle name="Comma 26 2 3 2" xfId="8686" xr:uid="{1E918C9D-73CD-472D-AC6C-C791B2DE3211}"/>
    <cellStyle name="Comma 26 2 4" xfId="6937" xr:uid="{4A031356-1DA6-44B4-938D-D23932DE8669}"/>
    <cellStyle name="Comma 26 2 4 2" xfId="9569" xr:uid="{3A7B22E8-283F-4E09-9AFD-951748EF5AF6}"/>
    <cellStyle name="Comma 26 2 5" xfId="7993" xr:uid="{B32DD89D-A1C2-4279-A106-0FD5A6F97102}"/>
    <cellStyle name="Comma 26 3" xfId="4316" xr:uid="{00000000-0005-0000-0000-0000710D0000}"/>
    <cellStyle name="Comma 26 3 2" xfId="4317" xr:uid="{00000000-0005-0000-0000-0000720D0000}"/>
    <cellStyle name="Comma 26 3 2 2" xfId="7995" xr:uid="{D4243908-D538-4280-A995-FEA4F109C679}"/>
    <cellStyle name="Comma 26 3 3" xfId="6161" xr:uid="{00000000-0005-0000-0000-0000730D0000}"/>
    <cellStyle name="Comma 26 3 3 2" xfId="8965" xr:uid="{F678CADF-A0C1-4699-AACA-31C08ED2EC6E}"/>
    <cellStyle name="Comma 26 3 4" xfId="6510" xr:uid="{B9C60441-B425-473C-ABF2-A046A333AC22}"/>
    <cellStyle name="Comma 26 3 4 2" xfId="9231" xr:uid="{B9434F71-C466-4A06-AC38-B957D8A21715}"/>
    <cellStyle name="Comma 26 3 5" xfId="7994" xr:uid="{FF7ADA94-C5E8-4E0B-9A0E-05FB48E991B7}"/>
    <cellStyle name="Comma 26 4" xfId="5791" xr:uid="{00000000-0005-0000-0000-0000740D0000}"/>
    <cellStyle name="Comma 26 4 2" xfId="8685" xr:uid="{33E9FCA0-F42B-4204-A743-9FA73648C4C7}"/>
    <cellStyle name="Comma 26 5" xfId="6512" xr:uid="{34AF7990-51FD-404E-BE00-D78767BAC581}"/>
    <cellStyle name="Comma 26 5 2" xfId="9232" xr:uid="{A553DD92-513E-4C55-A628-4E9593C3C354}"/>
    <cellStyle name="Comma 27" xfId="399" xr:uid="{00000000-0005-0000-0000-0000750D0000}"/>
    <cellStyle name="Comma 27 2" xfId="4318" xr:uid="{00000000-0005-0000-0000-0000760D0000}"/>
    <cellStyle name="Comma 27 2 2" xfId="4319" xr:uid="{00000000-0005-0000-0000-0000770D0000}"/>
    <cellStyle name="Comma 27 2 2 2" xfId="6162" xr:uid="{00000000-0005-0000-0000-0000780D0000}"/>
    <cellStyle name="Comma 27 2 2 2 2" xfId="8966" xr:uid="{D197FC29-BC7C-4FAB-9B68-775EF68896C8}"/>
    <cellStyle name="Comma 27 2 2 3" xfId="6940" xr:uid="{DD123BC9-DA8E-4DA6-B5F3-1384E22DCE63}"/>
    <cellStyle name="Comma 27 2 2 3 2" xfId="9572" xr:uid="{E756CDB5-9844-40A9-A619-AC6E3B9E24C2}"/>
    <cellStyle name="Comma 27 2 3" xfId="5794" xr:uid="{00000000-0005-0000-0000-0000790D0000}"/>
    <cellStyle name="Comma 27 2 3 2" xfId="8688" xr:uid="{2A3F7EE4-2809-4016-836C-8D0F38D896F4}"/>
    <cellStyle name="Comma 27 2 4" xfId="6710" xr:uid="{32C8FFAA-9293-4CDD-84BF-BDE6356925FE}"/>
    <cellStyle name="Comma 27 2 4 2" xfId="9385" xr:uid="{77BA76F1-6B0E-4680-99ED-1BA3C99551D7}"/>
    <cellStyle name="Comma 27 2 5" xfId="7996" xr:uid="{9A66029E-18E2-4A4C-A8AA-BCF42111BC7E}"/>
    <cellStyle name="Comma 27 3" xfId="4320" xr:uid="{00000000-0005-0000-0000-00007A0D0000}"/>
    <cellStyle name="Comma 27 3 2" xfId="4321" xr:uid="{00000000-0005-0000-0000-00007B0D0000}"/>
    <cellStyle name="Comma 27 3 2 2" xfId="7998" xr:uid="{8B6EA80D-8FBB-469B-BA0D-F04601B8A852}"/>
    <cellStyle name="Comma 27 3 3" xfId="6163" xr:uid="{00000000-0005-0000-0000-00007C0D0000}"/>
    <cellStyle name="Comma 27 3 3 2" xfId="8967" xr:uid="{0D0C9F93-A721-4098-BB4A-BC462B86B058}"/>
    <cellStyle name="Comma 27 3 4" xfId="6688" xr:uid="{26F14661-84C1-468E-BD61-0714E3CB8162}"/>
    <cellStyle name="Comma 27 3 4 2" xfId="9367" xr:uid="{F96BB1E6-E806-40F1-97FF-B770AD49B05E}"/>
    <cellStyle name="Comma 27 3 5" xfId="7997" xr:uid="{99940851-2264-4068-8A8E-D4C6E43922DB}"/>
    <cellStyle name="Comma 27 4" xfId="5793" xr:uid="{00000000-0005-0000-0000-00007D0D0000}"/>
    <cellStyle name="Comma 27 4 2" xfId="8687" xr:uid="{72421518-BE18-416D-92D8-104ACAC05733}"/>
    <cellStyle name="Comma 28" xfId="4322" xr:uid="{00000000-0005-0000-0000-00007E0D0000}"/>
    <cellStyle name="Comma 28 2" xfId="4323" xr:uid="{00000000-0005-0000-0000-00007F0D0000}"/>
    <cellStyle name="Comma 28 2 2" xfId="4324" xr:uid="{00000000-0005-0000-0000-0000800D0000}"/>
    <cellStyle name="Comma 28 2 2 2" xfId="6164" xr:uid="{00000000-0005-0000-0000-0000810D0000}"/>
    <cellStyle name="Comma 28 2 2 2 2" xfId="8968" xr:uid="{70109E8C-D5B8-4699-9090-41FB3D5CD633}"/>
    <cellStyle name="Comma 28 2 3" xfId="5796" xr:uid="{00000000-0005-0000-0000-0000820D0000}"/>
    <cellStyle name="Comma 28 2 3 2" xfId="8690" xr:uid="{9B17F297-AD6A-4E75-9598-7FCCC1616B6A}"/>
    <cellStyle name="Comma 28 2 4" xfId="6718" xr:uid="{EFE1B870-984B-4948-B3EE-E9F4974B4C58}"/>
    <cellStyle name="Comma 28 2 4 2" xfId="9391" xr:uid="{AEFCF790-17D4-4013-8574-E079C2F93C25}"/>
    <cellStyle name="Comma 28 2 5" xfId="8000" xr:uid="{70D869E8-1699-435D-BFE8-B71766F90F0E}"/>
    <cellStyle name="Comma 28 3" xfId="4325" xr:uid="{00000000-0005-0000-0000-0000830D0000}"/>
    <cellStyle name="Comma 28 3 2" xfId="6165" xr:uid="{00000000-0005-0000-0000-0000840D0000}"/>
    <cellStyle name="Comma 28 3 2 2" xfId="8969" xr:uid="{B4B2AFA0-7A76-4690-82C0-00F93C962D1B}"/>
    <cellStyle name="Comma 28 3 3" xfId="8001" xr:uid="{CC15BE4A-E436-49C9-8BB3-35EC665AA765}"/>
    <cellStyle name="Comma 28 4" xfId="5795" xr:uid="{00000000-0005-0000-0000-0000850D0000}"/>
    <cellStyle name="Comma 28 4 2" xfId="8689" xr:uid="{B3380F81-7DF2-4326-9627-0B40E99005AD}"/>
    <cellStyle name="Comma 28 5" xfId="6714" xr:uid="{AFCB0856-63A4-40F8-96AF-379BE95CDFD9}"/>
    <cellStyle name="Comma 28 5 2" xfId="9387" xr:uid="{5D5E1C18-16F7-423E-B592-E51CBF0E8DBF}"/>
    <cellStyle name="Comma 28 6" xfId="7999" xr:uid="{99AF0331-CA3F-41F2-9B1B-2FC8A1FE363D}"/>
    <cellStyle name="Comma 29" xfId="4326" xr:uid="{00000000-0005-0000-0000-0000860D0000}"/>
    <cellStyle name="Comma 29 2" xfId="4327" xr:uid="{00000000-0005-0000-0000-0000870D0000}"/>
    <cellStyle name="Comma 29 2 2" xfId="5798" xr:uid="{00000000-0005-0000-0000-0000880D0000}"/>
    <cellStyle name="Comma 29 2 2 2" xfId="6166" xr:uid="{00000000-0005-0000-0000-0000890D0000}"/>
    <cellStyle name="Comma 29 2 2 2 2" xfId="8970" xr:uid="{4E40435B-88CF-40E7-AFF4-A7231543D1C3}"/>
    <cellStyle name="Comma 29 2 2 3" xfId="8692" xr:uid="{6A9D4FDD-BA22-49B6-B36A-EF8A2BC72F9A}"/>
    <cellStyle name="Comma 29 2 3" xfId="8002" xr:uid="{9DBB2087-8B0B-4F43-8789-A418B33E4731}"/>
    <cellStyle name="Comma 29 3" xfId="4328" xr:uid="{00000000-0005-0000-0000-00008A0D0000}"/>
    <cellStyle name="Comma 29 3 2" xfId="6167" xr:uid="{00000000-0005-0000-0000-00008B0D0000}"/>
    <cellStyle name="Comma 29 3 2 2" xfId="8971" xr:uid="{EFB1B1A3-0FC6-4F6E-AC10-529CF5D8A14A}"/>
    <cellStyle name="Comma 29 4" xfId="4329" xr:uid="{00000000-0005-0000-0000-00008C0D0000}"/>
    <cellStyle name="Comma 29 4 2" xfId="8003" xr:uid="{B58D61DD-6C87-438A-A9F5-2B3A5C1D814B}"/>
    <cellStyle name="Comma 29 5" xfId="5797" xr:uid="{00000000-0005-0000-0000-00008D0D0000}"/>
    <cellStyle name="Comma 29 5 2" xfId="8691" xr:uid="{CBAD816A-8370-47F9-AF96-B637EE0282FC}"/>
    <cellStyle name="Comma 3" xfId="400" xr:uid="{00000000-0005-0000-0000-00008E0D0000}"/>
    <cellStyle name="Comma 3 10" xfId="4330" xr:uid="{00000000-0005-0000-0000-00008F0D0000}"/>
    <cellStyle name="Comma 3 10 2" xfId="4331" xr:uid="{00000000-0005-0000-0000-0000900D0000}"/>
    <cellStyle name="Comma 3 10 2 2" xfId="8004" xr:uid="{3FA23D19-A503-4646-88C5-022E6FB9FDFF}"/>
    <cellStyle name="Comma 3 10 3" xfId="6943" xr:uid="{0A69840A-09CB-4844-8E98-F0BD447316B4}"/>
    <cellStyle name="Comma 3 10 3 2" xfId="9574" xr:uid="{365B470D-6D64-46E9-86FB-29BDBC152CDB}"/>
    <cellStyle name="Comma 3 11" xfId="4332" xr:uid="{00000000-0005-0000-0000-0000910D0000}"/>
    <cellStyle name="Comma 3 11 2" xfId="4333" xr:uid="{00000000-0005-0000-0000-0000920D0000}"/>
    <cellStyle name="Comma 3 11 2 2" xfId="8005" xr:uid="{C356C439-6145-48F9-B62B-3684ECB2A09A}"/>
    <cellStyle name="Comma 3 11 3" xfId="6941" xr:uid="{FFE04771-A7A6-4F03-AE62-4953B48275F8}"/>
    <cellStyle name="Comma 3 11 3 2" xfId="9573" xr:uid="{A43E2433-8B2A-4BDC-BEE7-2653A21F9D68}"/>
    <cellStyle name="Comma 3 12" xfId="4334" xr:uid="{00000000-0005-0000-0000-0000930D0000}"/>
    <cellStyle name="Comma 3 12 2" xfId="4335" xr:uid="{00000000-0005-0000-0000-0000940D0000}"/>
    <cellStyle name="Comma 3 12 2 2" xfId="8007" xr:uid="{531BE59D-2A13-4DD3-A240-61CE7FD84F3C}"/>
    <cellStyle name="Comma 3 12 3" xfId="8006" xr:uid="{D1C7EF23-1DD5-4921-BE96-6158B6AEC702}"/>
    <cellStyle name="Comma 3 13" xfId="4336" xr:uid="{00000000-0005-0000-0000-0000950D0000}"/>
    <cellStyle name="Comma 3 13 2" xfId="4337" xr:uid="{00000000-0005-0000-0000-0000960D0000}"/>
    <cellStyle name="Comma 3 13 2 2" xfId="8009" xr:uid="{7CBDD278-E1A2-493B-AD35-A12A38AF1CE9}"/>
    <cellStyle name="Comma 3 13 3" xfId="8008" xr:uid="{88F14A05-EA18-464F-81CE-691FD4DEDBA9}"/>
    <cellStyle name="Comma 3 14" xfId="4338" xr:uid="{00000000-0005-0000-0000-0000970D0000}"/>
    <cellStyle name="Comma 3 14 2" xfId="4339" xr:uid="{00000000-0005-0000-0000-0000980D0000}"/>
    <cellStyle name="Comma 3 14 2 2" xfId="8011" xr:uid="{706C0646-9129-4CF6-8D1C-5BAA19F8F630}"/>
    <cellStyle name="Comma 3 14 3" xfId="8010" xr:uid="{AFB3D4A9-07BF-492B-885C-D519ED28EA7E}"/>
    <cellStyle name="Comma 3 15" xfId="4340" xr:uid="{00000000-0005-0000-0000-0000990D0000}"/>
    <cellStyle name="Comma 3 15 2" xfId="4341" xr:uid="{00000000-0005-0000-0000-00009A0D0000}"/>
    <cellStyle name="Comma 3 15 2 2" xfId="8013" xr:uid="{6D9F4278-12BC-401D-98EA-66F9AAF6333E}"/>
    <cellStyle name="Comma 3 15 3" xfId="8012" xr:uid="{5CFAF387-EB1F-4DCA-9135-23C3071C6799}"/>
    <cellStyle name="Comma 3 16" xfId="4342" xr:uid="{00000000-0005-0000-0000-00009B0D0000}"/>
    <cellStyle name="Comma 3 16 2" xfId="8014" xr:uid="{7760F574-7819-4ADA-8489-3F9CAA8919C9}"/>
    <cellStyle name="Comma 3 17" xfId="4343" xr:uid="{00000000-0005-0000-0000-00009C0D0000}"/>
    <cellStyle name="Comma 3 17 2" xfId="8015" xr:uid="{C27E5C55-DF65-42A2-AF2B-F5B15F6AF17F}"/>
    <cellStyle name="Comma 3 18" xfId="5799" xr:uid="{00000000-0005-0000-0000-00009D0D0000}"/>
    <cellStyle name="Comma 3 18 2" xfId="8693" xr:uid="{53C6D2F1-52B9-4745-B794-1DF77D96C533}"/>
    <cellStyle name="Comma 3 2" xfId="401" xr:uid="{00000000-0005-0000-0000-00009E0D0000}"/>
    <cellStyle name="Comma 3 2 2" xfId="402" xr:uid="{00000000-0005-0000-0000-00009F0D0000}"/>
    <cellStyle name="Comma 3 2 2 2" xfId="4344" xr:uid="{00000000-0005-0000-0000-0000A00D0000}"/>
    <cellStyle name="Comma 3 2 2 2 2" xfId="6944" xr:uid="{6342C05B-E39A-415C-B4B5-8FB645E3870F}"/>
    <cellStyle name="Comma 3 2 2 2 2 2" xfId="9575" xr:uid="{0460242A-8AF6-42B4-BEA9-B81ECA57F556}"/>
    <cellStyle name="Comma 3 2 2 2 3" xfId="8016" xr:uid="{395F5A6E-1AA6-4D51-A79A-F159028E2B59}"/>
    <cellStyle name="Comma 3 2 2 3" xfId="6168" xr:uid="{00000000-0005-0000-0000-0000A10D0000}"/>
    <cellStyle name="Comma 3 2 2 3 2" xfId="8972" xr:uid="{B94B9D78-B9B1-4894-B746-8A4A2705A674}"/>
    <cellStyle name="Comma 3 2 3" xfId="5800" xr:uid="{00000000-0005-0000-0000-0000A20D0000}"/>
    <cellStyle name="Comma 3 2 3 2" xfId="6946" xr:uid="{F9B46099-E1BB-48E6-A5FF-C9F1BF8544D1}"/>
    <cellStyle name="Comma 3 2 3 2 2" xfId="9577" xr:uid="{77EE66DE-8660-44C1-9DE6-C0296949F10F}"/>
    <cellStyle name="Comma 3 2 3 3" xfId="6945" xr:uid="{305E83AD-C63C-4E74-B6E4-B673CE7734BF}"/>
    <cellStyle name="Comma 3 2 3 3 2" xfId="9576" xr:uid="{10043469-88AC-4536-9F97-B5FFAD57CB0F}"/>
    <cellStyle name="Comma 3 2 3 4" xfId="8694" xr:uid="{6503C3D5-377D-4E6C-B759-7A31A4F8E030}"/>
    <cellStyle name="Comma 3 2 4" xfId="6947" xr:uid="{6B9FF183-7C3A-4D30-A3C0-8DA3083A1B9C}"/>
    <cellStyle name="Comma 3 2 4 2" xfId="9578" xr:uid="{29EE1130-9C28-4AA4-94C7-CC7672F77C5A}"/>
    <cellStyle name="Comma 3 3" xfId="403" xr:uid="{00000000-0005-0000-0000-0000A30D0000}"/>
    <cellStyle name="Comma 3 3 2" xfId="404" xr:uid="{00000000-0005-0000-0000-0000A40D0000}"/>
    <cellStyle name="Comma 3 3 2 2" xfId="1855" xr:uid="{00000000-0005-0000-0000-0000A50D0000}"/>
    <cellStyle name="Comma 3 3 2 2 2" xfId="1856" xr:uid="{00000000-0005-0000-0000-0000A60D0000}"/>
    <cellStyle name="Comma 3 3 2 2 2 2" xfId="7465" xr:uid="{5EC6C5B8-3E5E-476E-A182-85B04F6B0A94}"/>
    <cellStyle name="Comma 3 3 2 2 3" xfId="7464" xr:uid="{BDF8B948-391F-440C-85F5-3E87457D2885}"/>
    <cellStyle name="Comma 3 3 2 3" xfId="1857" xr:uid="{00000000-0005-0000-0000-0000A70D0000}"/>
    <cellStyle name="Comma 3 3 2 3 2" xfId="7466" xr:uid="{6EF02F52-957A-459B-A21D-CB38788F3614}"/>
    <cellStyle name="Comma 3 3 2 4" xfId="6169" xr:uid="{00000000-0005-0000-0000-0000A80D0000}"/>
    <cellStyle name="Comma 3 3 2 4 2" xfId="8973" xr:uid="{A4A5AD92-C452-48B2-8CDE-7B12B91F670D}"/>
    <cellStyle name="Comma 3 3 3" xfId="1858" xr:uid="{00000000-0005-0000-0000-0000A90D0000}"/>
    <cellStyle name="Comma 3 3 3 2" xfId="1859" xr:uid="{00000000-0005-0000-0000-0000AA0D0000}"/>
    <cellStyle name="Comma 3 3 3 2 2" xfId="7468" xr:uid="{8A5CD1AD-8F13-4EE2-BED3-D2FF003810A6}"/>
    <cellStyle name="Comma 3 3 3 3" xfId="1860" xr:uid="{00000000-0005-0000-0000-0000AB0D0000}"/>
    <cellStyle name="Comma 3 3 3 3 2" xfId="7469" xr:uid="{323EDA14-7F1C-4AC0-9BDB-7BECEADC52E5}"/>
    <cellStyle name="Comma 3 3 3 4" xfId="7467" xr:uid="{41C7D614-C9AD-4495-A1C9-4CB2303D85DF}"/>
    <cellStyle name="Comma 3 3 4" xfId="4345" xr:uid="{00000000-0005-0000-0000-0000AC0D0000}"/>
    <cellStyle name="Comma 3 3 4 2" xfId="8017" xr:uid="{AA4BC17E-6D1E-4A60-995C-95ED59EE2DEB}"/>
    <cellStyle name="Comma 3 3 5" xfId="5801" xr:uid="{00000000-0005-0000-0000-0000AD0D0000}"/>
    <cellStyle name="Comma 3 3 5 2" xfId="8695" xr:uid="{22C1D078-B09F-4C89-9AE3-4AF777D0B22B}"/>
    <cellStyle name="Comma 3 4" xfId="405" xr:uid="{00000000-0005-0000-0000-0000AE0D0000}"/>
    <cellStyle name="Comma 3 4 2" xfId="4346" xr:uid="{00000000-0005-0000-0000-0000AF0D0000}"/>
    <cellStyle name="Comma 3 4 2 2" xfId="6170" xr:uid="{00000000-0005-0000-0000-0000B00D0000}"/>
    <cellStyle name="Comma 3 4 2 2 2" xfId="8974" xr:uid="{22B2980E-0E60-43FA-AF6A-EFFE75CACB8D}"/>
    <cellStyle name="Comma 3 4 2 3" xfId="6583" xr:uid="{346A9258-B1F6-4B57-9922-49FC29085C25}"/>
    <cellStyle name="Comma 3 4 2 3 2" xfId="9269" xr:uid="{C13F3098-B3BC-4B73-BB9F-CB9694345156}"/>
    <cellStyle name="Comma 3 4 3" xfId="4347" xr:uid="{00000000-0005-0000-0000-0000B10D0000}"/>
    <cellStyle name="Comma 3 4 3 2" xfId="8018" xr:uid="{E964EE78-31F6-44A7-82E2-8D02B1F27DB3}"/>
    <cellStyle name="Comma 3 4 4" xfId="5802" xr:uid="{00000000-0005-0000-0000-0000B20D0000}"/>
    <cellStyle name="Comma 3 4 4 2" xfId="8696" xr:uid="{06B08CC9-1BD6-4E6E-A82F-60E890D8CE7B}"/>
    <cellStyle name="Comma 3 4 5" xfId="6949" xr:uid="{C5BF129D-E142-4F0D-9C95-356C9BEDDC02}"/>
    <cellStyle name="Comma 3 4 5 2" xfId="9579" xr:uid="{96BADAAD-C79E-43A6-9BC8-0E02DDD4A225}"/>
    <cellStyle name="Comma 3 5" xfId="406" xr:uid="{00000000-0005-0000-0000-0000B30D0000}"/>
    <cellStyle name="Comma 3 5 2" xfId="4348" xr:uid="{00000000-0005-0000-0000-0000B40D0000}"/>
    <cellStyle name="Comma 3 5 2 2" xfId="6655" xr:uid="{4D9B1B54-3029-4C76-8F12-3B32233C58C8}"/>
    <cellStyle name="Comma 3 5 2 2 2" xfId="9339" xr:uid="{739FAAD3-6D99-4DCD-8BB0-ED2CE42666B6}"/>
    <cellStyle name="Comma 3 5 3" xfId="4349" xr:uid="{00000000-0005-0000-0000-0000B50D0000}"/>
    <cellStyle name="Comma 3 5 3 2" xfId="8019" xr:uid="{1412C702-27CD-4910-8A9C-0E22F8DB8E3D}"/>
    <cellStyle name="Comma 3 5 4" xfId="6171" xr:uid="{00000000-0005-0000-0000-0000B60D0000}"/>
    <cellStyle name="Comma 3 5 4 2" xfId="8975" xr:uid="{9B186CF4-EA5E-4A1F-BC5A-5326FA969E71}"/>
    <cellStyle name="Comma 3 5 5" xfId="6653" xr:uid="{5C9190E1-8FAC-40A0-A195-B0066AA9C6A4}"/>
    <cellStyle name="Comma 3 5 5 2" xfId="9337" xr:uid="{79448D95-2CB9-4068-8232-06ADF974549E}"/>
    <cellStyle name="Comma 3 5 6" xfId="7283" xr:uid="{8A827418-1C45-43D5-BF0E-1D894D3D11DA}"/>
    <cellStyle name="Comma 3 6" xfId="407" xr:uid="{00000000-0005-0000-0000-0000B70D0000}"/>
    <cellStyle name="Comma 3 6 2" xfId="4350" xr:uid="{00000000-0005-0000-0000-0000B80D0000}"/>
    <cellStyle name="Comma 3 6 2 2" xfId="6950" xr:uid="{D81C1BFA-C8EA-4C92-A3E5-E04A77CDE235}"/>
    <cellStyle name="Comma 3 6 2 2 2" xfId="9580" xr:uid="{DE76BFC1-A57E-4576-A685-DC36104055FB}"/>
    <cellStyle name="Comma 3 6 3" xfId="6563" xr:uid="{3646818D-C16C-4599-86E3-3B76036A4304}"/>
    <cellStyle name="Comma 3 6 3 2" xfId="9255" xr:uid="{DB1A11C0-F5C0-42FC-A96C-34D808A12C08}"/>
    <cellStyle name="Comma 3 6 4" xfId="7284" xr:uid="{BAFABCE8-CA25-478C-AA66-E3DD1C0C8DE6}"/>
    <cellStyle name="Comma 3 7" xfId="408" xr:uid="{00000000-0005-0000-0000-0000B90D0000}"/>
    <cellStyle name="Comma 3 7 2" xfId="4351" xr:uid="{00000000-0005-0000-0000-0000BA0D0000}"/>
    <cellStyle name="Comma 3 7 2 2" xfId="6952" xr:uid="{DDB96F76-C8AF-47CA-9521-342A4E4D874B}"/>
    <cellStyle name="Comma 3 7 2 2 2" xfId="9582" xr:uid="{B0328719-0669-4107-B6BF-35DD57725B79}"/>
    <cellStyle name="Comma 3 7 3" xfId="6951" xr:uid="{8846574D-7E63-4FFD-A160-E1D171019336}"/>
    <cellStyle name="Comma 3 7 3 2" xfId="9581" xr:uid="{0A52C21F-D49B-4344-8878-BD851A9FDCDE}"/>
    <cellStyle name="Comma 3 7 4" xfId="7285" xr:uid="{764E39EA-C2CF-45A8-B9A5-DD350BE00085}"/>
    <cellStyle name="Comma 3 8" xfId="4352" xr:uid="{00000000-0005-0000-0000-0000BB0D0000}"/>
    <cellStyle name="Comma 3 8 2" xfId="4353" xr:uid="{00000000-0005-0000-0000-0000BC0D0000}"/>
    <cellStyle name="Comma 3 8 2 2" xfId="8022" xr:uid="{EC730A73-B3E7-4205-BC68-11096AB0D199}"/>
    <cellStyle name="Comma 3 9" xfId="4354" xr:uid="{00000000-0005-0000-0000-0000BD0D0000}"/>
    <cellStyle name="Comma 3 9 2" xfId="4355" xr:uid="{00000000-0005-0000-0000-0000BE0D0000}"/>
    <cellStyle name="Comma 3 9 2 2" xfId="6953" xr:uid="{30935BB1-97DA-4530-8E86-1981E90A839B}"/>
    <cellStyle name="Comma 3 9 2 2 2" xfId="9583" xr:uid="{CCCA74E1-D67D-4523-8A3A-FFD7DCF60ECB}"/>
    <cellStyle name="Comma 3 9 2 3" xfId="8024" xr:uid="{906F7E63-C1BE-4167-9B56-445321DE6471}"/>
    <cellStyle name="Comma 3 9 3" xfId="6833" xr:uid="{E84F4B32-A2C3-4D45-8F52-CCD70E7D59ED}"/>
    <cellStyle name="Comma 3 9 3 2" xfId="9484" xr:uid="{186EB2C6-DFC0-4927-93C5-7D5D3059241B}"/>
    <cellStyle name="Comma 3 9 4" xfId="8023" xr:uid="{56E312EC-120D-480C-BB87-6529E9C84E94}"/>
    <cellStyle name="Comma 3_CV. JAGO ( SR4 &amp; SR7)" xfId="4356" xr:uid="{00000000-0005-0000-0000-0000BF0D0000}"/>
    <cellStyle name="Comma 30" xfId="4357" xr:uid="{00000000-0005-0000-0000-0000C00D0000}"/>
    <cellStyle name="Comma 30 2" xfId="4358" xr:uid="{00000000-0005-0000-0000-0000C10D0000}"/>
    <cellStyle name="Comma 30 2 2" xfId="5804" xr:uid="{00000000-0005-0000-0000-0000C20D0000}"/>
    <cellStyle name="Comma 30 2 2 2" xfId="6172" xr:uid="{00000000-0005-0000-0000-0000C30D0000}"/>
    <cellStyle name="Comma 30 2 2 2 2" xfId="8976" xr:uid="{91A19815-7B54-4DCD-8CCB-CE4D5C81D08B}"/>
    <cellStyle name="Comma 30 2 2 3" xfId="8698" xr:uid="{3351C602-4325-4F92-8823-8F788E3F19D2}"/>
    <cellStyle name="Comma 30 2 3" xfId="6935" xr:uid="{BCBB2C92-388C-4582-B70C-2139284421F5}"/>
    <cellStyle name="Comma 30 2 3 2" xfId="9568" xr:uid="{34B23611-F328-4664-BE90-A6F72F764929}"/>
    <cellStyle name="Comma 30 2 4" xfId="8026" xr:uid="{7BB9CA73-9048-4742-98D7-31B674A8C043}"/>
    <cellStyle name="Comma 30 3" xfId="4359" xr:uid="{00000000-0005-0000-0000-0000C40D0000}"/>
    <cellStyle name="Comma 30 3 2" xfId="6173" xr:uid="{00000000-0005-0000-0000-0000C50D0000}"/>
    <cellStyle name="Comma 30 3 2 2" xfId="8977" xr:uid="{DAD1BD7C-7324-41DB-87EE-D4E1F1E8F585}"/>
    <cellStyle name="Comma 30 3 3" xfId="8027" xr:uid="{C741D489-F313-4AC0-A549-EBD50103C342}"/>
    <cellStyle name="Comma 30 4" xfId="4360" xr:uid="{00000000-0005-0000-0000-0000C60D0000}"/>
    <cellStyle name="Comma 30 4 2" xfId="8028" xr:uid="{B08E6ABB-1716-4FFD-B0F2-6D52ED10A6B7}"/>
    <cellStyle name="Comma 30 5" xfId="5803" xr:uid="{00000000-0005-0000-0000-0000C70D0000}"/>
    <cellStyle name="Comma 30 5 2" xfId="8697" xr:uid="{23B14038-9FE5-4010-A594-286E1F32D68C}"/>
    <cellStyle name="Comma 30 6" xfId="6932" xr:uid="{131D6D26-9126-47B0-8D89-7CE74742ACAA}"/>
    <cellStyle name="Comma 30 6 2" xfId="9566" xr:uid="{792B826D-1A61-461B-9A01-68011C125C7E}"/>
    <cellStyle name="Comma 30 7" xfId="8025" xr:uid="{3733A3D4-BB75-4713-8A5A-7B6890EAFBB5}"/>
    <cellStyle name="Comma 31" xfId="4361" xr:uid="{00000000-0005-0000-0000-0000C80D0000}"/>
    <cellStyle name="Comma 31 2" xfId="4362" xr:uid="{00000000-0005-0000-0000-0000C90D0000}"/>
    <cellStyle name="Comma 31 2 2" xfId="5806" xr:uid="{00000000-0005-0000-0000-0000CA0D0000}"/>
    <cellStyle name="Comma 31 2 2 2" xfId="6174" xr:uid="{00000000-0005-0000-0000-0000CB0D0000}"/>
    <cellStyle name="Comma 31 2 2 2 2" xfId="8978" xr:uid="{1E5D86A5-1A1E-44EA-8E3F-F9493FD48ACF}"/>
    <cellStyle name="Comma 31 2 2 3" xfId="8700" xr:uid="{8112A00D-0029-4779-9B87-A4CD5926C5F0}"/>
    <cellStyle name="Comma 31 2 3" xfId="6938" xr:uid="{E5A3F6E1-6BC9-413C-873D-6CDC32769854}"/>
    <cellStyle name="Comma 31 2 3 2" xfId="9570" xr:uid="{665A9100-B6DB-4823-B4B7-6E0F5707EDA9}"/>
    <cellStyle name="Comma 31 2 4" xfId="8030" xr:uid="{4434D00E-CD5D-4937-B999-5F5903287BE6}"/>
    <cellStyle name="Comma 31 3" xfId="4363" xr:uid="{00000000-0005-0000-0000-0000CC0D0000}"/>
    <cellStyle name="Comma 31 3 2" xfId="6175" xr:uid="{00000000-0005-0000-0000-0000CD0D0000}"/>
    <cellStyle name="Comma 31 3 2 2" xfId="8979" xr:uid="{931D5E4E-17BF-4D4D-930B-5BE175211C56}"/>
    <cellStyle name="Comma 31 3 3" xfId="8031" xr:uid="{C73CEA38-021F-4EDD-AEAE-BDFE724F1050}"/>
    <cellStyle name="Comma 31 4" xfId="5805" xr:uid="{00000000-0005-0000-0000-0000CE0D0000}"/>
    <cellStyle name="Comma 31 4 2" xfId="8699" xr:uid="{808AE9D5-0E24-4BD3-A508-2EDE2E834797}"/>
    <cellStyle name="Comma 31 5" xfId="6514" xr:uid="{AD2AB2E4-2EC0-4A6C-B9CF-F5F5C54DDABC}"/>
    <cellStyle name="Comma 31 5 2" xfId="9233" xr:uid="{5FFB8E63-ED18-4CAE-A958-B63C6F8D9568}"/>
    <cellStyle name="Comma 32" xfId="4364" xr:uid="{00000000-0005-0000-0000-0000CF0D0000}"/>
    <cellStyle name="Comma 32 2" xfId="4365" xr:uid="{00000000-0005-0000-0000-0000D00D0000}"/>
    <cellStyle name="Comma 32 2 2" xfId="5808" xr:uid="{00000000-0005-0000-0000-0000D10D0000}"/>
    <cellStyle name="Comma 32 2 2 2" xfId="6176" xr:uid="{00000000-0005-0000-0000-0000D20D0000}"/>
    <cellStyle name="Comma 32 2 2 2 2" xfId="8980" xr:uid="{EC0D8717-FA11-41FC-951B-9486BA365A14}"/>
    <cellStyle name="Comma 32 2 2 3" xfId="8702" xr:uid="{26A4B41F-21CD-4151-B61D-A1FBBDF143ED}"/>
    <cellStyle name="Comma 32 2 3" xfId="6711" xr:uid="{F908648A-795D-4BF5-9302-E67FF6ADEAC3}"/>
    <cellStyle name="Comma 32 2 3 2" xfId="9386" xr:uid="{CEEB1FE1-BA65-46A6-A247-CD59202A69A2}"/>
    <cellStyle name="Comma 32 2 4" xfId="8033" xr:uid="{1B7DE7DB-C28E-4E99-BE0E-76647B33F527}"/>
    <cellStyle name="Comma 32 3" xfId="4366" xr:uid="{00000000-0005-0000-0000-0000D30D0000}"/>
    <cellStyle name="Comma 32 3 2" xfId="6177" xr:uid="{00000000-0005-0000-0000-0000D40D0000}"/>
    <cellStyle name="Comma 32 3 2 2" xfId="8981" xr:uid="{45882CCE-E278-4E60-90F2-D863E0205DA1}"/>
    <cellStyle name="Comma 32 3 3" xfId="8034" xr:uid="{801A2AD5-59A2-47E4-B556-9D313F8FB8ED}"/>
    <cellStyle name="Comma 32 4" xfId="5807" xr:uid="{00000000-0005-0000-0000-0000D50D0000}"/>
    <cellStyle name="Comma 32 4 2" xfId="8701" xr:uid="{6563ABE0-F733-4564-B818-77807AA723E0}"/>
    <cellStyle name="Comma 32 5" xfId="6709" xr:uid="{4CBD24D7-2999-48D1-BFE2-6465857D980E}"/>
    <cellStyle name="Comma 32 5 2" xfId="9384" xr:uid="{2E817A8D-6311-4F6C-8082-278761FCE581}"/>
    <cellStyle name="Comma 32 6" xfId="8032" xr:uid="{74B85318-E97F-4B72-A7B3-C23EA86147DD}"/>
    <cellStyle name="Comma 33" xfId="4367" xr:uid="{00000000-0005-0000-0000-0000D60D0000}"/>
    <cellStyle name="Comma 33 2" xfId="4368" xr:uid="{00000000-0005-0000-0000-0000D70D0000}"/>
    <cellStyle name="Comma 33 2 2" xfId="5810" xr:uid="{00000000-0005-0000-0000-0000D80D0000}"/>
    <cellStyle name="Comma 33 2 2 2" xfId="6178" xr:uid="{00000000-0005-0000-0000-0000D90D0000}"/>
    <cellStyle name="Comma 33 2 2 2 2" xfId="8982" xr:uid="{57F8D233-A53C-4B56-A1B9-F0366EEB27EE}"/>
    <cellStyle name="Comma 33 2 2 3" xfId="8704" xr:uid="{5C81BC20-618D-44E4-A413-449715F52A86}"/>
    <cellStyle name="Comma 33 2 3" xfId="6719" xr:uid="{200B25BF-1ED4-459E-A76B-67D158BD601B}"/>
    <cellStyle name="Comma 33 2 3 2" xfId="9392" xr:uid="{A6143556-AFA9-4AA1-89FE-C235FDE703D4}"/>
    <cellStyle name="Comma 33 2 4" xfId="8036" xr:uid="{F634E363-1731-44AC-A2F8-4CE3D9C78DD7}"/>
    <cellStyle name="Comma 33 3" xfId="4369" xr:uid="{00000000-0005-0000-0000-0000DA0D0000}"/>
    <cellStyle name="Comma 33 3 2" xfId="6179" xr:uid="{00000000-0005-0000-0000-0000DB0D0000}"/>
    <cellStyle name="Comma 33 3 2 2" xfId="8983" xr:uid="{CDA997F2-C438-42B8-91AE-6330CCE28324}"/>
    <cellStyle name="Comma 33 3 3" xfId="8037" xr:uid="{05A94500-825D-455A-B5CD-217B96DD2FDE}"/>
    <cellStyle name="Comma 33 4" xfId="5809" xr:uid="{00000000-0005-0000-0000-0000DC0D0000}"/>
    <cellStyle name="Comma 33 4 2" xfId="8703" xr:uid="{0876D9CD-FE31-41A3-9F5A-61D0FCC7E5B5}"/>
    <cellStyle name="Comma 33 5" xfId="6715" xr:uid="{7B3E3971-4A9F-4749-A199-39007A38BA55}"/>
    <cellStyle name="Comma 33 5 2" xfId="9388" xr:uid="{0FBA1EEA-04A0-4DE2-BE81-2C8B20F5819B}"/>
    <cellStyle name="Comma 33 6" xfId="8035" xr:uid="{F3CF58F0-37A7-4BDF-85FB-1002B25D96C2}"/>
    <cellStyle name="Comma 34" xfId="409" xr:uid="{00000000-0005-0000-0000-0000DD0D0000}"/>
    <cellStyle name="Comma 34 2" xfId="4370" xr:uid="{00000000-0005-0000-0000-0000DE0D0000}"/>
    <cellStyle name="Comma 34 2 2" xfId="4371" xr:uid="{00000000-0005-0000-0000-0000DF0D0000}"/>
    <cellStyle name="Comma 34 2 2 2" xfId="6180" xr:uid="{00000000-0005-0000-0000-0000E00D0000}"/>
    <cellStyle name="Comma 34 2 2 2 2" xfId="8984" xr:uid="{0052FEC1-E7C2-412A-B355-16DD420EC67A}"/>
    <cellStyle name="Comma 34 2 3" xfId="5812" xr:uid="{00000000-0005-0000-0000-0000E10D0000}"/>
    <cellStyle name="Comma 34 2 3 2" xfId="8706" xr:uid="{02F1123E-8A34-47F3-9F0F-90579F1C7618}"/>
    <cellStyle name="Comma 34 2 4" xfId="6727" xr:uid="{BAE00612-55C7-475D-B256-9A15902FF356}"/>
    <cellStyle name="Comma 34 2 4 2" xfId="9397" xr:uid="{82B84ABA-555A-418D-8F6A-6C8FC12B5939}"/>
    <cellStyle name="Comma 34 2 5" xfId="8038" xr:uid="{CE1A7BFB-4B32-4EBB-94DB-0B92FF2E18E1}"/>
    <cellStyle name="Comma 34 3" xfId="4372" xr:uid="{00000000-0005-0000-0000-0000E20D0000}"/>
    <cellStyle name="Comma 34 3 2" xfId="6181" xr:uid="{00000000-0005-0000-0000-0000E30D0000}"/>
    <cellStyle name="Comma 34 3 2 2" xfId="8985" xr:uid="{4D42560A-D0E9-43DC-8C6D-47F67219AE69}"/>
    <cellStyle name="Comma 34 3 3" xfId="8040" xr:uid="{5ED947FA-FF11-494F-A94A-FC45852E34C4}"/>
    <cellStyle name="Comma 34 4" xfId="4373" xr:uid="{00000000-0005-0000-0000-0000E40D0000}"/>
    <cellStyle name="Comma 34 4 2" xfId="8041" xr:uid="{8A8A812E-65FD-4689-9720-5F4564CDE3C6}"/>
    <cellStyle name="Comma 34 5" xfId="5811" xr:uid="{00000000-0005-0000-0000-0000E50D0000}"/>
    <cellStyle name="Comma 34 5 2" xfId="8705" xr:uid="{C4EF1183-71DA-417F-950B-820FEBDBEE0A}"/>
    <cellStyle name="Comma 34 6" xfId="6724" xr:uid="{86598B37-CF1A-411A-A8C0-6DCCCC6F89CE}"/>
    <cellStyle name="Comma 34 6 2" xfId="9394" xr:uid="{0907457F-A5D6-4822-AF9D-16898436C640}"/>
    <cellStyle name="Comma 34 7" xfId="7286" xr:uid="{AD33BE3C-87A1-4A1B-8F56-9810576B5C5B}"/>
    <cellStyle name="Comma 35" xfId="4374" xr:uid="{00000000-0005-0000-0000-0000E60D0000}"/>
    <cellStyle name="Comma 35 2" xfId="4375" xr:uid="{00000000-0005-0000-0000-0000E70D0000}"/>
    <cellStyle name="Comma 35 2 2" xfId="5814" xr:uid="{00000000-0005-0000-0000-0000E80D0000}"/>
    <cellStyle name="Comma 35 2 2 2" xfId="6182" xr:uid="{00000000-0005-0000-0000-0000E90D0000}"/>
    <cellStyle name="Comma 35 2 2 2 2" xfId="8986" xr:uid="{D6DECDB3-4C1D-4E47-A007-3D45F8BB4627}"/>
    <cellStyle name="Comma 35 2 2 3" xfId="8708" xr:uid="{8DAE6DAD-753C-42D8-A0FE-2CBC92E34689}"/>
    <cellStyle name="Comma 35 2 3" xfId="6735" xr:uid="{10B158E8-A1C2-495F-B305-969A843A755E}"/>
    <cellStyle name="Comma 35 2 3 2" xfId="9402" xr:uid="{96B03544-42A4-4AE8-922E-E89D83A76368}"/>
    <cellStyle name="Comma 35 2 4" xfId="8043" xr:uid="{313CE9FF-70A9-4AD5-A86A-BC9BF1713C2C}"/>
    <cellStyle name="Comma 35 3" xfId="4376" xr:uid="{00000000-0005-0000-0000-0000EA0D0000}"/>
    <cellStyle name="Comma 35 3 2" xfId="6183" xr:uid="{00000000-0005-0000-0000-0000EB0D0000}"/>
    <cellStyle name="Comma 35 3 2 2" xfId="8987" xr:uid="{A4745349-F6A6-413E-80BD-81E21A162EE8}"/>
    <cellStyle name="Comma 35 3 3" xfId="8044" xr:uid="{82C7AADA-7E33-48BA-81DA-48E6C5F33FAE}"/>
    <cellStyle name="Comma 35 4" xfId="5813" xr:uid="{00000000-0005-0000-0000-0000EC0D0000}"/>
    <cellStyle name="Comma 35 4 2" xfId="8707" xr:uid="{1A16D749-0F2D-494F-9E42-B426B031DA01}"/>
    <cellStyle name="Comma 35 5" xfId="6732" xr:uid="{005491D2-CA79-4E19-9AAD-B9C3168E54A1}"/>
    <cellStyle name="Comma 35 5 2" xfId="9399" xr:uid="{1C50862A-3833-4BF3-9EA4-4244FD205480}"/>
    <cellStyle name="Comma 35 6" xfId="8042" xr:uid="{47DCCC87-9C5A-435A-8A57-20569D64D448}"/>
    <cellStyle name="Comma 36" xfId="410" xr:uid="{00000000-0005-0000-0000-0000ED0D0000}"/>
    <cellStyle name="Comma 36 2" xfId="4377" xr:uid="{00000000-0005-0000-0000-0000EE0D0000}"/>
    <cellStyle name="Comma 36 2 2" xfId="4378" xr:uid="{00000000-0005-0000-0000-0000EF0D0000}"/>
    <cellStyle name="Comma 36 2 2 2" xfId="6184" xr:uid="{00000000-0005-0000-0000-0000F00D0000}"/>
    <cellStyle name="Comma 36 2 2 2 2" xfId="8988" xr:uid="{D296A639-BC25-40C3-BB31-5869992FDF38}"/>
    <cellStyle name="Comma 36 2 3" xfId="5816" xr:uid="{00000000-0005-0000-0000-0000F10D0000}"/>
    <cellStyle name="Comma 36 2 3 2" xfId="8710" xr:uid="{9D0DFA91-1EA6-4B18-B667-96085F976A49}"/>
    <cellStyle name="Comma 36 2 4" xfId="6742" xr:uid="{932D8BB5-868B-401A-A674-615BDAAE1ACF}"/>
    <cellStyle name="Comma 36 2 4 2" xfId="9407" xr:uid="{3F759A57-0CD0-4682-B1E3-99AF6FBF58A8}"/>
    <cellStyle name="Comma 36 2 5" xfId="8045" xr:uid="{6665D2DC-F6C6-475F-B5D9-054703D0A251}"/>
    <cellStyle name="Comma 36 3" xfId="4379" xr:uid="{00000000-0005-0000-0000-0000F20D0000}"/>
    <cellStyle name="Comma 36 3 2" xfId="6185" xr:uid="{00000000-0005-0000-0000-0000F30D0000}"/>
    <cellStyle name="Comma 36 3 2 2" xfId="8989" xr:uid="{5AAEB422-7DD6-40AE-90CB-2E29504CEC43}"/>
    <cellStyle name="Comma 36 3 3" xfId="8046" xr:uid="{70457764-5BE4-4240-8176-13EE6B3E1AA7}"/>
    <cellStyle name="Comma 36 4" xfId="4380" xr:uid="{00000000-0005-0000-0000-0000F40D0000}"/>
    <cellStyle name="Comma 36 4 2" xfId="8047" xr:uid="{E5DEE009-D5CD-4447-87DB-A9C84E3F3757}"/>
    <cellStyle name="Comma 36 5" xfId="5815" xr:uid="{00000000-0005-0000-0000-0000F50D0000}"/>
    <cellStyle name="Comma 36 5 2" xfId="8709" xr:uid="{AB226990-00ED-45AE-AEC7-3B15826E72FF}"/>
    <cellStyle name="Comma 36 6" xfId="6740" xr:uid="{D49C6B01-CD08-4CB1-94ED-2FDEE1182042}"/>
    <cellStyle name="Comma 36 6 2" xfId="9405" xr:uid="{AC7AB2BA-A839-4971-A9D3-BE9CE61C9072}"/>
    <cellStyle name="Comma 36 7" xfId="7287" xr:uid="{89AAA244-6EA2-4CD5-9889-A9E84A52818E}"/>
    <cellStyle name="Comma 37" xfId="411" xr:uid="{00000000-0005-0000-0000-0000F60D0000}"/>
    <cellStyle name="Comma 37 2" xfId="4381" xr:uid="{00000000-0005-0000-0000-0000F70D0000}"/>
    <cellStyle name="Comma 37 2 2" xfId="4382" xr:uid="{00000000-0005-0000-0000-0000F80D0000}"/>
    <cellStyle name="Comma 37 2 2 2" xfId="6186" xr:uid="{00000000-0005-0000-0000-0000F90D0000}"/>
    <cellStyle name="Comma 37 2 2 2 2" xfId="8990" xr:uid="{8518AC79-7BDF-4335-BA50-B7864C2B18CC}"/>
    <cellStyle name="Comma 37 2 3" xfId="5818" xr:uid="{00000000-0005-0000-0000-0000FA0D0000}"/>
    <cellStyle name="Comma 37 2 3 2" xfId="8712" xr:uid="{145C8533-0EDA-4E9A-B0DC-8128BA6807EC}"/>
    <cellStyle name="Comma 37 2 4" xfId="6748" xr:uid="{D6E34CDC-EB2E-49DE-8FB2-8666017F3E15}"/>
    <cellStyle name="Comma 37 2 4 2" xfId="9411" xr:uid="{B17C672C-1445-46F9-8562-AACAB2A68BDE}"/>
    <cellStyle name="Comma 37 2 5" xfId="8048" xr:uid="{B85CB5A4-CED5-4B7C-8430-4E2EBC71D08D}"/>
    <cellStyle name="Comma 37 3" xfId="4383" xr:uid="{00000000-0005-0000-0000-0000FB0D0000}"/>
    <cellStyle name="Comma 37 3 2" xfId="6187" xr:uid="{00000000-0005-0000-0000-0000FC0D0000}"/>
    <cellStyle name="Comma 37 3 2 2" xfId="8991" xr:uid="{EA8035A3-BB65-460E-B187-C3B816BFC70A}"/>
    <cellStyle name="Comma 37 3 3" xfId="8050" xr:uid="{653D06D0-E70A-4F67-B8E1-475D2B09AE05}"/>
    <cellStyle name="Comma 37 4" xfId="4384" xr:uid="{00000000-0005-0000-0000-0000FD0D0000}"/>
    <cellStyle name="Comma 37 4 2" xfId="8051" xr:uid="{C1730F28-858B-4EDE-A695-5906E9365187}"/>
    <cellStyle name="Comma 37 5" xfId="4385" xr:uid="{00000000-0005-0000-0000-0000FE0D0000}"/>
    <cellStyle name="Comma 37 5 2" xfId="8052" xr:uid="{D8D61272-4F34-433E-97E2-94C6C3D301DD}"/>
    <cellStyle name="Comma 37 6" xfId="5817" xr:uid="{00000000-0005-0000-0000-0000FF0D0000}"/>
    <cellStyle name="Comma 37 6 2" xfId="8711" xr:uid="{AB2CEF02-A1BB-44B0-B06E-63C382AE7BCA}"/>
    <cellStyle name="Comma 37 7" xfId="6746" xr:uid="{5BB884D0-F6F0-4EBE-BC3A-FB96F62B0854}"/>
    <cellStyle name="Comma 37 7 2" xfId="9409" xr:uid="{E536B966-8795-4A70-BDB8-B5B97E9D7476}"/>
    <cellStyle name="Comma 37 8" xfId="7288" xr:uid="{0C7ADAA6-98E1-4659-A79E-96186E23D101}"/>
    <cellStyle name="Comma 38" xfId="4386" xr:uid="{00000000-0005-0000-0000-0000000E0000}"/>
    <cellStyle name="Comma 38 2" xfId="4387" xr:uid="{00000000-0005-0000-0000-0000010E0000}"/>
    <cellStyle name="Comma 38 2 2" xfId="5820" xr:uid="{00000000-0005-0000-0000-0000020E0000}"/>
    <cellStyle name="Comma 38 2 3" xfId="6955" xr:uid="{48CE55AB-F59A-4E9A-A208-6E19D1B16B95}"/>
    <cellStyle name="Comma 38 2 3 2" xfId="9584" xr:uid="{97EEBE5F-DE06-4318-8EA5-4C75ACD0DEE7}"/>
    <cellStyle name="Comma 38 2 4" xfId="8054" xr:uid="{2F71C6AE-8B17-477A-B902-BE524DBEDDC9}"/>
    <cellStyle name="Comma 38 3" xfId="4388" xr:uid="{00000000-0005-0000-0000-0000030E0000}"/>
    <cellStyle name="Comma 38 3 2" xfId="6188" xr:uid="{00000000-0005-0000-0000-0000040E0000}"/>
    <cellStyle name="Comma 38 3 2 2" xfId="8992" xr:uid="{C9015122-B062-47BC-8FA8-015B26340581}"/>
    <cellStyle name="Comma 38 4" xfId="5819" xr:uid="{00000000-0005-0000-0000-0000050E0000}"/>
    <cellStyle name="Comma 38 4 2" xfId="8713" xr:uid="{28AC0468-EBA7-4D2B-8F93-34F1594E6BFB}"/>
    <cellStyle name="Comma 38 5" xfId="6752" xr:uid="{B4504AF1-6E62-4750-AA4A-8A39FB7C2FF6}"/>
    <cellStyle name="Comma 38 5 2" xfId="9413" xr:uid="{4D603A47-6F17-40A8-9A95-138D5EC701DD}"/>
    <cellStyle name="Comma 38 6" xfId="8053" xr:uid="{6514523A-800B-4093-9395-1D9827C161B2}"/>
    <cellStyle name="Comma 39" xfId="412" xr:uid="{00000000-0005-0000-0000-0000060E0000}"/>
    <cellStyle name="Comma 39 2" xfId="4389" xr:uid="{00000000-0005-0000-0000-0000070E0000}"/>
    <cellStyle name="Comma 39 2 2" xfId="5822" xr:uid="{00000000-0005-0000-0000-0000080E0000}"/>
    <cellStyle name="Comma 39 2 2 2" xfId="6189" xr:uid="{00000000-0005-0000-0000-0000090E0000}"/>
    <cellStyle name="Comma 39 2 2 2 2" xfId="8993" xr:uid="{2C64986E-9577-4F05-BACF-95B345E3F0F5}"/>
    <cellStyle name="Comma 39 2 2 3" xfId="8715" xr:uid="{C0C29D78-8E48-497D-AEBB-9D484BCE459C}"/>
    <cellStyle name="Comma 39 2 3" xfId="6956" xr:uid="{785ABBD5-2267-4A54-802B-A75C1E030111}"/>
    <cellStyle name="Comma 39 2 3 2" xfId="9585" xr:uid="{495F66D8-E43E-4E6F-A669-216DF0DDD92B}"/>
    <cellStyle name="Comma 39 2 4" xfId="8055" xr:uid="{CF7C3EA0-F36B-4D42-931F-2E0E10F63517}"/>
    <cellStyle name="Comma 39 3" xfId="4390" xr:uid="{00000000-0005-0000-0000-00000A0E0000}"/>
    <cellStyle name="Comma 39 3 2" xfId="6190" xr:uid="{00000000-0005-0000-0000-00000B0E0000}"/>
    <cellStyle name="Comma 39 3 2 2" xfId="8994" xr:uid="{45574324-507C-4C39-9FFC-FDCE8C0FC7CA}"/>
    <cellStyle name="Comma 39 3 3" xfId="8056" xr:uid="{2FB78809-BD4B-4DF5-A1F3-7BA5B6BAE430}"/>
    <cellStyle name="Comma 39 4" xfId="4391" xr:uid="{00000000-0005-0000-0000-00000C0E0000}"/>
    <cellStyle name="Comma 39 4 2" xfId="8057" xr:uid="{27AE92B5-CC7A-4E92-BC49-367FD011C3DE}"/>
    <cellStyle name="Comma 39 5" xfId="5821" xr:uid="{00000000-0005-0000-0000-00000D0E0000}"/>
    <cellStyle name="Comma 39 5 2" xfId="8714" xr:uid="{36C9E565-FA74-42D9-B6D1-A19BC954B875}"/>
    <cellStyle name="Comma 39 6" xfId="6432" xr:uid="{BCBC3BF4-22A4-41A2-B7ED-2DAD86694B51}"/>
    <cellStyle name="Comma 39 6 2" xfId="9176" xr:uid="{A63297F1-2D13-4948-A963-E2DF65A5C1E1}"/>
    <cellStyle name="Comma 4" xfId="413" xr:uid="{00000000-0005-0000-0000-00000E0E0000}"/>
    <cellStyle name="Comma 4 10" xfId="4392" xr:uid="{00000000-0005-0000-0000-00000F0E0000}"/>
    <cellStyle name="Comma 4 10 2" xfId="4393" xr:uid="{00000000-0005-0000-0000-0000100E0000}"/>
    <cellStyle name="Comma 4 10 2 2" xfId="6431" xr:uid="{8E5FAE9F-4671-4D8C-8D6F-6EB895ECFAFB}"/>
    <cellStyle name="Comma 4 10 2 2 2" xfId="9175" xr:uid="{97ABF75A-B9A3-40B2-9B3E-21725CC135A2}"/>
    <cellStyle name="Comma 4 10 2 3" xfId="8059" xr:uid="{0F29397C-24F6-4283-9F6E-050A0197CBBF}"/>
    <cellStyle name="Comma 4 10 3" xfId="6960" xr:uid="{6F40B282-13AF-40B4-A89D-ED8C9EEFF204}"/>
    <cellStyle name="Comma 4 10 3 2" xfId="9588" xr:uid="{2038F54F-79BC-4853-8191-9033445E5489}"/>
    <cellStyle name="Comma 4 10 4" xfId="8058" xr:uid="{0DD14E8B-6DD6-457E-A9E0-8F1EE0E552F8}"/>
    <cellStyle name="Comma 4 11" xfId="4394" xr:uid="{00000000-0005-0000-0000-0000110E0000}"/>
    <cellStyle name="Comma 4 11 2" xfId="4395" xr:uid="{00000000-0005-0000-0000-0000120E0000}"/>
    <cellStyle name="Comma 4 11 2 2" xfId="8061" xr:uid="{EB2C67D8-DE3A-4341-B739-05594649B4E4}"/>
    <cellStyle name="Comma 4 11 3" xfId="8060" xr:uid="{2D054867-D2A8-4E61-BE44-4F93AB0656AF}"/>
    <cellStyle name="Comma 4 12" xfId="4396" xr:uid="{00000000-0005-0000-0000-0000130E0000}"/>
    <cellStyle name="Comma 4 12 2" xfId="4397" xr:uid="{00000000-0005-0000-0000-0000140E0000}"/>
    <cellStyle name="Comma 4 12 2 2" xfId="8063" xr:uid="{B8F175E2-4CE4-45AE-BEAE-E1DCD0F2029E}"/>
    <cellStyle name="Comma 4 12 3" xfId="8062" xr:uid="{C7AA9FE0-604D-4C9A-8468-D6526A0D82A4}"/>
    <cellStyle name="Comma 4 13" xfId="4398" xr:uid="{00000000-0005-0000-0000-0000150E0000}"/>
    <cellStyle name="Comma 4 13 2" xfId="4399" xr:uid="{00000000-0005-0000-0000-0000160E0000}"/>
    <cellStyle name="Comma 4 13 2 2" xfId="8065" xr:uid="{7B57FB35-D0DF-4190-A1BA-2B48210C4045}"/>
    <cellStyle name="Comma 4 13 3" xfId="8064" xr:uid="{4B297ACE-6345-4323-B175-AC178822FBDE}"/>
    <cellStyle name="Comma 4 14" xfId="4400" xr:uid="{00000000-0005-0000-0000-0000170E0000}"/>
    <cellStyle name="Comma 4 14 2" xfId="4401" xr:uid="{00000000-0005-0000-0000-0000180E0000}"/>
    <cellStyle name="Comma 4 14 2 2" xfId="8067" xr:uid="{093F6609-0AD3-490A-BC2F-F4E9BC4086D5}"/>
    <cellStyle name="Comma 4 14 3" xfId="8066" xr:uid="{F7E673FE-D3A0-4858-AECC-0CEDF711B85C}"/>
    <cellStyle name="Comma 4 15" xfId="4402" xr:uid="{00000000-0005-0000-0000-0000190E0000}"/>
    <cellStyle name="Comma 4 15 2" xfId="4403" xr:uid="{00000000-0005-0000-0000-00001A0E0000}"/>
    <cellStyle name="Comma 4 15 2 2" xfId="8069" xr:uid="{039554E3-0AAD-40E1-BB12-4E4658951389}"/>
    <cellStyle name="Comma 4 15 3" xfId="8068" xr:uid="{2C962DDB-2F78-4744-9D48-3A9F9EE97B0D}"/>
    <cellStyle name="Comma 4 16" xfId="4404" xr:uid="{00000000-0005-0000-0000-00001B0E0000}"/>
    <cellStyle name="Comma 4 16 2" xfId="4405" xr:uid="{00000000-0005-0000-0000-00001C0E0000}"/>
    <cellStyle name="Comma 4 16 2 2" xfId="8071" xr:uid="{C31E5049-FE21-4CFD-A4B9-DB8DE50E4BB0}"/>
    <cellStyle name="Comma 4 16 3" xfId="8070" xr:uid="{1C8C4250-244F-4B02-BA9C-65229FF28278}"/>
    <cellStyle name="Comma 4 17" xfId="4406" xr:uid="{00000000-0005-0000-0000-00001D0E0000}"/>
    <cellStyle name="Comma 4 17 2" xfId="8072" xr:uid="{917935CD-5350-4090-A723-E38185C4798A}"/>
    <cellStyle name="Comma 4 18" xfId="5823" xr:uid="{00000000-0005-0000-0000-00001E0E0000}"/>
    <cellStyle name="Comma 4 18 2" xfId="8716" xr:uid="{F438CEBF-9F3F-41CC-ACD0-665921D172CE}"/>
    <cellStyle name="Comma 4 19" xfId="6380" xr:uid="{28C861E0-09C0-4783-AF32-F4FCCEB7CB00}"/>
    <cellStyle name="Comma 4 19 2" xfId="9148" xr:uid="{6171D44E-8CFE-4E3A-843B-E1593415C325}"/>
    <cellStyle name="Comma 4 2" xfId="414" xr:uid="{00000000-0005-0000-0000-00001F0E0000}"/>
    <cellStyle name="Comma 4 2 2" xfId="415" xr:uid="{00000000-0005-0000-0000-0000200E0000}"/>
    <cellStyle name="Comma 4 2 2 2" xfId="6191" xr:uid="{00000000-0005-0000-0000-0000210E0000}"/>
    <cellStyle name="Comma 4 2 2 2 2" xfId="8995" xr:uid="{DFBBE66A-911B-4112-B17A-2294A8B13161}"/>
    <cellStyle name="Comma 4 2 3" xfId="1861" xr:uid="{00000000-0005-0000-0000-0000220E0000}"/>
    <cellStyle name="Comma 4 2 3 2" xfId="6962" xr:uid="{9179DA0C-975A-4688-A180-9468E2BCA637}"/>
    <cellStyle name="Comma 4 2 3 2 2" xfId="9590" xr:uid="{7F1D3BA3-C4EA-4897-A45D-25A1F0A83B35}"/>
    <cellStyle name="Comma 4 2 3 3" xfId="6961" xr:uid="{DD0D2619-E541-4838-981E-69A50C65910A}"/>
    <cellStyle name="Comma 4 2 3 3 2" xfId="9589" xr:uid="{12746100-E9E6-43B5-AE96-DA89D8265E02}"/>
    <cellStyle name="Comma 4 2 4" xfId="4407" xr:uid="{00000000-0005-0000-0000-0000230E0000}"/>
    <cellStyle name="Comma 4 2 4 2" xfId="6963" xr:uid="{64B56F9D-966B-4387-B662-82AD2A669CC1}"/>
    <cellStyle name="Comma 4 2 4 2 2" xfId="9591" xr:uid="{A8F11CA0-DE95-4286-8924-D1A8847B8C96}"/>
    <cellStyle name="Comma 4 2 5" xfId="5824" xr:uid="{00000000-0005-0000-0000-0000240E0000}"/>
    <cellStyle name="Comma 4 2 5 2" xfId="8717" xr:uid="{4915A37A-FD96-455F-8A02-D8A2496C4821}"/>
    <cellStyle name="Comma 4 3" xfId="416" xr:uid="{00000000-0005-0000-0000-0000250E0000}"/>
    <cellStyle name="Comma 4 3 2" xfId="4408" xr:uid="{00000000-0005-0000-0000-0000260E0000}"/>
    <cellStyle name="Comma 4 3 2 2" xfId="6192" xr:uid="{00000000-0005-0000-0000-0000270E0000}"/>
    <cellStyle name="Comma 4 3 2 2 2" xfId="8996" xr:uid="{6A7FB287-C901-4455-9F06-F2A9A69148D4}"/>
    <cellStyle name="Comma 4 3 2 3" xfId="8073" xr:uid="{078191E9-E861-4058-9685-AC08411D72FF}"/>
    <cellStyle name="Comma 4 3 3" xfId="4409" xr:uid="{00000000-0005-0000-0000-0000280E0000}"/>
    <cellStyle name="Comma 4 3 4" xfId="4410" xr:uid="{00000000-0005-0000-0000-0000290E0000}"/>
    <cellStyle name="Comma 4 3 4 2" xfId="8074" xr:uid="{4BEFD81E-71BC-4D1E-8D18-6CD2D89FD1E6}"/>
    <cellStyle name="Comma 4 3 5" xfId="5825" xr:uid="{00000000-0005-0000-0000-00002A0E0000}"/>
    <cellStyle name="Comma 4 3 5 2" xfId="8718" xr:uid="{E71CFA3A-CE66-44AF-9E80-45C03DF9FE26}"/>
    <cellStyle name="Comma 4 4" xfId="1862" xr:uid="{00000000-0005-0000-0000-00002B0E0000}"/>
    <cellStyle name="Comma 4 4 2" xfId="1863" xr:uid="{00000000-0005-0000-0000-00002C0E0000}"/>
    <cellStyle name="Comma 4 4 2 2" xfId="7471" xr:uid="{F4EA3700-02D1-41CC-B764-F7EA8059692B}"/>
    <cellStyle name="Comma 4 4 3" xfId="5826" xr:uid="{00000000-0005-0000-0000-00002D0E0000}"/>
    <cellStyle name="Comma 4 4 4" xfId="6964" xr:uid="{9621ECFD-9067-4F8D-A6A1-953BB3FA2EF8}"/>
    <cellStyle name="Comma 4 4 5" xfId="7470" xr:uid="{9BCD31EC-79A1-4D7C-ADC6-242368A4FF95}"/>
    <cellStyle name="Comma 4 5" xfId="1864" xr:uid="{00000000-0005-0000-0000-00002E0E0000}"/>
    <cellStyle name="Comma 4 5 2" xfId="4411" xr:uid="{00000000-0005-0000-0000-00002F0E0000}"/>
    <cellStyle name="Comma 4 5 2 2" xfId="8075" xr:uid="{AC5FB571-8FAA-4739-B87D-1F69BA99FED7}"/>
    <cellStyle name="Comma 4 5 3" xfId="6193" xr:uid="{00000000-0005-0000-0000-0000300E0000}"/>
    <cellStyle name="Comma 4 5 3 2" xfId="8997" xr:uid="{36ABC6BA-4943-4DCF-ACEA-83111664C88F}"/>
    <cellStyle name="Comma 4 5 4" xfId="6658" xr:uid="{D0ED4837-0257-417F-AA09-82EE2A2641B5}"/>
    <cellStyle name="Comma 4 5 4 2" xfId="9341" xr:uid="{7CDB1807-68E5-42C9-A8A5-4623E13642DA}"/>
    <cellStyle name="Comma 4 6" xfId="4412" xr:uid="{00000000-0005-0000-0000-0000310E0000}"/>
    <cellStyle name="Comma 4 6 2" xfId="4413" xr:uid="{00000000-0005-0000-0000-0000320E0000}"/>
    <cellStyle name="Comma 4 6 2 2" xfId="8076" xr:uid="{48EF622E-978D-4E9A-9565-7664366E4D15}"/>
    <cellStyle name="Comma 4 6 3" xfId="6959" xr:uid="{773C5320-2275-4F39-996B-F88F21652F0A}"/>
    <cellStyle name="Comma 4 6 3 2" xfId="9587" xr:uid="{C22E1913-BEFB-45B5-8CDE-3FFF6E714C2E}"/>
    <cellStyle name="Comma 4 7" xfId="4414" xr:uid="{00000000-0005-0000-0000-0000330E0000}"/>
    <cellStyle name="Comma 4 7 2" xfId="4415" xr:uid="{00000000-0005-0000-0000-0000340E0000}"/>
    <cellStyle name="Comma 4 7 2 2" xfId="8078" xr:uid="{A7C07E04-8D60-4349-A5AE-59D3C36158FB}"/>
    <cellStyle name="Comma 4 7 3" xfId="8077" xr:uid="{0380283F-2A31-4EE7-8D05-E4B0103CF34B}"/>
    <cellStyle name="Comma 4 8" xfId="4416" xr:uid="{00000000-0005-0000-0000-0000350E0000}"/>
    <cellStyle name="Comma 4 8 2" xfId="4417" xr:uid="{00000000-0005-0000-0000-0000360E0000}"/>
    <cellStyle name="Comma 4 8 2 2" xfId="8080" xr:uid="{DB66B366-931D-4FC8-ADF7-936ADAA0F23E}"/>
    <cellStyle name="Comma 4 8 3" xfId="8079" xr:uid="{22FA6593-8A77-48AC-B5CB-CFE1AE13E303}"/>
    <cellStyle name="Comma 4 9" xfId="4418" xr:uid="{00000000-0005-0000-0000-0000370E0000}"/>
    <cellStyle name="Comma 4 9 2" xfId="4419" xr:uid="{00000000-0005-0000-0000-0000380E0000}"/>
    <cellStyle name="Comma 4 9 2 2" xfId="6966" xr:uid="{1D18F7A9-704D-4592-AD4C-1AC008C604E1}"/>
    <cellStyle name="Comma 4 9 2 2 2" xfId="9593" xr:uid="{681A7B4D-BC76-4107-B40A-22D23C4ED4E5}"/>
    <cellStyle name="Comma 4 9 2 3" xfId="8082" xr:uid="{B100D65D-C718-4834-A88B-57C5B7C9ECD8}"/>
    <cellStyle name="Comma 4 9 3" xfId="6965" xr:uid="{1084B246-E23A-4EAB-9479-32F0100FDB0B}"/>
    <cellStyle name="Comma 4 9 3 2" xfId="9592" xr:uid="{85A55595-F8B0-4D27-9EC9-56B0635523E8}"/>
    <cellStyle name="Comma 4 9 4" xfId="8081" xr:uid="{4C0EB6AF-30F5-4FC6-8AC6-EEDE8A5DBBEC}"/>
    <cellStyle name="Comma 40" xfId="4420" xr:uid="{00000000-0005-0000-0000-0000390E0000}"/>
    <cellStyle name="Comma 40 2" xfId="4421" xr:uid="{00000000-0005-0000-0000-00003A0E0000}"/>
    <cellStyle name="Comma 40 2 2" xfId="4422" xr:uid="{00000000-0005-0000-0000-00003B0E0000}"/>
    <cellStyle name="Comma 40 2 2 2" xfId="6194" xr:uid="{00000000-0005-0000-0000-00003C0E0000}"/>
    <cellStyle name="Comma 40 2 2 2 2" xfId="8998" xr:uid="{971CF48F-0DE9-4968-B0E9-238C0F0A6453}"/>
    <cellStyle name="Comma 40 2 3" xfId="5828" xr:uid="{00000000-0005-0000-0000-00003D0E0000}"/>
    <cellStyle name="Comma 40 2 3 2" xfId="8720" xr:uid="{E66830EA-216F-4E4F-91A9-406F85CC5571}"/>
    <cellStyle name="Comma 40 2 4" xfId="6736" xr:uid="{1A377A06-CE92-4B89-B2EC-6FD8BEB8325F}"/>
    <cellStyle name="Comma 40 2 4 2" xfId="9403" xr:uid="{B3FB5E7F-F68E-4023-A58F-BB8C2267F957}"/>
    <cellStyle name="Comma 40 2 5" xfId="8084" xr:uid="{ECF073AF-CE52-422B-90A7-EC69B1F254B3}"/>
    <cellStyle name="Comma 40 3" xfId="4423" xr:uid="{00000000-0005-0000-0000-00003E0E0000}"/>
    <cellStyle name="Comma 40 3 2" xfId="6195" xr:uid="{00000000-0005-0000-0000-00003F0E0000}"/>
    <cellStyle name="Comma 40 3 2 2" xfId="8999" xr:uid="{CA232047-0C5F-46C7-B39B-F4B54EC9038E}"/>
    <cellStyle name="Comma 40 3 3" xfId="8085" xr:uid="{702A5F3B-441A-41AC-AFDB-C8E1C63B7F13}"/>
    <cellStyle name="Comma 40 4" xfId="5827" xr:uid="{00000000-0005-0000-0000-0000400E0000}"/>
    <cellStyle name="Comma 40 4 2" xfId="8719" xr:uid="{07F63ABB-D160-4068-B95F-D1D9E571E033}"/>
    <cellStyle name="Comma 40 5" xfId="6733" xr:uid="{277ED99D-6789-4BA8-AC46-82D51D09AADC}"/>
    <cellStyle name="Comma 40 5 2" xfId="9400" xr:uid="{874909D0-53DE-4AC1-8EA1-270A20B26BD3}"/>
    <cellStyle name="Comma 40 6" xfId="8083" xr:uid="{9C7EDE88-9888-483F-BFBE-4F60990F0369}"/>
    <cellStyle name="Comma 41" xfId="417" xr:uid="{00000000-0005-0000-0000-0000410E0000}"/>
    <cellStyle name="Comma 41 2" xfId="4424" xr:uid="{00000000-0005-0000-0000-0000420E0000}"/>
    <cellStyle name="Comma 41 2 2" xfId="5830" xr:uid="{00000000-0005-0000-0000-0000430E0000}"/>
    <cellStyle name="Comma 41 2 2 2" xfId="6196" xr:uid="{00000000-0005-0000-0000-0000440E0000}"/>
    <cellStyle name="Comma 41 2 2 2 2" xfId="9000" xr:uid="{5A3A40A7-6E8C-4BE5-9271-533D8FA174C0}"/>
    <cellStyle name="Comma 41 2 2 3" xfId="8722" xr:uid="{4E9C1A5A-850D-4491-9417-7385C55FD87A}"/>
    <cellStyle name="Comma 41 3" xfId="5829" xr:uid="{00000000-0005-0000-0000-0000450E0000}"/>
    <cellStyle name="Comma 41 3 2" xfId="6197" xr:uid="{00000000-0005-0000-0000-0000460E0000}"/>
    <cellStyle name="Comma 41 3 2 2" xfId="9001" xr:uid="{FD5549FF-98FA-4E05-A3E2-D013720BF802}"/>
    <cellStyle name="Comma 41 3 3" xfId="8721" xr:uid="{C81763CE-78A1-4F97-91B6-D6466571D32C}"/>
    <cellStyle name="Comma 42" xfId="418" xr:uid="{00000000-0005-0000-0000-0000470E0000}"/>
    <cellStyle name="Comma 42 2" xfId="4425" xr:uid="{00000000-0005-0000-0000-0000480E0000}"/>
    <cellStyle name="Comma 42 2 2" xfId="5832" xr:uid="{00000000-0005-0000-0000-0000490E0000}"/>
    <cellStyle name="Comma 42 2 2 2" xfId="6198" xr:uid="{00000000-0005-0000-0000-00004A0E0000}"/>
    <cellStyle name="Comma 42 2 2 2 2" xfId="9002" xr:uid="{2EC28E94-4C08-4511-AE9C-27760FCCFB6F}"/>
    <cellStyle name="Comma 42 2 2 3" xfId="8724" xr:uid="{D6B2DCB6-6D88-40E2-940D-C9E68FC0E421}"/>
    <cellStyle name="Comma 42 3" xfId="4426" xr:uid="{00000000-0005-0000-0000-00004B0E0000}"/>
    <cellStyle name="Comma 42 3 2" xfId="6199" xr:uid="{00000000-0005-0000-0000-00004C0E0000}"/>
    <cellStyle name="Comma 42 3 2 2" xfId="9003" xr:uid="{269B346E-EAD9-4954-808C-0F62B8A85E93}"/>
    <cellStyle name="Comma 42 3 3" xfId="8086" xr:uid="{0AFB1DAB-3B6E-44FE-BA91-891F503A7E42}"/>
    <cellStyle name="Comma 42 4" xfId="5831" xr:uid="{00000000-0005-0000-0000-00004D0E0000}"/>
    <cellStyle name="Comma 42 4 2" xfId="8723" xr:uid="{9CEE362D-CC96-42EB-813A-A0D86FD369D2}"/>
    <cellStyle name="Comma 43" xfId="4427" xr:uid="{00000000-0005-0000-0000-00004E0E0000}"/>
    <cellStyle name="Comma 43 2" xfId="4428" xr:uid="{00000000-0005-0000-0000-00004F0E0000}"/>
    <cellStyle name="Comma 43 2 2" xfId="5834" xr:uid="{00000000-0005-0000-0000-0000500E0000}"/>
    <cellStyle name="Comma 43 2 2 2" xfId="6200" xr:uid="{00000000-0005-0000-0000-0000510E0000}"/>
    <cellStyle name="Comma 43 2 2 2 2" xfId="9004" xr:uid="{88360DF8-4A0B-4ED3-BCDC-36B674FBBB1C}"/>
    <cellStyle name="Comma 43 2 2 3" xfId="8726" xr:uid="{55845763-1925-40F1-ADA2-974E04036EAD}"/>
    <cellStyle name="Comma 43 3" xfId="5833" xr:uid="{00000000-0005-0000-0000-0000520E0000}"/>
    <cellStyle name="Comma 43 3 2" xfId="6201" xr:uid="{00000000-0005-0000-0000-0000530E0000}"/>
    <cellStyle name="Comma 43 3 2 2" xfId="9005" xr:uid="{EF8A536C-9FAD-4BCD-BCB0-DCFCC6A23B68}"/>
    <cellStyle name="Comma 43 3 3" xfId="8725" xr:uid="{05D578AD-AD69-4F4F-B962-C21CF25E1385}"/>
    <cellStyle name="Comma 43 4" xfId="6753" xr:uid="{2BAA41EF-1418-4113-9662-0C0C9474C8CB}"/>
    <cellStyle name="Comma 43 4 2" xfId="9414" xr:uid="{F25CC9A4-DC35-4B78-A366-04F59033E113}"/>
    <cellStyle name="Comma 43 5" xfId="8087" xr:uid="{610B6229-5AC3-4BF7-9AA0-8711BE923F7F}"/>
    <cellStyle name="Comma 44" xfId="4429" xr:uid="{00000000-0005-0000-0000-0000540E0000}"/>
    <cellStyle name="Comma 44 2" xfId="4430" xr:uid="{00000000-0005-0000-0000-0000550E0000}"/>
    <cellStyle name="Comma 44 2 2" xfId="5836" xr:uid="{00000000-0005-0000-0000-0000560E0000}"/>
    <cellStyle name="Comma 44 2 2 2" xfId="6202" xr:uid="{00000000-0005-0000-0000-0000570E0000}"/>
    <cellStyle name="Comma 44 2 2 2 2" xfId="9006" xr:uid="{DB979930-6384-414F-86C4-00A375F5A6EF}"/>
    <cellStyle name="Comma 44 2 2 3" xfId="8728" xr:uid="{D44E7A5F-E2A4-4ACE-ABCD-6F1E6C5AC340}"/>
    <cellStyle name="Comma 44 2 3" xfId="8088" xr:uid="{A00F7ACB-19BA-4ABB-A982-C764556B1675}"/>
    <cellStyle name="Comma 44 3" xfId="4431" xr:uid="{00000000-0005-0000-0000-0000580E0000}"/>
    <cellStyle name="Comma 44 3 2" xfId="6203" xr:uid="{00000000-0005-0000-0000-0000590E0000}"/>
    <cellStyle name="Comma 44 3 2 2" xfId="9007" xr:uid="{43F19E3C-B65E-40DB-9DAE-9EA707B33013}"/>
    <cellStyle name="Comma 44 3 3" xfId="8089" xr:uid="{B9229C4D-B10B-4247-9D44-801A44C1114D}"/>
    <cellStyle name="Comma 44 4" xfId="5835" xr:uid="{00000000-0005-0000-0000-00005A0E0000}"/>
    <cellStyle name="Comma 44 4 2" xfId="8727" xr:uid="{D859C21F-01BD-4183-8FCF-5CBD02344A3A}"/>
    <cellStyle name="Comma 44 5" xfId="6433" xr:uid="{D850AEEF-7A73-4139-856A-F33C5C642A5E}"/>
    <cellStyle name="Comma 44 5 2" xfId="9177" xr:uid="{27E1F631-4EB6-4F9E-A6AB-86B195B95042}"/>
    <cellStyle name="Comma 45" xfId="4432" xr:uid="{00000000-0005-0000-0000-00005B0E0000}"/>
    <cellStyle name="Comma 45 2" xfId="4433" xr:uid="{00000000-0005-0000-0000-00005C0E0000}"/>
    <cellStyle name="Comma 45 2 2" xfId="5838" xr:uid="{00000000-0005-0000-0000-00005D0E0000}"/>
    <cellStyle name="Comma 45 2 2 2" xfId="6204" xr:uid="{00000000-0005-0000-0000-00005E0E0000}"/>
    <cellStyle name="Comma 45 2 2 2 2" xfId="9008" xr:uid="{9B76562D-CCA4-4A5B-A775-915B95C03B9D}"/>
    <cellStyle name="Comma 45 2 2 3" xfId="8730" xr:uid="{E85552C2-826C-409A-9399-F113C4A056D3}"/>
    <cellStyle name="Comma 45 2 3" xfId="8090" xr:uid="{4B870534-2B86-4D90-99F3-1E7961D90709}"/>
    <cellStyle name="Comma 45 3" xfId="4434" xr:uid="{00000000-0005-0000-0000-00005F0E0000}"/>
    <cellStyle name="Comma 45 3 2" xfId="6205" xr:uid="{00000000-0005-0000-0000-0000600E0000}"/>
    <cellStyle name="Comma 45 3 2 2" xfId="9009" xr:uid="{34087C1E-E00E-4FAB-BAB3-E52435775393}"/>
    <cellStyle name="Comma 45 3 3" xfId="8091" xr:uid="{6AB55131-8C82-491E-854A-EF5EBA51059F}"/>
    <cellStyle name="Comma 45 4" xfId="5837" xr:uid="{00000000-0005-0000-0000-0000610E0000}"/>
    <cellStyle name="Comma 45 4 2" xfId="8729" xr:uid="{39D773C7-58E6-4A41-A525-CE695E1924D6}"/>
    <cellStyle name="Comma 45 5" xfId="6407" xr:uid="{DB19B879-77B1-4FDC-B950-49FC4C6FDD63}"/>
    <cellStyle name="Comma 45 5 2" xfId="9157" xr:uid="{A5639F10-6DDC-46CB-9941-1D795FDD826F}"/>
    <cellStyle name="Comma 46" xfId="4435" xr:uid="{00000000-0005-0000-0000-0000620E0000}"/>
    <cellStyle name="Comma 46 2" xfId="4436" xr:uid="{00000000-0005-0000-0000-0000630E0000}"/>
    <cellStyle name="Comma 46 2 2" xfId="5840" xr:uid="{00000000-0005-0000-0000-0000640E0000}"/>
    <cellStyle name="Comma 46 2 2 2" xfId="6206" xr:uid="{00000000-0005-0000-0000-0000650E0000}"/>
    <cellStyle name="Comma 46 2 2 2 2" xfId="9010" xr:uid="{77D0C9C5-FED6-497C-8641-FC24CA660320}"/>
    <cellStyle name="Comma 46 2 2 3" xfId="8732" xr:uid="{B9061D5C-8A63-4A4F-91D2-8D2C1EB128E8}"/>
    <cellStyle name="Comma 46 3" xfId="5839" xr:uid="{00000000-0005-0000-0000-0000660E0000}"/>
    <cellStyle name="Comma 46 3 2" xfId="6207" xr:uid="{00000000-0005-0000-0000-0000670E0000}"/>
    <cellStyle name="Comma 46 3 2 2" xfId="9011" xr:uid="{7590556F-970B-457F-A2CD-6E987915CD32}"/>
    <cellStyle name="Comma 46 3 3" xfId="8731" xr:uid="{6F4355E9-59F1-4504-86E2-63912C99883B}"/>
    <cellStyle name="Comma 46 4" xfId="6379" xr:uid="{C028FD58-E5EC-40DB-B509-3FF23D92C384}"/>
    <cellStyle name="Comma 46 4 2" xfId="9147" xr:uid="{A334BD33-E8E4-4E7F-90B2-4BEE16896143}"/>
    <cellStyle name="Comma 46 5" xfId="8092" xr:uid="{62F8BB80-34ED-460A-A399-3C5F734776FB}"/>
    <cellStyle name="Comma 47" xfId="4437" xr:uid="{00000000-0005-0000-0000-0000680E0000}"/>
    <cellStyle name="Comma 47 2" xfId="4438" xr:uid="{00000000-0005-0000-0000-0000690E0000}"/>
    <cellStyle name="Comma 47 2 2" xfId="6208" xr:uid="{00000000-0005-0000-0000-00006A0E0000}"/>
    <cellStyle name="Comma 47 2 2 2" xfId="9012" xr:uid="{B773A177-5643-4032-9169-62E5BD411F2C}"/>
    <cellStyle name="Comma 47 2 3" xfId="8094" xr:uid="{540068BD-5151-4FEC-82B0-D10C4CC7B3A5}"/>
    <cellStyle name="Comma 47 3" xfId="4439" xr:uid="{00000000-0005-0000-0000-00006B0E0000}"/>
    <cellStyle name="Comma 47 3 2" xfId="8095" xr:uid="{82665B6B-7287-41D4-B99C-45D52A35FD17}"/>
    <cellStyle name="Comma 47 4" xfId="5841" xr:uid="{00000000-0005-0000-0000-00006C0E0000}"/>
    <cellStyle name="Comma 47 4 2" xfId="8733" xr:uid="{A55FC4DD-46AD-49A6-8E6B-03FDBF912CF3}"/>
    <cellStyle name="Comma 47 5" xfId="8093" xr:uid="{33C3A6C4-1CDC-4F32-A2D7-85C66E9CE71F}"/>
    <cellStyle name="Comma 48" xfId="4440" xr:uid="{00000000-0005-0000-0000-00006D0E0000}"/>
    <cellStyle name="Comma 48 2" xfId="4441" xr:uid="{00000000-0005-0000-0000-00006E0E0000}"/>
    <cellStyle name="Comma 48 2 2" xfId="6209" xr:uid="{00000000-0005-0000-0000-00006F0E0000}"/>
    <cellStyle name="Comma 48 2 2 2" xfId="9013" xr:uid="{FA06BF09-0B8E-490C-87E8-AAFA6D7F8107}"/>
    <cellStyle name="Comma 48 2 3" xfId="8097" xr:uid="{9F8FCB0B-FAD3-4486-8AFC-DC2C58095D35}"/>
    <cellStyle name="Comma 48 3" xfId="4442" xr:uid="{00000000-0005-0000-0000-0000700E0000}"/>
    <cellStyle name="Comma 48 4" xfId="5842" xr:uid="{00000000-0005-0000-0000-0000710E0000}"/>
    <cellStyle name="Comma 48 4 2" xfId="8734" xr:uid="{ADF2F8E3-FCA6-4AAF-B272-75C863811674}"/>
    <cellStyle name="Comma 48 5" xfId="8096" xr:uid="{8F1EE3C9-EB0F-49A1-A348-FA5C175CA997}"/>
    <cellStyle name="Comma 49" xfId="4443" xr:uid="{00000000-0005-0000-0000-0000720E0000}"/>
    <cellStyle name="Comma 49 2" xfId="4444" xr:uid="{00000000-0005-0000-0000-0000730E0000}"/>
    <cellStyle name="Comma 49 2 2" xfId="6210" xr:uid="{00000000-0005-0000-0000-0000740E0000}"/>
    <cellStyle name="Comma 49 2 2 2" xfId="9014" xr:uid="{FFB48C79-5ABD-4BB7-9DF8-35F406DBE434}"/>
    <cellStyle name="Comma 49 2 3" xfId="8099" xr:uid="{2C280515-91F8-4D6A-B63A-2D5C10BF18EE}"/>
    <cellStyle name="Comma 49 3" xfId="4445" xr:uid="{00000000-0005-0000-0000-0000750E0000}"/>
    <cellStyle name="Comma 49 3 2" xfId="8100" xr:uid="{71D516B1-2547-4AAF-A083-90FDA056AC92}"/>
    <cellStyle name="Comma 49 4" xfId="5843" xr:uid="{00000000-0005-0000-0000-0000760E0000}"/>
    <cellStyle name="Comma 49 4 2" xfId="8735" xr:uid="{DF4C8F7A-9718-46F5-AE4B-521D4DAA427E}"/>
    <cellStyle name="Comma 49 5" xfId="8098" xr:uid="{E12ACD4E-8497-4A40-ADCE-D817E87DA7A2}"/>
    <cellStyle name="Comma 5" xfId="419" xr:uid="{00000000-0005-0000-0000-0000770E0000}"/>
    <cellStyle name="Comma 5 10" xfId="4446" xr:uid="{00000000-0005-0000-0000-0000780E0000}"/>
    <cellStyle name="Comma 5 10 2" xfId="4447" xr:uid="{00000000-0005-0000-0000-0000790E0000}"/>
    <cellStyle name="Comma 5 10 2 2" xfId="8102" xr:uid="{B77E9521-5177-48D5-8BD0-2771EFCD2F82}"/>
    <cellStyle name="Comma 5 10 3" xfId="8101" xr:uid="{78AEB13C-2658-44E3-BF08-6C3B3E81BCED}"/>
    <cellStyle name="Comma 5 11" xfId="4448" xr:uid="{00000000-0005-0000-0000-00007A0E0000}"/>
    <cellStyle name="Comma 5 11 2" xfId="4449" xr:uid="{00000000-0005-0000-0000-00007B0E0000}"/>
    <cellStyle name="Comma 5 11 2 2" xfId="8104" xr:uid="{30485D02-04F6-4119-9296-D2FBAAC78DD0}"/>
    <cellStyle name="Comma 5 11 3" xfId="8103" xr:uid="{EA0EB97B-AFE4-410F-9730-EF11298AFBA7}"/>
    <cellStyle name="Comma 5 12" xfId="4450" xr:uid="{00000000-0005-0000-0000-00007C0E0000}"/>
    <cellStyle name="Comma 5 12 2" xfId="4451" xr:uid="{00000000-0005-0000-0000-00007D0E0000}"/>
    <cellStyle name="Comma 5 12 2 2" xfId="8106" xr:uid="{7F5E3D55-9D95-4849-97A4-A91002DE9C4F}"/>
    <cellStyle name="Comma 5 12 3" xfId="8105" xr:uid="{B7EB3A33-1FCF-4FC1-8B35-977F6B4FDCFF}"/>
    <cellStyle name="Comma 5 13" xfId="4452" xr:uid="{00000000-0005-0000-0000-00007E0E0000}"/>
    <cellStyle name="Comma 5 13 2" xfId="4453" xr:uid="{00000000-0005-0000-0000-00007F0E0000}"/>
    <cellStyle name="Comma 5 13 2 2" xfId="8108" xr:uid="{7BB53E54-9F2D-4A1B-9576-1ED711645248}"/>
    <cellStyle name="Comma 5 13 3" xfId="8107" xr:uid="{EF6255D5-BDA4-41F0-83E6-69083C42114E}"/>
    <cellStyle name="Comma 5 14" xfId="4454" xr:uid="{00000000-0005-0000-0000-0000800E0000}"/>
    <cellStyle name="Comma 5 14 2" xfId="4455" xr:uid="{00000000-0005-0000-0000-0000810E0000}"/>
    <cellStyle name="Comma 5 14 2 2" xfId="8110" xr:uid="{8DE854D4-FDA7-498D-8447-87946940BC36}"/>
    <cellStyle name="Comma 5 14 3" xfId="8109" xr:uid="{33A111D0-C455-425B-BFE0-6F5E2AE219D8}"/>
    <cellStyle name="Comma 5 15" xfId="4456" xr:uid="{00000000-0005-0000-0000-0000820E0000}"/>
    <cellStyle name="Comma 5 15 2" xfId="4457" xr:uid="{00000000-0005-0000-0000-0000830E0000}"/>
    <cellStyle name="Comma 5 15 2 2" xfId="8112" xr:uid="{4BEAD95C-53BA-4DA9-AFE9-05E523CA14EC}"/>
    <cellStyle name="Comma 5 15 3" xfId="8111" xr:uid="{5386405D-E343-4C60-8CAD-8C7860C3DD40}"/>
    <cellStyle name="Comma 5 16" xfId="4458" xr:uid="{00000000-0005-0000-0000-0000840E0000}"/>
    <cellStyle name="Comma 5 16 2" xfId="8113" xr:uid="{0923830D-75C1-49B0-9E04-A9D111248D78}"/>
    <cellStyle name="Comma 5 17" xfId="4459" xr:uid="{00000000-0005-0000-0000-0000850E0000}"/>
    <cellStyle name="Comma 5 18" xfId="5844" xr:uid="{00000000-0005-0000-0000-0000860E0000}"/>
    <cellStyle name="Comma 5 18 2" xfId="8736" xr:uid="{02A3559E-55B7-4582-9C84-55B18644C55D}"/>
    <cellStyle name="Comma 5 19" xfId="6402" xr:uid="{1E290D8F-1152-4E20-9E01-A45583ECBD01}"/>
    <cellStyle name="Comma 5 19 2" xfId="9154" xr:uid="{3C48BDE5-2525-4AA7-AF27-9D731E657F72}"/>
    <cellStyle name="Comma 5 2" xfId="420" xr:uid="{00000000-0005-0000-0000-0000870E0000}"/>
    <cellStyle name="Comma 5 2 2" xfId="421" xr:uid="{00000000-0005-0000-0000-0000880E0000}"/>
    <cellStyle name="Comma 5 2 2 2" xfId="1865" xr:uid="{00000000-0005-0000-0000-0000890E0000}"/>
    <cellStyle name="Comma 5 2 2 2 2" xfId="6211" xr:uid="{00000000-0005-0000-0000-00008A0E0000}"/>
    <cellStyle name="Comma 5 2 2 2 2 2" xfId="6866" xr:uid="{F800F1F6-C8D6-4761-836A-F8A14F911464}"/>
    <cellStyle name="Comma 5 2 2 2 2 2 2" xfId="9513" xr:uid="{AF88A3C5-472A-4FED-8E08-4F7997989F54}"/>
    <cellStyle name="Comma 5 2 2 2 2 3" xfId="9015" xr:uid="{07221F78-E86D-4229-AAE7-A3B23228C3F4}"/>
    <cellStyle name="Comma 5 2 2 2 3" xfId="6452" xr:uid="{8FAD46C8-E4D5-4EA1-B9E0-115B4E8FA584}"/>
    <cellStyle name="Comma 5 2 2 2 3 2" xfId="9194" xr:uid="{2A5567ED-A82E-4089-90F2-82AE33E32510}"/>
    <cellStyle name="Comma 5 2 2 2 4" xfId="7472" xr:uid="{BF2F2BE6-DC58-4BCF-ADB3-D96612E3D1D7}"/>
    <cellStyle name="Comma 5 2 2 3" xfId="4460" xr:uid="{00000000-0005-0000-0000-00008B0E0000}"/>
    <cellStyle name="Comma 5 2 2 3 2" xfId="6813" xr:uid="{4364F11B-482A-4C6B-BFE1-B633F02D8214}"/>
    <cellStyle name="Comma 5 2 2 3 2 2" xfId="9468" xr:uid="{8382C082-2D5A-4B47-B0B5-40FD27B5C7DD}"/>
    <cellStyle name="Comma 5 2 2 4" xfId="5846" xr:uid="{00000000-0005-0000-0000-00008C0E0000}"/>
    <cellStyle name="Comma 5 2 2 4 2" xfId="8738" xr:uid="{53F1122B-7604-496D-8410-BF00B27BEC81}"/>
    <cellStyle name="Comma 5 2 2 5" xfId="6424" xr:uid="{EDBD2B74-EBFC-4A4E-97AD-C517EAC7E7D2}"/>
    <cellStyle name="Comma 5 2 2 5 2" xfId="9169" xr:uid="{3D97D931-4889-4C01-AB76-F8D62BF5482B}"/>
    <cellStyle name="Comma 5 2 3" xfId="1866" xr:uid="{00000000-0005-0000-0000-00008D0E0000}"/>
    <cellStyle name="Comma 5 2 3 2" xfId="4461" xr:uid="{00000000-0005-0000-0000-00008E0E0000}"/>
    <cellStyle name="Comma 5 2 3 2 2" xfId="6504" xr:uid="{A23519FD-7B8E-4150-BC6E-E30E6CFEA56E}"/>
    <cellStyle name="Comma 5 2 3 2 2 2" xfId="9229" xr:uid="{95251483-F49C-42D4-9447-6AFB0FB5172C}"/>
    <cellStyle name="Comma 5 2 3 2 3" xfId="8114" xr:uid="{894058D6-182B-4D5F-A628-131D5E2DD1C3}"/>
    <cellStyle name="Comma 5 2 3 3" xfId="6212" xr:uid="{00000000-0005-0000-0000-00008F0E0000}"/>
    <cellStyle name="Comma 5 2 3 3 2" xfId="9016" xr:uid="{70289CFE-71EA-4E92-9366-F76CEF95C16C}"/>
    <cellStyle name="Comma 5 2 3 4" xfId="6421" xr:uid="{32023F59-0786-424F-A1CD-032B3BC4A893}"/>
    <cellStyle name="Comma 5 2 3 4 2" xfId="9166" xr:uid="{66BF7157-0925-4003-9050-F5654A3B897C}"/>
    <cellStyle name="Comma 5 2 3 5" xfId="7473" xr:uid="{B20616B9-A5B0-4BEF-90DC-031193AACD9E}"/>
    <cellStyle name="Comma 5 2 4" xfId="4462" xr:uid="{00000000-0005-0000-0000-0000900E0000}"/>
    <cellStyle name="Comma 5 2 4 2" xfId="6463" xr:uid="{A0F95767-C02F-4801-85B3-E5CF244D8C1E}"/>
    <cellStyle name="Comma 5 2 4 2 2" xfId="9203" xr:uid="{8DC6CEE1-494F-400C-AECA-C439788EC6D9}"/>
    <cellStyle name="Comma 5 2 4 3" xfId="6472" xr:uid="{3E74B28E-195F-499A-B115-994C3B99275A}"/>
    <cellStyle name="Comma 5 2 4 3 2" xfId="9211" xr:uid="{E860496A-6030-4671-AEB4-EF9BDFB59766}"/>
    <cellStyle name="Comma 5 2 4 4" xfId="8115" xr:uid="{0C62E5BD-4793-482D-B6E3-8A410E0B0FA4}"/>
    <cellStyle name="Comma 5 2 5" xfId="5845" xr:uid="{00000000-0005-0000-0000-0000910E0000}"/>
    <cellStyle name="Comma 5 2 5 2" xfId="6476" xr:uid="{E423E198-4B19-4505-93FA-D526BD2A8272}"/>
    <cellStyle name="Comma 5 2 5 2 2" xfId="9214" xr:uid="{33D6F4C2-6133-423A-89A1-EC5860BB8CB6}"/>
    <cellStyle name="Comma 5 2 5 3" xfId="8737" xr:uid="{484D2256-5AB2-4F35-8AE7-923F475AB209}"/>
    <cellStyle name="Comma 5 2 6" xfId="6968" xr:uid="{9211C1F7-6719-4020-97E6-FB8CCA1EFCEA}"/>
    <cellStyle name="Comma 5 2 6 2" xfId="9595" xr:uid="{162E435D-9932-49B2-87DA-DD4AD6C1D425}"/>
    <cellStyle name="Comma 5 3" xfId="422" xr:uid="{00000000-0005-0000-0000-0000920E0000}"/>
    <cellStyle name="Comma 5 3 2" xfId="1867" xr:uid="{00000000-0005-0000-0000-0000930E0000}"/>
    <cellStyle name="Comma 5 3 2 2" xfId="1868" xr:uid="{00000000-0005-0000-0000-0000940E0000}"/>
    <cellStyle name="Comma 5 3 2 2 2" xfId="7475" xr:uid="{BCEB1CC0-F0A2-4518-A0C7-57D16E85E27A}"/>
    <cellStyle name="Comma 5 3 2 3" xfId="6213" xr:uid="{00000000-0005-0000-0000-0000950E0000}"/>
    <cellStyle name="Comma 5 3 2 3 2" xfId="9017" xr:uid="{85876409-3911-46F1-872D-2A0D018832A5}"/>
    <cellStyle name="Comma 5 3 2 4" xfId="6970" xr:uid="{05D7720C-4871-48E0-A9B4-FA054FA7D340}"/>
    <cellStyle name="Comma 5 3 2 4 2" xfId="9597" xr:uid="{1B01E178-24B2-4635-A65B-2EF17A363049}"/>
    <cellStyle name="Comma 5 3 2 5" xfId="7474" xr:uid="{3A19B2BA-C299-4827-B895-4058B08766E6}"/>
    <cellStyle name="Comma 5 3 3" xfId="1869" xr:uid="{00000000-0005-0000-0000-0000960E0000}"/>
    <cellStyle name="Comma 5 3 3 2" xfId="7476" xr:uid="{5E01075F-DFE9-47CA-8ED7-8C41FB22B840}"/>
    <cellStyle name="Comma 5 3 4" xfId="5847" xr:uid="{00000000-0005-0000-0000-0000970E0000}"/>
    <cellStyle name="Comma 5 3 4 2" xfId="8739" xr:uid="{9C496FB7-3B4A-4AEB-9C10-19FBD6DB21DF}"/>
    <cellStyle name="Comma 5 3 5" xfId="6969" xr:uid="{4F9B13B9-4432-4123-812B-424BC6C5F564}"/>
    <cellStyle name="Comma 5 3 5 2" xfId="9596" xr:uid="{FDA383A8-594D-4DD1-8E93-82FE6F582713}"/>
    <cellStyle name="Comma 5 4" xfId="1870" xr:uid="{00000000-0005-0000-0000-0000980E0000}"/>
    <cellStyle name="Comma 5 4 2" xfId="1871" xr:uid="{00000000-0005-0000-0000-0000990E0000}"/>
    <cellStyle name="Comma 5 4 2 2" xfId="6973" xr:uid="{C15A235B-70ED-4D1B-9442-7A60F24A1405}"/>
    <cellStyle name="Comma 5 4 2 2 2" xfId="9599" xr:uid="{C80D1166-8D29-411F-AAAF-BF0A6F401ABD}"/>
    <cellStyle name="Comma 5 4 2 3" xfId="7478" xr:uid="{1D6C2D12-1DDE-4FA3-9390-69943C410CC9}"/>
    <cellStyle name="Comma 5 4 3" xfId="5848" xr:uid="{00000000-0005-0000-0000-00009A0E0000}"/>
    <cellStyle name="Comma 5 4 4" xfId="6972" xr:uid="{5AA632AA-0B69-4719-9073-A3AC60DD28C4}"/>
    <cellStyle name="Comma 5 4 4 2" xfId="9598" xr:uid="{E50E4BAE-DC21-4B83-A68A-A27087A84612}"/>
    <cellStyle name="Comma 5 4 5" xfId="7477" xr:uid="{6B62BFD1-B979-4568-A25C-661AF17C9B08}"/>
    <cellStyle name="Comma 5 5" xfId="1872" xr:uid="{00000000-0005-0000-0000-00009B0E0000}"/>
    <cellStyle name="Comma 5 5 2" xfId="4463" xr:uid="{00000000-0005-0000-0000-00009C0E0000}"/>
    <cellStyle name="Comma 5 5 2 2" xfId="6974" xr:uid="{DF10EDE2-F442-4C6F-8818-5A371A39D323}"/>
    <cellStyle name="Comma 5 5 2 2 2" xfId="9600" xr:uid="{55B400F5-CC07-42EB-B797-E3102237F911}"/>
    <cellStyle name="Comma 5 5 2 3" xfId="8116" xr:uid="{35D2CAFA-23B9-4497-BEA9-6064A8BDA260}"/>
    <cellStyle name="Comma 5 5 3" xfId="6214" xr:uid="{00000000-0005-0000-0000-00009D0E0000}"/>
    <cellStyle name="Comma 5 5 3 2" xfId="9018" xr:uid="{EDDD0CE7-B190-43A7-92E6-B200DFCFF021}"/>
    <cellStyle name="Comma 5 5 4" xfId="6661" xr:uid="{579045E4-00C4-4FCE-B057-40BB491751B2}"/>
    <cellStyle name="Comma 5 5 4 2" xfId="9344" xr:uid="{FE2552A3-4677-46EC-8447-AE07C3B66AC4}"/>
    <cellStyle name="Comma 5 5 5" xfId="7479" xr:uid="{79BBE4A7-0DF8-4A7D-8321-F63D98E50D8B}"/>
    <cellStyle name="Comma 5 6" xfId="4464" xr:uid="{00000000-0005-0000-0000-00009E0E0000}"/>
    <cellStyle name="Comma 5 6 2" xfId="4465" xr:uid="{00000000-0005-0000-0000-00009F0E0000}"/>
    <cellStyle name="Comma 5 6 2 2" xfId="6977" xr:uid="{DCEB213C-A02E-47FB-83D5-7A96C490EEFE}"/>
    <cellStyle name="Comma 5 6 2 2 2" xfId="9602" xr:uid="{C48E815F-90F8-4415-9F61-7B83541E28B7}"/>
    <cellStyle name="Comma 5 6 2 3" xfId="8118" xr:uid="{2248FCD4-E667-4285-9AE5-22BF812E40F3}"/>
    <cellStyle name="Comma 5 6 3" xfId="6975" xr:uid="{367A1033-2B14-411B-9C27-D5C33955EFC1}"/>
    <cellStyle name="Comma 5 6 3 2" xfId="9601" xr:uid="{E0A2692F-6BA4-4DF0-B700-168A391978EA}"/>
    <cellStyle name="Comma 5 6 4" xfId="8117" xr:uid="{68F72D38-1CCF-48D6-ACD3-85BC09CF0A7E}"/>
    <cellStyle name="Comma 5 7" xfId="4466" xr:uid="{00000000-0005-0000-0000-0000A00E0000}"/>
    <cellStyle name="Comma 5 7 2" xfId="4467" xr:uid="{00000000-0005-0000-0000-0000A10E0000}"/>
    <cellStyle name="Comma 5 7 2 2" xfId="8120" xr:uid="{8DBC2677-C821-41E3-816D-8292E7B5B099}"/>
    <cellStyle name="Comma 5 7 3" xfId="6978" xr:uid="{A967A7DF-3F4E-404B-9EFE-6F857C4F262B}"/>
    <cellStyle name="Comma 5 7 3 2" xfId="9603" xr:uid="{9FB6974A-67CB-490E-BDF0-BD238F3ED9DD}"/>
    <cellStyle name="Comma 5 7 4" xfId="8119" xr:uid="{61CDCB52-BF08-4DAD-A803-3857AC31765E}"/>
    <cellStyle name="Comma 5 8" xfId="4468" xr:uid="{00000000-0005-0000-0000-0000A20E0000}"/>
    <cellStyle name="Comma 5 8 2" xfId="4469" xr:uid="{00000000-0005-0000-0000-0000A30E0000}"/>
    <cellStyle name="Comma 5 8 2 2" xfId="8122" xr:uid="{8F02E369-7E9A-4D8A-A12F-F507E8D99760}"/>
    <cellStyle name="Comma 5 8 3" xfId="6967" xr:uid="{D2F5ED4E-1762-40ED-8A52-7CCEFEA02A16}"/>
    <cellStyle name="Comma 5 8 3 2" xfId="9594" xr:uid="{1D8FD7CD-84EC-4948-BF44-82F14588BF0D}"/>
    <cellStyle name="Comma 5 8 4" xfId="8121" xr:uid="{57BF4ACE-0C43-4068-9205-684A06E0440F}"/>
    <cellStyle name="Comma 5 9" xfId="4470" xr:uid="{00000000-0005-0000-0000-0000A40E0000}"/>
    <cellStyle name="Comma 5 9 2" xfId="4471" xr:uid="{00000000-0005-0000-0000-0000A50E0000}"/>
    <cellStyle name="Comma 5 9 2 2" xfId="8124" xr:uid="{09BD66C2-3BD8-4934-A410-2F5AF194BC24}"/>
    <cellStyle name="Comma 5 9 3" xfId="8123" xr:uid="{86E496CA-BFD8-468A-86BD-603C0215E548}"/>
    <cellStyle name="Comma 50" xfId="4472" xr:uid="{00000000-0005-0000-0000-0000A60E0000}"/>
    <cellStyle name="Comma 50 2" xfId="4473" xr:uid="{00000000-0005-0000-0000-0000A70E0000}"/>
    <cellStyle name="Comma 50 2 2" xfId="5850" xr:uid="{00000000-0005-0000-0000-0000A80E0000}"/>
    <cellStyle name="Comma 50 2 2 2" xfId="6215" xr:uid="{00000000-0005-0000-0000-0000A90E0000}"/>
    <cellStyle name="Comma 50 2 2 2 2" xfId="9019" xr:uid="{DF6C1646-1519-4CC6-AD46-F7DCCF1A7238}"/>
    <cellStyle name="Comma 50 2 2 3" xfId="8741" xr:uid="{C9608684-2094-4F60-B332-A0987D32A2C2}"/>
    <cellStyle name="Comma 50 2 3" xfId="8126" xr:uid="{791E45FA-3279-44BC-8B04-3691763A6173}"/>
    <cellStyle name="Comma 50 3" xfId="5849" xr:uid="{00000000-0005-0000-0000-0000AA0E0000}"/>
    <cellStyle name="Comma 50 3 2" xfId="6216" xr:uid="{00000000-0005-0000-0000-0000AB0E0000}"/>
    <cellStyle name="Comma 50 3 2 2" xfId="9020" xr:uid="{41AE1CAF-7A4C-4E5E-8358-3525FBFCCD50}"/>
    <cellStyle name="Comma 50 3 3" xfId="8740" xr:uid="{17AD1CD9-53B7-4B12-A486-FEEC82C34EAB}"/>
    <cellStyle name="Comma 50 4" xfId="8125" xr:uid="{DDC7B9EE-AF80-425D-B0E9-55730F48E585}"/>
    <cellStyle name="Comma 51" xfId="4474" xr:uid="{00000000-0005-0000-0000-0000AC0E0000}"/>
    <cellStyle name="Comma 51 2" xfId="5851" xr:uid="{00000000-0005-0000-0000-0000AD0E0000}"/>
    <cellStyle name="Comma 51 2 2" xfId="6217" xr:uid="{00000000-0005-0000-0000-0000AE0E0000}"/>
    <cellStyle name="Comma 51 2 2 2" xfId="9021" xr:uid="{CE94719F-F0DF-485F-AD0B-042E85F473C2}"/>
    <cellStyle name="Comma 51 2 3" xfId="8742" xr:uid="{D82C2BA9-9410-42EC-9DA5-73E701D6567F}"/>
    <cellStyle name="Comma 51 3" xfId="8127" xr:uid="{C36A3565-A135-4974-9E68-20345AB26158}"/>
    <cellStyle name="Comma 52" xfId="4475" xr:uid="{00000000-0005-0000-0000-0000AF0E0000}"/>
    <cellStyle name="Comma 52 2" xfId="5852" xr:uid="{00000000-0005-0000-0000-0000B00E0000}"/>
    <cellStyle name="Comma 52 2 2" xfId="6218" xr:uid="{00000000-0005-0000-0000-0000B10E0000}"/>
    <cellStyle name="Comma 52 2 2 2" xfId="9022" xr:uid="{2046BC65-4C06-4194-A564-40A2702353EC}"/>
    <cellStyle name="Comma 52 2 3" xfId="8743" xr:uid="{6B1C564E-44E6-43B5-9874-B842F276E602}"/>
    <cellStyle name="Comma 52 3" xfId="8128" xr:uid="{300EF1E4-3E1F-4E03-9C7F-DBB633904094}"/>
    <cellStyle name="Comma 53" xfId="4476" xr:uid="{00000000-0005-0000-0000-0000B20E0000}"/>
    <cellStyle name="Comma 53 2" xfId="5853" xr:uid="{00000000-0005-0000-0000-0000B30E0000}"/>
    <cellStyle name="Comma 53 2 2" xfId="6219" xr:uid="{00000000-0005-0000-0000-0000B40E0000}"/>
    <cellStyle name="Comma 53 2 2 2" xfId="9023" xr:uid="{CA5FAABF-9D2C-46D6-A5AB-A72B1F56A086}"/>
    <cellStyle name="Comma 53 2 3" xfId="8744" xr:uid="{9F714C0A-6108-4D60-A07B-9510FDE62453}"/>
    <cellStyle name="Comma 53 3" xfId="8129" xr:uid="{7AEC01DB-AC84-45B6-A889-1D1AC2D451B8}"/>
    <cellStyle name="Comma 54" xfId="4477" xr:uid="{00000000-0005-0000-0000-0000B50E0000}"/>
    <cellStyle name="Comma 54 2" xfId="5854" xr:uid="{00000000-0005-0000-0000-0000B60E0000}"/>
    <cellStyle name="Comma 54 2 2" xfId="6220" xr:uid="{00000000-0005-0000-0000-0000B70E0000}"/>
    <cellStyle name="Comma 54 2 2 2" xfId="9024" xr:uid="{E3282329-91D1-4ABF-A6DB-D9AA07CEE446}"/>
    <cellStyle name="Comma 54 2 3" xfId="8745" xr:uid="{7A19B2B7-E5A0-44F8-9BD2-758954E34D23}"/>
    <cellStyle name="Comma 54 3" xfId="8130" xr:uid="{9BEAD2FA-38E7-44A2-B8F5-C162CAD3A196}"/>
    <cellStyle name="Comma 55" xfId="5855" xr:uid="{00000000-0005-0000-0000-0000B80E0000}"/>
    <cellStyle name="Comma 55 2" xfId="6221" xr:uid="{00000000-0005-0000-0000-0000B90E0000}"/>
    <cellStyle name="Comma 55 2 2" xfId="9025" xr:uid="{EB281A0C-CFC4-459C-96FA-6F19F5F3E410}"/>
    <cellStyle name="Comma 55 3" xfId="8746" xr:uid="{CC8FB9C4-3198-4649-AD2D-DBFA154994BF}"/>
    <cellStyle name="Comma 56" xfId="5856" xr:uid="{00000000-0005-0000-0000-0000BA0E0000}"/>
    <cellStyle name="Comma 56 2" xfId="6222" xr:uid="{00000000-0005-0000-0000-0000BB0E0000}"/>
    <cellStyle name="Comma 56 2 2" xfId="9026" xr:uid="{143A1926-30E2-4578-8298-B57F972A7D79}"/>
    <cellStyle name="Comma 56 3" xfId="8747" xr:uid="{66233D6B-F434-425B-B1F7-C6E07BAB0E8F}"/>
    <cellStyle name="Comma 57" xfId="5857" xr:uid="{00000000-0005-0000-0000-0000BC0E0000}"/>
    <cellStyle name="Comma 57 2" xfId="6223" xr:uid="{00000000-0005-0000-0000-0000BD0E0000}"/>
    <cellStyle name="Comma 57 2 2" xfId="9027" xr:uid="{20A30FAE-4ACC-43D9-846F-D17EBB5CB45E}"/>
    <cellStyle name="Comma 57 3" xfId="8748" xr:uid="{18D3833F-788B-4ECE-88BB-B7C1573D57E8}"/>
    <cellStyle name="Comma 58" xfId="5858" xr:uid="{00000000-0005-0000-0000-0000BE0E0000}"/>
    <cellStyle name="Comma 58 2" xfId="6224" xr:uid="{00000000-0005-0000-0000-0000BF0E0000}"/>
    <cellStyle name="Comma 58 2 2" xfId="9028" xr:uid="{943DCA2F-2F6B-4450-B844-B573911BD414}"/>
    <cellStyle name="Comma 58 3" xfId="8749" xr:uid="{C266C5C7-CD5B-47F6-A883-A3F51E36EFBB}"/>
    <cellStyle name="Comma 59" xfId="5859" xr:uid="{00000000-0005-0000-0000-0000C00E0000}"/>
    <cellStyle name="Comma 59 2" xfId="6225" xr:uid="{00000000-0005-0000-0000-0000C10E0000}"/>
    <cellStyle name="Comma 59 2 2" xfId="9029" xr:uid="{860F5402-C2D0-46DE-869C-A131358AD9CD}"/>
    <cellStyle name="Comma 59 3" xfId="8750" xr:uid="{6C67A2CD-C791-4A8E-99B7-BCB1CC8060A7}"/>
    <cellStyle name="Comma 6" xfId="423" xr:uid="{00000000-0005-0000-0000-0000C20E0000}"/>
    <cellStyle name="Comma 6 10" xfId="4478" xr:uid="{00000000-0005-0000-0000-0000C30E0000}"/>
    <cellStyle name="Comma 6 10 2" xfId="4479" xr:uid="{00000000-0005-0000-0000-0000C40E0000}"/>
    <cellStyle name="Comma 6 10 2 2" xfId="8132" xr:uid="{C026AE5F-49F5-4F2B-BD41-EB89101D983F}"/>
    <cellStyle name="Comma 6 10 3" xfId="8131" xr:uid="{50FC45BA-30C7-4337-AF70-29391CF111A6}"/>
    <cellStyle name="Comma 6 11" xfId="4480" xr:uid="{00000000-0005-0000-0000-0000C50E0000}"/>
    <cellStyle name="Comma 6 11 2" xfId="4481" xr:uid="{00000000-0005-0000-0000-0000C60E0000}"/>
    <cellStyle name="Comma 6 11 2 2" xfId="8134" xr:uid="{AF83E37C-2A24-4349-8C4C-762E30972C11}"/>
    <cellStyle name="Comma 6 11 3" xfId="8133" xr:uid="{032FC35A-8B3E-494E-8948-B12BFC5CF56E}"/>
    <cellStyle name="Comma 6 12" xfId="4482" xr:uid="{00000000-0005-0000-0000-0000C70E0000}"/>
    <cellStyle name="Comma 6 12 2" xfId="4483" xr:uid="{00000000-0005-0000-0000-0000C80E0000}"/>
    <cellStyle name="Comma 6 12 2 2" xfId="8136" xr:uid="{55A09787-054D-4D83-86A2-4AC2FF6AF36E}"/>
    <cellStyle name="Comma 6 12 3" xfId="8135" xr:uid="{EEB1AAE3-335C-4961-9A7A-5903C4D9C12E}"/>
    <cellStyle name="Comma 6 13" xfId="4484" xr:uid="{00000000-0005-0000-0000-0000C90E0000}"/>
    <cellStyle name="Comma 6 13 2" xfId="4485" xr:uid="{00000000-0005-0000-0000-0000CA0E0000}"/>
    <cellStyle name="Comma 6 13 2 2" xfId="8138" xr:uid="{EA89F702-2EFC-4CAF-A7DE-FE4691FE8FCE}"/>
    <cellStyle name="Comma 6 13 3" xfId="8137" xr:uid="{F9791EAD-5AD9-4110-AD4C-541214F9B3E0}"/>
    <cellStyle name="Comma 6 14" xfId="4486" xr:uid="{00000000-0005-0000-0000-0000CB0E0000}"/>
    <cellStyle name="Comma 6 14 2" xfId="4487" xr:uid="{00000000-0005-0000-0000-0000CC0E0000}"/>
    <cellStyle name="Comma 6 14 2 2" xfId="8140" xr:uid="{DCE985AD-3D63-4434-BFA5-378C7B61F11A}"/>
    <cellStyle name="Comma 6 14 3" xfId="8139" xr:uid="{3B0ACDC2-4076-47CF-BA3B-BD110EE8AE9E}"/>
    <cellStyle name="Comma 6 15" xfId="4488" xr:uid="{00000000-0005-0000-0000-0000CD0E0000}"/>
    <cellStyle name="Comma 6 15 2" xfId="4489" xr:uid="{00000000-0005-0000-0000-0000CE0E0000}"/>
    <cellStyle name="Comma 6 15 2 2" xfId="8142" xr:uid="{3C2CD757-4E35-4391-A2C0-02F1885E45E5}"/>
    <cellStyle name="Comma 6 15 3" xfId="8141" xr:uid="{E778A100-31FA-4DE0-8AA6-0562CF57C2EB}"/>
    <cellStyle name="Comma 6 16" xfId="4490" xr:uid="{00000000-0005-0000-0000-0000CF0E0000}"/>
    <cellStyle name="Comma 6 16 2" xfId="8143" xr:uid="{1917461C-8D30-4F61-B21E-DB31C1790927}"/>
    <cellStyle name="Comma 6 17" xfId="4491" xr:uid="{00000000-0005-0000-0000-0000D00E0000}"/>
    <cellStyle name="Comma 6 18" xfId="5860" xr:uid="{00000000-0005-0000-0000-0000D10E0000}"/>
    <cellStyle name="Comma 6 18 2" xfId="8751" xr:uid="{B2DDC392-ADFE-4DA2-9C48-98308CF2567F}"/>
    <cellStyle name="Comma 6 2" xfId="424" xr:uid="{00000000-0005-0000-0000-0000D20E0000}"/>
    <cellStyle name="Comma 6 2 2" xfId="4492" xr:uid="{00000000-0005-0000-0000-0000D30E0000}"/>
    <cellStyle name="Comma 6 2 2 2" xfId="6226" xr:uid="{00000000-0005-0000-0000-0000D40E0000}"/>
    <cellStyle name="Comma 6 2 2 2 2" xfId="9030" xr:uid="{8CE5F502-9D9D-4D63-9A05-C74478E2FCB9}"/>
    <cellStyle name="Comma 6 2 2 3" xfId="8144" xr:uid="{53E0BC53-0B76-4994-8AC3-D703FD49FB3B}"/>
    <cellStyle name="Comma 6 2 3" xfId="4493" xr:uid="{00000000-0005-0000-0000-0000D50E0000}"/>
    <cellStyle name="Comma 6 2 3 2" xfId="6980" xr:uid="{B54AA725-85AC-4026-92E7-1380689B0FFF}"/>
    <cellStyle name="Comma 6 2 3 2 2" xfId="9605" xr:uid="{92B62038-BEC3-405E-9528-8E491AFB5367}"/>
    <cellStyle name="Comma 6 2 3 3" xfId="8145" xr:uid="{511CE89B-F145-4779-8835-ADCCD88E8A49}"/>
    <cellStyle name="Comma 6 2 4" xfId="5861" xr:uid="{00000000-0005-0000-0000-0000D60E0000}"/>
    <cellStyle name="Comma 6 2 4 2" xfId="8752" xr:uid="{D1E3682A-AA61-42E6-97B6-B4C2AFAFACD2}"/>
    <cellStyle name="Comma 6 2 5" xfId="6979" xr:uid="{2028E748-8A1F-45DE-ACB5-3AF7E50D35D9}"/>
    <cellStyle name="Comma 6 2 5 2" xfId="9604" xr:uid="{117E9996-2645-40DE-8800-AC3E6341E0F8}"/>
    <cellStyle name="Comma 6 3" xfId="1873" xr:uid="{00000000-0005-0000-0000-0000D70E0000}"/>
    <cellStyle name="Comma 6 3 2" xfId="1874" xr:uid="{00000000-0005-0000-0000-0000D80E0000}"/>
    <cellStyle name="Comma 6 3 2 2" xfId="6227" xr:uid="{00000000-0005-0000-0000-0000D90E0000}"/>
    <cellStyle name="Comma 6 3 2 2 2" xfId="9031" xr:uid="{32136434-28EA-4445-BDC3-CF9D52E22BDC}"/>
    <cellStyle name="Comma 6 3 2 3" xfId="6982" xr:uid="{F909B461-CBE7-4F8E-AC35-30B7D5F8863C}"/>
    <cellStyle name="Comma 6 3 2 3 2" xfId="9607" xr:uid="{630C2DD2-3379-4B37-9A1C-A67B52A01024}"/>
    <cellStyle name="Comma 6 3 2 4" xfId="7481" xr:uid="{AB20E576-DB1C-44B6-AD5E-7B73126DF5B1}"/>
    <cellStyle name="Comma 6 3 3" xfId="5862" xr:uid="{00000000-0005-0000-0000-0000DA0E0000}"/>
    <cellStyle name="Comma 6 3 3 2" xfId="8753" xr:uid="{892AF6AE-9B6D-405E-B6A3-BBA37715C143}"/>
    <cellStyle name="Comma 6 3 4" xfId="6981" xr:uid="{04DBF7D8-8690-4C9B-B4B7-9DF96BF5C50E}"/>
    <cellStyle name="Comma 6 3 4 2" xfId="9606" xr:uid="{B5B92973-D4EF-4A95-931B-EF08A67468F6}"/>
    <cellStyle name="Comma 6 3 5" xfId="7480" xr:uid="{423D27C4-5B59-41C8-9E8D-5E466DB464FD}"/>
    <cellStyle name="Comma 6 4" xfId="1875" xr:uid="{00000000-0005-0000-0000-0000DB0E0000}"/>
    <cellStyle name="Comma 6 4 2" xfId="4494" xr:uid="{00000000-0005-0000-0000-0000DC0E0000}"/>
    <cellStyle name="Comma 6 4 2 2" xfId="8146" xr:uid="{94AF9E10-15D7-4013-932D-AB5324508E81}"/>
    <cellStyle name="Comma 6 4 3" xfId="4495" xr:uid="{00000000-0005-0000-0000-0000DD0E0000}"/>
    <cellStyle name="Comma 6 4 3 2" xfId="8147" xr:uid="{B8F2AB72-DFE8-4BDF-98CE-C9B55CE4CEE5}"/>
    <cellStyle name="Comma 6 4 4" xfId="5863" xr:uid="{00000000-0005-0000-0000-0000DE0E0000}"/>
    <cellStyle name="Comma 6 4 5" xfId="6983" xr:uid="{33D5A1AE-160B-4099-B473-042DA3109CBD}"/>
    <cellStyle name="Comma 6 4 5 2" xfId="9608" xr:uid="{1B0B0F4D-C361-4378-8F24-608EB3D90CD5}"/>
    <cellStyle name="Comma 6 4 6" xfId="7482" xr:uid="{182A0244-D649-4880-B303-18B8F3E520E2}"/>
    <cellStyle name="Comma 6 5" xfId="1876" xr:uid="{00000000-0005-0000-0000-0000DF0E0000}"/>
    <cellStyle name="Comma 6 5 2" xfId="4496" xr:uid="{00000000-0005-0000-0000-0000E00E0000}"/>
    <cellStyle name="Comma 6 5 2 2" xfId="8148" xr:uid="{BB14A7DE-8F69-40F1-9C7D-18521022EDF6}"/>
    <cellStyle name="Comma 6 5 3" xfId="6228" xr:uid="{00000000-0005-0000-0000-0000E10E0000}"/>
    <cellStyle name="Comma 6 5 3 2" xfId="9032" xr:uid="{31CE5D90-57D2-4EA7-95B1-D020D1D96D30}"/>
    <cellStyle name="Comma 6 5 4" xfId="7483" xr:uid="{E7A45FB6-B415-4FEA-B2FB-021F0B2B361F}"/>
    <cellStyle name="Comma 6 6" xfId="4497" xr:uid="{00000000-0005-0000-0000-0000E20E0000}"/>
    <cellStyle name="Comma 6 6 2" xfId="4498" xr:uid="{00000000-0005-0000-0000-0000E30E0000}"/>
    <cellStyle name="Comma 6 6 2 2" xfId="8150" xr:uid="{BD42814E-7841-448C-B324-C80A4EB57E9E}"/>
    <cellStyle name="Comma 6 6 3" xfId="8149" xr:uid="{879B0901-6C98-44C1-90E7-1078E95E591E}"/>
    <cellStyle name="Comma 6 7" xfId="4499" xr:uid="{00000000-0005-0000-0000-0000E40E0000}"/>
    <cellStyle name="Comma 6 7 2" xfId="4500" xr:uid="{00000000-0005-0000-0000-0000E50E0000}"/>
    <cellStyle name="Comma 6 7 2 2" xfId="8152" xr:uid="{B7AF04D5-C3CF-45BD-AE6E-AF26A728CE85}"/>
    <cellStyle name="Comma 6 7 3" xfId="8151" xr:uid="{A8A9AD1E-8DA0-4AEB-893B-4955549C1602}"/>
    <cellStyle name="Comma 6 8" xfId="4501" xr:uid="{00000000-0005-0000-0000-0000E60E0000}"/>
    <cellStyle name="Comma 6 8 2" xfId="4502" xr:uid="{00000000-0005-0000-0000-0000E70E0000}"/>
    <cellStyle name="Comma 6 8 2 2" xfId="8154" xr:uid="{63BE2622-88A9-4E54-AB65-CFF46651F4AC}"/>
    <cellStyle name="Comma 6 8 3" xfId="8153" xr:uid="{C3E8BF0D-465E-4C60-BD68-0DEAB6B622BD}"/>
    <cellStyle name="Comma 6 9" xfId="4503" xr:uid="{00000000-0005-0000-0000-0000E80E0000}"/>
    <cellStyle name="Comma 6 9 2" xfId="4504" xr:uid="{00000000-0005-0000-0000-0000E90E0000}"/>
    <cellStyle name="Comma 6 9 2 2" xfId="8156" xr:uid="{CA0455DC-0EB6-4C2C-88C4-3B85E174CC68}"/>
    <cellStyle name="Comma 6 9 3" xfId="8155" xr:uid="{70BE18D1-517D-4559-BFAD-B4CE2945B0EA}"/>
    <cellStyle name="Comma 60" xfId="5864" xr:uid="{00000000-0005-0000-0000-0000EA0E0000}"/>
    <cellStyle name="Comma 60 2" xfId="6229" xr:uid="{00000000-0005-0000-0000-0000EB0E0000}"/>
    <cellStyle name="Comma 60 2 2" xfId="9033" xr:uid="{79060EE3-B5EB-4B5B-9586-7638E118628E}"/>
    <cellStyle name="Comma 60 3" xfId="8754" xr:uid="{210FBC25-574B-4CEE-A92F-A1427F1F0697}"/>
    <cellStyle name="Comma 61" xfId="5865" xr:uid="{00000000-0005-0000-0000-0000EC0E0000}"/>
    <cellStyle name="Comma 61 2" xfId="6230" xr:uid="{00000000-0005-0000-0000-0000ED0E0000}"/>
    <cellStyle name="Comma 61 2 2" xfId="9034" xr:uid="{625BE2BC-8834-4FED-BE0A-085A932EA3BA}"/>
    <cellStyle name="Comma 61 3" xfId="8755" xr:uid="{3155FEF9-0D5E-42B0-8C9E-31D7A039E1D8}"/>
    <cellStyle name="Comma 62" xfId="5866" xr:uid="{00000000-0005-0000-0000-0000EE0E0000}"/>
    <cellStyle name="Comma 62 2" xfId="6231" xr:uid="{00000000-0005-0000-0000-0000EF0E0000}"/>
    <cellStyle name="Comma 62 2 2" xfId="9035" xr:uid="{ADB4554A-750C-41F3-8539-EDF83F88417D}"/>
    <cellStyle name="Comma 62 3" xfId="8756" xr:uid="{E090FCB9-86AE-45E1-96BE-5E22E74FB5B0}"/>
    <cellStyle name="Comma 63" xfId="5867" xr:uid="{00000000-0005-0000-0000-0000F00E0000}"/>
    <cellStyle name="Comma 64" xfId="5868" xr:uid="{00000000-0005-0000-0000-0000F10E0000}"/>
    <cellStyle name="Comma 64 2" xfId="6232" xr:uid="{00000000-0005-0000-0000-0000F20E0000}"/>
    <cellStyle name="Comma 64 2 2" xfId="9036" xr:uid="{E13D50B3-E6CF-4E45-9A47-5C3C960CD459}"/>
    <cellStyle name="Comma 64 3" xfId="8757" xr:uid="{697E5AC1-2962-4D10-AE60-58BB938E508C}"/>
    <cellStyle name="Comma 65" xfId="5675" xr:uid="{00000000-0005-0000-0000-0000F30E0000}"/>
    <cellStyle name="Comma 65 2" xfId="8576" xr:uid="{6022C5A8-4A9C-4DDD-9F35-AF49A01B2AB5}"/>
    <cellStyle name="Comma 66" xfId="5916" xr:uid="{00000000-0005-0000-0000-0000F40E0000}"/>
    <cellStyle name="Comma 66 2" xfId="8782" xr:uid="{CBEE0343-DD70-43E5-949A-CB6BB28AED2C}"/>
    <cellStyle name="Comma 67" xfId="5988" xr:uid="{00000000-0005-0000-0000-0000F50E0000}"/>
    <cellStyle name="Comma 67 2" xfId="8814" xr:uid="{9B4C3F5A-AC4E-44E9-A944-5E7C2E407B88}"/>
    <cellStyle name="Comma 68" xfId="5926" xr:uid="{00000000-0005-0000-0000-0000F60E0000}"/>
    <cellStyle name="Comma 68 2" xfId="6233" xr:uid="{00000000-0005-0000-0000-0000F70E0000}"/>
    <cellStyle name="Comma 68 2 2" xfId="9037" xr:uid="{8845D122-70B3-4AE9-87A5-84A3990EED94}"/>
    <cellStyle name="Comma 68 3" xfId="8784" xr:uid="{1F8733BE-F134-4286-83A9-430975854B06}"/>
    <cellStyle name="Comma 69" xfId="5990" xr:uid="{00000000-0005-0000-0000-0000F80E0000}"/>
    <cellStyle name="Comma 69 2" xfId="6234" xr:uid="{00000000-0005-0000-0000-0000F90E0000}"/>
    <cellStyle name="Comma 69 2 2" xfId="9038" xr:uid="{C35AFE0B-4546-4F77-A747-C4404C91FA3B}"/>
    <cellStyle name="Comma 69 3" xfId="8815" xr:uid="{FB33457E-B14C-4185-8D18-493D6641E5BD}"/>
    <cellStyle name="Comma 7" xfId="425" xr:uid="{00000000-0005-0000-0000-0000FA0E0000}"/>
    <cellStyle name="Comma 7 10" xfId="4505" xr:uid="{00000000-0005-0000-0000-0000FB0E0000}"/>
    <cellStyle name="Comma 7 10 2" xfId="4506" xr:uid="{00000000-0005-0000-0000-0000FC0E0000}"/>
    <cellStyle name="Comma 7 10 2 2" xfId="8158" xr:uid="{877B6B48-9C97-4440-BED2-C10CD4F468C6}"/>
    <cellStyle name="Comma 7 10 3" xfId="8157" xr:uid="{D70A76D4-1902-45E2-BB36-89360792F3EB}"/>
    <cellStyle name="Comma 7 11" xfId="4507" xr:uid="{00000000-0005-0000-0000-0000FD0E0000}"/>
    <cellStyle name="Comma 7 11 2" xfId="4508" xr:uid="{00000000-0005-0000-0000-0000FE0E0000}"/>
    <cellStyle name="Comma 7 11 2 2" xfId="8160" xr:uid="{5B894783-F410-4C09-940A-26BC9945CF7F}"/>
    <cellStyle name="Comma 7 11 3" xfId="8159" xr:uid="{6BBE0FC5-2D2D-438D-A849-95D8D93FBA48}"/>
    <cellStyle name="Comma 7 12" xfId="4509" xr:uid="{00000000-0005-0000-0000-0000FF0E0000}"/>
    <cellStyle name="Comma 7 12 2" xfId="4510" xr:uid="{00000000-0005-0000-0000-0000000F0000}"/>
    <cellStyle name="Comma 7 12 2 2" xfId="8162" xr:uid="{C691526F-580D-487D-AF04-50FB606DD79F}"/>
    <cellStyle name="Comma 7 12 3" xfId="8161" xr:uid="{46F63EDA-F956-491D-A4B9-F45720EA5ED0}"/>
    <cellStyle name="Comma 7 13" xfId="4511" xr:uid="{00000000-0005-0000-0000-0000010F0000}"/>
    <cellStyle name="Comma 7 13 2" xfId="4512" xr:uid="{00000000-0005-0000-0000-0000020F0000}"/>
    <cellStyle name="Comma 7 13 2 2" xfId="8164" xr:uid="{3B876AB8-A444-4601-A65F-0B563FC5BEA8}"/>
    <cellStyle name="Comma 7 13 3" xfId="8163" xr:uid="{F1FF6DF2-F385-4FFE-BC23-13B8F146D180}"/>
    <cellStyle name="Comma 7 14" xfId="4513" xr:uid="{00000000-0005-0000-0000-0000030F0000}"/>
    <cellStyle name="Comma 7 14 2" xfId="4514" xr:uid="{00000000-0005-0000-0000-0000040F0000}"/>
    <cellStyle name="Comma 7 14 2 2" xfId="8166" xr:uid="{0B01D0BF-BA66-4CAE-9501-450F08A0BA87}"/>
    <cellStyle name="Comma 7 14 3" xfId="8165" xr:uid="{FA6AE723-8097-40A3-98C9-7EAEE948B215}"/>
    <cellStyle name="Comma 7 15" xfId="4515" xr:uid="{00000000-0005-0000-0000-0000050F0000}"/>
    <cellStyle name="Comma 7 15 2" xfId="4516" xr:uid="{00000000-0005-0000-0000-0000060F0000}"/>
    <cellStyle name="Comma 7 15 2 2" xfId="8168" xr:uid="{442A6E4A-F947-4366-B91F-A0FFA234BA87}"/>
    <cellStyle name="Comma 7 15 3" xfId="8167" xr:uid="{1AC9CE84-DFB1-41BA-BF11-A9DF04525DF5}"/>
    <cellStyle name="Comma 7 16" xfId="4517" xr:uid="{00000000-0005-0000-0000-0000070F0000}"/>
    <cellStyle name="Comma 7 16 2" xfId="8169" xr:uid="{48B83246-B7E4-42F5-A36B-1FB1E73C143D}"/>
    <cellStyle name="Comma 7 17" xfId="4518" xr:uid="{00000000-0005-0000-0000-0000080F0000}"/>
    <cellStyle name="Comma 7 18" xfId="5869" xr:uid="{00000000-0005-0000-0000-0000090F0000}"/>
    <cellStyle name="Comma 7 18 2" xfId="8758" xr:uid="{112E01C9-003C-4637-8E3E-45B87C6F8BB2}"/>
    <cellStyle name="Comma 7 19" xfId="6984" xr:uid="{69D807E2-BAAF-4B4E-8500-D3C9375360E7}"/>
    <cellStyle name="Comma 7 19 2" xfId="9609" xr:uid="{D2A631D9-2CAD-4F2D-A80D-D21EC94AE34D}"/>
    <cellStyle name="Comma 7 2" xfId="426" xr:uid="{00000000-0005-0000-0000-00000A0F0000}"/>
    <cellStyle name="Comma 7 2 2" xfId="4519" xr:uid="{00000000-0005-0000-0000-00000B0F0000}"/>
    <cellStyle name="Comma 7 2 2 2" xfId="6235" xr:uid="{00000000-0005-0000-0000-00000C0F0000}"/>
    <cellStyle name="Comma 7 2 2 2 2" xfId="6985" xr:uid="{A94434FC-68F2-4E89-BD34-013467D29848}"/>
    <cellStyle name="Comma 7 2 2 2 2 2" xfId="9610" xr:uid="{E7A2045A-C418-401B-AF54-25CF1248F1F0}"/>
    <cellStyle name="Comma 7 2 2 2 3" xfId="9039" xr:uid="{D27B098E-2AF4-47AB-9B0F-786C55CD298F}"/>
    <cellStyle name="Comma 7 2 2 3" xfId="6911" xr:uid="{12B6B773-88B1-4091-8C01-73004E46B7A5}"/>
    <cellStyle name="Comma 7 2 2 3 2" xfId="9550" xr:uid="{B2B3F0A8-DC0A-4610-A54B-F7843E520E39}"/>
    <cellStyle name="Comma 7 2 2 4" xfId="8170" xr:uid="{2E9F18A5-C488-4016-9BEC-C7461B45BA67}"/>
    <cellStyle name="Comma 7 2 3" xfId="5870" xr:uid="{00000000-0005-0000-0000-00000D0F0000}"/>
    <cellStyle name="Comma 7 2 3 2" xfId="6988" xr:uid="{0B4C2F59-91BB-4DA0-93AA-E56DD3364461}"/>
    <cellStyle name="Comma 7 2 3 2 2" xfId="9611" xr:uid="{4103D5F8-A01B-4F48-8505-496382F7B4A4}"/>
    <cellStyle name="Comma 7 2 3 3" xfId="8759" xr:uid="{A49C91E0-6E81-45FD-84F2-BBA1FC501505}"/>
    <cellStyle name="Comma 7 2 4" xfId="6909" xr:uid="{038D4913-5194-472A-9FE6-7321143F4CF0}"/>
    <cellStyle name="Comma 7 2 4 2" xfId="9548" xr:uid="{309FE7D5-5209-44D5-93F4-18BD75542B65}"/>
    <cellStyle name="Comma 7 3" xfId="1877" xr:uid="{00000000-0005-0000-0000-00000E0F0000}"/>
    <cellStyle name="Comma 7 3 2" xfId="1878" xr:uid="{00000000-0005-0000-0000-00000F0F0000}"/>
    <cellStyle name="Comma 7 3 2 2" xfId="6993" xr:uid="{30C276E5-E99B-49AA-947D-C5A70E50EDF4}"/>
    <cellStyle name="Comma 7 3 2 2 2" xfId="9613" xr:uid="{E2FF03D5-5D91-430C-8606-A5680DF6D07B}"/>
    <cellStyle name="Comma 7 3 2 3" xfId="7485" xr:uid="{A3098998-A2B3-43A6-BDA5-CE05C334F13C}"/>
    <cellStyle name="Comma 7 3 3" xfId="5871" xr:uid="{00000000-0005-0000-0000-0000100F0000}"/>
    <cellStyle name="Comma 7 3 4" xfId="6989" xr:uid="{B8D6A3FF-D070-4944-854F-A0CF8A252EAB}"/>
    <cellStyle name="Comma 7 3 4 2" xfId="9612" xr:uid="{DF3D3790-9494-4530-8FE4-2CE2DE6BE4CA}"/>
    <cellStyle name="Comma 7 3 5" xfId="7484" xr:uid="{D0506230-2C23-4077-8181-4DDCD1C6EC3E}"/>
    <cellStyle name="Comma 7 4" xfId="1879" xr:uid="{00000000-0005-0000-0000-0000110F0000}"/>
    <cellStyle name="Comma 7 4 2" xfId="4520" xr:uid="{00000000-0005-0000-0000-0000120F0000}"/>
    <cellStyle name="Comma 7 4 2 2" xfId="8171" xr:uid="{ECC3A0D3-A77B-47A8-B322-E7621DD8454C}"/>
    <cellStyle name="Comma 7 4 3" xfId="6236" xr:uid="{00000000-0005-0000-0000-0000130F0000}"/>
    <cellStyle name="Comma 7 4 3 2" xfId="9040" xr:uid="{C0BE6606-EFEC-42D8-82E9-63BED21BDB22}"/>
    <cellStyle name="Comma 7 4 4" xfId="6994" xr:uid="{EF1B4D83-1894-43F5-AB63-2E58701BC7BD}"/>
    <cellStyle name="Comma 7 4 4 2" xfId="9614" xr:uid="{D2EBC82B-78E7-4BAF-B499-34430314EA52}"/>
    <cellStyle name="Comma 7 4 5" xfId="7486" xr:uid="{35271896-767D-4E0B-AEEC-4072E803FA14}"/>
    <cellStyle name="Comma 7 5" xfId="4521" xr:uid="{00000000-0005-0000-0000-0000140F0000}"/>
    <cellStyle name="Comma 7 5 2" xfId="4522" xr:uid="{00000000-0005-0000-0000-0000150F0000}"/>
    <cellStyle name="Comma 7 5 2 2" xfId="8173" xr:uid="{E856F5AB-EB92-4685-88A4-750927370DB3}"/>
    <cellStyle name="Comma 7 5 3" xfId="8172" xr:uid="{FE4368AC-EE3A-41C6-8DB2-584F55DFBBA7}"/>
    <cellStyle name="Comma 7 6" xfId="4523" xr:uid="{00000000-0005-0000-0000-0000160F0000}"/>
    <cellStyle name="Comma 7 6 2" xfId="4524" xr:uid="{00000000-0005-0000-0000-0000170F0000}"/>
    <cellStyle name="Comma 7 6 2 2" xfId="8175" xr:uid="{BD1268AE-701B-4054-A459-26F15844BF1E}"/>
    <cellStyle name="Comma 7 6 3" xfId="8174" xr:uid="{4560F8CC-5C48-4F55-B05B-C881E19C7712}"/>
    <cellStyle name="Comma 7 7" xfId="4525" xr:uid="{00000000-0005-0000-0000-0000180F0000}"/>
    <cellStyle name="Comma 7 7 2" xfId="4526" xr:uid="{00000000-0005-0000-0000-0000190F0000}"/>
    <cellStyle name="Comma 7 7 2 2" xfId="8177" xr:uid="{64C46FA3-A255-43CD-8A9C-64BD0904365D}"/>
    <cellStyle name="Comma 7 7 3" xfId="8176" xr:uid="{11927D03-2028-4E49-8A33-EA3389056629}"/>
    <cellStyle name="Comma 7 8" xfId="4527" xr:uid="{00000000-0005-0000-0000-00001A0F0000}"/>
    <cellStyle name="Comma 7 8 2" xfId="4528" xr:uid="{00000000-0005-0000-0000-00001B0F0000}"/>
    <cellStyle name="Comma 7 8 2 2" xfId="8179" xr:uid="{9A9C5695-D5B8-4C0A-913E-29CE12329FE6}"/>
    <cellStyle name="Comma 7 8 3" xfId="8178" xr:uid="{91530689-E872-41BC-8E84-BAD3477526F7}"/>
    <cellStyle name="Comma 7 9" xfId="4529" xr:uid="{00000000-0005-0000-0000-00001C0F0000}"/>
    <cellStyle name="Comma 7 9 2" xfId="4530" xr:uid="{00000000-0005-0000-0000-00001D0F0000}"/>
    <cellStyle name="Comma 7 9 2 2" xfId="8181" xr:uid="{9F23F438-CB13-41E8-9C9E-E641D6424CF2}"/>
    <cellStyle name="Comma 7 9 3" xfId="8180" xr:uid="{6EC3D7C5-9B8F-4F82-A064-9B467B97F5A3}"/>
    <cellStyle name="Comma 70" xfId="5928" xr:uid="{00000000-0005-0000-0000-00001E0F0000}"/>
    <cellStyle name="Comma 70 2" xfId="6237" xr:uid="{00000000-0005-0000-0000-00001F0F0000}"/>
    <cellStyle name="Comma 70 2 2" xfId="9041" xr:uid="{7473CA2B-FAEA-4BC4-8E85-5F323386E0B5}"/>
    <cellStyle name="Comma 70 3" xfId="8785" xr:uid="{BB913FC1-1DB8-48CB-B09D-26746387454D}"/>
    <cellStyle name="Comma 71" xfId="5992" xr:uid="{00000000-0005-0000-0000-0000200F0000}"/>
    <cellStyle name="Comma 71 2" xfId="6238" xr:uid="{00000000-0005-0000-0000-0000210F0000}"/>
    <cellStyle name="Comma 71 2 2" xfId="9042" xr:uid="{884AE5CE-BAEF-4EA9-8D40-2C275497DFA4}"/>
    <cellStyle name="Comma 71 3" xfId="8816" xr:uid="{F1FC47B7-3B8F-4AC1-81CB-6E16EA3C5A0A}"/>
    <cellStyle name="Comma 72" xfId="5931" xr:uid="{00000000-0005-0000-0000-0000220F0000}"/>
    <cellStyle name="Comma 72 2" xfId="6239" xr:uid="{00000000-0005-0000-0000-0000230F0000}"/>
    <cellStyle name="Comma 72 2 2" xfId="9043" xr:uid="{E0CA803A-7D84-45E3-876F-BB5B014CB527}"/>
    <cellStyle name="Comma 72 3" xfId="8786" xr:uid="{28836765-66EA-43E5-9742-28E9B36FA4D5}"/>
    <cellStyle name="Comma 73" xfId="5993" xr:uid="{00000000-0005-0000-0000-0000240F0000}"/>
    <cellStyle name="Comma 73 2" xfId="8817" xr:uid="{DB0431B4-C1D3-4E65-B52F-568F027A6FE7}"/>
    <cellStyle name="Comma 74" xfId="6037" xr:uid="{00000000-0005-0000-0000-0000250F0000}"/>
    <cellStyle name="Comma 74 2" xfId="8849" xr:uid="{AD35B486-BBC9-4ABD-8C73-8F3D07CF05D8}"/>
    <cellStyle name="Comma 75" xfId="6357" xr:uid="{D2E46BCF-FC2F-4234-B323-BCE77F5E48C5}"/>
    <cellStyle name="Comma 75 2" xfId="9139" xr:uid="{CD6AFC5F-DEBD-4D12-B59A-2D0EB2FCC785}"/>
    <cellStyle name="Comma 76" xfId="9690" xr:uid="{8E37A808-5777-4788-997B-870E181A868C}"/>
    <cellStyle name="Comma 77" xfId="9891" xr:uid="{D7DC3303-4D8D-47D6-AF8E-28AB2B5E4E78}"/>
    <cellStyle name="Comma 8" xfId="427" xr:uid="{00000000-0005-0000-0000-0000260F0000}"/>
    <cellStyle name="Comma 8 10" xfId="4531" xr:uid="{00000000-0005-0000-0000-0000270F0000}"/>
    <cellStyle name="Comma 8 10 2" xfId="4532" xr:uid="{00000000-0005-0000-0000-0000280F0000}"/>
    <cellStyle name="Comma 8 10 2 2" xfId="8183" xr:uid="{96C60E68-C0D9-4675-A000-9BD29237FFD6}"/>
    <cellStyle name="Comma 8 10 3" xfId="8182" xr:uid="{C712BF4B-044E-44C8-9542-5FB8605E354E}"/>
    <cellStyle name="Comma 8 11" xfId="4533" xr:uid="{00000000-0005-0000-0000-0000290F0000}"/>
    <cellStyle name="Comma 8 11 2" xfId="4534" xr:uid="{00000000-0005-0000-0000-00002A0F0000}"/>
    <cellStyle name="Comma 8 11 2 2" xfId="8185" xr:uid="{6C0F44FD-AA2A-4AB1-BADF-D98EA53F605B}"/>
    <cellStyle name="Comma 8 11 3" xfId="8184" xr:uid="{37E9D87D-4B4F-4732-8F56-54FEF74ECB49}"/>
    <cellStyle name="Comma 8 12" xfId="4535" xr:uid="{00000000-0005-0000-0000-00002B0F0000}"/>
    <cellStyle name="Comma 8 12 2" xfId="4536" xr:uid="{00000000-0005-0000-0000-00002C0F0000}"/>
    <cellStyle name="Comma 8 12 2 2" xfId="8187" xr:uid="{242ED19C-B843-4DD6-95E2-B4507A9651F5}"/>
    <cellStyle name="Comma 8 12 3" xfId="8186" xr:uid="{C266A39E-1945-4467-ADE5-641370B83F8A}"/>
    <cellStyle name="Comma 8 13" xfId="4537" xr:uid="{00000000-0005-0000-0000-00002D0F0000}"/>
    <cellStyle name="Comma 8 13 2" xfId="4538" xr:uid="{00000000-0005-0000-0000-00002E0F0000}"/>
    <cellStyle name="Comma 8 13 2 2" xfId="8189" xr:uid="{A0BFB5E1-B94D-48DE-A5FC-19B3D5A265E3}"/>
    <cellStyle name="Comma 8 13 3" xfId="8188" xr:uid="{CDAB78BA-BB1C-423C-B7C3-4273BB2C9F18}"/>
    <cellStyle name="Comma 8 14" xfId="4539" xr:uid="{00000000-0005-0000-0000-00002F0F0000}"/>
    <cellStyle name="Comma 8 14 2" xfId="4540" xr:uid="{00000000-0005-0000-0000-0000300F0000}"/>
    <cellStyle name="Comma 8 14 2 2" xfId="8191" xr:uid="{F5C1822A-6412-4D3D-80C2-63A667F15658}"/>
    <cellStyle name="Comma 8 14 3" xfId="8190" xr:uid="{E72E32B8-7A0F-4667-9D8F-ED24C65C54D7}"/>
    <cellStyle name="Comma 8 15" xfId="4541" xr:uid="{00000000-0005-0000-0000-0000310F0000}"/>
    <cellStyle name="Comma 8 15 2" xfId="4542" xr:uid="{00000000-0005-0000-0000-0000320F0000}"/>
    <cellStyle name="Comma 8 15 2 2" xfId="8193" xr:uid="{0854B01E-423A-4525-9E60-F6FEF359F09C}"/>
    <cellStyle name="Comma 8 15 3" xfId="8192" xr:uid="{BCA32291-12AF-4175-A020-6B3E818F3481}"/>
    <cellStyle name="Comma 8 16" xfId="4543" xr:uid="{00000000-0005-0000-0000-0000330F0000}"/>
    <cellStyle name="Comma 8 16 2" xfId="8194" xr:uid="{4E8EC89A-2234-415E-9801-5BD96A3ED4B2}"/>
    <cellStyle name="Comma 8 17" xfId="4544" xr:uid="{00000000-0005-0000-0000-0000340F0000}"/>
    <cellStyle name="Comma 8 17 2" xfId="8195" xr:uid="{0C2D973E-8333-4C97-A4F7-517EFD36E6F7}"/>
    <cellStyle name="Comma 8 18" xfId="5872" xr:uid="{00000000-0005-0000-0000-0000350F0000}"/>
    <cellStyle name="Comma 8 18 2" xfId="8760" xr:uid="{071018C9-BCFA-4328-8FBE-FD2CF9C5E4FA}"/>
    <cellStyle name="Comma 8 19" xfId="6995" xr:uid="{4B658C8D-C8A8-461C-BD13-EEF2BB625A71}"/>
    <cellStyle name="Comma 8 19 2" xfId="9615" xr:uid="{6386EEA9-49B8-4600-B6FF-1606F03DEE62}"/>
    <cellStyle name="Comma 8 2" xfId="428" xr:uid="{00000000-0005-0000-0000-0000360F0000}"/>
    <cellStyle name="Comma 8 2 2" xfId="429" xr:uid="{00000000-0005-0000-0000-0000370F0000}"/>
    <cellStyle name="Comma 8 2 2 2" xfId="430" xr:uid="{00000000-0005-0000-0000-0000380F0000}"/>
    <cellStyle name="Comma 8 2 2 2 2" xfId="6594" xr:uid="{B9FB4EA7-CA5A-4FF1-8AA8-BCD7270EF343}"/>
    <cellStyle name="Comma 8 2 2 2 2 2" xfId="9279" xr:uid="{3CFA5EDC-9376-4AB2-8B14-5FD35C3D076B}"/>
    <cellStyle name="Comma 8 2 2 2 3" xfId="6532" xr:uid="{C6D711A3-A3FA-44FB-91B3-246D2CAE081F}"/>
    <cellStyle name="Comma 8 2 2 2 3 2" xfId="9240" xr:uid="{10AE7D21-9186-4D26-98BB-7F1B5FFECC16}"/>
    <cellStyle name="Comma 8 2 2 2 4" xfId="7290" xr:uid="{83BF1B86-B9EE-4788-941C-33C50B2DD0AF}"/>
    <cellStyle name="Comma 8 2 2 3" xfId="6240" xr:uid="{00000000-0005-0000-0000-0000390F0000}"/>
    <cellStyle name="Comma 8 2 2 3 2" xfId="6439" xr:uid="{F3DAA924-DC78-4F25-85EB-BCECFCE6536F}"/>
    <cellStyle name="Comma 8 2 2 3 2 2" xfId="9183" xr:uid="{B41EE298-B521-4BCD-BE74-3C1029586890}"/>
    <cellStyle name="Comma 8 2 2 3 3" xfId="9044" xr:uid="{C8495281-1D65-4998-BCCD-EB5AB135E3D4}"/>
    <cellStyle name="Comma 8 2 2 4" xfId="6457" xr:uid="{69E58C4B-EA5E-42CE-AAD7-8610F8952284}"/>
    <cellStyle name="Comma 8 2 2 4 2" xfId="9198" xr:uid="{EAD3457F-1FD2-4F5A-9180-E13FFED504A5}"/>
    <cellStyle name="Comma 8 2 3" xfId="4545" xr:uid="{00000000-0005-0000-0000-00003A0F0000}"/>
    <cellStyle name="Comma 8 2 3 2" xfId="6464" xr:uid="{93A53AE3-5619-4903-917C-388CDD493F58}"/>
    <cellStyle name="Comma 8 2 3 2 2" xfId="9204" xr:uid="{94E4C017-297B-4C35-A621-F2B4C4B8187B}"/>
    <cellStyle name="Comma 8 2 4" xfId="5873" xr:uid="{00000000-0005-0000-0000-00003B0F0000}"/>
    <cellStyle name="Comma 8 2 4 2" xfId="8761" xr:uid="{EC44EC2E-DADF-4B2D-B4EC-4A3A3B12C99B}"/>
    <cellStyle name="Comma 8 2 5" xfId="6997" xr:uid="{185851CB-B52D-43D9-8CE1-CF4FB0ACB62D}"/>
    <cellStyle name="Comma 8 2 5 2" xfId="9616" xr:uid="{F3A583C2-1C62-46D8-9196-82035B1C3F30}"/>
    <cellStyle name="Comma 8 2 6" xfId="7289" xr:uid="{338EB6DB-F8E2-4DC5-9140-E73E72C63E0B}"/>
    <cellStyle name="Comma 8 3" xfId="4546" xr:uid="{00000000-0005-0000-0000-00003C0F0000}"/>
    <cellStyle name="Comma 8 3 2" xfId="4547" xr:uid="{00000000-0005-0000-0000-00003D0F0000}"/>
    <cellStyle name="Comma 8 3 2 2" xfId="6241" xr:uid="{00000000-0005-0000-0000-00003E0F0000}"/>
    <cellStyle name="Comma 8 3 2 2 2" xfId="9045" xr:uid="{E4775148-BF36-424A-8B94-EE176A4AF34F}"/>
    <cellStyle name="Comma 8 3 2 3" xfId="8197" xr:uid="{4654C410-CFA3-4010-BEE2-3857A500AE15}"/>
    <cellStyle name="Comma 8 3 3" xfId="5874" xr:uid="{00000000-0005-0000-0000-00003F0F0000}"/>
    <cellStyle name="Comma 8 3 3 2" xfId="8762" xr:uid="{BE3723F7-368B-434D-A191-5175DE681861}"/>
    <cellStyle name="Comma 8 3 4" xfId="8196" xr:uid="{B4306963-66D9-4B15-B9FC-44F53C877870}"/>
    <cellStyle name="Comma 8 4" xfId="4548" xr:uid="{00000000-0005-0000-0000-0000400F0000}"/>
    <cellStyle name="Comma 8 4 2" xfId="4549" xr:uid="{00000000-0005-0000-0000-0000410F0000}"/>
    <cellStyle name="Comma 8 4 2 2" xfId="8199" xr:uid="{3C166E0F-E028-4285-ABBD-B81A7EC635DE}"/>
    <cellStyle name="Comma 8 4 3" xfId="6242" xr:uid="{00000000-0005-0000-0000-0000420F0000}"/>
    <cellStyle name="Comma 8 4 3 2" xfId="9046" xr:uid="{9D91C294-9F2C-47E9-BCEE-835A9A235358}"/>
    <cellStyle name="Comma 8 4 4" xfId="6603" xr:uid="{C12D9360-59CD-4C0F-A697-739E303301CE}"/>
    <cellStyle name="Comma 8 4 4 2" xfId="9288" xr:uid="{B871D80D-54F0-4A07-8236-4A8177D6A1DF}"/>
    <cellStyle name="Comma 8 4 5" xfId="8198" xr:uid="{B1416811-8F6A-41A5-A4E2-8F4F044A871B}"/>
    <cellStyle name="Comma 8 5" xfId="4550" xr:uid="{00000000-0005-0000-0000-0000430F0000}"/>
    <cellStyle name="Comma 8 5 2" xfId="4551" xr:uid="{00000000-0005-0000-0000-0000440F0000}"/>
    <cellStyle name="Comma 8 5 2 2" xfId="8201" xr:uid="{5780D516-462E-4AF9-B5D6-B4E228208041}"/>
    <cellStyle name="Comma 8 5 3" xfId="8200" xr:uid="{005F24A8-94F1-4108-A5B6-51750F92ECA9}"/>
    <cellStyle name="Comma 8 6" xfId="4552" xr:uid="{00000000-0005-0000-0000-0000450F0000}"/>
    <cellStyle name="Comma 8 6 2" xfId="4553" xr:uid="{00000000-0005-0000-0000-0000460F0000}"/>
    <cellStyle name="Comma 8 6 2 2" xfId="8203" xr:uid="{14ECDD97-4E69-4060-9C68-17D850F5FCB4}"/>
    <cellStyle name="Comma 8 6 3" xfId="8202" xr:uid="{9A6C17C0-0AFD-4DB3-A55A-EE5434C20CA1}"/>
    <cellStyle name="Comma 8 7" xfId="4554" xr:uid="{00000000-0005-0000-0000-0000470F0000}"/>
    <cellStyle name="Comma 8 7 2" xfId="4555" xr:uid="{00000000-0005-0000-0000-0000480F0000}"/>
    <cellStyle name="Comma 8 7 2 2" xfId="8205" xr:uid="{15F34343-9C1B-4581-9415-5A5CBDB11A5B}"/>
    <cellStyle name="Comma 8 7 3" xfId="8204" xr:uid="{31AF5426-498D-46D0-AE92-748B2C0C0A3A}"/>
    <cellStyle name="Comma 8 8" xfId="4556" xr:uid="{00000000-0005-0000-0000-0000490F0000}"/>
    <cellStyle name="Comma 8 8 2" xfId="4557" xr:uid="{00000000-0005-0000-0000-00004A0F0000}"/>
    <cellStyle name="Comma 8 8 2 2" xfId="8207" xr:uid="{A619A3FF-992D-400D-B27A-48EE41939A04}"/>
    <cellStyle name="Comma 8 8 3" xfId="8206" xr:uid="{D607ABFA-23F0-42A8-9227-582A6A16C490}"/>
    <cellStyle name="Comma 8 9" xfId="4558" xr:uid="{00000000-0005-0000-0000-00004B0F0000}"/>
    <cellStyle name="Comma 8 9 2" xfId="4559" xr:uid="{00000000-0005-0000-0000-00004C0F0000}"/>
    <cellStyle name="Comma 8 9 2 2" xfId="8209" xr:uid="{F5ACF6C2-CF87-4261-81DA-2B057255F517}"/>
    <cellStyle name="Comma 8 9 3" xfId="8208" xr:uid="{BA7096B9-A225-497E-BB0F-1F21FB6BBA6F}"/>
    <cellStyle name="Comma 9" xfId="431" xr:uid="{00000000-0005-0000-0000-00004D0F0000}"/>
    <cellStyle name="Comma 9 10" xfId="4560" xr:uid="{00000000-0005-0000-0000-00004E0F0000}"/>
    <cellStyle name="Comma 9 10 2" xfId="4561" xr:uid="{00000000-0005-0000-0000-00004F0F0000}"/>
    <cellStyle name="Comma 9 10 2 2" xfId="8211" xr:uid="{E58F8BD9-326B-4E1B-914C-31766032E37F}"/>
    <cellStyle name="Comma 9 10 3" xfId="8210" xr:uid="{A04CEE7C-F15E-43DF-B754-C9A48966E9CA}"/>
    <cellStyle name="Comma 9 11" xfId="4562" xr:uid="{00000000-0005-0000-0000-0000500F0000}"/>
    <cellStyle name="Comma 9 11 2" xfId="4563" xr:uid="{00000000-0005-0000-0000-0000510F0000}"/>
    <cellStyle name="Comma 9 11 2 2" xfId="8213" xr:uid="{66BCE6E9-A200-4211-B040-4C45494A0B6B}"/>
    <cellStyle name="Comma 9 11 3" xfId="8212" xr:uid="{8CAFB07D-C92B-4399-9525-8238FA920279}"/>
    <cellStyle name="Comma 9 12" xfId="4564" xr:uid="{00000000-0005-0000-0000-0000520F0000}"/>
    <cellStyle name="Comma 9 12 2" xfId="4565" xr:uid="{00000000-0005-0000-0000-0000530F0000}"/>
    <cellStyle name="Comma 9 12 2 2" xfId="8215" xr:uid="{A1B6332B-C36D-4A3E-AAA2-B6C4366F4571}"/>
    <cellStyle name="Comma 9 12 3" xfId="8214" xr:uid="{B9440FA0-4731-407B-A061-0EC0FA93E4F1}"/>
    <cellStyle name="Comma 9 13" xfId="4566" xr:uid="{00000000-0005-0000-0000-0000540F0000}"/>
    <cellStyle name="Comma 9 13 2" xfId="4567" xr:uid="{00000000-0005-0000-0000-0000550F0000}"/>
    <cellStyle name="Comma 9 13 2 2" xfId="8217" xr:uid="{E37D18CA-1094-46F9-906D-E473632DB85C}"/>
    <cellStyle name="Comma 9 13 3" xfId="8216" xr:uid="{A6BDC21C-A237-4697-8452-A399618E1DB1}"/>
    <cellStyle name="Comma 9 14" xfId="4568" xr:uid="{00000000-0005-0000-0000-0000560F0000}"/>
    <cellStyle name="Comma 9 14 2" xfId="4569" xr:uid="{00000000-0005-0000-0000-0000570F0000}"/>
    <cellStyle name="Comma 9 14 2 2" xfId="8219" xr:uid="{9414F287-7E53-4DF8-8B6C-D6967D36C5CA}"/>
    <cellStyle name="Comma 9 14 3" xfId="8218" xr:uid="{AE95E418-4AED-405E-A217-488335963CD0}"/>
    <cellStyle name="Comma 9 15" xfId="4570" xr:uid="{00000000-0005-0000-0000-0000580F0000}"/>
    <cellStyle name="Comma 9 15 2" xfId="4571" xr:uid="{00000000-0005-0000-0000-0000590F0000}"/>
    <cellStyle name="Comma 9 15 2 2" xfId="8221" xr:uid="{C2A06718-2E0F-49A6-B5CD-30272A74A2CB}"/>
    <cellStyle name="Comma 9 15 3" xfId="8220" xr:uid="{78BFF079-77FE-4959-A8AE-2F5B74282EBA}"/>
    <cellStyle name="Comma 9 16" xfId="4572" xr:uid="{00000000-0005-0000-0000-00005A0F0000}"/>
    <cellStyle name="Comma 9 16 2" xfId="8222" xr:uid="{A26FD473-C241-41B6-951F-6B708C2B1E31}"/>
    <cellStyle name="Comma 9 17" xfId="5875" xr:uid="{00000000-0005-0000-0000-00005B0F0000}"/>
    <cellStyle name="Comma 9 17 2" xfId="8763" xr:uid="{DCE7E0B6-3967-4FFD-9488-52C2C2554E3C}"/>
    <cellStyle name="Comma 9 18" xfId="6584" xr:uid="{02729CF9-0404-4027-B8C3-9C982CE14C9F}"/>
    <cellStyle name="Comma 9 18 2" xfId="9270" xr:uid="{9FE24584-C946-413B-A1BD-C8CE11908622}"/>
    <cellStyle name="Comma 9 2" xfId="432" xr:uid="{00000000-0005-0000-0000-00005C0F0000}"/>
    <cellStyle name="Comma 9 2 2" xfId="4573" xr:uid="{00000000-0005-0000-0000-00005D0F0000}"/>
    <cellStyle name="Comma 9 2 2 2" xfId="6243" xr:uid="{00000000-0005-0000-0000-00005E0F0000}"/>
    <cellStyle name="Comma 9 2 2 2 2" xfId="9047" xr:uid="{016A4A62-6518-410E-8C89-50E193A5AEC3}"/>
    <cellStyle name="Comma 9 2 2 3" xfId="6569" xr:uid="{950802AB-0E6C-4589-B5B9-219A790985E8}"/>
    <cellStyle name="Comma 9 2 2 3 2" xfId="9260" xr:uid="{4A5D4D75-CDD5-4E0A-B333-C924997FABDC}"/>
    <cellStyle name="Comma 9 2 2 4" xfId="8223" xr:uid="{52F0F2B5-1BFF-4C46-B767-CD7EFF63FCCE}"/>
    <cellStyle name="Comma 9 2 3" xfId="4574" xr:uid="{00000000-0005-0000-0000-00005F0F0000}"/>
    <cellStyle name="Comma 9 2 3 2" xfId="8224" xr:uid="{FEFF4F2A-D9F4-4D6A-88EB-8093B10FD7DE}"/>
    <cellStyle name="Comma 9 2 4" xfId="5876" xr:uid="{00000000-0005-0000-0000-0000600F0000}"/>
    <cellStyle name="Comma 9 2 4 2" xfId="8764" xr:uid="{7115EF7C-ECE2-478D-A508-C1AE3255AFFD}"/>
    <cellStyle name="Comma 9 2 5" xfId="6567" xr:uid="{FA2352DD-9BEE-4458-A98E-CACF0A9AF97F}"/>
    <cellStyle name="Comma 9 2 5 2" xfId="9258" xr:uid="{8E9A1F09-A562-4E59-9B43-E33E8E94BB57}"/>
    <cellStyle name="Comma 9 2 6" xfId="7291" xr:uid="{BEE7826D-C96C-47A6-A542-72E7A0FCABD3}"/>
    <cellStyle name="Comma 9 3" xfId="4575" xr:uid="{00000000-0005-0000-0000-0000610F0000}"/>
    <cellStyle name="Comma 9 3 2" xfId="4576" xr:uid="{00000000-0005-0000-0000-0000620F0000}"/>
    <cellStyle name="Comma 9 3 2 2" xfId="6244" xr:uid="{00000000-0005-0000-0000-0000630F0000}"/>
    <cellStyle name="Comma 9 3 2 2 2" xfId="9048" xr:uid="{D595E645-BE77-4719-88E8-B9A47DB8E096}"/>
    <cellStyle name="Comma 9 3 2 3" xfId="8226" xr:uid="{2C4696FB-D69C-4476-A59C-0AC44C344CAE}"/>
    <cellStyle name="Comma 9 3 3" xfId="5877" xr:uid="{00000000-0005-0000-0000-0000640F0000}"/>
    <cellStyle name="Comma 9 3 3 2" xfId="8765" xr:uid="{1A0C7DA0-3E1C-4D44-8425-9FFA1AD63D9D}"/>
    <cellStyle name="Comma 9 3 4" xfId="6588" xr:uid="{332EDB87-FEFE-49BC-B3AF-7C06CB98E077}"/>
    <cellStyle name="Comma 9 3 4 2" xfId="9273" xr:uid="{4A60DE1C-3DFB-43BB-9412-63D9AF165148}"/>
    <cellStyle name="Comma 9 3 5" xfId="8225" xr:uid="{A411858F-EF54-46EA-AA34-53F2757D68D9}"/>
    <cellStyle name="Comma 9 4" xfId="4577" xr:uid="{00000000-0005-0000-0000-0000650F0000}"/>
    <cellStyle name="Comma 9 4 2" xfId="4578" xr:uid="{00000000-0005-0000-0000-0000660F0000}"/>
    <cellStyle name="Comma 9 4 2 2" xfId="8228" xr:uid="{CA580B9C-AC1D-4E06-8353-03872AA31DA5}"/>
    <cellStyle name="Comma 9 4 3" xfId="6245" xr:uid="{00000000-0005-0000-0000-0000670F0000}"/>
    <cellStyle name="Comma 9 4 3 2" xfId="9049" xr:uid="{403E684C-E8B0-4E22-A089-2B49E66E7388}"/>
    <cellStyle name="Comma 9 4 4" xfId="8227" xr:uid="{C52487D3-E23A-40EC-A95D-777855EBFD56}"/>
    <cellStyle name="Comma 9 5" xfId="4579" xr:uid="{00000000-0005-0000-0000-0000680F0000}"/>
    <cellStyle name="Comma 9 5 2" xfId="4580" xr:uid="{00000000-0005-0000-0000-0000690F0000}"/>
    <cellStyle name="Comma 9 5 2 2" xfId="8230" xr:uid="{B66ECC8B-C419-41EB-9650-ADD9EDAA5942}"/>
    <cellStyle name="Comma 9 5 3" xfId="8229" xr:uid="{7D92695A-89F0-4712-8416-184ECE1F3B34}"/>
    <cellStyle name="Comma 9 6" xfId="4581" xr:uid="{00000000-0005-0000-0000-00006A0F0000}"/>
    <cellStyle name="Comma 9 6 2" xfId="4582" xr:uid="{00000000-0005-0000-0000-00006B0F0000}"/>
    <cellStyle name="Comma 9 6 2 2" xfId="8232" xr:uid="{3A26968B-72D8-4793-AF82-2A22D8DC33DD}"/>
    <cellStyle name="Comma 9 6 3" xfId="8231" xr:uid="{5609C123-A33C-48B5-8925-AEEA2DD376DC}"/>
    <cellStyle name="Comma 9 7" xfId="4583" xr:uid="{00000000-0005-0000-0000-00006C0F0000}"/>
    <cellStyle name="Comma 9 7 2" xfId="4584" xr:uid="{00000000-0005-0000-0000-00006D0F0000}"/>
    <cellStyle name="Comma 9 7 2 2" xfId="8234" xr:uid="{C26EE20F-FD37-4602-8027-C9B6938A84AB}"/>
    <cellStyle name="Comma 9 7 3" xfId="8233" xr:uid="{A5CF44F2-7671-4869-8001-55FA3BA2529F}"/>
    <cellStyle name="Comma 9 8" xfId="4585" xr:uid="{00000000-0005-0000-0000-00006E0F0000}"/>
    <cellStyle name="Comma 9 8 2" xfId="4586" xr:uid="{00000000-0005-0000-0000-00006F0F0000}"/>
    <cellStyle name="Comma 9 8 2 2" xfId="8236" xr:uid="{EB5DB3BF-9332-4E87-83BC-CD3B67817555}"/>
    <cellStyle name="Comma 9 8 3" xfId="8235" xr:uid="{AF02684D-4ACC-4D3C-BBC9-F90A1A05FE7A}"/>
    <cellStyle name="Comma 9 9" xfId="4587" xr:uid="{00000000-0005-0000-0000-0000700F0000}"/>
    <cellStyle name="Comma 9 9 2" xfId="4588" xr:uid="{00000000-0005-0000-0000-0000710F0000}"/>
    <cellStyle name="Comma 9 9 2 2" xfId="8238" xr:uid="{93340D9B-A635-4564-A168-FDF4BAB1533B}"/>
    <cellStyle name="Comma 9 9 3" xfId="8237" xr:uid="{82051D85-4505-48F6-9D4E-3B2F98DEB358}"/>
    <cellStyle name="Comma[0]_JUNI" xfId="5878" xr:uid="{00000000-0005-0000-0000-0000720F0000}"/>
    <cellStyle name="Comma0" xfId="433" xr:uid="{00000000-0005-0000-0000-0000730F0000}"/>
    <cellStyle name="Comma0 2" xfId="434" xr:uid="{00000000-0005-0000-0000-0000740F0000}"/>
    <cellStyle name="Comma0 2 2" xfId="1880" xr:uid="{00000000-0005-0000-0000-0000750F0000}"/>
    <cellStyle name="Comma0 3" xfId="1881" xr:uid="{00000000-0005-0000-0000-0000760F0000}"/>
    <cellStyle name="Copied" xfId="435" xr:uid="{00000000-0005-0000-0000-0000770F0000}"/>
    <cellStyle name="Copied 2" xfId="1882" xr:uid="{00000000-0005-0000-0000-0000780F0000}"/>
    <cellStyle name="Copied 3" xfId="7000" xr:uid="{8740595B-BD54-4F42-B43F-87C07C74136E}"/>
    <cellStyle name="COST1" xfId="436" xr:uid="{00000000-0005-0000-0000-0000790F0000}"/>
    <cellStyle name="COST1 2" xfId="1883" xr:uid="{00000000-0005-0000-0000-00007A0F0000}"/>
    <cellStyle name="COST1 2 2" xfId="4589" xr:uid="{00000000-0005-0000-0000-00007B0F0000}"/>
    <cellStyle name="COST1 3" xfId="7001" xr:uid="{BEE8102A-662D-4409-ADAF-27FA2156D54D}"/>
    <cellStyle name="Curren - Style7" xfId="437" xr:uid="{00000000-0005-0000-0000-00007C0F0000}"/>
    <cellStyle name="Curren - Style7 2" xfId="1884" xr:uid="{00000000-0005-0000-0000-00007D0F0000}"/>
    <cellStyle name="Curren - Style7 3" xfId="6793" xr:uid="{4889261C-ED19-4D61-B5AC-88454D059460}"/>
    <cellStyle name="Curren - Style8" xfId="438" xr:uid="{00000000-0005-0000-0000-00007E0F0000}"/>
    <cellStyle name="Curren - Style8 2" xfId="1885" xr:uid="{00000000-0005-0000-0000-00007F0F0000}"/>
    <cellStyle name="Curren - Style8 3" xfId="7002" xr:uid="{4E97AE69-C08C-437B-8C22-F7CBDF113EC9}"/>
    <cellStyle name="Currency (0.00)" xfId="439" xr:uid="{00000000-0005-0000-0000-0000800F0000}"/>
    <cellStyle name="Currency (0.00) 10" xfId="440" xr:uid="{00000000-0005-0000-0000-0000810F0000}"/>
    <cellStyle name="Currency (0.00) 10 2" xfId="4590" xr:uid="{00000000-0005-0000-0000-0000820F0000}"/>
    <cellStyle name="Currency (0.00) 10 2 2" xfId="8239" xr:uid="{36A2022C-5CC0-4FDE-8BA5-B9926337F183}"/>
    <cellStyle name="Currency (0.00) 10 3" xfId="7003" xr:uid="{DAF68AB2-4C02-4737-B35B-1A645BCD46CE}"/>
    <cellStyle name="Currency (0.00) 10 3 2" xfId="9618" xr:uid="{210C22A5-4847-4512-9DD3-0B71D8E18CEC}"/>
    <cellStyle name="Currency (0.00) 10 3 3" xfId="9834" xr:uid="{1FC8004F-83BA-4D66-8E7F-40E51D0371DE}"/>
    <cellStyle name="Currency (0.00) 10 4" xfId="7292" xr:uid="{4D0D243B-459D-4971-8896-78A29D363C08}"/>
    <cellStyle name="Currency (0.00) 11" xfId="441" xr:uid="{00000000-0005-0000-0000-0000830F0000}"/>
    <cellStyle name="Currency (0.00) 11 2" xfId="4591" xr:uid="{00000000-0005-0000-0000-0000840F0000}"/>
    <cellStyle name="Currency (0.00) 11 2 2" xfId="8240" xr:uid="{6F541147-6975-4F46-8D88-383309A710B6}"/>
    <cellStyle name="Currency (0.00) 11 3" xfId="7004" xr:uid="{67D7DDE1-C2B7-4B8D-A8B4-3CDF4596BFB0}"/>
    <cellStyle name="Currency (0.00) 11 3 2" xfId="9619" xr:uid="{478C90D1-D014-4CB3-8B41-FD84786317AB}"/>
    <cellStyle name="Currency (0.00) 11 3 3" xfId="9835" xr:uid="{B1140AB0-D1F3-4DFB-B632-A49A7EC5257F}"/>
    <cellStyle name="Currency (0.00) 11 4" xfId="7293" xr:uid="{ABF5B8FF-99FF-4882-A44A-0453DCF3F230}"/>
    <cellStyle name="Currency (0.00) 12" xfId="442" xr:uid="{00000000-0005-0000-0000-0000850F0000}"/>
    <cellStyle name="Currency (0.00) 12 2" xfId="4592" xr:uid="{00000000-0005-0000-0000-0000860F0000}"/>
    <cellStyle name="Currency (0.00) 12 2 2" xfId="8241" xr:uid="{A3F1146E-7C08-4EDE-9621-F1C679939DAB}"/>
    <cellStyle name="Currency (0.00) 12 3" xfId="6434" xr:uid="{4F01E962-01B7-42B1-9F8B-9E69593BC80B}"/>
    <cellStyle name="Currency (0.00) 12 3 2" xfId="9178" xr:uid="{7265DE4F-3AB0-4659-B7F7-80459CF5FEC2}"/>
    <cellStyle name="Currency (0.00) 12 3 3" xfId="9807" xr:uid="{8C6C27C1-3C5F-4077-B0C1-0FB047897019}"/>
    <cellStyle name="Currency (0.00) 12 4" xfId="7294" xr:uid="{47D45535-94EF-4029-812C-84D5AED0B899}"/>
    <cellStyle name="Currency (0.00) 13" xfId="443" xr:uid="{00000000-0005-0000-0000-0000870F0000}"/>
    <cellStyle name="Currency (0.00) 13 2" xfId="4593" xr:uid="{00000000-0005-0000-0000-0000880F0000}"/>
    <cellStyle name="Currency (0.00) 13 2 2" xfId="8242" xr:uid="{D8F8967B-FFA0-4C7E-AA18-1410A144009D}"/>
    <cellStyle name="Currency (0.00) 13 3" xfId="6529" xr:uid="{82D676E0-8FE1-4747-ABC0-9F9E0DC019E0}"/>
    <cellStyle name="Currency (0.00) 13 3 2" xfId="9239" xr:uid="{DEF20E01-3B0E-49F8-AE98-FD0AF5FFD0F3}"/>
    <cellStyle name="Currency (0.00) 13 3 3" xfId="9815" xr:uid="{6E4EDADC-E262-4163-B334-CFB65805DA44}"/>
    <cellStyle name="Currency (0.00) 13 4" xfId="7295" xr:uid="{0082B92D-CEDD-4A5F-882F-65CEC77DAB3F}"/>
    <cellStyle name="Currency (0.00) 14" xfId="444" xr:uid="{00000000-0005-0000-0000-0000890F0000}"/>
    <cellStyle name="Currency (0.00) 14 2" xfId="4594" xr:uid="{00000000-0005-0000-0000-00008A0F0000}"/>
    <cellStyle name="Currency (0.00) 14 2 2" xfId="8243" xr:uid="{FB556356-491B-45F2-8DE3-9EBFD47CBE37}"/>
    <cellStyle name="Currency (0.00) 14 3" xfId="6590" xr:uid="{03D9E08F-C880-49CE-AF3D-1100C7EAF313}"/>
    <cellStyle name="Currency (0.00) 14 3 2" xfId="9275" xr:uid="{0E466D24-6357-46D7-BA58-A50320046F48}"/>
    <cellStyle name="Currency (0.00) 14 3 3" xfId="9819" xr:uid="{6C86B7C8-C44F-4F42-BF80-CFCAEFFD8F00}"/>
    <cellStyle name="Currency (0.00) 14 4" xfId="7296" xr:uid="{534145CD-9E18-4B2E-94CD-A86820A17EDF}"/>
    <cellStyle name="Currency (0.00) 15" xfId="445" xr:uid="{00000000-0005-0000-0000-00008B0F0000}"/>
    <cellStyle name="Currency (0.00) 15 2" xfId="4595" xr:uid="{00000000-0005-0000-0000-00008C0F0000}"/>
    <cellStyle name="Currency (0.00) 15 2 2" xfId="8244" xr:uid="{6AD5D112-05CC-4619-AE2E-08871DE67402}"/>
    <cellStyle name="Currency (0.00) 15 3" xfId="6591" xr:uid="{52FDAAE3-7C7E-4B39-963E-9E329A6C5A8F}"/>
    <cellStyle name="Currency (0.00) 15 3 2" xfId="9276" xr:uid="{1A533ECB-A9EC-42C2-BB89-499D5776E2A2}"/>
    <cellStyle name="Currency (0.00) 15 3 3" xfId="9820" xr:uid="{BD415836-FE17-4F32-ACD3-7A85806B66BC}"/>
    <cellStyle name="Currency (0.00) 15 4" xfId="7297" xr:uid="{DD527E6A-19E6-45B7-9834-1141C5657531}"/>
    <cellStyle name="Currency (0.00) 16" xfId="446" xr:uid="{00000000-0005-0000-0000-00008D0F0000}"/>
    <cellStyle name="Currency (0.00) 16 2" xfId="4596" xr:uid="{00000000-0005-0000-0000-00008E0F0000}"/>
    <cellStyle name="Currency (0.00) 16 2 2" xfId="8245" xr:uid="{07F30A13-24E1-4529-9F5B-BDF4E070A88F}"/>
    <cellStyle name="Currency (0.00) 16 3" xfId="7006" xr:uid="{1121A6EF-9C77-4279-89F0-E879859D4CEA}"/>
    <cellStyle name="Currency (0.00) 16 3 2" xfId="9621" xr:uid="{ED76EC91-6748-47A3-8A7D-EAB7285DF700}"/>
    <cellStyle name="Currency (0.00) 16 3 3" xfId="9837" xr:uid="{C2FB7CB9-F5F3-4175-BAAD-A18FB4EA590D}"/>
    <cellStyle name="Currency (0.00) 16 4" xfId="7298" xr:uid="{B053DFB2-22A2-44AB-AF70-ADCF33290A45}"/>
    <cellStyle name="Currency (0.00) 17" xfId="447" xr:uid="{00000000-0005-0000-0000-00008F0F0000}"/>
    <cellStyle name="Currency (0.00) 17 2" xfId="4597" xr:uid="{00000000-0005-0000-0000-0000900F0000}"/>
    <cellStyle name="Currency (0.00) 17 2 2" xfId="8246" xr:uid="{08AA922C-55EB-44CB-8480-51E114562B22}"/>
    <cellStyle name="Currency (0.00) 17 3" xfId="6773" xr:uid="{A5D590C8-692E-4B98-899D-661B19DCBC36}"/>
    <cellStyle name="Currency (0.00) 17 3 2" xfId="9433" xr:uid="{0544422D-9933-4C73-9432-7905E88E7B5C}"/>
    <cellStyle name="Currency (0.00) 17 3 3" xfId="9825" xr:uid="{A075C11E-D31D-438D-90E6-5BD1BC85ADB5}"/>
    <cellStyle name="Currency (0.00) 17 4" xfId="7299" xr:uid="{4A5BFCB4-757D-4492-8E9A-E9A6BB6CC37C}"/>
    <cellStyle name="Currency (0.00) 18" xfId="448" xr:uid="{00000000-0005-0000-0000-0000910F0000}"/>
    <cellStyle name="Currency (0.00) 18 2" xfId="4598" xr:uid="{00000000-0005-0000-0000-0000920F0000}"/>
    <cellStyle name="Currency (0.00) 18 2 2" xfId="8247" xr:uid="{A2DA2230-770A-477E-8832-9ABCE655448C}"/>
    <cellStyle name="Currency (0.00) 18 3" xfId="6778" xr:uid="{86B8D9B3-B3B8-41B2-8D54-AC7987DB1F78}"/>
    <cellStyle name="Currency (0.00) 18 3 2" xfId="9438" xr:uid="{7C285E32-3CE8-4465-B2FF-0C5D973CEB6D}"/>
    <cellStyle name="Currency (0.00) 18 3 3" xfId="9828" xr:uid="{E5F51CB4-1558-42E8-B505-723F3DBD5FD7}"/>
    <cellStyle name="Currency (0.00) 18 4" xfId="7300" xr:uid="{008B2481-048A-45AE-9A68-69D7D29CAAA0}"/>
    <cellStyle name="Currency (0.00) 19" xfId="449" xr:uid="{00000000-0005-0000-0000-0000930F0000}"/>
    <cellStyle name="Currency (0.00) 19 2" xfId="4599" xr:uid="{00000000-0005-0000-0000-0000940F0000}"/>
    <cellStyle name="Currency (0.00) 19 2 2" xfId="8248" xr:uid="{26A290E3-7AA6-4199-B2E5-75059756A2E2}"/>
    <cellStyle name="Currency (0.00) 19 3" xfId="7009" xr:uid="{7AD17217-9E05-4A71-BCE5-BE8491EDA125}"/>
    <cellStyle name="Currency (0.00) 19 3 2" xfId="9624" xr:uid="{11812E86-7EC8-4502-BD47-3F4D6D7CF347}"/>
    <cellStyle name="Currency (0.00) 19 3 3" xfId="9840" xr:uid="{A9530DEC-5DBA-478D-82D6-DD2B462D9008}"/>
    <cellStyle name="Currency (0.00) 19 4" xfId="7301" xr:uid="{282F38C3-A642-47DA-B744-5990276C7B17}"/>
    <cellStyle name="Currency (0.00) 2" xfId="450" xr:uid="{00000000-0005-0000-0000-0000950F0000}"/>
    <cellStyle name="Currency (0.00) 2 2" xfId="1886" xr:uid="{00000000-0005-0000-0000-0000960F0000}"/>
    <cellStyle name="Currency (0.00) 2 2 2" xfId="7487" xr:uid="{EAF31ACE-8013-42E5-BE2F-B9B8A0169913}"/>
    <cellStyle name="Currency (0.00) 2 3" xfId="1887" xr:uid="{00000000-0005-0000-0000-0000970F0000}"/>
    <cellStyle name="Currency (0.00) 2 3 2" xfId="7488" xr:uid="{DE82CE92-DBE2-490C-B8DC-1FA64AC5755A}"/>
    <cellStyle name="Currency (0.00) 2 4" xfId="6246" xr:uid="{00000000-0005-0000-0000-0000980F0000}"/>
    <cellStyle name="Currency (0.00) 2 5" xfId="6593" xr:uid="{FE409DEF-0A40-4E36-8D2D-5B1CD67726F3}"/>
    <cellStyle name="Currency (0.00) 2 5 2" xfId="9278" xr:uid="{45034562-9FA9-4610-90C3-EC0EDE63FDFB}"/>
    <cellStyle name="Currency (0.00) 2 5 3" xfId="9822" xr:uid="{C0C4706B-6386-4CA5-88DC-4B756D85CDC5}"/>
    <cellStyle name="Currency (0.00) 20" xfId="451" xr:uid="{00000000-0005-0000-0000-0000990F0000}"/>
    <cellStyle name="Currency (0.00) 20 2" xfId="4600" xr:uid="{00000000-0005-0000-0000-00009A0F0000}"/>
    <cellStyle name="Currency (0.00) 20 2 2" xfId="8249" xr:uid="{57F45B0F-CBA4-41F6-93F2-EE9EEFAC6963}"/>
    <cellStyle name="Currency (0.00) 20 3" xfId="6592" xr:uid="{39CCDCE7-8E89-48C9-A25D-B468EDB03907}"/>
    <cellStyle name="Currency (0.00) 20 3 2" xfId="9277" xr:uid="{67582B75-C120-420D-AE44-D1102972F6BB}"/>
    <cellStyle name="Currency (0.00) 20 3 3" xfId="9821" xr:uid="{9E71EB63-B32B-4B3C-B787-7C415030C72C}"/>
    <cellStyle name="Currency (0.00) 20 4" xfId="7302" xr:uid="{2ED183E8-02A4-4411-8E65-5111C455C930}"/>
    <cellStyle name="Currency (0.00) 21" xfId="452" xr:uid="{00000000-0005-0000-0000-00009B0F0000}"/>
    <cellStyle name="Currency (0.00) 21 2" xfId="4601" xr:uid="{00000000-0005-0000-0000-00009C0F0000}"/>
    <cellStyle name="Currency (0.00) 21 2 2" xfId="8250" xr:uid="{DC061F74-AF67-476A-A2BD-002B90BFF460}"/>
    <cellStyle name="Currency (0.00) 21 3" xfId="7007" xr:uid="{EB2FECD5-6D5C-49EF-862E-99E5B94414B5}"/>
    <cellStyle name="Currency (0.00) 21 3 2" xfId="9622" xr:uid="{CD527D92-C88D-45E3-BAB0-852CB1EAE2FC}"/>
    <cellStyle name="Currency (0.00) 21 3 3" xfId="9838" xr:uid="{14B6B208-58AE-457B-8F5F-58C74E48549C}"/>
    <cellStyle name="Currency (0.00) 21 4" xfId="7303" xr:uid="{4E574F4B-F9CD-470F-95B8-F02799490C1D}"/>
    <cellStyle name="Currency (0.00) 22" xfId="453" xr:uid="{00000000-0005-0000-0000-00009D0F0000}"/>
    <cellStyle name="Currency (0.00) 22 2" xfId="4602" xr:uid="{00000000-0005-0000-0000-00009E0F0000}"/>
    <cellStyle name="Currency (0.00) 22 2 2" xfId="8251" xr:uid="{B9CCE576-72CE-4FAE-BC12-B9E8BC861320}"/>
    <cellStyle name="Currency (0.00) 22 3" xfId="6774" xr:uid="{EDFD905F-72DC-48DD-81ED-206E157D9D0C}"/>
    <cellStyle name="Currency (0.00) 22 3 2" xfId="9434" xr:uid="{116B9688-4125-4080-8A57-7D6708FFB5C1}"/>
    <cellStyle name="Currency (0.00) 22 3 3" xfId="9826" xr:uid="{AA8C3E81-5E3D-456B-AD9F-F947DE0D59EE}"/>
    <cellStyle name="Currency (0.00) 22 4" xfId="7304" xr:uid="{BDACDF82-4B26-484D-B560-BE6DD36E83D2}"/>
    <cellStyle name="Currency (0.00) 23" xfId="4603" xr:uid="{00000000-0005-0000-0000-00009F0F0000}"/>
    <cellStyle name="Currency (0.00) 23 2" xfId="8252" xr:uid="{C6735BE3-C60A-4760-A7C6-4D671BF895E7}"/>
    <cellStyle name="Currency (0.00) 24" xfId="5879" xr:uid="{00000000-0005-0000-0000-0000A00F0000}"/>
    <cellStyle name="Currency (0.00) 24 2" xfId="8766" xr:uid="{722E826C-B91A-4292-8A7D-2AA717F8FD19}"/>
    <cellStyle name="Currency (0.00) 25" xfId="5977" xr:uid="{00000000-0005-0000-0000-0000A10F0000}"/>
    <cellStyle name="Currency (0.00) 26" xfId="6873" xr:uid="{8CF00964-6FEF-44DC-A4F4-E0B30668273A}"/>
    <cellStyle name="Currency (0.00) 26 2" xfId="9518" xr:uid="{9DA612E1-F706-44AB-879C-3246F0710F0D}"/>
    <cellStyle name="Currency (0.00) 26 3" xfId="9831" xr:uid="{4D7BCD86-9B77-479D-BADB-682FB45BAC71}"/>
    <cellStyle name="Currency (0.00) 3" xfId="454" xr:uid="{00000000-0005-0000-0000-0000A20F0000}"/>
    <cellStyle name="Currency (0.00) 3 2" xfId="4604" xr:uid="{00000000-0005-0000-0000-0000A30F0000}"/>
    <cellStyle name="Currency (0.00) 3 2 2" xfId="8253" xr:uid="{0648DE0D-A5BA-4759-A25C-A9EB201AECF0}"/>
    <cellStyle name="Currency (0.00) 3 3" xfId="6247" xr:uid="{00000000-0005-0000-0000-0000A40F0000}"/>
    <cellStyle name="Currency (0.00) 3 4" xfId="7005" xr:uid="{A17FD900-3105-4C1A-9F61-0AE6557D23BC}"/>
    <cellStyle name="Currency (0.00) 3 4 2" xfId="9620" xr:uid="{5776E357-D229-4506-A3D8-29B77404EE9A}"/>
    <cellStyle name="Currency (0.00) 3 4 3" xfId="9836" xr:uid="{96C51A78-AC06-4065-9040-CBEDB0E68631}"/>
    <cellStyle name="Currency (0.00) 4" xfId="455" xr:uid="{00000000-0005-0000-0000-0000A50F0000}"/>
    <cellStyle name="Currency (0.00) 4 2" xfId="4605" xr:uid="{00000000-0005-0000-0000-0000A60F0000}"/>
    <cellStyle name="Currency (0.00) 4 2 2" xfId="8254" xr:uid="{F288EA4E-6D99-4CF8-8638-45D6480E3D6F}"/>
    <cellStyle name="Currency (0.00) 4 3" xfId="6772" xr:uid="{7C9950F0-3112-4C3B-B5D2-04EF3F1AF56A}"/>
    <cellStyle name="Currency (0.00) 4 3 2" xfId="9432" xr:uid="{9C8F198E-E75D-441C-85CC-D5B6BD4229AA}"/>
    <cellStyle name="Currency (0.00) 4 3 3" xfId="9824" xr:uid="{D39A5260-98B1-495A-8F31-BADB5F3384BD}"/>
    <cellStyle name="Currency (0.00) 4 4" xfId="7305" xr:uid="{C6F40ABE-8BDC-4121-8987-983C3CED7444}"/>
    <cellStyle name="Currency (0.00) 5" xfId="456" xr:uid="{00000000-0005-0000-0000-0000A70F0000}"/>
    <cellStyle name="Currency (0.00) 5 2" xfId="4606" xr:uid="{00000000-0005-0000-0000-0000A80F0000}"/>
    <cellStyle name="Currency (0.00) 5 2 2" xfId="8255" xr:uid="{A736BFEF-F8C1-421F-9D18-FB3D45580CB1}"/>
    <cellStyle name="Currency (0.00) 5 3" xfId="6777" xr:uid="{77796EAE-44C1-47A3-97AF-428ABB7DBBEC}"/>
    <cellStyle name="Currency (0.00) 5 3 2" xfId="9437" xr:uid="{07A961E0-BCA5-49EC-BD94-E359D1CA19DD}"/>
    <cellStyle name="Currency (0.00) 5 3 3" xfId="9827" xr:uid="{7826C045-A604-44AD-9A40-67E49228ECEC}"/>
    <cellStyle name="Currency (0.00) 5 4" xfId="7306" xr:uid="{A416076F-8E53-4271-B7EB-12BB6E2B667C}"/>
    <cellStyle name="Currency (0.00) 6" xfId="457" xr:uid="{00000000-0005-0000-0000-0000A90F0000}"/>
    <cellStyle name="Currency (0.00) 6 2" xfId="4607" xr:uid="{00000000-0005-0000-0000-0000AA0F0000}"/>
    <cellStyle name="Currency (0.00) 6 2 2" xfId="8256" xr:uid="{D3227572-777D-4CC9-8743-E7639222CD2C}"/>
    <cellStyle name="Currency (0.00) 6 3" xfId="7008" xr:uid="{3CAEE361-CB93-47B1-A7CF-0D4CA8B4CBFF}"/>
    <cellStyle name="Currency (0.00) 6 3 2" xfId="9623" xr:uid="{5A64B596-7D7B-45B1-ACC7-C7634A594C59}"/>
    <cellStyle name="Currency (0.00) 6 3 3" xfId="9839" xr:uid="{B71ED392-1FD4-451D-826A-0B8A4BA0E3BF}"/>
    <cellStyle name="Currency (0.00) 6 4" xfId="7307" xr:uid="{C8DBF12A-BE07-40D7-BAE6-34FD763F4B85}"/>
    <cellStyle name="Currency (0.00) 7" xfId="458" xr:uid="{00000000-0005-0000-0000-0000AB0F0000}"/>
    <cellStyle name="Currency (0.00) 7 2" xfId="4608" xr:uid="{00000000-0005-0000-0000-0000AC0F0000}"/>
    <cellStyle name="Currency (0.00) 7 2 2" xfId="8257" xr:uid="{B523F421-0EB6-446C-A832-DAEC7CC30D2B}"/>
    <cellStyle name="Currency (0.00) 7 3" xfId="7010" xr:uid="{34D944E2-9343-47CF-B424-F0315F8BCBDA}"/>
    <cellStyle name="Currency (0.00) 7 3 2" xfId="9625" xr:uid="{55ABFAFD-5DBC-48F7-B287-7E34BB07CC18}"/>
    <cellStyle name="Currency (0.00) 7 3 3" xfId="9841" xr:uid="{E7DFF14C-B47A-4E70-8B7B-2DC974568409}"/>
    <cellStyle name="Currency (0.00) 7 4" xfId="7308" xr:uid="{0F1FFC79-1895-456D-B39A-F54C65413CE7}"/>
    <cellStyle name="Currency (0.00) 8" xfId="459" xr:uid="{00000000-0005-0000-0000-0000AD0F0000}"/>
    <cellStyle name="Currency (0.00) 8 2" xfId="4609" xr:uid="{00000000-0005-0000-0000-0000AE0F0000}"/>
    <cellStyle name="Currency (0.00) 8 2 2" xfId="8258" xr:uid="{961F1FCC-5CC3-42B2-BB6B-71D53E4C19C6}"/>
    <cellStyle name="Currency (0.00) 8 3" xfId="7011" xr:uid="{7364F9E5-6D48-4E09-B5F4-9C447C2074FA}"/>
    <cellStyle name="Currency (0.00) 8 3 2" xfId="9626" xr:uid="{97FAFC9B-793D-4239-9220-78DD297FF831}"/>
    <cellStyle name="Currency (0.00) 8 3 3" xfId="9842" xr:uid="{123D4E4C-38C3-4C3E-8FC2-039402185E47}"/>
    <cellStyle name="Currency (0.00) 8 4" xfId="7309" xr:uid="{A7FC92CD-2278-4D97-9FDC-1BAF84BD3E44}"/>
    <cellStyle name="Currency (0.00) 9" xfId="460" xr:uid="{00000000-0005-0000-0000-0000AF0F0000}"/>
    <cellStyle name="Currency (0.00) 9 2" xfId="4610" xr:uid="{00000000-0005-0000-0000-0000B00F0000}"/>
    <cellStyle name="Currency (0.00) 9 2 2" xfId="8259" xr:uid="{ABEB0F41-566E-4B71-AA71-8AA933B091AF}"/>
    <cellStyle name="Currency (0.00) 9 3" xfId="7012" xr:uid="{54E05B3D-5160-4C42-B362-34EA7E6F5089}"/>
    <cellStyle name="Currency (0.00) 9 3 2" xfId="9627" xr:uid="{AE07FDAC-7F05-4263-9FF4-759F1A829C60}"/>
    <cellStyle name="Currency (0.00) 9 3 3" xfId="9843" xr:uid="{964034E2-2903-496D-8987-A8B16A6DA999}"/>
    <cellStyle name="Currency (0.00) 9 4" xfId="7310" xr:uid="{2544595A-7B7C-43A4-A8D9-0C1AF746A491}"/>
    <cellStyle name="Currency [00]" xfId="461" xr:uid="{00000000-0005-0000-0000-0000B10F0000}"/>
    <cellStyle name="Currency [00] 2" xfId="462" xr:uid="{00000000-0005-0000-0000-0000B20F0000}"/>
    <cellStyle name="Currency [00] 2 2" xfId="6249" xr:uid="{00000000-0005-0000-0000-0000B30F0000}"/>
    <cellStyle name="Currency [00] 2 2 2" xfId="9051" xr:uid="{BD5D97EC-BFF8-497E-8733-3C379024E557}"/>
    <cellStyle name="Currency [00] 2 3" xfId="7312" xr:uid="{C7EA64BE-6815-48BB-9D9A-BA06B1BE2E75}"/>
    <cellStyle name="Currency [00] 3" xfId="5880" xr:uid="{00000000-0005-0000-0000-0000B40F0000}"/>
    <cellStyle name="Currency [00] 3 2" xfId="6250" xr:uid="{00000000-0005-0000-0000-0000B50F0000}"/>
    <cellStyle name="Currency [00] 3 2 2" xfId="9052" xr:uid="{392C987C-86FD-45E3-908A-31094AD6122D}"/>
    <cellStyle name="Currency [00] 3 3" xfId="8767" xr:uid="{6C64E9C0-106B-4D58-9C15-ECECAD2DC4EB}"/>
    <cellStyle name="Currency [00] 4" xfId="6248" xr:uid="{00000000-0005-0000-0000-0000B60F0000}"/>
    <cellStyle name="Currency [00] 4 2" xfId="9050" xr:uid="{CD43166C-3CD6-4340-81EA-F752888D387A}"/>
    <cellStyle name="Currency [00] 5" xfId="7311" xr:uid="{1BC6A7EB-923D-4535-BE97-1F6180ACC3CB}"/>
    <cellStyle name="Currency 2" xfId="463" xr:uid="{00000000-0005-0000-0000-0000B70F0000}"/>
    <cellStyle name="Currency 2 2" xfId="464" xr:uid="{00000000-0005-0000-0000-0000B80F0000}"/>
    <cellStyle name="Currency 2 2 2" xfId="4611" xr:uid="{00000000-0005-0000-0000-0000B90F0000}"/>
    <cellStyle name="Currency 2 2 3" xfId="7313" xr:uid="{BD836053-5A62-4E39-8994-F6D147D84DB9}"/>
    <cellStyle name="Currency 3" xfId="465" xr:uid="{00000000-0005-0000-0000-0000BA0F0000}"/>
    <cellStyle name="Currency 3 2" xfId="1888" xr:uid="{00000000-0005-0000-0000-0000BB0F0000}"/>
    <cellStyle name="Currency 3 2 2" xfId="1889" xr:uid="{00000000-0005-0000-0000-0000BC0F0000}"/>
    <cellStyle name="Currency 3 2 2 2" xfId="6920" xr:uid="{31CEDE06-939B-433A-AEA4-9FB62CE7B958}"/>
    <cellStyle name="Currency 3 2 2 2 2" xfId="9556" xr:uid="{355CA669-758F-4115-8D70-0A11138C1C85}"/>
    <cellStyle name="Currency 3 2 3" xfId="6251" xr:uid="{00000000-0005-0000-0000-0000BD0F0000}"/>
    <cellStyle name="Currency 3 2 3 2" xfId="9053" xr:uid="{E501B99D-45E4-4C3E-A0F7-B5DA4CD53221}"/>
    <cellStyle name="Currency 3 3" xfId="5881" xr:uid="{00000000-0005-0000-0000-0000BE0F0000}"/>
    <cellStyle name="Currency 3 3 2" xfId="8768" xr:uid="{7AA32AE3-B79F-4C92-8C12-F32138BA7578}"/>
    <cellStyle name="Currency 3 4" xfId="7013" xr:uid="{8B7408AF-E87E-40D0-B1BF-7D876E3C4D18}"/>
    <cellStyle name="Currency 4" xfId="466" xr:uid="{00000000-0005-0000-0000-0000BF0F0000}"/>
    <cellStyle name="Currency 4 2" xfId="4612" xr:uid="{00000000-0005-0000-0000-0000C00F0000}"/>
    <cellStyle name="Currency 4 2 2" xfId="4613" xr:uid="{00000000-0005-0000-0000-0000C10F0000}"/>
    <cellStyle name="Currency 4 2 2 2" xfId="8260" xr:uid="{9D91D760-BE53-4336-8230-83713B401210}"/>
    <cellStyle name="Currency 4 3" xfId="4614" xr:uid="{00000000-0005-0000-0000-0000C20F0000}"/>
    <cellStyle name="Currency 4 4" xfId="7314" xr:uid="{C9C696CB-14EE-4DB5-B659-948097DD879C}"/>
    <cellStyle name="Currency0" xfId="467" xr:uid="{00000000-0005-0000-0000-0000C30F0000}"/>
    <cellStyle name="Currency0 2" xfId="468" xr:uid="{00000000-0005-0000-0000-0000C40F0000}"/>
    <cellStyle name="Currency0 3" xfId="6927" xr:uid="{73693C67-A0DA-4F5B-9A3E-C96E917BAC49}"/>
    <cellStyle name="Curren衣萉砞Ā₀_x0010_" xfId="1890" xr:uid="{00000000-0005-0000-0000-0000C50F0000}"/>
    <cellStyle name="Date" xfId="469" xr:uid="{00000000-0005-0000-0000-0000C60F0000}"/>
    <cellStyle name="Date 2" xfId="7014" xr:uid="{E8A9E433-3151-481C-930E-11CC680B60D1}"/>
    <cellStyle name="Date Short" xfId="470" xr:uid="{00000000-0005-0000-0000-0000C70F0000}"/>
    <cellStyle name="Date Short 2" xfId="1891" xr:uid="{00000000-0005-0000-0000-0000C80F0000}"/>
    <cellStyle name="Date_panja a" xfId="471" xr:uid="{00000000-0005-0000-0000-0000C90F0000}"/>
    <cellStyle name="Define your own named style" xfId="7015" xr:uid="{797807D3-8546-4397-9684-34DAA977EE6F}"/>
    <cellStyle name="Draw lines around data in range" xfId="7016" xr:uid="{87D7E209-A779-442A-B513-666501EFBAD4}"/>
    <cellStyle name="Draw lines around data in range 2" xfId="9628" xr:uid="{142FCEAB-D277-416E-8F46-B63194508996}"/>
    <cellStyle name="Draw lines around data in range 3" xfId="9844" xr:uid="{E0A60695-FC6A-4894-A02B-010F8E8A07FA}"/>
    <cellStyle name="Draw shadow and lines within range" xfId="7017" xr:uid="{7541759B-DF39-49EF-96E5-EFE3CCBD7A09}"/>
    <cellStyle name="Draw shadow and lines within range 2" xfId="9629" xr:uid="{1D005E6E-9A88-4C4F-8F82-C6C215938DEB}"/>
    <cellStyle name="Draw shadow and lines within range 3" xfId="9845" xr:uid="{5F59FDBA-5572-4DF1-96D9-1E1C63D5D311}"/>
    <cellStyle name="Enlarge title text, yellow on blue" xfId="7018" xr:uid="{4E2BD2C9-0357-4D82-B733-BBDB82DA57FB}"/>
    <cellStyle name="Enter Currency (0)" xfId="472" xr:uid="{00000000-0005-0000-0000-0000CA0F0000}"/>
    <cellStyle name="Enter Currency (0) 2" xfId="473" xr:uid="{00000000-0005-0000-0000-0000CB0F0000}"/>
    <cellStyle name="Enter Currency (0) 2 2" xfId="6253" xr:uid="{00000000-0005-0000-0000-0000CC0F0000}"/>
    <cellStyle name="Enter Currency (0) 2 2 2" xfId="9055" xr:uid="{F5C464EF-E222-4FE2-BF4E-4F214EE3C17A}"/>
    <cellStyle name="Enter Currency (0) 2 3" xfId="7316" xr:uid="{F4C7AFC2-33B9-4EDF-BECD-A598F57DE6C6}"/>
    <cellStyle name="Enter Currency (0) 3" xfId="5882" xr:uid="{00000000-0005-0000-0000-0000CD0F0000}"/>
    <cellStyle name="Enter Currency (0) 3 2" xfId="6254" xr:uid="{00000000-0005-0000-0000-0000CE0F0000}"/>
    <cellStyle name="Enter Currency (0) 3 2 2" xfId="9056" xr:uid="{CA8C2E99-E3D1-4DAE-91B3-74B9B6E6AC5F}"/>
    <cellStyle name="Enter Currency (0) 3 3" xfId="8769" xr:uid="{809CC03B-9220-448B-B066-E85F554E0A94}"/>
    <cellStyle name="Enter Currency (0) 4" xfId="6252" xr:uid="{00000000-0005-0000-0000-0000CF0F0000}"/>
    <cellStyle name="Enter Currency (0) 4 2" xfId="9054" xr:uid="{A7BA05D7-26DC-4C8F-90EF-ED79E873C25B}"/>
    <cellStyle name="Enter Currency (0) 5" xfId="7315" xr:uid="{E58ED7C5-C4BA-4D0C-92BA-528B9E744BA9}"/>
    <cellStyle name="Enter Currency (2)" xfId="474" xr:uid="{00000000-0005-0000-0000-0000D00F0000}"/>
    <cellStyle name="Enter Currency (2) 2" xfId="475" xr:uid="{00000000-0005-0000-0000-0000D10F0000}"/>
    <cellStyle name="Enter Currency (2) 2 2" xfId="6256" xr:uid="{00000000-0005-0000-0000-0000D20F0000}"/>
    <cellStyle name="Enter Currency (2) 2 2 2" xfId="9058" xr:uid="{17E4FC8E-95C7-4639-A60A-5F846422CD51}"/>
    <cellStyle name="Enter Currency (2) 2 3" xfId="7318" xr:uid="{5DE0DC22-E096-4A96-BD12-38D361A23C22}"/>
    <cellStyle name="Enter Currency (2) 3" xfId="5883" xr:uid="{00000000-0005-0000-0000-0000D30F0000}"/>
    <cellStyle name="Enter Currency (2) 3 2" xfId="6257" xr:uid="{00000000-0005-0000-0000-0000D40F0000}"/>
    <cellStyle name="Enter Currency (2) 3 2 2" xfId="9059" xr:uid="{E8471D0D-354A-4A69-950E-B339C774A145}"/>
    <cellStyle name="Enter Currency (2) 3 3" xfId="8770" xr:uid="{BF04E590-7093-45EE-8B30-EE335D21D9E4}"/>
    <cellStyle name="Enter Currency (2) 4" xfId="6255" xr:uid="{00000000-0005-0000-0000-0000D50F0000}"/>
    <cellStyle name="Enter Currency (2) 4 2" xfId="9057" xr:uid="{B325AD72-234E-472B-8622-AF5D0A9D8629}"/>
    <cellStyle name="Enter Currency (2) 5" xfId="7317" xr:uid="{227C7489-62DA-4F87-8B2C-F467A3DF7359}"/>
    <cellStyle name="Enter Units (0)" xfId="476" xr:uid="{00000000-0005-0000-0000-0000D60F0000}"/>
    <cellStyle name="Enter Units (0) 2" xfId="477" xr:uid="{00000000-0005-0000-0000-0000D70F0000}"/>
    <cellStyle name="Enter Units (0) 2 2" xfId="6259" xr:uid="{00000000-0005-0000-0000-0000D80F0000}"/>
    <cellStyle name="Enter Units (0) 2 2 2" xfId="9061" xr:uid="{6E0CC10D-E398-4D00-BE73-8D384318C9FA}"/>
    <cellStyle name="Enter Units (0) 2 3" xfId="7320" xr:uid="{52285215-D52A-4E86-A568-48E06688D91D}"/>
    <cellStyle name="Enter Units (0) 3" xfId="5884" xr:uid="{00000000-0005-0000-0000-0000D90F0000}"/>
    <cellStyle name="Enter Units (0) 3 2" xfId="6260" xr:uid="{00000000-0005-0000-0000-0000DA0F0000}"/>
    <cellStyle name="Enter Units (0) 3 2 2" xfId="9062" xr:uid="{3B5F040D-3848-4BC1-AC91-AA0839584ADE}"/>
    <cellStyle name="Enter Units (0) 3 3" xfId="8771" xr:uid="{82B26E9A-A912-45AE-8CF4-94DA4B0387D9}"/>
    <cellStyle name="Enter Units (0) 4" xfId="6258" xr:uid="{00000000-0005-0000-0000-0000DB0F0000}"/>
    <cellStyle name="Enter Units (0) 4 2" xfId="9060" xr:uid="{2D66D8EF-24A8-4727-BAB8-876DD58796C4}"/>
    <cellStyle name="Enter Units (0) 5" xfId="7319" xr:uid="{82432D22-5000-4164-812F-E457D6586AA2}"/>
    <cellStyle name="Enter Units (1)" xfId="478" xr:uid="{00000000-0005-0000-0000-0000DC0F0000}"/>
    <cellStyle name="Enter Units (1) 2" xfId="479" xr:uid="{00000000-0005-0000-0000-0000DD0F0000}"/>
    <cellStyle name="Enter Units (1) 2 2" xfId="6262" xr:uid="{00000000-0005-0000-0000-0000DE0F0000}"/>
    <cellStyle name="Enter Units (1) 2 2 2" xfId="9064" xr:uid="{646270BE-0525-4D06-801D-23724F247CC1}"/>
    <cellStyle name="Enter Units (1) 2 3" xfId="7322" xr:uid="{0720200B-65E6-4D83-A744-76CDD343B4BF}"/>
    <cellStyle name="Enter Units (1) 3" xfId="5885" xr:uid="{00000000-0005-0000-0000-0000DF0F0000}"/>
    <cellStyle name="Enter Units (1) 3 2" xfId="6263" xr:uid="{00000000-0005-0000-0000-0000E00F0000}"/>
    <cellStyle name="Enter Units (1) 3 2 2" xfId="9065" xr:uid="{AD95D863-2ADF-4F75-BE5A-98B98E607020}"/>
    <cellStyle name="Enter Units (1) 3 3" xfId="8772" xr:uid="{E0C8AE91-3A56-4712-B395-32CDEFB90B47}"/>
    <cellStyle name="Enter Units (1) 4" xfId="6261" xr:uid="{00000000-0005-0000-0000-0000E10F0000}"/>
    <cellStyle name="Enter Units (1) 4 2" xfId="9063" xr:uid="{4076B2FB-2965-432E-A485-6ADDD50A8594}"/>
    <cellStyle name="Enter Units (1) 5" xfId="7321" xr:uid="{E0D1F971-740F-41A7-B274-A47E8A360D12}"/>
    <cellStyle name="Enter Units (2)" xfId="480" xr:uid="{00000000-0005-0000-0000-0000E20F0000}"/>
    <cellStyle name="Enter Units (2) 2" xfId="481" xr:uid="{00000000-0005-0000-0000-0000E30F0000}"/>
    <cellStyle name="Enter Units (2) 2 2" xfId="6265" xr:uid="{00000000-0005-0000-0000-0000E40F0000}"/>
    <cellStyle name="Enter Units (2) 2 2 2" xfId="9067" xr:uid="{D7894440-756C-407A-A1F0-44DE57644495}"/>
    <cellStyle name="Enter Units (2) 2 3" xfId="7324" xr:uid="{BD6DA6C2-6A68-48DF-914E-AE86128FA01B}"/>
    <cellStyle name="Enter Units (2) 3" xfId="5886" xr:uid="{00000000-0005-0000-0000-0000E50F0000}"/>
    <cellStyle name="Enter Units (2) 3 2" xfId="6266" xr:uid="{00000000-0005-0000-0000-0000E60F0000}"/>
    <cellStyle name="Enter Units (2) 3 2 2" xfId="9068" xr:uid="{452F4284-6359-4DB2-94C6-62B6BF20782A}"/>
    <cellStyle name="Enter Units (2) 3 3" xfId="8773" xr:uid="{A3B7EEDC-FD8B-4786-8C8B-5258CEFEF329}"/>
    <cellStyle name="Enter Units (2) 4" xfId="6264" xr:uid="{00000000-0005-0000-0000-0000E70F0000}"/>
    <cellStyle name="Enter Units (2) 4 2" xfId="9066" xr:uid="{A0A18D0D-5E42-4E8B-8CCD-1791D306451D}"/>
    <cellStyle name="Enter Units (2) 5" xfId="7323" xr:uid="{44159099-9AC9-4D19-8263-6EB0AD2B35BE}"/>
    <cellStyle name="Entered" xfId="482" xr:uid="{00000000-0005-0000-0000-0000E80F0000}"/>
    <cellStyle name="Entered 2" xfId="1892" xr:uid="{00000000-0005-0000-0000-0000E90F0000}"/>
    <cellStyle name="Entered 3" xfId="6542" xr:uid="{DE096153-57FA-4523-B848-7D9EB0FFF8C2}"/>
    <cellStyle name="Euro" xfId="483" xr:uid="{00000000-0005-0000-0000-0000EA0F0000}"/>
    <cellStyle name="Euro 2" xfId="1893" xr:uid="{00000000-0005-0000-0000-0000EB0F0000}"/>
    <cellStyle name="Excel Built-in Normal" xfId="1894" xr:uid="{00000000-0005-0000-0000-0000EC0F0000}"/>
    <cellStyle name="Excel Built-in Normal 2" xfId="7019" xr:uid="{4D3B77D4-9507-4412-8661-BDE4BE980741}"/>
    <cellStyle name="Explanatory Text 2" xfId="484" xr:uid="{00000000-0005-0000-0000-0000ED0F0000}"/>
    <cellStyle name="Explanatory Text 2 2" xfId="1895" xr:uid="{00000000-0005-0000-0000-0000EE0F0000}"/>
    <cellStyle name="Explanatory Text 2 2 2" xfId="4615" xr:uid="{00000000-0005-0000-0000-0000EF0F0000}"/>
    <cellStyle name="Explanatory Text 3" xfId="5887" xr:uid="{00000000-0005-0000-0000-0000F00F0000}"/>
    <cellStyle name="Fixed" xfId="485" xr:uid="{00000000-0005-0000-0000-0000F10F0000}"/>
    <cellStyle name="Fixed 2" xfId="6976" xr:uid="{B31D0C34-AC96-4360-A583-0F9D9067C154}"/>
    <cellStyle name="Format a column of totals" xfId="7020" xr:uid="{FE4F2746-384B-43FD-879A-E662B5D43BFD}"/>
    <cellStyle name="Format a row of totals" xfId="7022" xr:uid="{8D5E15AC-9883-45A9-8E3D-1D1C5B16A558}"/>
    <cellStyle name="Format a row of totals 2" xfId="9632" xr:uid="{D765F7C1-FA52-4CA8-B1B7-C61FB6D8D945}"/>
    <cellStyle name="Format a row of totals 3" xfId="9847" xr:uid="{23D7B502-A8EB-48F1-A48B-56F7DC749725}"/>
    <cellStyle name="Format text as bold, black on yellow" xfId="7023" xr:uid="{743C97EF-0753-408D-B860-9A88F6796C7D}"/>
    <cellStyle name="Format text as bold, black on yellow 2" xfId="9633" xr:uid="{D33BA3B6-DB00-49E9-BAC6-E5ECB5714B0C}"/>
    <cellStyle name="Format text as bold, black on yellow 3" xfId="9848" xr:uid="{81C78058-70C1-485D-9DA5-3E8AD4779B16}"/>
    <cellStyle name="Good 2" xfId="486" xr:uid="{00000000-0005-0000-0000-0000F20F0000}"/>
    <cellStyle name="Good 2 2" xfId="1896" xr:uid="{00000000-0005-0000-0000-0000F30F0000}"/>
    <cellStyle name="Good 2 2 2" xfId="4616" xr:uid="{00000000-0005-0000-0000-0000F40F0000}"/>
    <cellStyle name="Good 2 3" xfId="6958" xr:uid="{746857E5-20C4-40F6-B619-A61A5EC8DD2C}"/>
    <cellStyle name="Good 3" xfId="5888" xr:uid="{00000000-0005-0000-0000-0000F50F0000}"/>
    <cellStyle name="Grey" xfId="487" xr:uid="{00000000-0005-0000-0000-0000F60F0000}"/>
    <cellStyle name="Grey 2" xfId="488" xr:uid="{00000000-0005-0000-0000-0000F70F0000}"/>
    <cellStyle name="Grey 2 2" xfId="1897" xr:uid="{00000000-0005-0000-0000-0000F80F0000}"/>
    <cellStyle name="Grey 3" xfId="1898" xr:uid="{00000000-0005-0000-0000-0000F90F0000}"/>
    <cellStyle name="Header - Style1" xfId="489" xr:uid="{00000000-0005-0000-0000-0000FA0F0000}"/>
    <cellStyle name="Header - Style1 2" xfId="1899" xr:uid="{00000000-0005-0000-0000-0000FB0F0000}"/>
    <cellStyle name="Header1" xfId="490" xr:uid="{00000000-0005-0000-0000-0000FC0F0000}"/>
    <cellStyle name="Header1 2" xfId="1900" xr:uid="{00000000-0005-0000-0000-0000FD0F0000}"/>
    <cellStyle name="Header2" xfId="491" xr:uid="{00000000-0005-0000-0000-0000FE0F0000}"/>
    <cellStyle name="Header2 10" xfId="492" xr:uid="{00000000-0005-0000-0000-0000FF0F0000}"/>
    <cellStyle name="Header2 10 2" xfId="4617" xr:uid="{00000000-0005-0000-0000-000000100000}"/>
    <cellStyle name="Header2 10 2 2" xfId="8261" xr:uid="{A0E80F86-4790-4278-BA32-13D67E2B3BAA}"/>
    <cellStyle name="Header2 10 2 3" xfId="9698" xr:uid="{4AF2F47B-C972-4648-9DD5-9D05AA45EA0A}"/>
    <cellStyle name="Header2 10 3" xfId="7021" xr:uid="{EEE72652-875E-4F3B-B765-8F3DABA42289}"/>
    <cellStyle name="Header2 10 3 2" xfId="9631" xr:uid="{A83A4AEB-BAE6-4651-9323-6EB954DC1F57}"/>
    <cellStyle name="Header2 10 3 3" xfId="9846" xr:uid="{AF394F52-7034-45BC-A354-6C7A653183B0}"/>
    <cellStyle name="Header2 11" xfId="4618" xr:uid="{00000000-0005-0000-0000-000001100000}"/>
    <cellStyle name="Header2 11 2" xfId="8262" xr:uid="{983A539C-CD29-4743-9D68-687A9971DF32}"/>
    <cellStyle name="Header2 11 3" xfId="9699" xr:uid="{7A0A6D13-2C6F-46F1-A505-9B4C4F255574}"/>
    <cellStyle name="Header2 12" xfId="5889" xr:uid="{00000000-0005-0000-0000-000002100000}"/>
    <cellStyle name="Header2 12 2" xfId="8774" xr:uid="{F24498C6-AE80-4DC8-9F93-A1AEE5D803FB}"/>
    <cellStyle name="Header2 12 3" xfId="9754" xr:uid="{4F265153-6166-44BD-9BA1-5B3BAE9B3359}"/>
    <cellStyle name="Header2 13" xfId="5978" xr:uid="{00000000-0005-0000-0000-000003100000}"/>
    <cellStyle name="Header2 13 2" xfId="8811" xr:uid="{990B9DB6-95A0-4475-BF2C-0048A029CDA8}"/>
    <cellStyle name="Header2 13 3" xfId="9768" xr:uid="{A94BCE96-D94D-4F8F-9F5B-882ECCD230BF}"/>
    <cellStyle name="Header2 14" xfId="7024" xr:uid="{65A572B7-D752-4FFC-AAC0-7BC630D896D2}"/>
    <cellStyle name="Header2 14 2" xfId="9634" xr:uid="{FA945695-7DF2-47C0-B971-CB19AADBF0A2}"/>
    <cellStyle name="Header2 14 3" xfId="9849" xr:uid="{27353167-2802-44AD-9961-5C5A9FFD7A84}"/>
    <cellStyle name="Header2 2" xfId="493" xr:uid="{00000000-0005-0000-0000-000004100000}"/>
    <cellStyle name="Header2 2 2" xfId="1901" xr:uid="{00000000-0005-0000-0000-000005100000}"/>
    <cellStyle name="Header2 2 2 2" xfId="4619" xr:uid="{00000000-0005-0000-0000-000006100000}"/>
    <cellStyle name="Header2 2 2 2 2" xfId="8263" xr:uid="{01A84170-8568-4321-AA1A-042767D7F4A7}"/>
    <cellStyle name="Header2 2 2 2 3" xfId="9700" xr:uid="{17BD1FD5-D405-487A-BE21-707E762CD2BE}"/>
    <cellStyle name="Header2 2 2 3" xfId="7490" xr:uid="{DACDFD0C-9E50-4113-AD3F-2324AA3811D2}"/>
    <cellStyle name="Header2 2 3" xfId="1902" xr:uid="{00000000-0005-0000-0000-000007100000}"/>
    <cellStyle name="Header2 2 3 2" xfId="7491" xr:uid="{CB197A0C-D522-47B4-9045-B4C06FB09DA7}"/>
    <cellStyle name="Header2 2 4" xfId="4620" xr:uid="{00000000-0005-0000-0000-000008100000}"/>
    <cellStyle name="Header2 2 4 2" xfId="8264" xr:uid="{321CFE75-DB1C-4837-ADF8-4C7A5B47FC85}"/>
    <cellStyle name="Header2 2 4 3" xfId="9701" xr:uid="{77F460BC-60D1-422A-BD9C-08A23FC9459F}"/>
    <cellStyle name="Header2 2 5" xfId="6267" xr:uid="{00000000-0005-0000-0000-000009100000}"/>
    <cellStyle name="Header2 2 5 2" xfId="9069" xr:uid="{AC916C0C-F0D5-4553-9CF1-B17D84B4D5CB}"/>
    <cellStyle name="Header2 2 5 3" xfId="9782" xr:uid="{3F938D3D-90B8-453B-BD37-5688F62F91BF}"/>
    <cellStyle name="Header2 2 6" xfId="7026" xr:uid="{BC75061C-3092-45B0-B83D-7EEFDEB5D0D1}"/>
    <cellStyle name="Header2 2 6 2" xfId="9635" xr:uid="{36987434-D65D-4BAD-AB23-4848E27EEF82}"/>
    <cellStyle name="Header2 2 6 3" xfId="9850" xr:uid="{81F26F6D-F010-4F48-9187-709FB2D51831}"/>
    <cellStyle name="Header2 3" xfId="494" xr:uid="{00000000-0005-0000-0000-00000A100000}"/>
    <cellStyle name="Header2 3 2" xfId="4621" xr:uid="{00000000-0005-0000-0000-00000B100000}"/>
    <cellStyle name="Header2 3 2 2" xfId="8265" xr:uid="{4FECC195-FA9D-47C8-97DA-7C1061DD76A5}"/>
    <cellStyle name="Header2 3 2 3" xfId="9702" xr:uid="{077E0680-E5F1-45F6-8CF6-6C2FCF1011BE}"/>
    <cellStyle name="Header2 3 3" xfId="4622" xr:uid="{00000000-0005-0000-0000-00000C100000}"/>
    <cellStyle name="Header2 3 3 2" xfId="8266" xr:uid="{8B98B415-C90D-4DD4-A03B-DBC81E8B08BF}"/>
    <cellStyle name="Header2 3 3 3" xfId="9703" xr:uid="{82F3665E-154D-4D8C-BAF2-BCCBE81D61FB}"/>
    <cellStyle name="Header2 3 4" xfId="6268" xr:uid="{00000000-0005-0000-0000-00000D100000}"/>
    <cellStyle name="Header2 3 4 2" xfId="9070" xr:uid="{94E52E90-43E2-4EBB-8E2F-E97F8C2956B0}"/>
    <cellStyle name="Header2 3 4 3" xfId="9783" xr:uid="{497546B6-A299-4C77-8A87-0B6A121216DE}"/>
    <cellStyle name="Header2 3 5" xfId="6999" xr:uid="{FA3601C3-50CD-4C21-A639-17F30F904221}"/>
    <cellStyle name="Header2 3 5 2" xfId="9617" xr:uid="{9EBE0153-E88C-4938-BE4D-6252317B0D8C}"/>
    <cellStyle name="Header2 3 5 3" xfId="9833" xr:uid="{35DC9512-5182-4F66-A5BA-FC1756FF199F}"/>
    <cellStyle name="Header2 4" xfId="495" xr:uid="{00000000-0005-0000-0000-00000E100000}"/>
    <cellStyle name="Header2 4 2" xfId="4623" xr:uid="{00000000-0005-0000-0000-00000F100000}"/>
    <cellStyle name="Header2 4 2 2" xfId="8267" xr:uid="{30720D3E-7432-491F-B9B6-A3E21B35F469}"/>
    <cellStyle name="Header2 4 2 3" xfId="9704" xr:uid="{5BB152DD-7330-435B-B83A-0D46FABC26AB}"/>
    <cellStyle name="Header2 4 3" xfId="7027" xr:uid="{26A81933-4E45-4799-B381-02FFE88D961B}"/>
    <cellStyle name="Header2 4 3 2" xfId="9636" xr:uid="{3C5711F6-D472-47B3-BE61-ADFF4AD4D984}"/>
    <cellStyle name="Header2 4 3 3" xfId="9851" xr:uid="{7314D9A0-1B1A-476D-8C3C-63E19942FE89}"/>
    <cellStyle name="Header2 5" xfId="496" xr:uid="{00000000-0005-0000-0000-000010100000}"/>
    <cellStyle name="Header2 5 2" xfId="4624" xr:uid="{00000000-0005-0000-0000-000011100000}"/>
    <cellStyle name="Header2 5 2 2" xfId="8268" xr:uid="{EC114986-02A8-4C2C-A4F3-89189CB397D1}"/>
    <cellStyle name="Header2 5 2 3" xfId="9705" xr:uid="{ED78441C-1A19-4B26-BA21-F08C911678C0}"/>
    <cellStyle name="Header2 5 3" xfId="7028" xr:uid="{6FDD2E3B-9C7C-499D-B6C9-B48AFDA8D7A3}"/>
    <cellStyle name="Header2 5 3 2" xfId="9637" xr:uid="{4C101288-C4B3-4EFC-BCDC-98585BA3BDEA}"/>
    <cellStyle name="Header2 5 3 3" xfId="9852" xr:uid="{B056CDB0-41DA-4920-B360-E0E72839C603}"/>
    <cellStyle name="Header2 6" xfId="497" xr:uid="{00000000-0005-0000-0000-000012100000}"/>
    <cellStyle name="Header2 6 2" xfId="4625" xr:uid="{00000000-0005-0000-0000-000013100000}"/>
    <cellStyle name="Header2 6 2 2" xfId="8269" xr:uid="{1DECB09B-982D-4016-B6C4-D2EA20327A8D}"/>
    <cellStyle name="Header2 6 2 3" xfId="9706" xr:uid="{09079D2C-2859-439E-9837-342B26C865FE}"/>
    <cellStyle name="Header2 6 3" xfId="6546" xr:uid="{BFB91FE1-DA1F-4E38-B335-4E845AECA885}"/>
    <cellStyle name="Header2 6 3 2" xfId="9249" xr:uid="{4D2378C8-1627-4C3F-9094-285B5F7BE564}"/>
    <cellStyle name="Header2 6 3 3" xfId="9816" xr:uid="{46FFF0E3-66D3-4C75-B9F3-DCE91CF6B5FF}"/>
    <cellStyle name="Header2 7" xfId="498" xr:uid="{00000000-0005-0000-0000-000014100000}"/>
    <cellStyle name="Header2 7 2" xfId="4626" xr:uid="{00000000-0005-0000-0000-000015100000}"/>
    <cellStyle name="Header2 7 2 2" xfId="8270" xr:uid="{7E6BF21C-D8A4-4214-9990-0FF9AEBF33E9}"/>
    <cellStyle name="Header2 7 2 3" xfId="9707" xr:uid="{5C9FD174-3287-4B8B-AEC8-28059B211604}"/>
    <cellStyle name="Header2 7 3" xfId="6581" xr:uid="{7A8F8E5B-F5C2-45BC-B94C-ABD53C5DDB93}"/>
    <cellStyle name="Header2 7 3 2" xfId="9268" xr:uid="{F7CC3589-9894-4CD6-839B-E87E71AD939C}"/>
    <cellStyle name="Header2 7 3 3" xfId="9818" xr:uid="{98FC1B3D-9DAF-47FF-B013-1BE30C6CAFDC}"/>
    <cellStyle name="Header2 8" xfId="499" xr:uid="{00000000-0005-0000-0000-000016100000}"/>
    <cellStyle name="Header2 8 2" xfId="4627" xr:uid="{00000000-0005-0000-0000-000017100000}"/>
    <cellStyle name="Header2 8 2 2" xfId="8271" xr:uid="{2D69C475-70D8-4637-9945-2F6ADB146785}"/>
    <cellStyle name="Header2 8 2 3" xfId="9708" xr:uid="{AB484599-8CA9-4AE1-B7DF-549384255246}"/>
    <cellStyle name="Header2 8 3" xfId="7029" xr:uid="{9210E1A5-DCA6-4580-88D0-D4FFB1BEE506}"/>
    <cellStyle name="Header2 8 3 2" xfId="9638" xr:uid="{D6A52C0B-7E93-4721-8BB3-31855B87E03A}"/>
    <cellStyle name="Header2 8 3 3" xfId="9853" xr:uid="{81D68EAE-B146-4A5B-9803-9D7BAB74D9FB}"/>
    <cellStyle name="Header2 9" xfId="500" xr:uid="{00000000-0005-0000-0000-000018100000}"/>
    <cellStyle name="Header2 9 2" xfId="4628" xr:uid="{00000000-0005-0000-0000-000019100000}"/>
    <cellStyle name="Header2 9 2 2" xfId="8272" xr:uid="{E6442C41-8733-4F90-AD17-C93651DDADF5}"/>
    <cellStyle name="Header2 9 2 3" xfId="9709" xr:uid="{91C56116-B691-4F57-84C6-8FC1B12A36DD}"/>
    <cellStyle name="Header2 9 3" xfId="6864" xr:uid="{D36B1501-172F-43E3-ADA5-D9D7A7EEAC6C}"/>
    <cellStyle name="Header2 9 3 2" xfId="9512" xr:uid="{B305CA98-BECB-47E3-9BBB-36C56F36E5C1}"/>
    <cellStyle name="Header2 9 3 3" xfId="9830" xr:uid="{9B2F775A-AFAB-4779-849D-9147AE9B35FA}"/>
    <cellStyle name="Header2_BukuBesar" xfId="4629" xr:uid="{00000000-0005-0000-0000-00001A100000}"/>
    <cellStyle name="Heading 1 2" xfId="501" xr:uid="{00000000-0005-0000-0000-00001B100000}"/>
    <cellStyle name="Heading 1 2 2" xfId="1903" xr:uid="{00000000-0005-0000-0000-00001C100000}"/>
    <cellStyle name="Heading 1 2 2 2" xfId="4630" xr:uid="{00000000-0005-0000-0000-00001D100000}"/>
    <cellStyle name="Heading 1 3" xfId="5890" xr:uid="{00000000-0005-0000-0000-00001E100000}"/>
    <cellStyle name="Heading 2 2" xfId="502" xr:uid="{00000000-0005-0000-0000-00001F100000}"/>
    <cellStyle name="Heading 2 2 2" xfId="1904" xr:uid="{00000000-0005-0000-0000-000020100000}"/>
    <cellStyle name="Heading 2 2 2 2" xfId="4631" xr:uid="{00000000-0005-0000-0000-000021100000}"/>
    <cellStyle name="Heading 2 3" xfId="5891" xr:uid="{00000000-0005-0000-0000-000022100000}"/>
    <cellStyle name="Heading 3 2" xfId="503" xr:uid="{00000000-0005-0000-0000-000023100000}"/>
    <cellStyle name="Heading 3 2 2" xfId="1905" xr:uid="{00000000-0005-0000-0000-000024100000}"/>
    <cellStyle name="Heading 3 2 2 2" xfId="4632" xr:uid="{00000000-0005-0000-0000-000025100000}"/>
    <cellStyle name="Heading 3 3" xfId="5892" xr:uid="{00000000-0005-0000-0000-000026100000}"/>
    <cellStyle name="Heading 4 2" xfId="504" xr:uid="{00000000-0005-0000-0000-000027100000}"/>
    <cellStyle name="Heading 4 2 2" xfId="1906" xr:uid="{00000000-0005-0000-0000-000028100000}"/>
    <cellStyle name="Heading 4 2 2 2" xfId="4633" xr:uid="{00000000-0005-0000-0000-000029100000}"/>
    <cellStyle name="Heading 4 3" xfId="5893" xr:uid="{00000000-0005-0000-0000-00002A100000}"/>
    <cellStyle name="Heading1" xfId="505" xr:uid="{00000000-0005-0000-0000-00002B100000}"/>
    <cellStyle name="Heading1 2" xfId="7030" xr:uid="{FB2C499D-2563-4976-A74C-04264867FF4E}"/>
    <cellStyle name="Heading2" xfId="506" xr:uid="{00000000-0005-0000-0000-00002C100000}"/>
    <cellStyle name="Heading2 2" xfId="6913" xr:uid="{C022E492-0355-4601-BE40-E98E485BB6FB}"/>
    <cellStyle name="Hyperlink 2" xfId="507" xr:uid="{00000000-0005-0000-0000-00002D100000}"/>
    <cellStyle name="Hyperlink 2 2" xfId="1907" xr:uid="{00000000-0005-0000-0000-00002E100000}"/>
    <cellStyle name="Hyperlink 2 2 2" xfId="4634" xr:uid="{00000000-0005-0000-0000-00002F100000}"/>
    <cellStyle name="Hyperlink 2 2 3" xfId="7032" xr:uid="{0E0D88BD-339D-4F4A-BB44-639433071848}"/>
    <cellStyle name="Hyperlink 2 3" xfId="1908" xr:uid="{00000000-0005-0000-0000-000030100000}"/>
    <cellStyle name="Hyperlink 2 4" xfId="1909" xr:uid="{00000000-0005-0000-0000-000031100000}"/>
    <cellStyle name="Hyperlink 2 5" xfId="4635" xr:uid="{00000000-0005-0000-0000-000032100000}"/>
    <cellStyle name="Hyperlink 2_LKAI MURNI 2012" xfId="1910" xr:uid="{00000000-0005-0000-0000-000033100000}"/>
    <cellStyle name="Hyperlink 3" xfId="508" xr:uid="{00000000-0005-0000-0000-000034100000}"/>
    <cellStyle name="Hyperlink 3 2" xfId="1911" xr:uid="{00000000-0005-0000-0000-000035100000}"/>
    <cellStyle name="Hyperlink 3 3" xfId="4636" xr:uid="{00000000-0005-0000-0000-000036100000}"/>
    <cellStyle name="Hyperlink 4" xfId="1912" xr:uid="{00000000-0005-0000-0000-000037100000}"/>
    <cellStyle name="Hyperlink 4 2" xfId="1913" xr:uid="{00000000-0005-0000-0000-000038100000}"/>
    <cellStyle name="Hyperlink 5" xfId="1914" xr:uid="{00000000-0005-0000-0000-000039100000}"/>
    <cellStyle name="Input [yellow]" xfId="509" xr:uid="{00000000-0005-0000-0000-00003A100000}"/>
    <cellStyle name="Input [yellow] 10" xfId="510" xr:uid="{00000000-0005-0000-0000-00003B100000}"/>
    <cellStyle name="Input [yellow] 10 2" xfId="4637" xr:uid="{00000000-0005-0000-0000-00003C100000}"/>
    <cellStyle name="Input [yellow] 10 2 2" xfId="8273" xr:uid="{00AC8BDC-B05C-4B99-AAD6-91F311E5EBFB}"/>
    <cellStyle name="Input [yellow] 10 3" xfId="7034" xr:uid="{2CB7E4BD-4365-445D-AD38-2B13687DE1B1}"/>
    <cellStyle name="Input [yellow] 10 3 2" xfId="9640" xr:uid="{0FF4D754-3AF7-4B2A-A99F-67BBAFE9C48D}"/>
    <cellStyle name="Input [yellow] 10 3 3" xfId="9855" xr:uid="{C9E8BD91-E2C3-440F-9186-4FABEC00C34B}"/>
    <cellStyle name="Input [yellow] 10 4" xfId="7325" xr:uid="{62352692-D8E3-4362-B685-039E9C21A1F6}"/>
    <cellStyle name="Input [yellow] 11" xfId="511" xr:uid="{00000000-0005-0000-0000-00003D100000}"/>
    <cellStyle name="Input [yellow] 11 2" xfId="4638" xr:uid="{00000000-0005-0000-0000-00003E100000}"/>
    <cellStyle name="Input [yellow] 11 2 2" xfId="8274" xr:uid="{DC3A3CFE-55BB-4BC7-9A90-310C9E2A23D7}"/>
    <cellStyle name="Input [yellow] 11 3" xfId="6611" xr:uid="{D2C416DA-394A-4913-9887-1E8BBF750A13}"/>
    <cellStyle name="Input [yellow] 11 3 2" xfId="9296" xr:uid="{8E5CC58A-EDD9-4462-8B32-F89823AAEF93}"/>
    <cellStyle name="Input [yellow] 11 3 3" xfId="9823" xr:uid="{53E6B4C7-CF33-4DC3-9674-201B98E1AC9C}"/>
    <cellStyle name="Input [yellow] 11 4" xfId="7326" xr:uid="{D4EDC2FC-5BEA-4F50-B20E-D2B58735A40D}"/>
    <cellStyle name="Input [yellow] 12" xfId="512" xr:uid="{00000000-0005-0000-0000-00003F100000}"/>
    <cellStyle name="Input [yellow] 12 2" xfId="4639" xr:uid="{00000000-0005-0000-0000-000040100000}"/>
    <cellStyle name="Input [yellow] 12 2 2" xfId="8275" xr:uid="{E42EC1B0-58D4-4882-A90B-BA170F57A991}"/>
    <cellStyle name="Input [yellow] 12 3" xfId="6957" xr:uid="{5E17A59A-AEA1-43AB-AF6D-562A45DFC8D4}"/>
    <cellStyle name="Input [yellow] 12 3 2" xfId="9586" xr:uid="{5DFB15B9-FDDE-4235-8383-EB5CF6A2B36F}"/>
    <cellStyle name="Input [yellow] 12 3 3" xfId="9832" xr:uid="{CE6A45FA-19FE-492A-9C3F-3BAA70831625}"/>
    <cellStyle name="Input [yellow] 12 4" xfId="7327" xr:uid="{2E540F3A-4AE2-452E-90FB-8076699BA791}"/>
    <cellStyle name="Input [yellow] 13" xfId="513" xr:uid="{00000000-0005-0000-0000-000041100000}"/>
    <cellStyle name="Input [yellow] 13 2" xfId="4640" xr:uid="{00000000-0005-0000-0000-000042100000}"/>
    <cellStyle name="Input [yellow] 13 2 2" xfId="8276" xr:uid="{76F53C8D-C27E-42F1-B605-F25E87ACE5A4}"/>
    <cellStyle name="Input [yellow] 13 3" xfId="7035" xr:uid="{40591D4B-0E2A-481F-90C1-08BADA37116C}"/>
    <cellStyle name="Input [yellow] 13 3 2" xfId="9641" xr:uid="{8C6A721A-2DAF-4D83-B0D7-F01E30264CFA}"/>
    <cellStyle name="Input [yellow] 13 3 3" xfId="9856" xr:uid="{D5D1D05E-81F2-4FF9-8EBC-A6146E2EAC45}"/>
    <cellStyle name="Input [yellow] 13 4" xfId="7328" xr:uid="{3998F04A-86BD-4C11-B89A-C853408D7D97}"/>
    <cellStyle name="Input [yellow] 14" xfId="514" xr:uid="{00000000-0005-0000-0000-000043100000}"/>
    <cellStyle name="Input [yellow] 14 2" xfId="4641" xr:uid="{00000000-0005-0000-0000-000044100000}"/>
    <cellStyle name="Input [yellow] 14 2 2" xfId="8277" xr:uid="{48266C90-EC6E-4FB1-9C75-2CA811645A52}"/>
    <cellStyle name="Input [yellow] 14 3" xfId="7036" xr:uid="{F36ED5A6-8946-4E11-BC96-5B2066DC5F9F}"/>
    <cellStyle name="Input [yellow] 14 3 2" xfId="9642" xr:uid="{0CAB8B21-1DA9-4543-B44A-00397AF16430}"/>
    <cellStyle name="Input [yellow] 14 3 3" xfId="9857" xr:uid="{5AB73182-A5F5-4547-8000-CAD1F24F8B2A}"/>
    <cellStyle name="Input [yellow] 14 4" xfId="7329" xr:uid="{378F7004-F250-4749-8C2C-706EF40260AE}"/>
    <cellStyle name="Input [yellow] 15" xfId="515" xr:uid="{00000000-0005-0000-0000-000045100000}"/>
    <cellStyle name="Input [yellow] 15 2" xfId="4642" xr:uid="{00000000-0005-0000-0000-000046100000}"/>
    <cellStyle name="Input [yellow] 15 2 2" xfId="8278" xr:uid="{3E9C20E9-F7BA-4706-8C5A-C5881F4BC2C4}"/>
    <cellStyle name="Input [yellow] 15 3" xfId="7037" xr:uid="{C671DC9C-8ED1-4878-9FAA-17AA8C6C91A7}"/>
    <cellStyle name="Input [yellow] 15 3 2" xfId="9643" xr:uid="{DE03F5EC-66E4-402A-986F-8CE462280BA1}"/>
    <cellStyle name="Input [yellow] 15 3 3" xfId="9858" xr:uid="{B7BD32C0-C176-4945-9A5B-814E3DE6085B}"/>
    <cellStyle name="Input [yellow] 15 4" xfId="7330" xr:uid="{780B5912-64DD-4736-A167-EE12252379BF}"/>
    <cellStyle name="Input [yellow] 16" xfId="516" xr:uid="{00000000-0005-0000-0000-000047100000}"/>
    <cellStyle name="Input [yellow] 16 2" xfId="4643" xr:uid="{00000000-0005-0000-0000-000048100000}"/>
    <cellStyle name="Input [yellow] 16 2 2" xfId="8279" xr:uid="{2D28C124-6AC0-427C-958E-EE03930C6156}"/>
    <cellStyle name="Input [yellow] 16 3" xfId="6443" xr:uid="{D240BD5E-C0DD-47CB-AE90-690CF697D009}"/>
    <cellStyle name="Input [yellow] 16 3 2" xfId="9186" xr:uid="{F1B61789-2BF0-491A-B506-BDE5FE4AC730}"/>
    <cellStyle name="Input [yellow] 16 3 3" xfId="9808" xr:uid="{4017E259-D0C8-4F16-B947-D0A2BBCE51C0}"/>
    <cellStyle name="Input [yellow] 16 4" xfId="7331" xr:uid="{64DD11E7-801F-47A7-B5DF-8E94FD7AE223}"/>
    <cellStyle name="Input [yellow] 17" xfId="517" xr:uid="{00000000-0005-0000-0000-000049100000}"/>
    <cellStyle name="Input [yellow] 17 2" xfId="4644" xr:uid="{00000000-0005-0000-0000-00004A100000}"/>
    <cellStyle name="Input [yellow] 17 2 2" xfId="8280" xr:uid="{5979F9BB-09C6-44EC-B62E-D9DD22E1DAEF}"/>
    <cellStyle name="Input [yellow] 17 3" xfId="6447" xr:uid="{722048C7-B049-4D26-A398-64AE6F5D473D}"/>
    <cellStyle name="Input [yellow] 17 3 2" xfId="9190" xr:uid="{78A77A53-D7A8-47FF-BAE7-6C4AA5DD919F}"/>
    <cellStyle name="Input [yellow] 17 3 3" xfId="9810" xr:uid="{10B80F5C-ECCC-4759-9092-F682A569677F}"/>
    <cellStyle name="Input [yellow] 17 4" xfId="7332" xr:uid="{DE094001-C39F-4BCC-AFC4-B60203794698}"/>
    <cellStyle name="Input [yellow] 18" xfId="518" xr:uid="{00000000-0005-0000-0000-00004B100000}"/>
    <cellStyle name="Input [yellow] 18 2" xfId="4645" xr:uid="{00000000-0005-0000-0000-00004C100000}"/>
    <cellStyle name="Input [yellow] 18 2 2" xfId="8281" xr:uid="{CD046213-534F-4A9B-9992-8AABC3EFBCFD}"/>
    <cellStyle name="Input [yellow] 18 3" xfId="6459" xr:uid="{358FF605-C85B-4D7F-AC2C-421E43E8A37B}"/>
    <cellStyle name="Input [yellow] 18 3 2" xfId="9200" xr:uid="{D1BBDF88-1239-4046-AF08-214CE97DBC73}"/>
    <cellStyle name="Input [yellow] 18 3 3" xfId="9812" xr:uid="{D607E5F3-6328-49B5-86AD-F9BEAFC4C5F6}"/>
    <cellStyle name="Input [yellow] 18 4" xfId="7333" xr:uid="{5E795951-641C-40BF-A484-9133B4C564B1}"/>
    <cellStyle name="Input [yellow] 19" xfId="519" xr:uid="{00000000-0005-0000-0000-00004D100000}"/>
    <cellStyle name="Input [yellow] 19 2" xfId="4646" xr:uid="{00000000-0005-0000-0000-00004E100000}"/>
    <cellStyle name="Input [yellow] 19 2 2" xfId="8282" xr:uid="{5400CCFA-3BF6-421D-96C2-651DF4FCC5AC}"/>
    <cellStyle name="Input [yellow] 19 3" xfId="6466" xr:uid="{9A80CA6D-39BF-478A-B134-FFA3A53BB96F}"/>
    <cellStyle name="Input [yellow] 19 3 2" xfId="9206" xr:uid="{9083FE0C-4575-49FC-84C2-EB6123F05FF9}"/>
    <cellStyle name="Input [yellow] 19 3 3" xfId="9813" xr:uid="{12DF0558-D071-43CB-9D3F-EFFD3CE6DC78}"/>
    <cellStyle name="Input [yellow] 19 4" xfId="7334" xr:uid="{8C17B4D4-FE88-44F0-BDDB-6C2E999A564E}"/>
    <cellStyle name="Input [yellow] 2" xfId="520" xr:uid="{00000000-0005-0000-0000-00004F100000}"/>
    <cellStyle name="Input [yellow] 2 2" xfId="1915" xr:uid="{00000000-0005-0000-0000-000050100000}"/>
    <cellStyle name="Input [yellow] 2 2 2" xfId="7492" xr:uid="{6C3B2127-DD80-499E-AAD1-6861BBBC4E93}"/>
    <cellStyle name="Input [yellow] 2 3" xfId="1916" xr:uid="{00000000-0005-0000-0000-000051100000}"/>
    <cellStyle name="Input [yellow] 2 3 2" xfId="7493" xr:uid="{9510513C-FD68-45A8-960E-135A18849817}"/>
    <cellStyle name="Input [yellow] 2 4" xfId="1917" xr:uid="{00000000-0005-0000-0000-000052100000}"/>
    <cellStyle name="Input [yellow] 2 4 2" xfId="7494" xr:uid="{9C2E00B5-1FC5-4D30-8ECA-E95222326AA8}"/>
    <cellStyle name="Input [yellow] 2 5" xfId="6269" xr:uid="{00000000-0005-0000-0000-000053100000}"/>
    <cellStyle name="Input [yellow] 2 6" xfId="7040" xr:uid="{A2A175B2-6E52-4A32-8670-BDE3B817C371}"/>
    <cellStyle name="Input [yellow] 2 6 2" xfId="9645" xr:uid="{B9C06EB0-15EF-446D-938D-40D88AB0C894}"/>
    <cellStyle name="Input [yellow] 2 6 3" xfId="9860" xr:uid="{F7283A35-A4DA-45A1-93C2-B55E88D96332}"/>
    <cellStyle name="Input [yellow] 20" xfId="521" xr:uid="{00000000-0005-0000-0000-000054100000}"/>
    <cellStyle name="Input [yellow] 20 2" xfId="4647" xr:uid="{00000000-0005-0000-0000-000055100000}"/>
    <cellStyle name="Input [yellow] 20 2 2" xfId="8283" xr:uid="{59CCE13C-1288-4164-A789-14A452F41353}"/>
    <cellStyle name="Input [yellow] 20 3" xfId="7038" xr:uid="{E1885EBF-72D6-4A1D-9A29-20CF9EEB3A50}"/>
    <cellStyle name="Input [yellow] 20 3 2" xfId="9644" xr:uid="{DF819F89-639B-43BD-9E87-D251648835DD}"/>
    <cellStyle name="Input [yellow] 20 3 3" xfId="9859" xr:uid="{8E440E66-27D0-4F35-B289-6F172D68194B}"/>
    <cellStyle name="Input [yellow] 20 4" xfId="7335" xr:uid="{1B737FFD-39CB-42FF-B11A-B8DA958BDD14}"/>
    <cellStyle name="Input [yellow] 21" xfId="522" xr:uid="{00000000-0005-0000-0000-000056100000}"/>
    <cellStyle name="Input [yellow] 21 2" xfId="4648" xr:uid="{00000000-0005-0000-0000-000057100000}"/>
    <cellStyle name="Input [yellow] 21 2 2" xfId="8284" xr:uid="{E25AB68A-80B6-42B2-BFD3-EB15246A20F9}"/>
    <cellStyle name="Input [yellow] 21 3" xfId="6444" xr:uid="{93EC21C8-BB63-4E07-92BE-73AD151D951B}"/>
    <cellStyle name="Input [yellow] 21 3 2" xfId="9187" xr:uid="{F76865CF-E212-45A0-B805-6CDA9ED374FF}"/>
    <cellStyle name="Input [yellow] 21 3 3" xfId="9809" xr:uid="{6FB345D2-18F3-4E98-84D1-1215A0EC5861}"/>
    <cellStyle name="Input [yellow] 21 4" xfId="7336" xr:uid="{BDDC3F4F-8388-48F1-9760-C9D3F2778499}"/>
    <cellStyle name="Input [yellow] 22" xfId="523" xr:uid="{00000000-0005-0000-0000-000058100000}"/>
    <cellStyle name="Input [yellow] 22 2" xfId="4649" xr:uid="{00000000-0005-0000-0000-000059100000}"/>
    <cellStyle name="Input [yellow] 22 2 2" xfId="8285" xr:uid="{4CBE5E2C-B481-4844-975D-1708C0607A44}"/>
    <cellStyle name="Input [yellow] 22 3" xfId="6448" xr:uid="{5625E1B3-F9DE-49FA-B3A2-CAAC709D5434}"/>
    <cellStyle name="Input [yellow] 22 3 2" xfId="9191" xr:uid="{88B4FE38-E88E-49A1-817B-953D830B65EA}"/>
    <cellStyle name="Input [yellow] 22 3 3" xfId="9811" xr:uid="{2547F247-FE55-496C-B17F-90979A3228FF}"/>
    <cellStyle name="Input [yellow] 22 4" xfId="7337" xr:uid="{DA113092-5CBB-4528-BB25-A1ED812C06A2}"/>
    <cellStyle name="Input [yellow] 23" xfId="4650" xr:uid="{00000000-0005-0000-0000-00005A100000}"/>
    <cellStyle name="Input [yellow] 23 2" xfId="8286" xr:uid="{20C73C2E-C864-4574-ACB2-214D54E1B0A6}"/>
    <cellStyle name="Input [yellow] 24" xfId="5894" xr:uid="{00000000-0005-0000-0000-00005B100000}"/>
    <cellStyle name="Input [yellow] 24 2" xfId="8775" xr:uid="{E9D3769A-1083-4D0C-A523-2E86E659C562}"/>
    <cellStyle name="Input [yellow] 25" xfId="5979" xr:uid="{00000000-0005-0000-0000-00005C100000}"/>
    <cellStyle name="Input [yellow] 26" xfId="7033" xr:uid="{C8128033-938C-4C2B-95D0-D4B4A401B516}"/>
    <cellStyle name="Input [yellow] 26 2" xfId="9639" xr:uid="{3E2C2372-E732-4862-8EFC-BB8EB24341FA}"/>
    <cellStyle name="Input [yellow] 26 3" xfId="9854" xr:uid="{03BF51B3-1F16-42E9-90F6-7E895D1985F2}"/>
    <cellStyle name="Input [yellow] 3" xfId="524" xr:uid="{00000000-0005-0000-0000-00005D100000}"/>
    <cellStyle name="Input [yellow] 3 2" xfId="4651" xr:uid="{00000000-0005-0000-0000-00005E100000}"/>
    <cellStyle name="Input [yellow] 3 2 2" xfId="8287" xr:uid="{2FC34A44-3039-4F4C-977B-C745C03BB825}"/>
    <cellStyle name="Input [yellow] 3 3" xfId="6270" xr:uid="{00000000-0005-0000-0000-00005F100000}"/>
    <cellStyle name="Input [yellow] 3 4" xfId="7041" xr:uid="{AC9E5EFE-CCBD-417D-8037-E0BF25A55040}"/>
    <cellStyle name="Input [yellow] 3 4 2" xfId="9646" xr:uid="{992DEF65-F124-4935-9707-9FAD8BD8671A}"/>
    <cellStyle name="Input [yellow] 3 4 3" xfId="9861" xr:uid="{5BB43D79-58D3-412D-A2CB-273CC7CA69A3}"/>
    <cellStyle name="Input [yellow] 4" xfId="525" xr:uid="{00000000-0005-0000-0000-000060100000}"/>
    <cellStyle name="Input [yellow] 4 2" xfId="4652" xr:uid="{00000000-0005-0000-0000-000061100000}"/>
    <cellStyle name="Input [yellow] 4 2 2" xfId="8288" xr:uid="{53E6F228-3167-4C95-8DF0-6E2B6F13F112}"/>
    <cellStyle name="Input [yellow] 4 3" xfId="7042" xr:uid="{FEA08D17-C7DB-4E0C-9A7F-8746D18B8567}"/>
    <cellStyle name="Input [yellow] 4 3 2" xfId="9647" xr:uid="{04A9A058-4B37-4538-859E-AF871B38A746}"/>
    <cellStyle name="Input [yellow] 4 3 3" xfId="9862" xr:uid="{C8D0AF1C-7C6E-4F2E-AE05-C3C4A482E6E3}"/>
    <cellStyle name="Input [yellow] 4 4" xfId="7338" xr:uid="{D1AC739F-91E6-414F-92C7-161A9C540658}"/>
    <cellStyle name="Input [yellow] 5" xfId="526" xr:uid="{00000000-0005-0000-0000-000062100000}"/>
    <cellStyle name="Input [yellow] 5 2" xfId="4653" xr:uid="{00000000-0005-0000-0000-000063100000}"/>
    <cellStyle name="Input [yellow] 5 2 2" xfId="8289" xr:uid="{F573DECD-D13E-4BA4-A0EE-FF78ED38B883}"/>
    <cellStyle name="Input [yellow] 5 3" xfId="4654" xr:uid="{00000000-0005-0000-0000-000064100000}"/>
    <cellStyle name="Input [yellow] 5 3 2" xfId="8290" xr:uid="{FC88815D-B337-40D4-A132-F9123E855247}"/>
    <cellStyle name="Input [yellow] 5 4" xfId="7043" xr:uid="{55A4C78E-C459-4F62-B66F-90DC4E12259B}"/>
    <cellStyle name="Input [yellow] 5 4 2" xfId="9648" xr:uid="{1B9AFFD7-12C4-44A1-B92B-BC94D1FFBF46}"/>
    <cellStyle name="Input [yellow] 5 4 3" xfId="9863" xr:uid="{2EBF5649-A993-41E5-882C-4035CB852D36}"/>
    <cellStyle name="Input [yellow] 5 5" xfId="7339" xr:uid="{983B3CBF-CF27-4AE0-8DCE-B88539A1E882}"/>
    <cellStyle name="Input [yellow] 6" xfId="527" xr:uid="{00000000-0005-0000-0000-000065100000}"/>
    <cellStyle name="Input [yellow] 6 2" xfId="4655" xr:uid="{00000000-0005-0000-0000-000066100000}"/>
    <cellStyle name="Input [yellow] 6 2 2" xfId="8291" xr:uid="{6962ED64-CAEE-4228-9EFA-35C11114C099}"/>
    <cellStyle name="Input [yellow] 6 3" xfId="7045" xr:uid="{F1819D4A-2045-4F83-882F-6D2D35B0EDE2}"/>
    <cellStyle name="Input [yellow] 6 3 2" xfId="9650" xr:uid="{710D0922-CCDD-4CC9-A07B-05F659489034}"/>
    <cellStyle name="Input [yellow] 6 3 3" xfId="9864" xr:uid="{68552116-B72A-4D8F-B083-22F0F7650B31}"/>
    <cellStyle name="Input [yellow] 6 4" xfId="7340" xr:uid="{EF955DC6-2870-4795-AD88-503FBF9BB97A}"/>
    <cellStyle name="Input [yellow] 7" xfId="528" xr:uid="{00000000-0005-0000-0000-000067100000}"/>
    <cellStyle name="Input [yellow] 7 2" xfId="4656" xr:uid="{00000000-0005-0000-0000-000068100000}"/>
    <cellStyle name="Input [yellow] 7 2 2" xfId="8292" xr:uid="{8F67DBF1-0D24-4A92-89D7-05D8C75E0D3E}"/>
    <cellStyle name="Input [yellow] 7 3" xfId="7046" xr:uid="{EFE1C3BA-420A-477B-8CE8-B71FB8BAA8A1}"/>
    <cellStyle name="Input [yellow] 7 3 2" xfId="9651" xr:uid="{4AF66465-2147-4B1B-BC5A-6F84B909ED12}"/>
    <cellStyle name="Input [yellow] 7 3 3" xfId="9865" xr:uid="{E31827F9-1D9E-4D5C-9226-003F4F5D4FBB}"/>
    <cellStyle name="Input [yellow] 7 4" xfId="7341" xr:uid="{55090E16-43DD-495F-B48E-7EB74E60C2DF}"/>
    <cellStyle name="Input [yellow] 8" xfId="529" xr:uid="{00000000-0005-0000-0000-000069100000}"/>
    <cellStyle name="Input [yellow] 8 2" xfId="4657" xr:uid="{00000000-0005-0000-0000-00006A100000}"/>
    <cellStyle name="Input [yellow] 8 2 2" xfId="8293" xr:uid="{E3E1BD17-E3AB-43CB-9312-D7432F066FFB}"/>
    <cellStyle name="Input [yellow] 8 3" xfId="7047" xr:uid="{645F8D09-0DDF-455A-A7E7-F4211381E35F}"/>
    <cellStyle name="Input [yellow] 8 3 2" xfId="9652" xr:uid="{782E6F3A-7A2A-46CA-B4D2-0F45B66CCCF9}"/>
    <cellStyle name="Input [yellow] 8 3 3" xfId="9866" xr:uid="{15B4F59E-B764-455F-9AF2-C0797BE9331F}"/>
    <cellStyle name="Input [yellow] 8 4" xfId="7342" xr:uid="{90D71F67-3C85-499D-89D7-B0EAF50D83DD}"/>
    <cellStyle name="Input [yellow] 9" xfId="530" xr:uid="{00000000-0005-0000-0000-00006B100000}"/>
    <cellStyle name="Input [yellow] 9 2" xfId="4658" xr:uid="{00000000-0005-0000-0000-00006C100000}"/>
    <cellStyle name="Input [yellow] 9 2 2" xfId="8294" xr:uid="{96BD5638-A5AE-4D1E-A79A-84724E1B538C}"/>
    <cellStyle name="Input [yellow] 9 3" xfId="7048" xr:uid="{58F7687D-9E78-478E-8CBD-32B63011E22D}"/>
    <cellStyle name="Input [yellow] 9 3 2" xfId="9653" xr:uid="{03ADFAA6-D4CF-4DDF-8A37-986475F0BC33}"/>
    <cellStyle name="Input [yellow] 9 3 3" xfId="9867" xr:uid="{AFF40A8F-D01A-4A83-BF4B-F03226F7F1ED}"/>
    <cellStyle name="Input [yellow] 9 4" xfId="7343" xr:uid="{1DAD9DC5-8342-4CEE-B602-0C73A55E108F}"/>
    <cellStyle name="Input 2" xfId="531" xr:uid="{00000000-0005-0000-0000-00006D100000}"/>
    <cellStyle name="Input 2 2" xfId="1918" xr:uid="{00000000-0005-0000-0000-00006E100000}"/>
    <cellStyle name="Input 2 2 2" xfId="4659" xr:uid="{00000000-0005-0000-0000-00006F100000}"/>
    <cellStyle name="Input 2 2 2 2" xfId="8295" xr:uid="{9CE8475A-0BDC-4BE2-86BC-361A0756F03F}"/>
    <cellStyle name="Input 2 2 3" xfId="4660" xr:uid="{00000000-0005-0000-0000-000070100000}"/>
    <cellStyle name="Input 2 2 3 2" xfId="8296" xr:uid="{F869C7BE-1CA2-4988-AB6D-B3588B6D4884}"/>
    <cellStyle name="Input 2 2 4" xfId="7495" xr:uid="{D1CA9A4E-D779-413B-BA0C-0273E6853494}"/>
    <cellStyle name="Input 2 3" xfId="1919" xr:uid="{00000000-0005-0000-0000-000071100000}"/>
    <cellStyle name="Input 2 3 2" xfId="6271" xr:uid="{00000000-0005-0000-0000-000072100000}"/>
    <cellStyle name="Input 2 3 2 2" xfId="9071" xr:uid="{216D3292-0787-40C2-99AD-E350A4413815}"/>
    <cellStyle name="Input 2 3 3" xfId="7496" xr:uid="{FA9B4BA9-AEFC-41B0-80D7-C481B3E9AAFA}"/>
    <cellStyle name="Input 2 4" xfId="1920" xr:uid="{00000000-0005-0000-0000-000073100000}"/>
    <cellStyle name="Input 2 4 2" xfId="4661" xr:uid="{00000000-0005-0000-0000-000074100000}"/>
    <cellStyle name="Input 2 4 2 2" xfId="8297" xr:uid="{73DFD743-C9B2-4A82-AE79-5A5157FE6FED}"/>
    <cellStyle name="Input 2 4 3" xfId="6272" xr:uid="{00000000-0005-0000-0000-000075100000}"/>
    <cellStyle name="Input 2 4 3 2" xfId="9072" xr:uid="{ED1F5B2A-B19D-4D95-BCEF-294368BFA42F}"/>
    <cellStyle name="Input 2 4 4" xfId="7497" xr:uid="{5A22EDD1-37DE-4476-AC08-97F4CFEE177C}"/>
    <cellStyle name="Input 2 5" xfId="5980" xr:uid="{00000000-0005-0000-0000-000076100000}"/>
    <cellStyle name="Input 2 5 2" xfId="8812" xr:uid="{A68826D7-C8D7-4461-B498-28470F073EF3}"/>
    <cellStyle name="Input 2 5 3" xfId="9769" xr:uid="{111BF2C7-D284-484C-BF7A-05C846E49051}"/>
    <cellStyle name="Input 2 6" xfId="6560" xr:uid="{FA261C3E-2FB5-4284-AE87-88E2B4AA612C}"/>
    <cellStyle name="Input 2 6 2" xfId="9817" xr:uid="{BA370825-555F-491E-B4CB-2B41DC03EF2B}"/>
    <cellStyle name="Input 2 7" xfId="7344" xr:uid="{13B176F2-987B-4332-877A-9C9FAA12307F}"/>
    <cellStyle name="Input 3" xfId="532" xr:uid="{00000000-0005-0000-0000-000077100000}"/>
    <cellStyle name="Input 3 2" xfId="1921" xr:uid="{00000000-0005-0000-0000-000078100000}"/>
    <cellStyle name="Input 3 2 2" xfId="4662" xr:uid="{00000000-0005-0000-0000-000079100000}"/>
    <cellStyle name="Input 3 2 2 2" xfId="8298" xr:uid="{937CDBF1-86AC-4C33-B97E-5532CD6CB40C}"/>
    <cellStyle name="Input 3 2 3" xfId="6273" xr:uid="{00000000-0005-0000-0000-00007A100000}"/>
    <cellStyle name="Input 3 2 3 2" xfId="9073" xr:uid="{084F3677-AAC9-4969-8DE9-D12F01D6BDFA}"/>
    <cellStyle name="Input 3 2 4" xfId="7498" xr:uid="{F85D64A7-2916-44E2-9473-53E81ABF5781}"/>
    <cellStyle name="Input 3 3" xfId="1922" xr:uid="{00000000-0005-0000-0000-00007B100000}"/>
    <cellStyle name="Input 3 3 2" xfId="6274" xr:uid="{00000000-0005-0000-0000-00007C100000}"/>
    <cellStyle name="Input 3 3 2 2" xfId="9074" xr:uid="{9AD4330E-4C17-4225-86D5-4CF740041E7B}"/>
    <cellStyle name="Input 3 3 3" xfId="7499" xr:uid="{E9FECFFD-FE0A-470C-866E-3F7F052271D9}"/>
    <cellStyle name="Input 3 4" xfId="1923" xr:uid="{00000000-0005-0000-0000-00007D100000}"/>
    <cellStyle name="Input 3 4 2" xfId="6275" xr:uid="{00000000-0005-0000-0000-00007E100000}"/>
    <cellStyle name="Input 3 4 2 2" xfId="9075" xr:uid="{2BCB5DD1-3DF8-4483-A341-A692BA279388}"/>
    <cellStyle name="Input 3 4 3" xfId="7500" xr:uid="{94C424F4-D368-4C9B-9C15-CF8020987B32}"/>
    <cellStyle name="Input 3 4 4" xfId="8049" xr:uid="{25A409C4-7C3F-42BF-8CC9-3146ACAA2BFD}"/>
    <cellStyle name="Input 3 5" xfId="5895" xr:uid="{00000000-0005-0000-0000-00007F100000}"/>
    <cellStyle name="Input 3 5 2" xfId="8776" xr:uid="{DDC5CD2C-7568-4218-8B33-2332DC6889E9}"/>
    <cellStyle name="Input 3 6" xfId="5981" xr:uid="{00000000-0005-0000-0000-000080100000}"/>
    <cellStyle name="Input 3 6 2" xfId="8813" xr:uid="{DD29973D-EF8A-4136-A54D-5C9570D216AE}"/>
    <cellStyle name="Input 3 6 3" xfId="9770" xr:uid="{51DC8DB3-7BEB-4113-AD16-FCBBE6F07778}"/>
    <cellStyle name="Input 3 7" xfId="7345" xr:uid="{E674E874-0A34-4ECA-8561-E2DD24BABB8D}"/>
    <cellStyle name="Input 4" xfId="533" xr:uid="{00000000-0005-0000-0000-000081100000}"/>
    <cellStyle name="Input 4 2" xfId="1924" xr:uid="{00000000-0005-0000-0000-000082100000}"/>
    <cellStyle name="Input 4 2 2" xfId="4663" xr:uid="{00000000-0005-0000-0000-000083100000}"/>
    <cellStyle name="Input 4 2 2 2" xfId="8299" xr:uid="{699F5E72-3ACA-4F09-9F7F-AFD83C10168C}"/>
    <cellStyle name="Input 4 2 3" xfId="7501" xr:uid="{FD2E2C4C-5BC2-4927-949A-91C21BD76331}"/>
    <cellStyle name="Input 4 3" xfId="1925" xr:uid="{00000000-0005-0000-0000-000084100000}"/>
    <cellStyle name="Input 4 3 2" xfId="7502" xr:uid="{4453CDD4-C53A-4641-A98A-DC31AFA24D7F}"/>
    <cellStyle name="Input 4 3 3" xfId="8039" xr:uid="{278E685E-49DB-4D97-9E2B-4413389B6E6E}"/>
    <cellStyle name="Input 4 4" xfId="1926" xr:uid="{00000000-0005-0000-0000-000085100000}"/>
    <cellStyle name="Input 4 4 2" xfId="7503" xr:uid="{C2995BE0-E45C-4199-A4C3-1E5EE85F6882}"/>
    <cellStyle name="Input 4 4 3" xfId="8029" xr:uid="{79ABFBC8-8806-440C-A8EB-03CFBE4F09E6}"/>
    <cellStyle name="Input 4 5" xfId="7346" xr:uid="{24AB43B7-70C7-48B2-9F54-03D513CF9CD5}"/>
    <cellStyle name="Input 4 6" xfId="8356" xr:uid="{A091F9B9-16DF-46DE-8AB1-6805B7CE6BE9}"/>
    <cellStyle name="Input 5" xfId="534" xr:uid="{00000000-0005-0000-0000-000086100000}"/>
    <cellStyle name="Input 5 2" xfId="1927" xr:uid="{00000000-0005-0000-0000-000087100000}"/>
    <cellStyle name="Input 5 2 2" xfId="4664" xr:uid="{00000000-0005-0000-0000-000088100000}"/>
    <cellStyle name="Input 5 2 2 2" xfId="8300" xr:uid="{C0510163-7875-441E-AED4-61253067C812}"/>
    <cellStyle name="Input 5 2 3" xfId="7504" xr:uid="{212B7324-C98E-47EE-9753-842AD5DA569A}"/>
    <cellStyle name="Input 5 3" xfId="1928" xr:uid="{00000000-0005-0000-0000-000089100000}"/>
    <cellStyle name="Input 5 3 2" xfId="7505" xr:uid="{64BDC7A2-639C-4BB2-9AA2-6E48DE46410C}"/>
    <cellStyle name="Input 5 3 3" xfId="8021" xr:uid="{E89E5E6F-0621-42E4-B7F1-D0BEF28C58F5}"/>
    <cellStyle name="Input 5 4" xfId="1929" xr:uid="{00000000-0005-0000-0000-00008A100000}"/>
    <cellStyle name="Input 5 4 2" xfId="7506" xr:uid="{01656A8B-4277-410D-96B3-CFA4F1D70CDA}"/>
    <cellStyle name="Input 5 4 3" xfId="8020" xr:uid="{32621447-3DD8-417A-AC85-7822A1698387}"/>
    <cellStyle name="Input 5 5" xfId="7347" xr:uid="{EC9EAC7A-BAB2-489D-93FD-E1B926B66EF3}"/>
    <cellStyle name="Input 5 6" xfId="7509" xr:uid="{DFB6D722-EDC9-4978-94CE-D735099B12B2}"/>
    <cellStyle name="Input Cells" xfId="535" xr:uid="{00000000-0005-0000-0000-00008B100000}"/>
    <cellStyle name="Input Cells 2" xfId="536" xr:uid="{00000000-0005-0000-0000-00008C100000}"/>
    <cellStyle name="Input Cells 3" xfId="4665" xr:uid="{00000000-0005-0000-0000-00008D100000}"/>
    <cellStyle name="Input Cells 4" xfId="7049" xr:uid="{1583A93F-02ED-46AA-B4A9-41EBA9DF55A7}"/>
    <cellStyle name="Link Currency (0)" xfId="537" xr:uid="{00000000-0005-0000-0000-00008E100000}"/>
    <cellStyle name="Link Currency (0) 2" xfId="538" xr:uid="{00000000-0005-0000-0000-00008F100000}"/>
    <cellStyle name="Link Currency (0) 2 2" xfId="6277" xr:uid="{00000000-0005-0000-0000-000090100000}"/>
    <cellStyle name="Link Currency (0) 2 2 2" xfId="9077" xr:uid="{930EE869-7114-462F-B091-48D33878867F}"/>
    <cellStyle name="Link Currency (0) 2 3" xfId="7349" xr:uid="{2687A22A-64D8-4396-9AEA-BDF9650F400D}"/>
    <cellStyle name="Link Currency (0) 3" xfId="5896" xr:uid="{00000000-0005-0000-0000-000091100000}"/>
    <cellStyle name="Link Currency (0) 3 2" xfId="6278" xr:uid="{00000000-0005-0000-0000-000092100000}"/>
    <cellStyle name="Link Currency (0) 3 2 2" xfId="9078" xr:uid="{CAF81344-FB00-4D21-A9C2-8483C5C0DE0D}"/>
    <cellStyle name="Link Currency (0) 3 3" xfId="8777" xr:uid="{50526D42-C64B-4CC8-8713-4D74444483B9}"/>
    <cellStyle name="Link Currency (0) 4" xfId="6276" xr:uid="{00000000-0005-0000-0000-000093100000}"/>
    <cellStyle name="Link Currency (0) 4 2" xfId="9076" xr:uid="{18565F11-9987-4C5F-A340-B4EFEFB9441D}"/>
    <cellStyle name="Link Currency (0) 5" xfId="7348" xr:uid="{BA88E729-0620-4899-8D41-B0DF818DE302}"/>
    <cellStyle name="Link Currency (2)" xfId="539" xr:uid="{00000000-0005-0000-0000-000094100000}"/>
    <cellStyle name="Link Currency (2) 2" xfId="540" xr:uid="{00000000-0005-0000-0000-000095100000}"/>
    <cellStyle name="Link Currency (2) 2 2" xfId="6280" xr:uid="{00000000-0005-0000-0000-000096100000}"/>
    <cellStyle name="Link Currency (2) 2 2 2" xfId="9080" xr:uid="{B551CA6B-D1F7-40C2-9072-021E48DC1777}"/>
    <cellStyle name="Link Currency (2) 2 3" xfId="7351" xr:uid="{0F73C5DE-B19B-4107-BFF0-B3663670D168}"/>
    <cellStyle name="Link Currency (2) 3" xfId="5897" xr:uid="{00000000-0005-0000-0000-000097100000}"/>
    <cellStyle name="Link Currency (2) 3 2" xfId="6281" xr:uid="{00000000-0005-0000-0000-000098100000}"/>
    <cellStyle name="Link Currency (2) 3 2 2" xfId="9081" xr:uid="{D0CB742C-A21C-4B8B-AF94-F26DC3374DD3}"/>
    <cellStyle name="Link Currency (2) 3 3" xfId="8778" xr:uid="{45619766-9AD4-4238-96F3-E929A25EFBE7}"/>
    <cellStyle name="Link Currency (2) 4" xfId="6279" xr:uid="{00000000-0005-0000-0000-000099100000}"/>
    <cellStyle name="Link Currency (2) 4 2" xfId="9079" xr:uid="{CD1B686A-4856-4674-A188-B9331D8F2919}"/>
    <cellStyle name="Link Currency (2) 5" xfId="7350" xr:uid="{3B0E6C7D-6703-4719-B305-FDB29FFE340D}"/>
    <cellStyle name="Link Units (0)" xfId="541" xr:uid="{00000000-0005-0000-0000-00009A100000}"/>
    <cellStyle name="Link Units (0) 2" xfId="542" xr:uid="{00000000-0005-0000-0000-00009B100000}"/>
    <cellStyle name="Link Units (0) 2 2" xfId="6283" xr:uid="{00000000-0005-0000-0000-00009C100000}"/>
    <cellStyle name="Link Units (0) 2 2 2" xfId="9083" xr:uid="{7FE58D98-2EA7-4A63-A20F-15855AD7DCA6}"/>
    <cellStyle name="Link Units (0) 2 3" xfId="7353" xr:uid="{E1FF7FB9-28BB-4F5D-9B51-132C3068B398}"/>
    <cellStyle name="Link Units (0) 3" xfId="5898" xr:uid="{00000000-0005-0000-0000-00009D100000}"/>
    <cellStyle name="Link Units (0) 3 2" xfId="6284" xr:uid="{00000000-0005-0000-0000-00009E100000}"/>
    <cellStyle name="Link Units (0) 3 2 2" xfId="9084" xr:uid="{0FBC0631-34AF-447C-ACF3-F7DDD2EBD232}"/>
    <cellStyle name="Link Units (0) 3 3" xfId="8779" xr:uid="{41BA0C0A-8469-43C0-B23A-099B4288A305}"/>
    <cellStyle name="Link Units (0) 4" xfId="6282" xr:uid="{00000000-0005-0000-0000-00009F100000}"/>
    <cellStyle name="Link Units (0) 4 2" xfId="9082" xr:uid="{B044F590-47AF-4856-9690-70648F79B2D4}"/>
    <cellStyle name="Link Units (0) 5" xfId="7352" xr:uid="{84ABA1CD-A125-4258-8AC7-B9A6D1A89628}"/>
    <cellStyle name="Link Units (1)" xfId="543" xr:uid="{00000000-0005-0000-0000-0000A0100000}"/>
    <cellStyle name="Link Units (1) 2" xfId="544" xr:uid="{00000000-0005-0000-0000-0000A1100000}"/>
    <cellStyle name="Link Units (1) 2 2" xfId="6286" xr:uid="{00000000-0005-0000-0000-0000A2100000}"/>
    <cellStyle name="Link Units (1) 2 2 2" xfId="9086" xr:uid="{3207D97B-D162-4286-A9C2-8256B2A4A79E}"/>
    <cellStyle name="Link Units (1) 2 3" xfId="7355" xr:uid="{F288753C-F431-4198-95A0-97DDE94D88FD}"/>
    <cellStyle name="Link Units (1) 3" xfId="5899" xr:uid="{00000000-0005-0000-0000-0000A3100000}"/>
    <cellStyle name="Link Units (1) 3 2" xfId="6287" xr:uid="{00000000-0005-0000-0000-0000A4100000}"/>
    <cellStyle name="Link Units (1) 3 2 2" xfId="9087" xr:uid="{76F8A16F-2C15-416D-852F-2B00F24A668D}"/>
    <cellStyle name="Link Units (1) 3 3" xfId="8780" xr:uid="{1D360448-801A-4B43-B853-BC8C05A0C53F}"/>
    <cellStyle name="Link Units (1) 4" xfId="6285" xr:uid="{00000000-0005-0000-0000-0000A5100000}"/>
    <cellStyle name="Link Units (1) 4 2" xfId="9085" xr:uid="{DA72A5B7-D7DF-44CC-BB47-99E91221C125}"/>
    <cellStyle name="Link Units (1) 5" xfId="7354" xr:uid="{734DEF86-0ADA-4D09-977F-3E280547F6E5}"/>
    <cellStyle name="Link Units (2)" xfId="545" xr:uid="{00000000-0005-0000-0000-0000A6100000}"/>
    <cellStyle name="Link Units (2) 2" xfId="546" xr:uid="{00000000-0005-0000-0000-0000A7100000}"/>
    <cellStyle name="Link Units (2) 2 2" xfId="6289" xr:uid="{00000000-0005-0000-0000-0000A8100000}"/>
    <cellStyle name="Link Units (2) 2 2 2" xfId="9089" xr:uid="{4AF8FA1F-9127-41C5-8666-A8F4006B6531}"/>
    <cellStyle name="Link Units (2) 2 3" xfId="7357" xr:uid="{2EA1F77A-0AB6-4D8E-BA5C-33D6C11512DF}"/>
    <cellStyle name="Link Units (2) 3" xfId="5900" xr:uid="{00000000-0005-0000-0000-0000A9100000}"/>
    <cellStyle name="Link Units (2) 3 2" xfId="6290" xr:uid="{00000000-0005-0000-0000-0000AA100000}"/>
    <cellStyle name="Link Units (2) 3 2 2" xfId="9090" xr:uid="{EBE640A4-0D81-4E42-9355-11BCAC6065B6}"/>
    <cellStyle name="Link Units (2) 3 3" xfId="8781" xr:uid="{106C7451-E382-41C7-AA0D-052D6F6852C0}"/>
    <cellStyle name="Link Units (2) 4" xfId="6288" xr:uid="{00000000-0005-0000-0000-0000AB100000}"/>
    <cellStyle name="Link Units (2) 4 2" xfId="9088" xr:uid="{BF7C68A8-A31F-4A62-BA3C-0849858F69AA}"/>
    <cellStyle name="Link Units (2) 5" xfId="7356" xr:uid="{24B55982-017B-4305-9F51-82A52538BE2E}"/>
    <cellStyle name="Linked Cell 2" xfId="547" xr:uid="{00000000-0005-0000-0000-0000AC100000}"/>
    <cellStyle name="Linked Cell 2 2" xfId="1930" xr:uid="{00000000-0005-0000-0000-0000AD100000}"/>
    <cellStyle name="Linked Cell 2 2 2" xfId="4666" xr:uid="{00000000-0005-0000-0000-0000AE100000}"/>
    <cellStyle name="Linked Cell 3" xfId="5901" xr:uid="{00000000-0005-0000-0000-0000AF100000}"/>
    <cellStyle name="Linked Cells" xfId="548" xr:uid="{00000000-0005-0000-0000-0000B0100000}"/>
    <cellStyle name="Linked Cells 2" xfId="549" xr:uid="{00000000-0005-0000-0000-0000B1100000}"/>
    <cellStyle name="Linked Cells 3" xfId="4667" xr:uid="{00000000-0005-0000-0000-0000B2100000}"/>
    <cellStyle name="Linked Cells 4" xfId="7050" xr:uid="{A146F004-97CA-4B1C-A6E4-45960D41BDE1}"/>
    <cellStyle name="Migliaia (0)_pldt" xfId="550" xr:uid="{00000000-0005-0000-0000-0000B3100000}"/>
    <cellStyle name="Migliaia_pldt" xfId="551" xr:uid="{00000000-0005-0000-0000-0000B4100000}"/>
    <cellStyle name="Milliers [0]_!!!GO" xfId="552" xr:uid="{00000000-0005-0000-0000-0000B5100000}"/>
    <cellStyle name="Milliers_!!!GO" xfId="553" xr:uid="{00000000-0005-0000-0000-0000B6100000}"/>
    <cellStyle name="Monétaire [0]_!!!GO" xfId="554" xr:uid="{00000000-0005-0000-0000-0000B7100000}"/>
    <cellStyle name="Monétaire_!!!GO" xfId="555" xr:uid="{00000000-0005-0000-0000-0000B8100000}"/>
    <cellStyle name="Neutral 2" xfId="556" xr:uid="{00000000-0005-0000-0000-0000B9100000}"/>
    <cellStyle name="Neutral 2 2" xfId="1931" xr:uid="{00000000-0005-0000-0000-0000BA100000}"/>
    <cellStyle name="Neutral 2 2 2" xfId="4668" xr:uid="{00000000-0005-0000-0000-0000BB100000}"/>
    <cellStyle name="Neutral 2 3" xfId="6555" xr:uid="{D86B87E8-72E6-444D-9ACD-7ACB645443C3}"/>
    <cellStyle name="Neutral 3" xfId="5902" xr:uid="{00000000-0005-0000-0000-0000BC100000}"/>
    <cellStyle name="no dec" xfId="557" xr:uid="{00000000-0005-0000-0000-0000BD100000}"/>
    <cellStyle name="no dec 2" xfId="1932" xr:uid="{00000000-0005-0000-0000-0000BE100000}"/>
    <cellStyle name="no dec 3" xfId="6484" xr:uid="{6A7CDA47-7ED7-42A7-ACDA-54F072C8C3EF}"/>
    <cellStyle name="Normal" xfId="0" builtinId="0"/>
    <cellStyle name="Normal - Style1" xfId="558" xr:uid="{00000000-0005-0000-0000-0000C0100000}"/>
    <cellStyle name="Normal - Style1 2" xfId="4669" xr:uid="{00000000-0005-0000-0000-0000C1100000}"/>
    <cellStyle name="Normal - Style1 2 2" xfId="6381" xr:uid="{564325CF-4390-41B6-9F3B-D0A3816E8BC6}"/>
    <cellStyle name="Normal - Style1 3" xfId="6820" xr:uid="{EB853C4F-5A47-4937-8CC6-C060BA5E2261}"/>
    <cellStyle name="Normal - Style1 4" xfId="7052" xr:uid="{32534B6A-8E32-462C-A622-204C7C1BDC2A}"/>
    <cellStyle name="Normal - Style1 4 2" xfId="7053" xr:uid="{063E952C-89D3-4591-8F54-60DCB2050D81}"/>
    <cellStyle name="Normal - Style1 5" xfId="6473" xr:uid="{57D78C41-B68F-486B-9570-3A95083E9917}"/>
    <cellStyle name="Normal 10" xfId="559" xr:uid="{00000000-0005-0000-0000-0000C2100000}"/>
    <cellStyle name="Normal 10 2" xfId="560" xr:uid="{00000000-0005-0000-0000-0000C3100000}"/>
    <cellStyle name="Normal 10 2 2" xfId="561" xr:uid="{00000000-0005-0000-0000-0000C4100000}"/>
    <cellStyle name="Normal 10 2 2 2" xfId="4670" xr:uid="{00000000-0005-0000-0000-0000C5100000}"/>
    <cellStyle name="Normal 10 2 2 2 2" xfId="7054" xr:uid="{DC76F3D3-2AC7-4D52-83AA-905F403C2281}"/>
    <cellStyle name="Normal 10 2 2 2 3" xfId="6906" xr:uid="{F693E281-8790-427D-969C-F08CAD7E3819}"/>
    <cellStyle name="Normal 10 2 3" xfId="1933" xr:uid="{00000000-0005-0000-0000-0000C6100000}"/>
    <cellStyle name="Normal 10 2 3 2" xfId="4671" xr:uid="{00000000-0005-0000-0000-0000C7100000}"/>
    <cellStyle name="Normal 10 2 3 3" xfId="4672" xr:uid="{00000000-0005-0000-0000-0000C8100000}"/>
    <cellStyle name="Normal 10 2 4" xfId="4673" xr:uid="{00000000-0005-0000-0000-0000C9100000}"/>
    <cellStyle name="Normal 10 2 5" xfId="4674" xr:uid="{00000000-0005-0000-0000-0000CA100000}"/>
    <cellStyle name="Normal 10 3" xfId="562" xr:uid="{00000000-0005-0000-0000-0000CB100000}"/>
    <cellStyle name="Normal 10 3 2" xfId="1934" xr:uid="{00000000-0005-0000-0000-0000CC100000}"/>
    <cellStyle name="Normal 10 3 3" xfId="4675" xr:uid="{00000000-0005-0000-0000-0000CD100000}"/>
    <cellStyle name="Normal 10 4" xfId="1935" xr:uid="{00000000-0005-0000-0000-0000CE100000}"/>
    <cellStyle name="Normal 10 4 2" xfId="6809" xr:uid="{41100916-6477-424F-82C8-A1A61F40637B}"/>
    <cellStyle name="Normal 10 5" xfId="4676" xr:uid="{00000000-0005-0000-0000-0000CF100000}"/>
    <cellStyle name="Normal 10 5 2" xfId="6840" xr:uid="{8B9262B0-82E0-4719-9FFA-7F11F1C80111}"/>
    <cellStyle name="Normal 10 6" xfId="6662" xr:uid="{5CEC80C3-AC6B-4CFC-AB78-C5E82E3D625B}"/>
    <cellStyle name="Normal 10 7" xfId="6395" xr:uid="{A001A7D9-1F75-4DAF-ADED-2D8AC45E96B9}"/>
    <cellStyle name="Normal 10_BukuBesar" xfId="4677" xr:uid="{00000000-0005-0000-0000-0000D0100000}"/>
    <cellStyle name="Normal 100" xfId="5903" xr:uid="{00000000-0005-0000-0000-0000D1100000}"/>
    <cellStyle name="Normal 101" xfId="1936" xr:uid="{00000000-0005-0000-0000-0000D2100000}"/>
    <cellStyle name="Normal 11" xfId="563" xr:uid="{00000000-0005-0000-0000-0000D3100000}"/>
    <cellStyle name="Normal 11 2" xfId="564" xr:uid="{00000000-0005-0000-0000-0000D4100000}"/>
    <cellStyle name="Normal 11 2 2" xfId="565" xr:uid="{00000000-0005-0000-0000-0000D5100000}"/>
    <cellStyle name="Normal 11 2 2 2" xfId="566" xr:uid="{00000000-0005-0000-0000-0000D6100000}"/>
    <cellStyle name="Normal 11 2 2 2 2 2" xfId="1937" xr:uid="{00000000-0005-0000-0000-0000D7100000}"/>
    <cellStyle name="Normal 11 2 2 2 2 2 2" xfId="6374" xr:uid="{FEB69999-A240-4C2D-A609-39E25652AC1E}"/>
    <cellStyle name="Normal 11 2 2 3" xfId="1938" xr:uid="{00000000-0005-0000-0000-0000D8100000}"/>
    <cellStyle name="Normal 11 2 2 3 2" xfId="1939" xr:uid="{00000000-0005-0000-0000-0000D9100000}"/>
    <cellStyle name="Normal 11 2 2 4" xfId="1940" xr:uid="{00000000-0005-0000-0000-0000DA100000}"/>
    <cellStyle name="Normal 11 2 3" xfId="1941" xr:uid="{00000000-0005-0000-0000-0000DB100000}"/>
    <cellStyle name="Normal 11 3" xfId="567" xr:uid="{00000000-0005-0000-0000-0000DC100000}"/>
    <cellStyle name="Normal 11 3 2" xfId="1942" xr:uid="{00000000-0005-0000-0000-0000DD100000}"/>
    <cellStyle name="Normal 11 3 2 2" xfId="4678" xr:uid="{00000000-0005-0000-0000-0000DE100000}"/>
    <cellStyle name="Normal 11 3 3" xfId="4679" xr:uid="{00000000-0005-0000-0000-0000DF100000}"/>
    <cellStyle name="Normal 11 4" xfId="568" xr:uid="{00000000-0005-0000-0000-0000E0100000}"/>
    <cellStyle name="Normal 11 4 2" xfId="4680" xr:uid="{00000000-0005-0000-0000-0000E1100000}"/>
    <cellStyle name="Normal 11 5" xfId="569" xr:uid="{00000000-0005-0000-0000-0000E2100000}"/>
    <cellStyle name="Normal 11 5 2" xfId="4681" xr:uid="{00000000-0005-0000-0000-0000E3100000}"/>
    <cellStyle name="Normal 11 6" xfId="570" xr:uid="{00000000-0005-0000-0000-0000E4100000}"/>
    <cellStyle name="Normal 11 6 2" xfId="4682" xr:uid="{00000000-0005-0000-0000-0000E5100000}"/>
    <cellStyle name="Normal 11 7" xfId="4683" xr:uid="{00000000-0005-0000-0000-0000E6100000}"/>
    <cellStyle name="Normal 11 7 2" xfId="7039" xr:uid="{D03806AB-6E8B-4812-BABE-47E40E03AB21}"/>
    <cellStyle name="Normal 11 8" xfId="6665" xr:uid="{376801BF-33B5-45F7-936A-ECD4F2748FDD}"/>
    <cellStyle name="Normal 11 9" xfId="6396" xr:uid="{558961CA-E363-4C9E-8D6B-98D84887B797}"/>
    <cellStyle name="Normal 12" xfId="571" xr:uid="{00000000-0005-0000-0000-0000E7100000}"/>
    <cellStyle name="Normal 12 2" xfId="572" xr:uid="{00000000-0005-0000-0000-0000E8100000}"/>
    <cellStyle name="Normal 12 2 2" xfId="1943" xr:uid="{00000000-0005-0000-0000-0000E9100000}"/>
    <cellStyle name="Normal 12 2 2 2" xfId="4684" xr:uid="{00000000-0005-0000-0000-0000EA100000}"/>
    <cellStyle name="Normal 12 2 2 3" xfId="4685" xr:uid="{00000000-0005-0000-0000-0000EB100000}"/>
    <cellStyle name="Normal 12 2 3" xfId="4686" xr:uid="{00000000-0005-0000-0000-0000EC100000}"/>
    <cellStyle name="Normal 12 2 4" xfId="7055" xr:uid="{6349E200-E923-401A-816B-BE79E7D7A6A2}"/>
    <cellStyle name="Normal 12 3" xfId="1944" xr:uid="{00000000-0005-0000-0000-0000ED100000}"/>
    <cellStyle name="Normal 12 3 2" xfId="1945" xr:uid="{00000000-0005-0000-0000-0000EE100000}"/>
    <cellStyle name="Normal 12 3 2 2" xfId="1946" xr:uid="{00000000-0005-0000-0000-0000EF100000}"/>
    <cellStyle name="Normal 12 3 2 2 2" xfId="1947" xr:uid="{00000000-0005-0000-0000-0000F0100000}"/>
    <cellStyle name="Normal 12 3 2 3" xfId="1948" xr:uid="{00000000-0005-0000-0000-0000F1100000}"/>
    <cellStyle name="Normal 12 3 3" xfId="1949" xr:uid="{00000000-0005-0000-0000-0000F2100000}"/>
    <cellStyle name="Normal 12 3 4" xfId="4687" xr:uid="{00000000-0005-0000-0000-0000F3100000}"/>
    <cellStyle name="Normal 12 3 5" xfId="6575" xr:uid="{26016E6D-FC4A-4166-AE8A-1357CD97DAA5}"/>
    <cellStyle name="Normal 12 4" xfId="1950" xr:uid="{00000000-0005-0000-0000-0000F4100000}"/>
    <cellStyle name="Normal 12 4 2" xfId="1951" xr:uid="{00000000-0005-0000-0000-0000F5100000}"/>
    <cellStyle name="Normal 12 5" xfId="1952" xr:uid="{00000000-0005-0000-0000-0000F6100000}"/>
    <cellStyle name="Normal 12 5 2" xfId="1953" xr:uid="{00000000-0005-0000-0000-0000F7100000}"/>
    <cellStyle name="Normal 12 6" xfId="1954" xr:uid="{00000000-0005-0000-0000-0000F8100000}"/>
    <cellStyle name="Normal 12 7" xfId="6397" xr:uid="{501B5CE8-EE7C-468B-8400-0B12FBF051B6}"/>
    <cellStyle name="Normal 13" xfId="573" xr:uid="{00000000-0005-0000-0000-0000F9100000}"/>
    <cellStyle name="Normal 13 2" xfId="574" xr:uid="{00000000-0005-0000-0000-0000FA100000}"/>
    <cellStyle name="Normal 13 2 2" xfId="1955" xr:uid="{00000000-0005-0000-0000-0000FB100000}"/>
    <cellStyle name="Normal 13 2 2 2" xfId="4688" xr:uid="{00000000-0005-0000-0000-0000FC100000}"/>
    <cellStyle name="Normal 13 2 3" xfId="7057" xr:uid="{9353ADE7-CA08-43AF-81D3-37B493BCBAC3}"/>
    <cellStyle name="Normal 13 3" xfId="1956" xr:uid="{00000000-0005-0000-0000-0000FD100000}"/>
    <cellStyle name="Normal 13 3 2" xfId="7056" xr:uid="{37D4AB21-0A83-44AE-9707-008BFFE162B6}"/>
    <cellStyle name="Normal 13 4" xfId="4689" xr:uid="{00000000-0005-0000-0000-0000FE100000}"/>
    <cellStyle name="Normal 13 5" xfId="6398" xr:uid="{84BB4F68-E533-4A3F-8CF8-8B44D322AABA}"/>
    <cellStyle name="Normal 13_BukuBesar" xfId="4690" xr:uid="{00000000-0005-0000-0000-0000FF100000}"/>
    <cellStyle name="Normal 14" xfId="575" xr:uid="{00000000-0005-0000-0000-000000110000}"/>
    <cellStyle name="Normal 14 2" xfId="576" xr:uid="{00000000-0005-0000-0000-000001110000}"/>
    <cellStyle name="Normal 14 2 2" xfId="1957" xr:uid="{00000000-0005-0000-0000-000002110000}"/>
    <cellStyle name="Normal 14 2 2 2" xfId="4691" xr:uid="{00000000-0005-0000-0000-000003110000}"/>
    <cellStyle name="Normal 14 2 3" xfId="6551" xr:uid="{D16628CA-24B4-4AB1-8DD8-44FD6A1ED922}"/>
    <cellStyle name="Normal 14 3" xfId="1958" xr:uid="{00000000-0005-0000-0000-000004110000}"/>
    <cellStyle name="Normal 14 3 2" xfId="1959" xr:uid="{00000000-0005-0000-0000-000005110000}"/>
    <cellStyle name="Normal 14 3 3" xfId="7058" xr:uid="{87D59B26-8AD3-4D0E-81DD-629A30551CCF}"/>
    <cellStyle name="Normal 14 4" xfId="1960" xr:uid="{00000000-0005-0000-0000-000006110000}"/>
    <cellStyle name="Normal 14 5" xfId="4692" xr:uid="{00000000-0005-0000-0000-000007110000}"/>
    <cellStyle name="Normal 14 6" xfId="6399" xr:uid="{AAAE8E88-3D87-421B-9520-560DD56E3974}"/>
    <cellStyle name="Normal 14_BukuBesar" xfId="4693" xr:uid="{00000000-0005-0000-0000-000008110000}"/>
    <cellStyle name="Normal 15" xfId="577" xr:uid="{00000000-0005-0000-0000-000009110000}"/>
    <cellStyle name="Normal 15 2" xfId="578" xr:uid="{00000000-0005-0000-0000-00000A110000}"/>
    <cellStyle name="Normal 15 2 2" xfId="1961" xr:uid="{00000000-0005-0000-0000-00000B110000}"/>
    <cellStyle name="Normal 15 2 3" xfId="6954" xr:uid="{59BA6FF0-7CDB-48E9-B094-04F4D07954E7}"/>
    <cellStyle name="Normal 15 3" xfId="1962" xr:uid="{00000000-0005-0000-0000-00000C110000}"/>
    <cellStyle name="Normal 15 4" xfId="4694" xr:uid="{00000000-0005-0000-0000-00000D110000}"/>
    <cellStyle name="Normal 15 5" xfId="6401" xr:uid="{4B59B94F-8E30-4F87-8F0F-2D96651CBF0B}"/>
    <cellStyle name="Normal 16" xfId="579" xr:uid="{00000000-0005-0000-0000-00000E110000}"/>
    <cellStyle name="Normal 16 16" xfId="1963" xr:uid="{00000000-0005-0000-0000-00000F110000}"/>
    <cellStyle name="Normal 16 16 2" xfId="2335" xr:uid="{00000000-0005-0000-0000-000010110000}"/>
    <cellStyle name="Normal 16 16 2 2" xfId="7521" xr:uid="{18CCCC9E-DDD3-46B5-B53E-616C27FA9736}"/>
    <cellStyle name="Normal 16 16 3" xfId="6369" xr:uid="{70478CD4-4FD7-4B67-8617-627D5684EE44}"/>
    <cellStyle name="Normal 16 2" xfId="580" xr:uid="{00000000-0005-0000-0000-000011110000}"/>
    <cellStyle name="Normal 16 2 2" xfId="1964" xr:uid="{00000000-0005-0000-0000-000012110000}"/>
    <cellStyle name="Normal 16 2 3" xfId="4695" xr:uid="{00000000-0005-0000-0000-000013110000}"/>
    <cellStyle name="Normal 16 3" xfId="1965" xr:uid="{00000000-0005-0000-0000-000014110000}"/>
    <cellStyle name="Normal 16 3 2" xfId="1966" xr:uid="{00000000-0005-0000-0000-000015110000}"/>
    <cellStyle name="Normal 16 3 3" xfId="6781" xr:uid="{8E1C30C9-4B83-46BB-8F67-9B01994D81A9}"/>
    <cellStyle name="Normal 16 3 3 4" xfId="1014" xr:uid="{00000000-0005-0000-0000-000016110000}"/>
    <cellStyle name="Normal 16 4" xfId="1967" xr:uid="{00000000-0005-0000-0000-000017110000}"/>
    <cellStyle name="Normal 16 4 2" xfId="7059" xr:uid="{ECD8BCA6-655A-4E78-BC94-1D8038AB7306}"/>
    <cellStyle name="Normal 16 5" xfId="4696" xr:uid="{00000000-0005-0000-0000-000018110000}"/>
    <cellStyle name="Normal 16 6" xfId="6386" xr:uid="{9D87858F-B7AC-47E1-9B2A-D3CA4BBB2A11}"/>
    <cellStyle name="Normal 17" xfId="581" xr:uid="{00000000-0005-0000-0000-000019110000}"/>
    <cellStyle name="Normal 17 2" xfId="582" xr:uid="{00000000-0005-0000-0000-00001A110000}"/>
    <cellStyle name="Normal 17 2 2" xfId="583" xr:uid="{00000000-0005-0000-0000-00001B110000}"/>
    <cellStyle name="Normal 17 2 2 2" xfId="1968" xr:uid="{00000000-0005-0000-0000-00001C110000}"/>
    <cellStyle name="Normal 17 2 3" xfId="1969" xr:uid="{00000000-0005-0000-0000-00001D110000}"/>
    <cellStyle name="Normal 17 3" xfId="584" xr:uid="{00000000-0005-0000-0000-00001E110000}"/>
    <cellStyle name="Normal 17 3 2" xfId="1970" xr:uid="{00000000-0005-0000-0000-00001F110000}"/>
    <cellStyle name="Normal 17 4" xfId="1971" xr:uid="{00000000-0005-0000-0000-000020110000}"/>
    <cellStyle name="Normal 17 5" xfId="1972" xr:uid="{00000000-0005-0000-0000-000021110000}"/>
    <cellStyle name="Normal 17 6" xfId="4697" xr:uid="{00000000-0005-0000-0000-000022110000}"/>
    <cellStyle name="Normal 18" xfId="8" xr:uid="{00000000-0005-0000-0000-000023110000}"/>
    <cellStyle name="Normal 18 11 2" xfId="2332" xr:uid="{00000000-0005-0000-0000-000024110000}"/>
    <cellStyle name="Normal 18 11 2 4" xfId="1973" xr:uid="{00000000-0005-0000-0000-000025110000}"/>
    <cellStyle name="Normal 18 11 2 4 2" xfId="2339" xr:uid="{00000000-0005-0000-0000-000026110000}"/>
    <cellStyle name="Normal 18 11 2 4 2 2" xfId="7525" xr:uid="{F16ECF8F-68D2-4452-A083-8899A1AA69FA}"/>
    <cellStyle name="Normal 18 11 2 4 3" xfId="6373" xr:uid="{76C5C765-AF37-42FA-BB71-A2505A982381}"/>
    <cellStyle name="Normal 18 15" xfId="1974" xr:uid="{00000000-0005-0000-0000-000027110000}"/>
    <cellStyle name="Normal 18 15 2" xfId="2336" xr:uid="{00000000-0005-0000-0000-000028110000}"/>
    <cellStyle name="Normal 18 15 2 2" xfId="7522" xr:uid="{EA415805-4F67-4710-ACA0-5E811AE2B8C5}"/>
    <cellStyle name="Normal 18 15 3" xfId="6371" xr:uid="{CAA32D40-901E-4EAD-AF02-E6945C47966C}"/>
    <cellStyle name="Normal 18 16 2" xfId="6377" xr:uid="{D0170ACB-4CCE-47C4-B661-B072E8A71F15}"/>
    <cellStyle name="Normal 18 2" xfId="12" xr:uid="{00000000-0005-0000-0000-000029110000}"/>
    <cellStyle name="Normal 18 2 2" xfId="1015" xr:uid="{00000000-0005-0000-0000-00002A110000}"/>
    <cellStyle name="Normal 18 2 2 2" xfId="4698" xr:uid="{00000000-0005-0000-0000-00002B110000}"/>
    <cellStyle name="Normal 18 2 2 3" xfId="6841" xr:uid="{6AE2A2E2-22F6-4D66-97A1-B03285E1A3B3}"/>
    <cellStyle name="Normal 18 2 3" xfId="6863" xr:uid="{9A5D4929-BF5E-4C80-9311-6BCDECF8EE9A}"/>
    <cellStyle name="Normal 18 3" xfId="9" xr:uid="{00000000-0005-0000-0000-00002C110000}"/>
    <cellStyle name="Normal 18 3 2" xfId="1975" xr:uid="{00000000-0005-0000-0000-00002D110000}"/>
    <cellStyle name="Normal 18 3 3" xfId="990" xr:uid="{00000000-0005-0000-0000-00002E110000}"/>
    <cellStyle name="Normal 18 3 3 2" xfId="7431" xr:uid="{FE6A50AA-D2AF-4FE3-B712-026516637C4B}"/>
    <cellStyle name="Normal 18 3 4" xfId="993" xr:uid="{00000000-0005-0000-0000-00002F110000}"/>
    <cellStyle name="Normal 18 3 4 2" xfId="7434" xr:uid="{AF3B08C9-7CB7-4ADE-B572-89D78312EE88}"/>
    <cellStyle name="Normal 18 3 5" xfId="6865" xr:uid="{4CCFDB8F-CB25-4048-AF32-18E380490F7E}"/>
    <cellStyle name="Normal 18 3 6" xfId="988" xr:uid="{00000000-0005-0000-0000-000030110000}"/>
    <cellStyle name="Normal 18 3 6 2" xfId="998" xr:uid="{00000000-0005-0000-0000-000031110000}"/>
    <cellStyle name="Normal 18 3 6 2 2" xfId="7438" xr:uid="{9BBE1D67-DDC3-42BB-A85B-0B8C7DE80FB5}"/>
    <cellStyle name="Normal 18 3 6 3" xfId="7430" xr:uid="{0E1A8ADC-6698-4622-8444-A5C076190370}"/>
    <cellStyle name="Normal 18 4" xfId="1053" xr:uid="{00000000-0005-0000-0000-000032110000}"/>
    <cellStyle name="Normal 18 4 2" xfId="6867" xr:uid="{39B6824B-247F-4BF8-8C9A-0382433107B8}"/>
    <cellStyle name="Normal 18 5" xfId="1058" xr:uid="{00000000-0005-0000-0000-000033110000}"/>
    <cellStyle name="Normal 18 5 2" xfId="2342" xr:uid="{00000000-0005-0000-0000-000034110000}"/>
    <cellStyle name="Normal 18 6" xfId="6383" xr:uid="{6C00B276-FF1C-4370-8E68-50641C00897F}"/>
    <cellStyle name="Normal 19" xfId="585" xr:uid="{00000000-0005-0000-0000-000035110000}"/>
    <cellStyle name="Normal 19 2" xfId="1976" xr:uid="{00000000-0005-0000-0000-000036110000}"/>
    <cellStyle name="Normal 19 3" xfId="1977" xr:uid="{00000000-0005-0000-0000-000037110000}"/>
    <cellStyle name="Normal 19 4" xfId="4699" xr:uid="{00000000-0005-0000-0000-000038110000}"/>
    <cellStyle name="Normal 2" xfId="586" xr:uid="{00000000-0005-0000-0000-000039110000}"/>
    <cellStyle name="Normal 2 10" xfId="587" xr:uid="{00000000-0005-0000-0000-00003A110000}"/>
    <cellStyle name="Normal 2 10 2" xfId="1978" xr:uid="{00000000-0005-0000-0000-00003B110000}"/>
    <cellStyle name="Normal 2 10 3" xfId="1979" xr:uid="{00000000-0005-0000-0000-00003C110000}"/>
    <cellStyle name="Normal 2 10 3 2" xfId="6387" xr:uid="{08F7DE4E-AF43-42D1-9C3E-A8DEFAB5277A}"/>
    <cellStyle name="Normal 2 10 4" xfId="4700" xr:uid="{00000000-0005-0000-0000-00003D110000}"/>
    <cellStyle name="Normal 2 11" xfId="588" xr:uid="{00000000-0005-0000-0000-00003E110000}"/>
    <cellStyle name="Normal 2 11 2" xfId="1980" xr:uid="{00000000-0005-0000-0000-00003F110000}"/>
    <cellStyle name="Normal 2 11 3" xfId="4701" xr:uid="{00000000-0005-0000-0000-000040110000}"/>
    <cellStyle name="Normal 2 12" xfId="589" xr:uid="{00000000-0005-0000-0000-000041110000}"/>
    <cellStyle name="Normal 2 12 2" xfId="1981" xr:uid="{00000000-0005-0000-0000-000042110000}"/>
    <cellStyle name="Normal 2 12 3" xfId="4702" xr:uid="{00000000-0005-0000-0000-000043110000}"/>
    <cellStyle name="Normal 2 13" xfId="590" xr:uid="{00000000-0005-0000-0000-000044110000}"/>
    <cellStyle name="Normal 2 13 2" xfId="1982" xr:uid="{00000000-0005-0000-0000-000045110000}"/>
    <cellStyle name="Normal 2 13 3" xfId="4703" xr:uid="{00000000-0005-0000-0000-000046110000}"/>
    <cellStyle name="Normal 2 14" xfId="591" xr:uid="{00000000-0005-0000-0000-000047110000}"/>
    <cellStyle name="Normal 2 14 2" xfId="1983" xr:uid="{00000000-0005-0000-0000-000048110000}"/>
    <cellStyle name="Normal 2 14 3" xfId="4704" xr:uid="{00000000-0005-0000-0000-000049110000}"/>
    <cellStyle name="Normal 2 15" xfId="592" xr:uid="{00000000-0005-0000-0000-00004A110000}"/>
    <cellStyle name="Normal 2 15 2" xfId="1984" xr:uid="{00000000-0005-0000-0000-00004B110000}"/>
    <cellStyle name="Normal 2 15 3" xfId="4705" xr:uid="{00000000-0005-0000-0000-00004C110000}"/>
    <cellStyle name="Normal 2 16" xfId="593" xr:uid="{00000000-0005-0000-0000-00004D110000}"/>
    <cellStyle name="Normal 2 16 2" xfId="1985" xr:uid="{00000000-0005-0000-0000-00004E110000}"/>
    <cellStyle name="Normal 2 16 3" xfId="4706" xr:uid="{00000000-0005-0000-0000-00004F110000}"/>
    <cellStyle name="Normal 2 17" xfId="594" xr:uid="{00000000-0005-0000-0000-000050110000}"/>
    <cellStyle name="Normal 2 17 2" xfId="1986" xr:uid="{00000000-0005-0000-0000-000051110000}"/>
    <cellStyle name="Normal 2 17 3" xfId="4707" xr:uid="{00000000-0005-0000-0000-000052110000}"/>
    <cellStyle name="Normal 2 18" xfId="595" xr:uid="{00000000-0005-0000-0000-000053110000}"/>
    <cellStyle name="Normal 2 18 2" xfId="1987" xr:uid="{00000000-0005-0000-0000-000054110000}"/>
    <cellStyle name="Normal 2 18 3" xfId="1988" xr:uid="{00000000-0005-0000-0000-000055110000}"/>
    <cellStyle name="Normal 2 18 4" xfId="4708" xr:uid="{00000000-0005-0000-0000-000056110000}"/>
    <cellStyle name="Normal 2 19" xfId="596" xr:uid="{00000000-0005-0000-0000-000057110000}"/>
    <cellStyle name="Normal 2 19 2" xfId="1989" xr:uid="{00000000-0005-0000-0000-000058110000}"/>
    <cellStyle name="Normal 2 19 3" xfId="4709" xr:uid="{00000000-0005-0000-0000-000059110000}"/>
    <cellStyle name="Normal 2 2" xfId="597" xr:uid="{00000000-0005-0000-0000-00005A110000}"/>
    <cellStyle name="Normal 2 2 10" xfId="598" xr:uid="{00000000-0005-0000-0000-00005B110000}"/>
    <cellStyle name="Normal 2 2 10 2" xfId="1990" xr:uid="{00000000-0005-0000-0000-00005C110000}"/>
    <cellStyle name="Normal 2 2 11" xfId="599" xr:uid="{00000000-0005-0000-0000-00005D110000}"/>
    <cellStyle name="Normal 2 2 11 2" xfId="1991" xr:uid="{00000000-0005-0000-0000-00005E110000}"/>
    <cellStyle name="Normal 2 2 12" xfId="600" xr:uid="{00000000-0005-0000-0000-00005F110000}"/>
    <cellStyle name="Normal 2 2 12 2" xfId="1992" xr:uid="{00000000-0005-0000-0000-000060110000}"/>
    <cellStyle name="Normal 2 2 13" xfId="601" xr:uid="{00000000-0005-0000-0000-000061110000}"/>
    <cellStyle name="Normal 2 2 13 2" xfId="1993" xr:uid="{00000000-0005-0000-0000-000062110000}"/>
    <cellStyle name="Normal 2 2 14" xfId="602" xr:uid="{00000000-0005-0000-0000-000063110000}"/>
    <cellStyle name="Normal 2 2 14 2" xfId="1994" xr:uid="{00000000-0005-0000-0000-000064110000}"/>
    <cellStyle name="Normal 2 2 15" xfId="603" xr:uid="{00000000-0005-0000-0000-000065110000}"/>
    <cellStyle name="Normal 2 2 15 2" xfId="1995" xr:uid="{00000000-0005-0000-0000-000066110000}"/>
    <cellStyle name="Normal 2 2 16" xfId="604" xr:uid="{00000000-0005-0000-0000-000067110000}"/>
    <cellStyle name="Normal 2 2 16 2" xfId="1996" xr:uid="{00000000-0005-0000-0000-000068110000}"/>
    <cellStyle name="Normal 2 2 17" xfId="605" xr:uid="{00000000-0005-0000-0000-000069110000}"/>
    <cellStyle name="Normal 2 2 17 2" xfId="1997" xr:uid="{00000000-0005-0000-0000-00006A110000}"/>
    <cellStyle name="Normal 2 2 18" xfId="606" xr:uid="{00000000-0005-0000-0000-00006B110000}"/>
    <cellStyle name="Normal 2 2 18 2" xfId="1998" xr:uid="{00000000-0005-0000-0000-00006C110000}"/>
    <cellStyle name="Normal 2 2 19" xfId="607" xr:uid="{00000000-0005-0000-0000-00006D110000}"/>
    <cellStyle name="Normal 2 2 19 2" xfId="1999" xr:uid="{00000000-0005-0000-0000-00006E110000}"/>
    <cellStyle name="Normal 2 2 2" xfId="608" xr:uid="{00000000-0005-0000-0000-00006F110000}"/>
    <cellStyle name="Normal 2 2 2 2" xfId="609" xr:uid="{00000000-0005-0000-0000-000070110000}"/>
    <cellStyle name="Normal 2 2 2 2 2" xfId="610" xr:uid="{00000000-0005-0000-0000-000071110000}"/>
    <cellStyle name="Normal 2 2 2 2 2 2" xfId="4710" xr:uid="{00000000-0005-0000-0000-000072110000}"/>
    <cellStyle name="Normal 2 2 2 2 3" xfId="4711" xr:uid="{00000000-0005-0000-0000-000073110000}"/>
    <cellStyle name="Normal 2 2 2 2 4" xfId="5907" xr:uid="{00000000-0005-0000-0000-000074110000}"/>
    <cellStyle name="Normal 2 2 2 3" xfId="611" xr:uid="{00000000-0005-0000-0000-000075110000}"/>
    <cellStyle name="Normal 2 2 2 3 2" xfId="612" xr:uid="{00000000-0005-0000-0000-000076110000}"/>
    <cellStyle name="Normal 2 2 2 3 2 2" xfId="2000" xr:uid="{00000000-0005-0000-0000-000077110000}"/>
    <cellStyle name="Normal 2 2 2 3 3" xfId="2001" xr:uid="{00000000-0005-0000-0000-000078110000}"/>
    <cellStyle name="Normal 2 2 2 3 4" xfId="4712" xr:uid="{00000000-0005-0000-0000-000079110000}"/>
    <cellStyle name="Normal 2 2 2 4" xfId="2002" xr:uid="{00000000-0005-0000-0000-00007A110000}"/>
    <cellStyle name="Normal 2 2 2 5" xfId="2003" xr:uid="{00000000-0005-0000-0000-00007B110000}"/>
    <cellStyle name="Normal 2 2 2 6" xfId="4713" xr:uid="{00000000-0005-0000-0000-00007C110000}"/>
    <cellStyle name="Normal 2 2 2 7" xfId="5906" xr:uid="{00000000-0005-0000-0000-00007D110000}"/>
    <cellStyle name="Normal 2 2 2 8" xfId="7061" xr:uid="{32F8AEC4-9A42-406B-8B6B-D953A348923C}"/>
    <cellStyle name="Normal 2 2 20" xfId="613" xr:uid="{00000000-0005-0000-0000-00007E110000}"/>
    <cellStyle name="Normal 2 2 20 2" xfId="2004" xr:uid="{00000000-0005-0000-0000-00007F110000}"/>
    <cellStyle name="Normal 2 2 21" xfId="614" xr:uid="{00000000-0005-0000-0000-000080110000}"/>
    <cellStyle name="Normal 2 2 21 2" xfId="2005" xr:uid="{00000000-0005-0000-0000-000081110000}"/>
    <cellStyle name="Normal 2 2 22" xfId="615" xr:uid="{00000000-0005-0000-0000-000082110000}"/>
    <cellStyle name="Normal 2 2 22 2" xfId="2006" xr:uid="{00000000-0005-0000-0000-000083110000}"/>
    <cellStyle name="Normal 2 2 23" xfId="616" xr:uid="{00000000-0005-0000-0000-000084110000}"/>
    <cellStyle name="Normal 2 2 23 2" xfId="2007" xr:uid="{00000000-0005-0000-0000-000085110000}"/>
    <cellStyle name="Normal 2 2 24" xfId="617" xr:uid="{00000000-0005-0000-0000-000086110000}"/>
    <cellStyle name="Normal 2 2 24 2" xfId="2008" xr:uid="{00000000-0005-0000-0000-000087110000}"/>
    <cellStyle name="Normal 2 2 24 3" xfId="4714" xr:uid="{00000000-0005-0000-0000-000088110000}"/>
    <cellStyle name="Normal 2 2 25" xfId="618" xr:uid="{00000000-0005-0000-0000-000089110000}"/>
    <cellStyle name="Normal 2 2 25 2" xfId="2009" xr:uid="{00000000-0005-0000-0000-00008A110000}"/>
    <cellStyle name="Normal 2 2 25 3" xfId="4715" xr:uid="{00000000-0005-0000-0000-00008B110000}"/>
    <cellStyle name="Normal 2 2 26" xfId="619" xr:uid="{00000000-0005-0000-0000-00008C110000}"/>
    <cellStyle name="Normal 2 2 26 2" xfId="2010" xr:uid="{00000000-0005-0000-0000-00008D110000}"/>
    <cellStyle name="Normal 2 2 26 3" xfId="4716" xr:uid="{00000000-0005-0000-0000-00008E110000}"/>
    <cellStyle name="Normal 2 2 26 4" xfId="7063" xr:uid="{8B660C00-34AA-453F-8DD2-AEF3B3794789}"/>
    <cellStyle name="Normal 2 2 27" xfId="620" xr:uid="{00000000-0005-0000-0000-00008F110000}"/>
    <cellStyle name="Normal 2 2 27 2" xfId="2011" xr:uid="{00000000-0005-0000-0000-000090110000}"/>
    <cellStyle name="Normal 2 2 27 3" xfId="4717" xr:uid="{00000000-0005-0000-0000-000091110000}"/>
    <cellStyle name="Normal 2 2 28" xfId="4718" xr:uid="{00000000-0005-0000-0000-000092110000}"/>
    <cellStyle name="Normal 2 2 29" xfId="5905" xr:uid="{00000000-0005-0000-0000-000093110000}"/>
    <cellStyle name="Normal 2 2 29 2" xfId="6942" xr:uid="{7B9442F3-2D7D-4393-86C4-3F41A74CF807}"/>
    <cellStyle name="Normal 2 2 3" xfId="621" xr:uid="{00000000-0005-0000-0000-000094110000}"/>
    <cellStyle name="Normal 2 2 3 2" xfId="2012" xr:uid="{00000000-0005-0000-0000-000095110000}"/>
    <cellStyle name="Normal 2 2 3 3" xfId="2013" xr:uid="{00000000-0005-0000-0000-000096110000}"/>
    <cellStyle name="Normal 2 2 3 4" xfId="4719" xr:uid="{00000000-0005-0000-0000-000097110000}"/>
    <cellStyle name="Normal 2 2 3 5" xfId="5908" xr:uid="{00000000-0005-0000-0000-000098110000}"/>
    <cellStyle name="Normal 2 2 30" xfId="7062" xr:uid="{E70DD5CA-E357-40B6-A47B-B0EF69BF8C17}"/>
    <cellStyle name="Normal 2 2 31" xfId="7060" xr:uid="{2ACADB29-C143-41E7-89A3-776004E24C67}"/>
    <cellStyle name="Normal 2 2 4" xfId="3" xr:uid="{00000000-0005-0000-0000-000099110000}"/>
    <cellStyle name="Normal 2 2 4 10" xfId="1034" xr:uid="{00000000-0005-0000-0000-00009A110000}"/>
    <cellStyle name="Normal 2 2 4 10 2" xfId="7064" xr:uid="{E017C84F-49CA-4FBA-AAF4-8C81489F84F6}"/>
    <cellStyle name="Normal 2 2 4 11" xfId="1041" xr:uid="{00000000-0005-0000-0000-00009B110000}"/>
    <cellStyle name="Normal 2 2 4 11 2" xfId="7065" xr:uid="{E52C446A-B9D9-414B-B71A-11A576276468}"/>
    <cellStyle name="Normal 2 2 4 12" xfId="5909" xr:uid="{00000000-0005-0000-0000-00009C110000}"/>
    <cellStyle name="Normal 2 2 4 12 2" xfId="7067" xr:uid="{EB9E8554-5BB7-4916-B240-30F0650DA307}"/>
    <cellStyle name="Normal 2 2 4 13" xfId="7068" xr:uid="{9BD8063B-5B68-4782-92EB-DAA40F1660CC}"/>
    <cellStyle name="Normal 2 2 4 14" xfId="7069" xr:uid="{C62199F7-2FFD-49FB-8609-045D04365682}"/>
    <cellStyle name="Normal 2 2 4 15" xfId="6917" xr:uid="{519624C2-E9ED-463B-B2F0-4FEDC289E89B}"/>
    <cellStyle name="Normal 2 2 4 2" xfId="622" xr:uid="{00000000-0005-0000-0000-00009D110000}"/>
    <cellStyle name="Normal 2 2 4 2 2" xfId="4720" xr:uid="{00000000-0005-0000-0000-00009E110000}"/>
    <cellStyle name="Normal 2 2 4 2 3" xfId="4721" xr:uid="{00000000-0005-0000-0000-00009F110000}"/>
    <cellStyle name="Normal 2 2 4 3" xfId="623" xr:uid="{00000000-0005-0000-0000-0000A0110000}"/>
    <cellStyle name="Normal 2 2 4 4" xfId="624" xr:uid="{00000000-0005-0000-0000-0000A1110000}"/>
    <cellStyle name="Normal 2 2 4 5" xfId="1000" xr:uid="{00000000-0005-0000-0000-0000A2110000}"/>
    <cellStyle name="Normal 2 2 4 5 2" xfId="1047" xr:uid="{00000000-0005-0000-0000-0000A3110000}"/>
    <cellStyle name="Normal 2 2 4 5 3" xfId="7070" xr:uid="{96D34EEB-AC5A-464E-8FF0-CFBA026D4D31}"/>
    <cellStyle name="Normal 2 2 4 6" xfId="1008" xr:uid="{00000000-0005-0000-0000-0000A4110000}"/>
    <cellStyle name="Normal 2 2 4 6 2" xfId="7071" xr:uid="{1E3E7C21-F9E3-4348-96BE-CF9D6FCB82B2}"/>
    <cellStyle name="Normal 2 2 4 7" xfId="625" xr:uid="{00000000-0005-0000-0000-0000A5110000}"/>
    <cellStyle name="Normal 2 2 4 7 2" xfId="2014" xr:uid="{00000000-0005-0000-0000-0000A6110000}"/>
    <cellStyle name="Normal 2 2 4 7 2 2" xfId="4722" xr:uid="{00000000-0005-0000-0000-0000A7110000}"/>
    <cellStyle name="Normal 2 2 4 7 3" xfId="2015" xr:uid="{00000000-0005-0000-0000-0000A8110000}"/>
    <cellStyle name="Normal 2 2 4 7 4" xfId="7072" xr:uid="{43C1CCDF-FA31-4221-8E7F-6731026966DD}"/>
    <cellStyle name="Normal 2 2 4 7 5" xfId="7359" xr:uid="{9EE8EA36-E04C-4C8C-A235-65B4CD2E582F}"/>
    <cellStyle name="Normal 2 2 4 8" xfId="1020" xr:uid="{00000000-0005-0000-0000-0000A9110000}"/>
    <cellStyle name="Normal 2 2 4 8 2" xfId="7073" xr:uid="{49244B62-3911-4FF0-AF9A-C9092BDD4D7A}"/>
    <cellStyle name="Normal 2 2 4 9" xfId="1027" xr:uid="{00000000-0005-0000-0000-0000AA110000}"/>
    <cellStyle name="Normal 2 2 4 9 2" xfId="7074" xr:uid="{28DA93EF-F466-402D-8AA6-1C25DE4AB55D}"/>
    <cellStyle name="Normal 2 2 5" xfId="626" xr:uid="{00000000-0005-0000-0000-0000AB110000}"/>
    <cellStyle name="Normal 2 2 5 2" xfId="2016" xr:uid="{00000000-0005-0000-0000-0000AC110000}"/>
    <cellStyle name="Normal 2 2 5 3" xfId="2017" xr:uid="{00000000-0005-0000-0000-0000AD110000}"/>
    <cellStyle name="Normal 2 2 5 4" xfId="4723" xr:uid="{00000000-0005-0000-0000-0000AE110000}"/>
    <cellStyle name="Normal 2 2 6" xfId="627" xr:uid="{00000000-0005-0000-0000-0000AF110000}"/>
    <cellStyle name="Normal 2 2 6 2" xfId="628" xr:uid="{00000000-0005-0000-0000-0000B0110000}"/>
    <cellStyle name="Normal 2 2 6 2 2" xfId="2018" xr:uid="{00000000-0005-0000-0000-0000B1110000}"/>
    <cellStyle name="Normal 2 2 6 2 3" xfId="4724" xr:uid="{00000000-0005-0000-0000-0000B2110000}"/>
    <cellStyle name="Normal 2 2 6 3" xfId="629" xr:uid="{00000000-0005-0000-0000-0000B3110000}"/>
    <cellStyle name="Normal 2 2 6 3 2" xfId="4725" xr:uid="{00000000-0005-0000-0000-0000B4110000}"/>
    <cellStyle name="Normal 2 2 6 4" xfId="630" xr:uid="{00000000-0005-0000-0000-0000B5110000}"/>
    <cellStyle name="Normal 2 2 6 5" xfId="4726" xr:uid="{00000000-0005-0000-0000-0000B6110000}"/>
    <cellStyle name="Normal 2 2 6 6" xfId="6622" xr:uid="{B7771339-6CB5-48D0-9EC2-DE89C49972E0}"/>
    <cellStyle name="Normal 2 2 7" xfId="631" xr:uid="{00000000-0005-0000-0000-0000B7110000}"/>
    <cellStyle name="Normal 2 2 7 2" xfId="632" xr:uid="{00000000-0005-0000-0000-0000B8110000}"/>
    <cellStyle name="Normal 2 2 7 2 2" xfId="2019" xr:uid="{00000000-0005-0000-0000-0000B9110000}"/>
    <cellStyle name="Normal 2 2 7 2 2 2" xfId="2020" xr:uid="{00000000-0005-0000-0000-0000BA110000}"/>
    <cellStyle name="Normal 2 2 7 2 3" xfId="4727" xr:uid="{00000000-0005-0000-0000-0000BB110000}"/>
    <cellStyle name="Normal 2 2 7 3" xfId="633" xr:uid="{00000000-0005-0000-0000-0000BC110000}"/>
    <cellStyle name="Normal 2 2 7 3 2" xfId="2021" xr:uid="{00000000-0005-0000-0000-0000BD110000}"/>
    <cellStyle name="Normal 2 2 7 3 3" xfId="4728" xr:uid="{00000000-0005-0000-0000-0000BE110000}"/>
    <cellStyle name="Normal 2 2 7 4" xfId="634" xr:uid="{00000000-0005-0000-0000-0000BF110000}"/>
    <cellStyle name="Normal 2 2 7 5" xfId="4729" xr:uid="{00000000-0005-0000-0000-0000C0110000}"/>
    <cellStyle name="Normal 2 2 7 6" xfId="6705" xr:uid="{978338D8-48C5-40B4-B56E-3680F45509B4}"/>
    <cellStyle name="Normal 2 2 8" xfId="635" xr:uid="{00000000-0005-0000-0000-0000C1110000}"/>
    <cellStyle name="Normal 2 2 8 2" xfId="636" xr:uid="{00000000-0005-0000-0000-0000C2110000}"/>
    <cellStyle name="Normal 2 2 8 2 2" xfId="4730" xr:uid="{00000000-0005-0000-0000-0000C3110000}"/>
    <cellStyle name="Normal 2 2 8 3" xfId="637" xr:uid="{00000000-0005-0000-0000-0000C4110000}"/>
    <cellStyle name="Normal 2 2 8 4" xfId="638" xr:uid="{00000000-0005-0000-0000-0000C5110000}"/>
    <cellStyle name="Normal 2 2 8 5" xfId="4731" xr:uid="{00000000-0005-0000-0000-0000C6110000}"/>
    <cellStyle name="Normal 2 2 8 6" xfId="4732" xr:uid="{00000000-0005-0000-0000-0000C7110000}"/>
    <cellStyle name="Normal 2 2 8 7" xfId="6757" xr:uid="{63814F03-FB2B-49AC-888C-91231D5CBA0F}"/>
    <cellStyle name="Normal 2 2 9" xfId="639" xr:uid="{00000000-0005-0000-0000-0000C8110000}"/>
    <cellStyle name="Normal 2 2 9 2" xfId="640" xr:uid="{00000000-0005-0000-0000-0000C9110000}"/>
    <cellStyle name="Normal 2 2 9 2 2" xfId="4733" xr:uid="{00000000-0005-0000-0000-0000CA110000}"/>
    <cellStyle name="Normal 2 2 9 3" xfId="641" xr:uid="{00000000-0005-0000-0000-0000CB110000}"/>
    <cellStyle name="Normal 2 2 9 4" xfId="642" xr:uid="{00000000-0005-0000-0000-0000CC110000}"/>
    <cellStyle name="Normal 2 2 9 5" xfId="4734" xr:uid="{00000000-0005-0000-0000-0000CD110000}"/>
    <cellStyle name="Normal 2 2 9 6" xfId="4735" xr:uid="{00000000-0005-0000-0000-0000CE110000}"/>
    <cellStyle name="Normal 2 2 9 7" xfId="6788" xr:uid="{832CEEE1-4595-4B99-8BCF-2FA9BCF795A6}"/>
    <cellStyle name="Normal 2 2_Data Dis 2010" xfId="4736" xr:uid="{00000000-0005-0000-0000-0000CF110000}"/>
    <cellStyle name="Normal 2 20" xfId="643" xr:uid="{00000000-0005-0000-0000-0000D0110000}"/>
    <cellStyle name="Normal 2 20 2" xfId="2022" xr:uid="{00000000-0005-0000-0000-0000D1110000}"/>
    <cellStyle name="Normal 2 20 3" xfId="4737" xr:uid="{00000000-0005-0000-0000-0000D2110000}"/>
    <cellStyle name="Normal 2 21" xfId="644" xr:uid="{00000000-0005-0000-0000-0000D3110000}"/>
    <cellStyle name="Normal 2 21 2" xfId="2023" xr:uid="{00000000-0005-0000-0000-0000D4110000}"/>
    <cellStyle name="Normal 2 21 3" xfId="4738" xr:uid="{00000000-0005-0000-0000-0000D5110000}"/>
    <cellStyle name="Normal 2 22" xfId="645" xr:uid="{00000000-0005-0000-0000-0000D6110000}"/>
    <cellStyle name="Normal 2 22 2" xfId="2024" xr:uid="{00000000-0005-0000-0000-0000D7110000}"/>
    <cellStyle name="Normal 2 22 3" xfId="2025" xr:uid="{00000000-0005-0000-0000-0000D8110000}"/>
    <cellStyle name="Normal 2 22 4" xfId="4739" xr:uid="{00000000-0005-0000-0000-0000D9110000}"/>
    <cellStyle name="Normal 2 23" xfId="646" xr:uid="{00000000-0005-0000-0000-0000DA110000}"/>
    <cellStyle name="Normal 2 23 2" xfId="2026" xr:uid="{00000000-0005-0000-0000-0000DB110000}"/>
    <cellStyle name="Normal 2 23 3" xfId="4740" xr:uid="{00000000-0005-0000-0000-0000DC110000}"/>
    <cellStyle name="Normal 2 24" xfId="647" xr:uid="{00000000-0005-0000-0000-0000DD110000}"/>
    <cellStyle name="Normal 2 24 2" xfId="2027" xr:uid="{00000000-0005-0000-0000-0000DE110000}"/>
    <cellStyle name="Normal 2 24 3" xfId="4741" xr:uid="{00000000-0005-0000-0000-0000DF110000}"/>
    <cellStyle name="Normal 2 25" xfId="648" xr:uid="{00000000-0005-0000-0000-0000E0110000}"/>
    <cellStyle name="Normal 2 25 2" xfId="2028" xr:uid="{00000000-0005-0000-0000-0000E1110000}"/>
    <cellStyle name="Normal 2 25 2 2" xfId="4742" xr:uid="{00000000-0005-0000-0000-0000E2110000}"/>
    <cellStyle name="Normal 2 25 3" xfId="4743" xr:uid="{00000000-0005-0000-0000-0000E3110000}"/>
    <cellStyle name="Normal 2 25 4" xfId="4744" xr:uid="{00000000-0005-0000-0000-0000E4110000}"/>
    <cellStyle name="Normal 2 25 5" xfId="7076" xr:uid="{337B108F-4BB6-4C38-B950-F95436913F39}"/>
    <cellStyle name="Normal 2 26" xfId="649" xr:uid="{00000000-0005-0000-0000-0000E5110000}"/>
    <cellStyle name="Normal 2 26 2" xfId="2029" xr:uid="{00000000-0005-0000-0000-0000E6110000}"/>
    <cellStyle name="Normal 2 26 2 2" xfId="4745" xr:uid="{00000000-0005-0000-0000-0000E7110000}"/>
    <cellStyle name="Normal 2 26 3" xfId="4746" xr:uid="{00000000-0005-0000-0000-0000E8110000}"/>
    <cellStyle name="Normal 2 27" xfId="650" xr:uid="{00000000-0005-0000-0000-0000E9110000}"/>
    <cellStyle name="Normal 2 27 2" xfId="2030" xr:uid="{00000000-0005-0000-0000-0000EA110000}"/>
    <cellStyle name="Normal 2 27 2 2" xfId="4747" xr:uid="{00000000-0005-0000-0000-0000EB110000}"/>
    <cellStyle name="Normal 2 27 3" xfId="4748" xr:uid="{00000000-0005-0000-0000-0000EC110000}"/>
    <cellStyle name="Normal 2 27 4" xfId="7078" xr:uid="{DEE05CD7-0207-4BA1-8375-014CAE8D0720}"/>
    <cellStyle name="Normal 2 28" xfId="651" xr:uid="{00000000-0005-0000-0000-0000ED110000}"/>
    <cellStyle name="Normal 2 28 2" xfId="2031" xr:uid="{00000000-0005-0000-0000-0000EE110000}"/>
    <cellStyle name="Normal 2 28 3" xfId="4749" xr:uid="{00000000-0005-0000-0000-0000EF110000}"/>
    <cellStyle name="Normal 2 29" xfId="2032" xr:uid="{00000000-0005-0000-0000-0000F0110000}"/>
    <cellStyle name="Normal 2 29 2" xfId="4750" xr:uid="{00000000-0005-0000-0000-0000F1110000}"/>
    <cellStyle name="Normal 2 29 3" xfId="7079" xr:uid="{3C8C51B7-BBE6-4FAE-BB17-692F91A808D3}"/>
    <cellStyle name="Normal 2 3" xfId="652" xr:uid="{00000000-0005-0000-0000-0000F2110000}"/>
    <cellStyle name="Normal 2 3 2" xfId="653" xr:uid="{00000000-0005-0000-0000-0000F3110000}"/>
    <cellStyle name="Normal 2 3 2 2" xfId="654" xr:uid="{00000000-0005-0000-0000-0000F4110000}"/>
    <cellStyle name="Normal 2 3 2 2 2" xfId="4751" xr:uid="{00000000-0005-0000-0000-0000F5110000}"/>
    <cellStyle name="Normal 2 3 2 2 3" xfId="7081" xr:uid="{7F2041E6-A417-49F4-A1A1-AF4D2E69C10F}"/>
    <cellStyle name="Normal 2 3 2 3" xfId="2033" xr:uid="{00000000-0005-0000-0000-0000F6110000}"/>
    <cellStyle name="Normal 2 3 2 3 2" xfId="4752" xr:uid="{00000000-0005-0000-0000-0000F7110000}"/>
    <cellStyle name="Normal 2 3 2 4" xfId="5911" xr:uid="{00000000-0005-0000-0000-0000F8110000}"/>
    <cellStyle name="Normal 2 3 2 5" xfId="7080" xr:uid="{3A796AC6-B1AF-4E19-A276-89580EB5E5A8}"/>
    <cellStyle name="Normal 2 3 2 6" xfId="7360" xr:uid="{4FFAE44F-4800-4127-9119-3A093FB8074E}"/>
    <cellStyle name="Normal 2 3 3" xfId="655" xr:uid="{00000000-0005-0000-0000-0000F9110000}"/>
    <cellStyle name="Normal 2 3 3 2" xfId="2034" xr:uid="{00000000-0005-0000-0000-0000FA110000}"/>
    <cellStyle name="Normal 2 3 3 3" xfId="2035" xr:uid="{00000000-0005-0000-0000-0000FB110000}"/>
    <cellStyle name="Normal 2 3 3 4" xfId="4753" xr:uid="{00000000-0005-0000-0000-0000FC110000}"/>
    <cellStyle name="Normal 2 3 4" xfId="656" xr:uid="{00000000-0005-0000-0000-0000FD110000}"/>
    <cellStyle name="Normal 2 3 4 2" xfId="4754" xr:uid="{00000000-0005-0000-0000-0000FE110000}"/>
    <cellStyle name="Normal 2 3 5" xfId="657" xr:uid="{00000000-0005-0000-0000-0000FF110000}"/>
    <cellStyle name="Normal 2 3 6" xfId="658" xr:uid="{00000000-0005-0000-0000-000000120000}"/>
    <cellStyle name="Normal 2 3 7" xfId="4755" xr:uid="{00000000-0005-0000-0000-000001120000}"/>
    <cellStyle name="Normal 2 3 8" xfId="4756" xr:uid="{00000000-0005-0000-0000-000002120000}"/>
    <cellStyle name="Normal 2 3 8 2" xfId="7082" xr:uid="{AB1AD8AC-3560-4202-9877-9F2998AB3D9C}"/>
    <cellStyle name="Normal 2 3 9" xfId="5910" xr:uid="{00000000-0005-0000-0000-000003120000}"/>
    <cellStyle name="Normal 2 30" xfId="4757" xr:uid="{00000000-0005-0000-0000-000004120000}"/>
    <cellStyle name="Normal 2 30 2" xfId="4758" xr:uid="{00000000-0005-0000-0000-000005120000}"/>
    <cellStyle name="Normal 2 31" xfId="4759" xr:uid="{00000000-0005-0000-0000-000006120000}"/>
    <cellStyle name="Normal 2 31 2" xfId="7077" xr:uid="{0A0C9940-0FF0-45DC-9A63-2D29BC371E73}"/>
    <cellStyle name="Normal 2 31 3" xfId="8301" xr:uid="{3F39AE20-CFB7-4EF2-80EF-5AF4448FD583}"/>
    <cellStyle name="Normal 2 32" xfId="4760" xr:uid="{00000000-0005-0000-0000-000007120000}"/>
    <cellStyle name="Normal 2 32 2" xfId="8302" xr:uid="{A2826DE0-9667-4B3B-8C8C-5EFD2193627D}"/>
    <cellStyle name="Normal 2 33" xfId="4761" xr:uid="{00000000-0005-0000-0000-000008120000}"/>
    <cellStyle name="Normal 2 33 2" xfId="8303" xr:uid="{4EBFD3AD-7FE1-4D31-AEEE-266CA1F237D8}"/>
    <cellStyle name="Normal 2 34" xfId="4762" xr:uid="{00000000-0005-0000-0000-000009120000}"/>
    <cellStyle name="Normal 2 34 2" xfId="8304" xr:uid="{079351D0-138B-4262-B1AB-FE19650AD185}"/>
    <cellStyle name="Normal 2 35" xfId="5904" xr:uid="{00000000-0005-0000-0000-00000A120000}"/>
    <cellStyle name="Normal 2 36" xfId="5983" xr:uid="{00000000-0005-0000-0000-00000B120000}"/>
    <cellStyle name="Normal 2 37" xfId="5677" xr:uid="{00000000-0005-0000-0000-00000C120000}"/>
    <cellStyle name="Normal 2 38" xfId="5982" xr:uid="{00000000-0005-0000-0000-00000D120000}"/>
    <cellStyle name="Normal 2 39" xfId="5676" xr:uid="{00000000-0005-0000-0000-00000E120000}"/>
    <cellStyle name="Normal 2 4" xfId="659" xr:uid="{00000000-0005-0000-0000-00000F120000}"/>
    <cellStyle name="Normal 2 4 2" xfId="660" xr:uid="{00000000-0005-0000-0000-000010120000}"/>
    <cellStyle name="Normal 2 4 2 2" xfId="4763" xr:uid="{00000000-0005-0000-0000-000011120000}"/>
    <cellStyle name="Normal 2 4 3" xfId="661" xr:uid="{00000000-0005-0000-0000-000012120000}"/>
    <cellStyle name="Normal 2 4 4" xfId="662" xr:uid="{00000000-0005-0000-0000-000013120000}"/>
    <cellStyle name="Normal 2 4 5" xfId="4764" xr:uid="{00000000-0005-0000-0000-000014120000}"/>
    <cellStyle name="Normal 2 4 6" xfId="4765" xr:uid="{00000000-0005-0000-0000-000015120000}"/>
    <cellStyle name="Normal 2 4 6 2" xfId="6991" xr:uid="{B94AD62D-FA01-4015-9431-DE607166801C}"/>
    <cellStyle name="Normal 2 4 7" xfId="4766" xr:uid="{00000000-0005-0000-0000-000016120000}"/>
    <cellStyle name="Normal 2 4 8" xfId="5912" xr:uid="{00000000-0005-0000-0000-000017120000}"/>
    <cellStyle name="Normal 2 40" xfId="5984" xr:uid="{00000000-0005-0000-0000-000018120000}"/>
    <cellStyle name="Normal 2 41" xfId="5678" xr:uid="{00000000-0005-0000-0000-000019120000}"/>
    <cellStyle name="Normal 2 42" xfId="5985" xr:uid="{00000000-0005-0000-0000-00001A120000}"/>
    <cellStyle name="Normal 2 43" xfId="5733" xr:uid="{00000000-0005-0000-0000-00001B120000}"/>
    <cellStyle name="Normal 2 44" xfId="7189" xr:uid="{9F0574A0-B50A-45D5-B7B3-3E75F544F58A}"/>
    <cellStyle name="Normal 2 45" xfId="7358" xr:uid="{BEE7E3DA-DD5E-4A3B-9184-F2F1803DA357}"/>
    <cellStyle name="Normal 2 46" xfId="8307" xr:uid="{D66C93D6-4E9D-4386-B6A0-A4B735AE5BE0}"/>
    <cellStyle name="Normal 2 5" xfId="663" xr:uid="{00000000-0005-0000-0000-00001C120000}"/>
    <cellStyle name="Normal 2 5 2" xfId="664" xr:uid="{00000000-0005-0000-0000-00001D120000}"/>
    <cellStyle name="Normal 2 5 2 2" xfId="2036" xr:uid="{00000000-0005-0000-0000-00001E120000}"/>
    <cellStyle name="Normal 2 5 2 3" xfId="4767" xr:uid="{00000000-0005-0000-0000-00001F120000}"/>
    <cellStyle name="Normal 2 5 2 4" xfId="7084" xr:uid="{F7D8CFC2-3266-44C7-AAC0-7075B5F3A1E2}"/>
    <cellStyle name="Normal 2 5 3" xfId="665" xr:uid="{00000000-0005-0000-0000-000020120000}"/>
    <cellStyle name="Normal 2 5 3 2" xfId="4768" xr:uid="{00000000-0005-0000-0000-000021120000}"/>
    <cellStyle name="Normal 2 5 4" xfId="666" xr:uid="{00000000-0005-0000-0000-000022120000}"/>
    <cellStyle name="Normal 2 5 5" xfId="4769" xr:uid="{00000000-0005-0000-0000-000023120000}"/>
    <cellStyle name="Normal 2 5 6" xfId="4770" xr:uid="{00000000-0005-0000-0000-000024120000}"/>
    <cellStyle name="Normal 2 5 7" xfId="5913" xr:uid="{00000000-0005-0000-0000-000025120000}"/>
    <cellStyle name="Normal 2 6" xfId="667" xr:uid="{00000000-0005-0000-0000-000026120000}"/>
    <cellStyle name="Normal 2 6 2" xfId="668" xr:uid="{00000000-0005-0000-0000-000027120000}"/>
    <cellStyle name="Normal 2 6 2 2" xfId="2037" xr:uid="{00000000-0005-0000-0000-000028120000}"/>
    <cellStyle name="Normal 2 6 2 3" xfId="4771" xr:uid="{00000000-0005-0000-0000-000029120000}"/>
    <cellStyle name="Normal 2 6 2 4" xfId="6292" xr:uid="{00000000-0005-0000-0000-00002A120000}"/>
    <cellStyle name="Normal 2 6 2 5" xfId="7086" xr:uid="{7C42105B-1CF8-475D-BD67-9676E261672F}"/>
    <cellStyle name="Normal 2 6 3" xfId="669" xr:uid="{00000000-0005-0000-0000-00002B120000}"/>
    <cellStyle name="Normal 2 6 3 2" xfId="4772" xr:uid="{00000000-0005-0000-0000-00002C120000}"/>
    <cellStyle name="Normal 2 6 4" xfId="670" xr:uid="{00000000-0005-0000-0000-00002D120000}"/>
    <cellStyle name="Normal 2 6 5" xfId="4773" xr:uid="{00000000-0005-0000-0000-00002E120000}"/>
    <cellStyle name="Normal 2 6 6" xfId="4774" xr:uid="{00000000-0005-0000-0000-00002F120000}"/>
    <cellStyle name="Normal 2 6 7" xfId="5914" xr:uid="{00000000-0005-0000-0000-000030120000}"/>
    <cellStyle name="Normal 2 6 8" xfId="6291" xr:uid="{00000000-0005-0000-0000-000031120000}"/>
    <cellStyle name="Normal 2 6 9" xfId="7085" xr:uid="{B71F8FED-E6D8-4EDD-846C-92A95D36357F}"/>
    <cellStyle name="Normal 2 7" xfId="671" xr:uid="{00000000-0005-0000-0000-000032120000}"/>
    <cellStyle name="Normal 2 7 2" xfId="672" xr:uid="{00000000-0005-0000-0000-000033120000}"/>
    <cellStyle name="Normal 2 7 2 2" xfId="2038" xr:uid="{00000000-0005-0000-0000-000034120000}"/>
    <cellStyle name="Normal 2 7 2 3" xfId="4775" xr:uid="{00000000-0005-0000-0000-000035120000}"/>
    <cellStyle name="Normal 2 7 3" xfId="673" xr:uid="{00000000-0005-0000-0000-000036120000}"/>
    <cellStyle name="Normal 2 7 3 2" xfId="4776" xr:uid="{00000000-0005-0000-0000-000037120000}"/>
    <cellStyle name="Normal 2 7 4" xfId="674" xr:uid="{00000000-0005-0000-0000-000038120000}"/>
    <cellStyle name="Normal 2 7 5" xfId="4777" xr:uid="{00000000-0005-0000-0000-000039120000}"/>
    <cellStyle name="Normal 2 7 6" xfId="4778" xr:uid="{00000000-0005-0000-0000-00003A120000}"/>
    <cellStyle name="Normal 2 7 7" xfId="7087" xr:uid="{FCD27112-C304-4A00-A7B5-811C4A703338}"/>
    <cellStyle name="Normal 2 8" xfId="675" xr:uid="{00000000-0005-0000-0000-00003B120000}"/>
    <cellStyle name="Normal 2 8 2" xfId="676" xr:uid="{00000000-0005-0000-0000-00003C120000}"/>
    <cellStyle name="Normal 2 8 2 2" xfId="4779" xr:uid="{00000000-0005-0000-0000-00003D120000}"/>
    <cellStyle name="Normal 2 8 3" xfId="677" xr:uid="{00000000-0005-0000-0000-00003E120000}"/>
    <cellStyle name="Normal 2 8 4" xfId="678" xr:uid="{00000000-0005-0000-0000-00003F120000}"/>
    <cellStyle name="Normal 2 8 5" xfId="4780" xr:uid="{00000000-0005-0000-0000-000040120000}"/>
    <cellStyle name="Normal 2 8 6" xfId="7088" xr:uid="{5AD5CF82-51DC-4C5F-8E44-DFC29B46F2F5}"/>
    <cellStyle name="Normal 2 9" xfId="679" xr:uid="{00000000-0005-0000-0000-000041120000}"/>
    <cellStyle name="Normal 2 9 2" xfId="680" xr:uid="{00000000-0005-0000-0000-000042120000}"/>
    <cellStyle name="Normal 2 9 2 2" xfId="4781" xr:uid="{00000000-0005-0000-0000-000043120000}"/>
    <cellStyle name="Normal 2 9 3" xfId="681" xr:uid="{00000000-0005-0000-0000-000044120000}"/>
    <cellStyle name="Normal 2 9 4" xfId="682" xr:uid="{00000000-0005-0000-0000-000045120000}"/>
    <cellStyle name="Normal 2 9 5" xfId="4782" xr:uid="{00000000-0005-0000-0000-000046120000}"/>
    <cellStyle name="Normal 2 9 6" xfId="7089" xr:uid="{25F11A57-F61E-4CFE-860C-12F8461410F8}"/>
    <cellStyle name="Normal 2_53 Pelelangan Pengadaan CO &amp; Arrester" xfId="4783" xr:uid="{00000000-0005-0000-0000-000047120000}"/>
    <cellStyle name="Normal 20" xfId="683" xr:uid="{00000000-0005-0000-0000-000048120000}"/>
    <cellStyle name="Normal 20 2" xfId="2039" xr:uid="{00000000-0005-0000-0000-000049120000}"/>
    <cellStyle name="Normal 20 3" xfId="4784" xr:uid="{00000000-0005-0000-0000-00004A120000}"/>
    <cellStyle name="Normal 21" xfId="684" xr:uid="{00000000-0005-0000-0000-00004B120000}"/>
    <cellStyle name="Normal 21 2" xfId="2040" xr:uid="{00000000-0005-0000-0000-00004C120000}"/>
    <cellStyle name="Normal 21 3" xfId="4785" xr:uid="{00000000-0005-0000-0000-00004D120000}"/>
    <cellStyle name="Normal 22" xfId="685" xr:uid="{00000000-0005-0000-0000-00004E120000}"/>
    <cellStyle name="Normal 22 2" xfId="686" xr:uid="{00000000-0005-0000-0000-00004F120000}"/>
    <cellStyle name="Normal 22 2 2" xfId="2041" xr:uid="{00000000-0005-0000-0000-000050120000}"/>
    <cellStyle name="Normal 22 3" xfId="2042" xr:uid="{00000000-0005-0000-0000-000051120000}"/>
    <cellStyle name="Normal 23" xfId="687" xr:uid="{00000000-0005-0000-0000-000052120000}"/>
    <cellStyle name="Normal 23 2" xfId="2043" xr:uid="{00000000-0005-0000-0000-000053120000}"/>
    <cellStyle name="Normal 23 3" xfId="4786" xr:uid="{00000000-0005-0000-0000-000054120000}"/>
    <cellStyle name="Normal 24" xfId="688" xr:uid="{00000000-0005-0000-0000-000055120000}"/>
    <cellStyle name="Normal 24 2" xfId="2044" xr:uid="{00000000-0005-0000-0000-000056120000}"/>
    <cellStyle name="Normal 24 3" xfId="4787" xr:uid="{00000000-0005-0000-0000-000057120000}"/>
    <cellStyle name="Normal 25" xfId="689" xr:uid="{00000000-0005-0000-0000-000058120000}"/>
    <cellStyle name="Normal 25 2" xfId="690" xr:uid="{00000000-0005-0000-0000-000059120000}"/>
    <cellStyle name="Normal 25 2 2" xfId="2045" xr:uid="{00000000-0005-0000-0000-00005A120000}"/>
    <cellStyle name="Normal 25 2 2 2" xfId="4788" xr:uid="{00000000-0005-0000-0000-00005B120000}"/>
    <cellStyle name="Normal 25 2 3" xfId="7361" xr:uid="{26CA05CE-AE7A-4298-9CEE-CC7FA267B675}"/>
    <cellStyle name="Normal 25 3" xfId="2046" xr:uid="{00000000-0005-0000-0000-00005C120000}"/>
    <cellStyle name="Normal 25 4" xfId="4789" xr:uid="{00000000-0005-0000-0000-00005D120000}"/>
    <cellStyle name="Normal 26" xfId="691" xr:uid="{00000000-0005-0000-0000-00005E120000}"/>
    <cellStyle name="Normal 26 2" xfId="2047" xr:uid="{00000000-0005-0000-0000-00005F120000}"/>
    <cellStyle name="Normal 26 3" xfId="4790" xr:uid="{00000000-0005-0000-0000-000060120000}"/>
    <cellStyle name="Normal 27" xfId="692" xr:uid="{00000000-0005-0000-0000-000061120000}"/>
    <cellStyle name="Normal 27 2" xfId="2048" xr:uid="{00000000-0005-0000-0000-000062120000}"/>
    <cellStyle name="Normal 27 2 2" xfId="4791" xr:uid="{00000000-0005-0000-0000-000063120000}"/>
    <cellStyle name="Normal 27 3" xfId="4792" xr:uid="{00000000-0005-0000-0000-000064120000}"/>
    <cellStyle name="Normal 27 4" xfId="5917" xr:uid="{00000000-0005-0000-0000-000065120000}"/>
    <cellStyle name="Normal 27 5" xfId="6677" xr:uid="{A513BC02-F0DF-4B47-95FE-498E32DED630}"/>
    <cellStyle name="Normal 28" xfId="693" xr:uid="{00000000-0005-0000-0000-000066120000}"/>
    <cellStyle name="Normal 28 2" xfId="2049" xr:uid="{00000000-0005-0000-0000-000067120000}"/>
    <cellStyle name="Normal 28 2 2" xfId="2050" xr:uid="{00000000-0005-0000-0000-000068120000}"/>
    <cellStyle name="Normal 28 2 2 2" xfId="2051" xr:uid="{00000000-0005-0000-0000-000069120000}"/>
    <cellStyle name="Normal 28 2 2 2 2" xfId="2052" xr:uid="{00000000-0005-0000-0000-00006A120000}"/>
    <cellStyle name="Normal 28 2 2 3" xfId="2053" xr:uid="{00000000-0005-0000-0000-00006B120000}"/>
    <cellStyle name="Normal 28 2 3" xfId="2054" xr:uid="{00000000-0005-0000-0000-00006C120000}"/>
    <cellStyle name="Normal 28 3" xfId="2055" xr:uid="{00000000-0005-0000-0000-00006D120000}"/>
    <cellStyle name="Normal 28 3 2" xfId="2056" xr:uid="{00000000-0005-0000-0000-00006E120000}"/>
    <cellStyle name="Normal 28 3 2 2" xfId="2057" xr:uid="{00000000-0005-0000-0000-00006F120000}"/>
    <cellStyle name="Normal 28 3 2 2 2" xfId="2058" xr:uid="{00000000-0005-0000-0000-000070120000}"/>
    <cellStyle name="Normal 28 3 2 2 3" xfId="2059" xr:uid="{00000000-0005-0000-0000-000071120000}"/>
    <cellStyle name="Normal 28 3 2 3" xfId="2060" xr:uid="{00000000-0005-0000-0000-000072120000}"/>
    <cellStyle name="Normal 28 3 3" xfId="2061" xr:uid="{00000000-0005-0000-0000-000073120000}"/>
    <cellStyle name="Normal 28 4" xfId="2062" xr:uid="{00000000-0005-0000-0000-000074120000}"/>
    <cellStyle name="Normal 28 5" xfId="4793" xr:uid="{00000000-0005-0000-0000-000075120000}"/>
    <cellStyle name="Normal 29" xfId="694" xr:uid="{00000000-0005-0000-0000-000076120000}"/>
    <cellStyle name="Normal 29 2" xfId="2063" xr:uid="{00000000-0005-0000-0000-000077120000}"/>
    <cellStyle name="Normal 29 2 2" xfId="2064" xr:uid="{00000000-0005-0000-0000-000078120000}"/>
    <cellStyle name="Normal 29 2 2 2" xfId="2065" xr:uid="{00000000-0005-0000-0000-000079120000}"/>
    <cellStyle name="Normal 29 2 3" xfId="2066" xr:uid="{00000000-0005-0000-0000-00007A120000}"/>
    <cellStyle name="Normal 29 3" xfId="2067" xr:uid="{00000000-0005-0000-0000-00007B120000}"/>
    <cellStyle name="Normal 29 4" xfId="4794" xr:uid="{00000000-0005-0000-0000-00007C120000}"/>
    <cellStyle name="Normal 3" xfId="695" xr:uid="{00000000-0005-0000-0000-00007D120000}"/>
    <cellStyle name="Normal 3 10" xfId="696" xr:uid="{00000000-0005-0000-0000-00007E120000}"/>
    <cellStyle name="Normal 3 10 2" xfId="7090" xr:uid="{AD64ADD1-2ACA-449C-B734-28188195175D}"/>
    <cellStyle name="Normal 3 11" xfId="697" xr:uid="{00000000-0005-0000-0000-00007F120000}"/>
    <cellStyle name="Normal 3 12" xfId="698" xr:uid="{00000000-0005-0000-0000-000080120000}"/>
    <cellStyle name="Normal 3 12 2" xfId="7093" xr:uid="{1991D86B-B6AC-40BE-9A06-C3608F5C1B0F}"/>
    <cellStyle name="Normal 3 13" xfId="4795" xr:uid="{00000000-0005-0000-0000-000081120000}"/>
    <cellStyle name="Normal 3 14" xfId="6388" xr:uid="{10BA9303-C0EC-4406-8BEE-62CE3992E911}"/>
    <cellStyle name="Normal 3 14 2" xfId="4796" xr:uid="{00000000-0005-0000-0000-000082120000}"/>
    <cellStyle name="Normal 3 15" xfId="4797" xr:uid="{00000000-0005-0000-0000-000083120000}"/>
    <cellStyle name="Normal 3 2" xfId="699" xr:uid="{00000000-0005-0000-0000-000084120000}"/>
    <cellStyle name="Normal 3 2 2" xfId="700" xr:uid="{00000000-0005-0000-0000-000085120000}"/>
    <cellStyle name="Normal 3 2 2 2" xfId="701" xr:uid="{00000000-0005-0000-0000-000086120000}"/>
    <cellStyle name="Normal 3 2 2 2 2" xfId="2068" xr:uid="{00000000-0005-0000-0000-000087120000}"/>
    <cellStyle name="Normal 3 2 2 2 3" xfId="4798" xr:uid="{00000000-0005-0000-0000-000088120000}"/>
    <cellStyle name="Normal 3 2 2 3" xfId="2069" xr:uid="{00000000-0005-0000-0000-000089120000}"/>
    <cellStyle name="Normal 3 2 2 3 2" xfId="4799" xr:uid="{00000000-0005-0000-0000-00008A120000}"/>
    <cellStyle name="Normal 3 2 2_BukuBesar" xfId="4800" xr:uid="{00000000-0005-0000-0000-00008B120000}"/>
    <cellStyle name="Normal 3 2 3" xfId="702" xr:uid="{00000000-0005-0000-0000-00008C120000}"/>
    <cellStyle name="Normal 3 2 3 2" xfId="2070" xr:uid="{00000000-0005-0000-0000-00008D120000}"/>
    <cellStyle name="Normal 3 2 3 2 2" xfId="4801" xr:uid="{00000000-0005-0000-0000-00008E120000}"/>
    <cellStyle name="Normal 3 2 3 3" xfId="6948" xr:uid="{89BF24B0-F941-42A4-A53C-CF4465A249C5}"/>
    <cellStyle name="Normal 3 2 4" xfId="703" xr:uid="{00000000-0005-0000-0000-00008F120000}"/>
    <cellStyle name="Normal 3 2 4 2" xfId="2071" xr:uid="{00000000-0005-0000-0000-000090120000}"/>
    <cellStyle name="Normal 3 2 4 3" xfId="7095" xr:uid="{6A9C1AFE-41BE-4A40-950E-40C85E73F9A9}"/>
    <cellStyle name="Normal 3 2 5" xfId="704" xr:uid="{00000000-0005-0000-0000-000091120000}"/>
    <cellStyle name="Normal 3 2 6" xfId="2072" xr:uid="{00000000-0005-0000-0000-000092120000}"/>
    <cellStyle name="Normal 3 2 7" xfId="2073" xr:uid="{00000000-0005-0000-0000-000093120000}"/>
    <cellStyle name="Normal 3 2_BukuBesar" xfId="4802" xr:uid="{00000000-0005-0000-0000-000094120000}"/>
    <cellStyle name="Normal 3 3" xfId="705" xr:uid="{00000000-0005-0000-0000-000095120000}"/>
    <cellStyle name="Normal 3 3 2" xfId="4803" xr:uid="{00000000-0005-0000-0000-000096120000}"/>
    <cellStyle name="Normal 3 3 2 2" xfId="6998" xr:uid="{0F1E6894-8829-436F-AC39-586C65F715DE}"/>
    <cellStyle name="Normal 3 3 2 3" xfId="6915" xr:uid="{3BFE791F-6AE4-461C-ADBF-E1985ABA02AF}"/>
    <cellStyle name="Normal 3 3 2 4" xfId="6996" xr:uid="{8906758F-66B9-4227-9CE3-51CE9AD264B3}"/>
    <cellStyle name="Normal 3 3 3" xfId="4804" xr:uid="{00000000-0005-0000-0000-000097120000}"/>
    <cellStyle name="Normal 3 3 3 2" xfId="6585" xr:uid="{78EC59A2-374D-4BF8-9E28-3CC5B617F55F}"/>
    <cellStyle name="Normal 3 3 4" xfId="4805" xr:uid="{00000000-0005-0000-0000-000098120000}"/>
    <cellStyle name="Normal 3 3 4 2" xfId="4806" xr:uid="{00000000-0005-0000-0000-000099120000}"/>
    <cellStyle name="Normal 3 3 5" xfId="4807" xr:uid="{00000000-0005-0000-0000-00009A120000}"/>
    <cellStyle name="Normal 3 3 6" xfId="4808" xr:uid="{00000000-0005-0000-0000-00009B120000}"/>
    <cellStyle name="Normal 3 3 7" xfId="6389" xr:uid="{C2C79E5B-2F91-4DE3-BF14-8F0F8226BAE9}"/>
    <cellStyle name="Normal 3 3_BukuBesar" xfId="4809" xr:uid="{00000000-0005-0000-0000-00009C120000}"/>
    <cellStyle name="Normal 3 4" xfId="706" xr:uid="{00000000-0005-0000-0000-00009D120000}"/>
    <cellStyle name="Normal 3 4 2" xfId="2074" xr:uid="{00000000-0005-0000-0000-00009E120000}"/>
    <cellStyle name="Normal 3 4 2 16" xfId="2075" xr:uid="{00000000-0005-0000-0000-00009F120000}"/>
    <cellStyle name="Normal 3 4 2 2" xfId="4810" xr:uid="{00000000-0005-0000-0000-0000A0120000}"/>
    <cellStyle name="Normal 3 4 3" xfId="4811" xr:uid="{00000000-0005-0000-0000-0000A1120000}"/>
    <cellStyle name="Normal 3 4 3 2" xfId="6656" xr:uid="{14E2C983-24C6-4EEF-BF90-5A3E4DA3F4BD}"/>
    <cellStyle name="Normal 3 4 4" xfId="7096" xr:uid="{D0525E02-2559-43E5-9742-4F71E0830253}"/>
    <cellStyle name="Normal 3 4_BukuBesar" xfId="4812" xr:uid="{00000000-0005-0000-0000-0000A2120000}"/>
    <cellStyle name="Normal 3 5" xfId="707" xr:uid="{00000000-0005-0000-0000-0000A3120000}"/>
    <cellStyle name="Normal 3 5 2" xfId="2076" xr:uid="{00000000-0005-0000-0000-0000A4120000}"/>
    <cellStyle name="Normal 3 5 2 2" xfId="4813" xr:uid="{00000000-0005-0000-0000-0000A5120000}"/>
    <cellStyle name="Normal 3 5 2 3" xfId="7097" xr:uid="{2697969C-7372-468F-B9BD-F2686A2C2BDD}"/>
    <cellStyle name="Normal 3 5 3" xfId="4814" xr:uid="{00000000-0005-0000-0000-0000A6120000}"/>
    <cellStyle name="Normal 3 5 4" xfId="4815" xr:uid="{00000000-0005-0000-0000-0000A7120000}"/>
    <cellStyle name="Normal 3 5 4 2" xfId="4816" xr:uid="{00000000-0005-0000-0000-0000A8120000}"/>
    <cellStyle name="Normal 3 5 5" xfId="4817" xr:uid="{00000000-0005-0000-0000-0000A9120000}"/>
    <cellStyle name="Normal 3 5 6" xfId="4818" xr:uid="{00000000-0005-0000-0000-0000AA120000}"/>
    <cellStyle name="Normal 3 5_BukuBesar" xfId="4819" xr:uid="{00000000-0005-0000-0000-0000AB120000}"/>
    <cellStyle name="Normal 3 6" xfId="708" xr:uid="{00000000-0005-0000-0000-0000AC120000}"/>
    <cellStyle name="Normal 3 6 2" xfId="2077" xr:uid="{00000000-0005-0000-0000-0000AD120000}"/>
    <cellStyle name="Normal 3 6 2 2" xfId="4820" xr:uid="{00000000-0005-0000-0000-0000AE120000}"/>
    <cellStyle name="Normal 3 6 3" xfId="4821" xr:uid="{00000000-0005-0000-0000-0000AF120000}"/>
    <cellStyle name="Normal 3 6 3 2" xfId="4822" xr:uid="{00000000-0005-0000-0000-0000B0120000}"/>
    <cellStyle name="Normal 3 6 4" xfId="4823" xr:uid="{00000000-0005-0000-0000-0000B1120000}"/>
    <cellStyle name="Normal 3 6 5" xfId="4824" xr:uid="{00000000-0005-0000-0000-0000B2120000}"/>
    <cellStyle name="Normal 3 7" xfId="709" xr:uid="{00000000-0005-0000-0000-0000B3120000}"/>
    <cellStyle name="Normal 3 7 2" xfId="4825" xr:uid="{00000000-0005-0000-0000-0000B4120000}"/>
    <cellStyle name="Normal 3 7 3" xfId="4826" xr:uid="{00000000-0005-0000-0000-0000B5120000}"/>
    <cellStyle name="Normal 3 7 3 2" xfId="4827" xr:uid="{00000000-0005-0000-0000-0000B6120000}"/>
    <cellStyle name="Normal 3 7 4" xfId="4828" xr:uid="{00000000-0005-0000-0000-0000B7120000}"/>
    <cellStyle name="Normal 3 8" xfId="710" xr:uid="{00000000-0005-0000-0000-0000B8120000}"/>
    <cellStyle name="Normal 3 8 2" xfId="4829" xr:uid="{00000000-0005-0000-0000-0000B9120000}"/>
    <cellStyle name="Normal 3 8 2 2" xfId="4830" xr:uid="{00000000-0005-0000-0000-0000BA120000}"/>
    <cellStyle name="Normal 3 8 3" xfId="4831" xr:uid="{00000000-0005-0000-0000-0000BB120000}"/>
    <cellStyle name="Normal 3 9" xfId="711" xr:uid="{00000000-0005-0000-0000-0000BC120000}"/>
    <cellStyle name="Normal 3 9 2" xfId="4832" xr:uid="{00000000-0005-0000-0000-0000BD120000}"/>
    <cellStyle name="Normal 3 9 3" xfId="7098" xr:uid="{5647500A-B17D-43C5-A402-926F3570E229}"/>
    <cellStyle name="Normal 3_CV. JAGO ( SR4 &amp; SR7)" xfId="4833" xr:uid="{00000000-0005-0000-0000-0000BE120000}"/>
    <cellStyle name="Normal 30" xfId="712" xr:uid="{00000000-0005-0000-0000-0000BF120000}"/>
    <cellStyle name="Normal 30 2" xfId="713" xr:uid="{00000000-0005-0000-0000-0000C0120000}"/>
    <cellStyle name="Normal 30 2 2" xfId="2078" xr:uid="{00000000-0005-0000-0000-0000C1120000}"/>
    <cellStyle name="Normal 30 2 2 2" xfId="4834" xr:uid="{00000000-0005-0000-0000-0000C2120000}"/>
    <cellStyle name="Normal 30 2 3" xfId="7362" xr:uid="{8813B927-4C18-4230-AEE1-060A9CB55EA0}"/>
    <cellStyle name="Normal 30 3" xfId="2079" xr:uid="{00000000-0005-0000-0000-0000C3120000}"/>
    <cellStyle name="Normal 30 3 2" xfId="4835" xr:uid="{00000000-0005-0000-0000-0000C4120000}"/>
    <cellStyle name="Normal 30 4" xfId="4836" xr:uid="{00000000-0005-0000-0000-0000C5120000}"/>
    <cellStyle name="Normal 30 5" xfId="5919" xr:uid="{00000000-0005-0000-0000-0000C6120000}"/>
    <cellStyle name="Normal 30 6" xfId="6872" xr:uid="{A8FB80C3-CE09-4DBE-8C1A-E044403A612B}"/>
    <cellStyle name="Normal 31" xfId="714" xr:uid="{00000000-0005-0000-0000-0000C7120000}"/>
    <cellStyle name="Normal 31 2" xfId="2080" xr:uid="{00000000-0005-0000-0000-0000C8120000}"/>
    <cellStyle name="Normal 31 2 2" xfId="4837" xr:uid="{00000000-0005-0000-0000-0000C9120000}"/>
    <cellStyle name="Normal 31 2 2 2" xfId="4838" xr:uid="{00000000-0005-0000-0000-0000CA120000}"/>
    <cellStyle name="Normal 31 2 3" xfId="4839" xr:uid="{00000000-0005-0000-0000-0000CB120000}"/>
    <cellStyle name="Normal 31 2 4" xfId="4840" xr:uid="{00000000-0005-0000-0000-0000CC120000}"/>
    <cellStyle name="Normal 31 3" xfId="4841" xr:uid="{00000000-0005-0000-0000-0000CD120000}"/>
    <cellStyle name="Normal 31 3 2" xfId="4842" xr:uid="{00000000-0005-0000-0000-0000CE120000}"/>
    <cellStyle name="Normal 31 3 2 2" xfId="4843" xr:uid="{00000000-0005-0000-0000-0000CF120000}"/>
    <cellStyle name="Normal 31 3 3" xfId="4844" xr:uid="{00000000-0005-0000-0000-0000D0120000}"/>
    <cellStyle name="Normal 31 4" xfId="4845" xr:uid="{00000000-0005-0000-0000-0000D1120000}"/>
    <cellStyle name="Normal 31 4 2" xfId="4846" xr:uid="{00000000-0005-0000-0000-0000D2120000}"/>
    <cellStyle name="Normal 31 5" xfId="4847" xr:uid="{00000000-0005-0000-0000-0000D3120000}"/>
    <cellStyle name="Normal 32" xfId="715" xr:uid="{00000000-0005-0000-0000-0000D4120000}"/>
    <cellStyle name="Normal 32 2" xfId="2081" xr:uid="{00000000-0005-0000-0000-0000D5120000}"/>
    <cellStyle name="Normal 32 2 2" xfId="4848" xr:uid="{00000000-0005-0000-0000-0000D6120000}"/>
    <cellStyle name="Normal 32 3" xfId="4849" xr:uid="{00000000-0005-0000-0000-0000D7120000}"/>
    <cellStyle name="Normal 33" xfId="716" xr:uid="{00000000-0005-0000-0000-0000D8120000}"/>
    <cellStyle name="Normal 33 2" xfId="2082" xr:uid="{00000000-0005-0000-0000-0000D9120000}"/>
    <cellStyle name="Normal 33 2 2" xfId="4850" xr:uid="{00000000-0005-0000-0000-0000DA120000}"/>
    <cellStyle name="Normal 33 3" xfId="4851" xr:uid="{00000000-0005-0000-0000-0000DB120000}"/>
    <cellStyle name="Normal 33 4" xfId="5921" xr:uid="{00000000-0005-0000-0000-0000DC120000}"/>
    <cellStyle name="Normal 34" xfId="717" xr:uid="{00000000-0005-0000-0000-0000DD120000}"/>
    <cellStyle name="Normal 34 2" xfId="2083" xr:uid="{00000000-0005-0000-0000-0000DE120000}"/>
    <cellStyle name="Normal 34 2 2" xfId="4852" xr:uid="{00000000-0005-0000-0000-0000DF120000}"/>
    <cellStyle name="Normal 34 3" xfId="4853" xr:uid="{00000000-0005-0000-0000-0000E0120000}"/>
    <cellStyle name="Normal 34 4" xfId="5922" xr:uid="{00000000-0005-0000-0000-0000E1120000}"/>
    <cellStyle name="Normal 35" xfId="718" xr:uid="{00000000-0005-0000-0000-0000E2120000}"/>
    <cellStyle name="Normal 35 2" xfId="2084" xr:uid="{00000000-0005-0000-0000-0000E3120000}"/>
    <cellStyle name="Normal 35 2 2" xfId="4854" xr:uid="{00000000-0005-0000-0000-0000E4120000}"/>
    <cellStyle name="Normal 35 3" xfId="4855" xr:uid="{00000000-0005-0000-0000-0000E5120000}"/>
    <cellStyle name="Normal 35 4" xfId="4856" xr:uid="{00000000-0005-0000-0000-0000E6120000}"/>
    <cellStyle name="Normal 36" xfId="719" xr:uid="{00000000-0005-0000-0000-0000E7120000}"/>
    <cellStyle name="Normal 36 2" xfId="2085" xr:uid="{00000000-0005-0000-0000-0000E8120000}"/>
    <cellStyle name="Normal 36 2 2" xfId="4857" xr:uid="{00000000-0005-0000-0000-0000E9120000}"/>
    <cellStyle name="Normal 36 3" xfId="4858" xr:uid="{00000000-0005-0000-0000-0000EA120000}"/>
    <cellStyle name="Normal 36 4" xfId="5924" xr:uid="{00000000-0005-0000-0000-0000EB120000}"/>
    <cellStyle name="Normal 37" xfId="720" xr:uid="{00000000-0005-0000-0000-0000EC120000}"/>
    <cellStyle name="Normal 37 2" xfId="2086" xr:uid="{00000000-0005-0000-0000-0000ED120000}"/>
    <cellStyle name="Normal 37 2 2" xfId="4859" xr:uid="{00000000-0005-0000-0000-0000EE120000}"/>
    <cellStyle name="Normal 37 3" xfId="5925" xr:uid="{00000000-0005-0000-0000-0000EF120000}"/>
    <cellStyle name="Normal 37 4" xfId="6883" xr:uid="{B12C48FD-A1AD-46AC-94AE-BAFA87A9B6FB}"/>
    <cellStyle name="Normal 38" xfId="721" xr:uid="{00000000-0005-0000-0000-0000F0120000}"/>
    <cellStyle name="Normal 38 16" xfId="2087" xr:uid="{00000000-0005-0000-0000-0000F1120000}"/>
    <cellStyle name="Normal 38 16 2" xfId="2334" xr:uid="{00000000-0005-0000-0000-0000F2120000}"/>
    <cellStyle name="Normal 38 16 2 2" xfId="7520" xr:uid="{0BC5E7C4-1C75-456C-8FD7-63102A9A78D1}"/>
    <cellStyle name="Normal 38 16 3" xfId="6368" xr:uid="{3E9865A0-5142-410A-BC58-A9437696B5F6}"/>
    <cellStyle name="Normal 38 2" xfId="722" xr:uid="{00000000-0005-0000-0000-0000F3120000}"/>
    <cellStyle name="Normal 38 2 2" xfId="2088" xr:uid="{00000000-0005-0000-0000-0000F4120000}"/>
    <cellStyle name="Normal 38 2 3" xfId="4860" xr:uid="{00000000-0005-0000-0000-0000F5120000}"/>
    <cellStyle name="Normal 38 2 4" xfId="4861" xr:uid="{00000000-0005-0000-0000-0000F6120000}"/>
    <cellStyle name="Normal 38 2 5" xfId="6933" xr:uid="{FC18AD77-8A3D-4512-B727-46967DBAE3F6}"/>
    <cellStyle name="Normal 38 3" xfId="723" xr:uid="{00000000-0005-0000-0000-0000F7120000}"/>
    <cellStyle name="Normal 38 3 2" xfId="2089" xr:uid="{00000000-0005-0000-0000-0000F8120000}"/>
    <cellStyle name="Normal 38 3 2 2" xfId="4862" xr:uid="{00000000-0005-0000-0000-0000F9120000}"/>
    <cellStyle name="Normal 38 3 3" xfId="4863" xr:uid="{00000000-0005-0000-0000-0000FA120000}"/>
    <cellStyle name="Normal 38 3 4" xfId="6507" xr:uid="{65182DE7-E97C-43F9-A8CE-B1C20D3BF7FE}"/>
    <cellStyle name="Normal 38 3 5" xfId="7363" xr:uid="{49B77B35-A01B-4363-B642-EF4D06EAE0CE}"/>
    <cellStyle name="Normal 38 4" xfId="724" xr:uid="{00000000-0005-0000-0000-0000FB120000}"/>
    <cellStyle name="Normal 38 4 2" xfId="4864" xr:uid="{00000000-0005-0000-0000-0000FC120000}"/>
    <cellStyle name="Normal 38 4 3" xfId="6823" xr:uid="{60CE9637-1418-4D87-8DB8-F362731BB5FD}"/>
    <cellStyle name="Normal 38 5" xfId="725" xr:uid="{00000000-0005-0000-0000-0000FD120000}"/>
    <cellStyle name="Normal 38 5 2" xfId="4865" xr:uid="{00000000-0005-0000-0000-0000FE120000}"/>
    <cellStyle name="Normal 38 6" xfId="4" xr:uid="{00000000-0005-0000-0000-0000FF120000}"/>
    <cellStyle name="Normal 38 6 2" xfId="991" xr:uid="{00000000-0005-0000-0000-000000130000}"/>
    <cellStyle name="Normal 38 6 2 2" xfId="7432" xr:uid="{31B9D798-6EC5-4191-A0D4-974AB7F05FC9}"/>
    <cellStyle name="Normal 38 6 3" xfId="995" xr:uid="{00000000-0005-0000-0000-000001130000}"/>
    <cellStyle name="Normal 38 6 3 2" xfId="7436" xr:uid="{B44FB9CB-C23F-4C60-A02C-028E077D1268}"/>
    <cellStyle name="Normal 38 6 4" xfId="986" xr:uid="{00000000-0005-0000-0000-000002130000}"/>
    <cellStyle name="Normal 38 6 4 2" xfId="997" xr:uid="{00000000-0005-0000-0000-000003130000}"/>
    <cellStyle name="Normal 38 6 4 2 2" xfId="7437" xr:uid="{D38663AF-D02E-4152-A19A-613F50647077}"/>
    <cellStyle name="Normal 38 6 4 3" xfId="1002" xr:uid="{00000000-0005-0000-0000-000004130000}"/>
    <cellStyle name="Normal 38 6 4 4" xfId="1010" xr:uid="{00000000-0005-0000-0000-000005130000}"/>
    <cellStyle name="Normal 38 6 4 5" xfId="1022" xr:uid="{00000000-0005-0000-0000-000006130000}"/>
    <cellStyle name="Normal 38 6 4 6" xfId="1029" xr:uid="{00000000-0005-0000-0000-000007130000}"/>
    <cellStyle name="Normal 38 6 4 7" xfId="1036" xr:uid="{00000000-0005-0000-0000-000008130000}"/>
    <cellStyle name="Normal 38 6 4 8" xfId="1043" xr:uid="{00000000-0005-0000-0000-000009130000}"/>
    <cellStyle name="Normal 38 6 5" xfId="1016" xr:uid="{00000000-0005-0000-0000-00000A130000}"/>
    <cellStyle name="Normal 38 6 6" xfId="7191" xr:uid="{20D9277C-216D-4D0A-9306-AA1E2544EBF1}"/>
    <cellStyle name="Normal 38 7" xfId="1052" xr:uid="{00000000-0005-0000-0000-00000B130000}"/>
    <cellStyle name="Normal 38 8" xfId="1055" xr:uid="{00000000-0005-0000-0000-00000C130000}"/>
    <cellStyle name="Normal 38 9" xfId="1057" xr:uid="{00000000-0005-0000-0000-00000D130000}"/>
    <cellStyle name="Normal 39" xfId="726" xr:uid="{00000000-0005-0000-0000-00000E130000}"/>
    <cellStyle name="Normal 39 2" xfId="727" xr:uid="{00000000-0005-0000-0000-00000F130000}"/>
    <cellStyle name="Normal 39 2 2" xfId="2090" xr:uid="{00000000-0005-0000-0000-000010130000}"/>
    <cellStyle name="Normal 39 2 2 2" xfId="4866" xr:uid="{00000000-0005-0000-0000-000011130000}"/>
    <cellStyle name="Normal 39 2 3" xfId="4867" xr:uid="{00000000-0005-0000-0000-000012130000}"/>
    <cellStyle name="Normal 39 2 4" xfId="4868" xr:uid="{00000000-0005-0000-0000-000013130000}"/>
    <cellStyle name="Normal 39 2 5" xfId="6936" xr:uid="{F5AF400C-26A4-4A40-9595-FE22F6E6815B}"/>
    <cellStyle name="Normal 39 2 6" xfId="7365" xr:uid="{C9672ABF-F291-42DD-96FC-CC9DFD14E5B8}"/>
    <cellStyle name="Normal 39 3" xfId="728" xr:uid="{00000000-0005-0000-0000-000014130000}"/>
    <cellStyle name="Normal 39 3 2" xfId="4869" xr:uid="{00000000-0005-0000-0000-000015130000}"/>
    <cellStyle name="Normal 39 3 3" xfId="4870" xr:uid="{00000000-0005-0000-0000-000016130000}"/>
    <cellStyle name="Normal 39 3 4" xfId="6509" xr:uid="{E5D23C93-0ECA-4EC3-BC5B-F3DE5616C1F4}"/>
    <cellStyle name="Normal 39 4" xfId="729" xr:uid="{00000000-0005-0000-0000-000017130000}"/>
    <cellStyle name="Normal 39 4 2" xfId="4871" xr:uid="{00000000-0005-0000-0000-000018130000}"/>
    <cellStyle name="Normal 39 4 3" xfId="6571" xr:uid="{F2F72ED2-EF36-497B-88E1-F5619B18883D}"/>
    <cellStyle name="Normal 39 5" xfId="4872" xr:uid="{00000000-0005-0000-0000-000019130000}"/>
    <cellStyle name="Normal 39 6" xfId="7364" xr:uid="{F9094F8C-A82C-419F-B265-270EC4469BA2}"/>
    <cellStyle name="Normal 4" xfId="730" xr:uid="{00000000-0005-0000-0000-00001A130000}"/>
    <cellStyle name="Normal 4 10" xfId="4873" xr:uid="{00000000-0005-0000-0000-00001B130000}"/>
    <cellStyle name="Normal 4 10 2" xfId="7099" xr:uid="{835BC522-2375-46B3-A10C-FFA1D9E96E86}"/>
    <cellStyle name="Normal 4 11" xfId="4874" xr:uid="{00000000-0005-0000-0000-00001C130000}"/>
    <cellStyle name="Normal 4 11 2" xfId="6556" xr:uid="{0F0F0EB1-D8BB-471D-9B96-F9154EFCD0C6}"/>
    <cellStyle name="Normal 4 12" xfId="6986" xr:uid="{83182A8F-84DE-4CDE-A484-97E335C354BF}"/>
    <cellStyle name="Normal 4 2" xfId="731" xr:uid="{00000000-0005-0000-0000-00001D130000}"/>
    <cellStyle name="Normal 4 2 2" xfId="732" xr:uid="{00000000-0005-0000-0000-00001E130000}"/>
    <cellStyle name="Normal 4 2 2 2" xfId="2091" xr:uid="{00000000-0005-0000-0000-00001F130000}"/>
    <cellStyle name="Normal 4 2 2 2 2" xfId="7102" xr:uid="{96C1097F-5B86-42BA-BDBB-A671A75D44C9}"/>
    <cellStyle name="Normal 4 2 2 3" xfId="4875" xr:uid="{00000000-0005-0000-0000-000020130000}"/>
    <cellStyle name="Normal 4 2 2 4" xfId="7101" xr:uid="{EE7039A6-7630-434F-BB4D-B330E6D97476}"/>
    <cellStyle name="Normal 4 2 3" xfId="733" xr:uid="{00000000-0005-0000-0000-000021130000}"/>
    <cellStyle name="Normal 4 2 3 2" xfId="2092" xr:uid="{00000000-0005-0000-0000-000022130000}"/>
    <cellStyle name="Normal 4 2 3 3" xfId="4876" xr:uid="{00000000-0005-0000-0000-000023130000}"/>
    <cellStyle name="Normal 4 2 4" xfId="734" xr:uid="{00000000-0005-0000-0000-000024130000}"/>
    <cellStyle name="Normal 4 2 4 2" xfId="2093" xr:uid="{00000000-0005-0000-0000-000025130000}"/>
    <cellStyle name="Normal 4 2 5" xfId="735" xr:uid="{00000000-0005-0000-0000-000026130000}"/>
    <cellStyle name="Normal 4 2 5 2" xfId="4877" xr:uid="{00000000-0005-0000-0000-000027130000}"/>
    <cellStyle name="Normal 4 2 6" xfId="4878" xr:uid="{00000000-0005-0000-0000-000028130000}"/>
    <cellStyle name="Normal 4 2 6 2" xfId="7103" xr:uid="{5AA66535-BC58-40CB-AF17-E95804550E86}"/>
    <cellStyle name="Normal 4 2 7" xfId="7100" xr:uid="{E12A0FDF-6920-46E5-84BD-B8770E5DCD75}"/>
    <cellStyle name="Normal 4 3" xfId="736" xr:uid="{00000000-0005-0000-0000-000029130000}"/>
    <cellStyle name="Normal 4 3 2" xfId="737" xr:uid="{00000000-0005-0000-0000-00002A130000}"/>
    <cellStyle name="Normal 4 3 2 2" xfId="4879" xr:uid="{00000000-0005-0000-0000-00002B130000}"/>
    <cellStyle name="Normal 4 3 3" xfId="2094" xr:uid="{00000000-0005-0000-0000-00002C130000}"/>
    <cellStyle name="Normal 4 3 3 2" xfId="4880" xr:uid="{00000000-0005-0000-0000-00002D130000}"/>
    <cellStyle name="Normal 4 3 3 3" xfId="4881" xr:uid="{00000000-0005-0000-0000-00002E130000}"/>
    <cellStyle name="Normal 4 3 4" xfId="4882" xr:uid="{00000000-0005-0000-0000-00002F130000}"/>
    <cellStyle name="Normal 4 3 5" xfId="4883" xr:uid="{00000000-0005-0000-0000-000030130000}"/>
    <cellStyle name="Normal 4 4" xfId="738" xr:uid="{00000000-0005-0000-0000-000031130000}"/>
    <cellStyle name="Normal 4 4 2" xfId="4884" xr:uid="{00000000-0005-0000-0000-000032130000}"/>
    <cellStyle name="Normal 4 4 2 2" xfId="4885" xr:uid="{00000000-0005-0000-0000-000033130000}"/>
    <cellStyle name="Normal 4 4 3" xfId="4886" xr:uid="{00000000-0005-0000-0000-000034130000}"/>
    <cellStyle name="Normal 4 4 4" xfId="4887" xr:uid="{00000000-0005-0000-0000-000035130000}"/>
    <cellStyle name="Normal 4 5" xfId="739" xr:uid="{00000000-0005-0000-0000-000036130000}"/>
    <cellStyle name="Normal 4 5 2" xfId="2095" xr:uid="{00000000-0005-0000-0000-000037130000}"/>
    <cellStyle name="Normal 4 5 2 2" xfId="4888" xr:uid="{00000000-0005-0000-0000-000038130000}"/>
    <cellStyle name="Normal 4 5 2 3" xfId="4889" xr:uid="{00000000-0005-0000-0000-000039130000}"/>
    <cellStyle name="Normal 4 5 3" xfId="2096" xr:uid="{00000000-0005-0000-0000-00003A130000}"/>
    <cellStyle name="Normal 4 5 3 2" xfId="4890" xr:uid="{00000000-0005-0000-0000-00003B130000}"/>
    <cellStyle name="Normal 4 5 4" xfId="4891" xr:uid="{00000000-0005-0000-0000-00003C130000}"/>
    <cellStyle name="Normal 4 6" xfId="740" xr:uid="{00000000-0005-0000-0000-00003D130000}"/>
    <cellStyle name="Normal 4 6 2" xfId="2097" xr:uid="{00000000-0005-0000-0000-00003E130000}"/>
    <cellStyle name="Normal 4 6 2 2" xfId="4892" xr:uid="{00000000-0005-0000-0000-00003F130000}"/>
    <cellStyle name="Normal 4 6 2 3" xfId="4893" xr:uid="{00000000-0005-0000-0000-000040130000}"/>
    <cellStyle name="Normal 4 6 3" xfId="4894" xr:uid="{00000000-0005-0000-0000-000041130000}"/>
    <cellStyle name="Normal 4 6 4" xfId="7104" xr:uid="{FC31084F-8C8F-4B12-8DF1-E6ADB35913B9}"/>
    <cellStyle name="Normal 4 7" xfId="741" xr:uid="{00000000-0005-0000-0000-000042130000}"/>
    <cellStyle name="Normal 4 7 2" xfId="2098" xr:uid="{00000000-0005-0000-0000-000043130000}"/>
    <cellStyle name="Normal 4 7 2 2" xfId="4895" xr:uid="{00000000-0005-0000-0000-000044130000}"/>
    <cellStyle name="Normal 4 7 2 3" xfId="4896" xr:uid="{00000000-0005-0000-0000-000045130000}"/>
    <cellStyle name="Normal 4 7 3" xfId="7105" xr:uid="{DC2690D2-EE20-495F-8061-B8C97840347C}"/>
    <cellStyle name="Normal 4 7 4" xfId="7366" xr:uid="{A8B2DFE3-859C-4562-A086-BD6F77A75E1C}"/>
    <cellStyle name="Normal 4 8" xfId="742" xr:uid="{00000000-0005-0000-0000-000046130000}"/>
    <cellStyle name="Normal 4 8 2" xfId="2099" xr:uid="{00000000-0005-0000-0000-000047130000}"/>
    <cellStyle name="Normal 4 8 2 2" xfId="4897" xr:uid="{00000000-0005-0000-0000-000048130000}"/>
    <cellStyle name="Normal 4 8 3" xfId="4898" xr:uid="{00000000-0005-0000-0000-000049130000}"/>
    <cellStyle name="Normal 4 8 4" xfId="7106" xr:uid="{601A5F25-5728-440E-BB94-99981D113254}"/>
    <cellStyle name="Normal 4 9" xfId="2100" xr:uid="{00000000-0005-0000-0000-00004A130000}"/>
    <cellStyle name="Normal 4 9 2" xfId="4899" xr:uid="{00000000-0005-0000-0000-00004B130000}"/>
    <cellStyle name="Normal 4 9 3" xfId="7107" xr:uid="{88EDDA20-A670-46F1-9B24-691A7D507ACF}"/>
    <cellStyle name="Normal 40" xfId="743" xr:uid="{00000000-0005-0000-0000-00004C130000}"/>
    <cellStyle name="Normal 40 2" xfId="744" xr:uid="{00000000-0005-0000-0000-00004D130000}"/>
    <cellStyle name="Normal 40 2 2" xfId="2101" xr:uid="{00000000-0005-0000-0000-00004E130000}"/>
    <cellStyle name="Normal 40 2 2 2" xfId="2102" xr:uid="{00000000-0005-0000-0000-00004F130000}"/>
    <cellStyle name="Normal 40 2 2 3" xfId="4900" xr:uid="{00000000-0005-0000-0000-000050130000}"/>
    <cellStyle name="Normal 40 2 3" xfId="2103" xr:uid="{00000000-0005-0000-0000-000051130000}"/>
    <cellStyle name="Normal 40 2 3 2" xfId="4901" xr:uid="{00000000-0005-0000-0000-000052130000}"/>
    <cellStyle name="Normal 40 2 4" xfId="4902" xr:uid="{00000000-0005-0000-0000-000053130000}"/>
    <cellStyle name="Normal 40 2 5" xfId="6879" xr:uid="{FFFDBC68-D84C-4AB8-BE2D-251929876255}"/>
    <cellStyle name="Normal 40 2 6" xfId="7367" xr:uid="{F6D22DF9-7B1F-45D8-A5F5-E9FD86178C43}"/>
    <cellStyle name="Normal 40 3" xfId="745" xr:uid="{00000000-0005-0000-0000-000054130000}"/>
    <cellStyle name="Normal 40 3 2" xfId="4903" xr:uid="{00000000-0005-0000-0000-000055130000}"/>
    <cellStyle name="Normal 40 3 3" xfId="6453" xr:uid="{C80AF4FA-133F-44D3-A13E-6C9C82A04B5F}"/>
    <cellStyle name="Normal 40 4" xfId="746" xr:uid="{00000000-0005-0000-0000-000056130000}"/>
    <cellStyle name="Normal 40 4 2" xfId="4904" xr:uid="{00000000-0005-0000-0000-000057130000}"/>
    <cellStyle name="Normal 40 4 3" xfId="6814" xr:uid="{04D6F6C8-734A-4A5F-991B-26D0010DA090}"/>
    <cellStyle name="Normal 40 5" xfId="4905" xr:uid="{00000000-0005-0000-0000-000058130000}"/>
    <cellStyle name="Normal 40 5 2" xfId="4906" xr:uid="{00000000-0005-0000-0000-000059130000}"/>
    <cellStyle name="Normal 40 6" xfId="4907" xr:uid="{00000000-0005-0000-0000-00005A130000}"/>
    <cellStyle name="Normal 40 7" xfId="4908" xr:uid="{00000000-0005-0000-0000-00005B130000}"/>
    <cellStyle name="Normal 40 8" xfId="5929" xr:uid="{00000000-0005-0000-0000-00005C130000}"/>
    <cellStyle name="Normal 41" xfId="747" xr:uid="{00000000-0005-0000-0000-00005D130000}"/>
    <cellStyle name="Normal 41 2" xfId="2104" xr:uid="{00000000-0005-0000-0000-00005E130000}"/>
    <cellStyle name="Normal 41 2 2" xfId="2105" xr:uid="{00000000-0005-0000-0000-00005F130000}"/>
    <cellStyle name="Normal 41 2 2 2" xfId="2106" xr:uid="{00000000-0005-0000-0000-000060130000}"/>
    <cellStyle name="Normal 41 2 2 3" xfId="4909" xr:uid="{00000000-0005-0000-0000-000061130000}"/>
    <cellStyle name="Normal 41 2 3" xfId="2107" xr:uid="{00000000-0005-0000-0000-000062130000}"/>
    <cellStyle name="Normal 41 2 4" xfId="4910" xr:uid="{00000000-0005-0000-0000-000063130000}"/>
    <cellStyle name="Normal 41 3" xfId="4911" xr:uid="{00000000-0005-0000-0000-000064130000}"/>
    <cellStyle name="Normal 41 4" xfId="5930" xr:uid="{00000000-0005-0000-0000-000065130000}"/>
    <cellStyle name="Normal 41 5" xfId="6881" xr:uid="{F8A32948-4B72-4084-96CB-24A8F59ED2C3}"/>
    <cellStyle name="Normal 41 6" xfId="7368" xr:uid="{23F8A71D-765C-4B1F-884E-5E19A7FB02CD}"/>
    <cellStyle name="Normal 42" xfId="748" xr:uid="{00000000-0005-0000-0000-000066130000}"/>
    <cellStyle name="Normal 42 2" xfId="4912" xr:uid="{00000000-0005-0000-0000-000067130000}"/>
    <cellStyle name="Normal 42 2 2" xfId="4913" xr:uid="{00000000-0005-0000-0000-000068130000}"/>
    <cellStyle name="Normal 42 3" xfId="4914" xr:uid="{00000000-0005-0000-0000-000069130000}"/>
    <cellStyle name="Normal 42 4" xfId="6884" xr:uid="{92B455B0-4840-4F0C-A64C-D9D8E52D427A}"/>
    <cellStyle name="Normal 43" xfId="749" xr:uid="{00000000-0005-0000-0000-00006A130000}"/>
    <cellStyle name="Normal 43 12" xfId="2331" xr:uid="{00000000-0005-0000-0000-00006B130000}"/>
    <cellStyle name="Normal 43 12 2" xfId="2108" xr:uid="{00000000-0005-0000-0000-00006C130000}"/>
    <cellStyle name="Normal 43 12 2 2" xfId="2337" xr:uid="{00000000-0005-0000-0000-00006D130000}"/>
    <cellStyle name="Normal 43 12 2 2 2" xfId="7523" xr:uid="{C9BBAD02-F732-4F8A-A596-10079ED6749F}"/>
    <cellStyle name="Normal 43 12 2 3" xfId="6370" xr:uid="{E5E232E6-C655-4ADC-9B01-159C5ECB8B2D}"/>
    <cellStyle name="Normal 43 17" xfId="2329" xr:uid="{00000000-0005-0000-0000-00006E130000}"/>
    <cellStyle name="Normal 43 17 2" xfId="2109" xr:uid="{00000000-0005-0000-0000-00006F130000}"/>
    <cellStyle name="Normal 43 17 2 2" xfId="2333" xr:uid="{00000000-0005-0000-0000-000070130000}"/>
    <cellStyle name="Normal 43 17 2 2 2" xfId="7519" xr:uid="{DFBAB637-C640-4FE1-A6A1-1CF53044E378}"/>
    <cellStyle name="Normal 43 17 2 3" xfId="6367" xr:uid="{02549635-EF1D-4A1F-9A3A-4FF7C1EDFBC1}"/>
    <cellStyle name="Normal 43 17 3" xfId="6360" xr:uid="{40D13A1C-A077-4C3A-B6E4-3DED922D21A4}"/>
    <cellStyle name="Normal 43 17 3 2" xfId="7108" xr:uid="{BD94D4C5-0F3E-4215-A9AF-2A6904D48A91}"/>
    <cellStyle name="Normal 43 17 3 3" xfId="9142" xr:uid="{5D3D34B4-E6BF-4DDD-A00F-BD5C20EF0EB5}"/>
    <cellStyle name="Normal 43 17 4" xfId="6365" xr:uid="{DB3A4D01-CEE6-41EC-AEBE-7A524BE90B66}"/>
    <cellStyle name="Normal 43 17 5" xfId="6375" xr:uid="{71ADD3A3-7436-4500-8B9D-F59E89E0B89A}"/>
    <cellStyle name="Normal 43 2" xfId="750" xr:uid="{00000000-0005-0000-0000-000071130000}"/>
    <cellStyle name="Normal 43 2 2" xfId="2110" xr:uid="{00000000-0005-0000-0000-000072130000}"/>
    <cellStyle name="Normal 43 2 2 2" xfId="4915" xr:uid="{00000000-0005-0000-0000-000073130000}"/>
    <cellStyle name="Normal 43 2 3" xfId="4916" xr:uid="{00000000-0005-0000-0000-000074130000}"/>
    <cellStyle name="Normal 43 2 4" xfId="4917" xr:uid="{00000000-0005-0000-0000-000075130000}"/>
    <cellStyle name="Normal 43 2 5" xfId="7370" xr:uid="{F9976DDB-EF53-4C70-BA2E-D4E5521B13E4}"/>
    <cellStyle name="Normal 43 3" xfId="2" xr:uid="{00000000-0005-0000-0000-000076130000}"/>
    <cellStyle name="Normal 43 3 10" xfId="1040" xr:uid="{00000000-0005-0000-0000-000077130000}"/>
    <cellStyle name="Normal 43 3 2" xfId="989" xr:uid="{00000000-0005-0000-0000-000078130000}"/>
    <cellStyle name="Normal 43 3 2 2" xfId="1004" xr:uid="{00000000-0005-0000-0000-000079130000}"/>
    <cellStyle name="Normal 43 3 2 2 2" xfId="1050" xr:uid="{00000000-0005-0000-0000-00007A130000}"/>
    <cellStyle name="Normal 43 3 2 3" xfId="1011" xr:uid="{00000000-0005-0000-0000-00007B130000}"/>
    <cellStyle name="Normal 43 3 2 4" xfId="1023" xr:uid="{00000000-0005-0000-0000-00007C130000}"/>
    <cellStyle name="Normal 43 3 2 5" xfId="1030" xr:uid="{00000000-0005-0000-0000-00007D130000}"/>
    <cellStyle name="Normal 43 3 2 6" xfId="1037" xr:uid="{00000000-0005-0000-0000-00007E130000}"/>
    <cellStyle name="Normal 43 3 2 7" xfId="1044" xr:uid="{00000000-0005-0000-0000-00007F130000}"/>
    <cellStyle name="Normal 43 3 3" xfId="994" xr:uid="{00000000-0005-0000-0000-000080130000}"/>
    <cellStyle name="Normal 43 3 3 2" xfId="7435" xr:uid="{1086A11E-43A1-4CA5-AE00-79C3267E1BA6}"/>
    <cellStyle name="Normal 43 3 4" xfId="985" xr:uid="{00000000-0005-0000-0000-000081130000}"/>
    <cellStyle name="Normal 43 3 4 2" xfId="996" xr:uid="{00000000-0005-0000-0000-000082130000}"/>
    <cellStyle name="Normal 43 3 4 2 2" xfId="1049" xr:uid="{00000000-0005-0000-0000-000083130000}"/>
    <cellStyle name="Normal 43 3 4 3" xfId="1001" xr:uid="{00000000-0005-0000-0000-000084130000}"/>
    <cellStyle name="Normal 43 3 4 4" xfId="1009" xr:uid="{00000000-0005-0000-0000-000085130000}"/>
    <cellStyle name="Normal 43 3 4 5" xfId="1021" xr:uid="{00000000-0005-0000-0000-000086130000}"/>
    <cellStyle name="Normal 43 3 4 6" xfId="1028" xr:uid="{00000000-0005-0000-0000-000087130000}"/>
    <cellStyle name="Normal 43 3 4 7" xfId="1035" xr:uid="{00000000-0005-0000-0000-000088130000}"/>
    <cellStyle name="Normal 43 3 4 8" xfId="1042" xr:uid="{00000000-0005-0000-0000-000089130000}"/>
    <cellStyle name="Normal 43 3 5" xfId="999" xr:uid="{00000000-0005-0000-0000-00008A130000}"/>
    <cellStyle name="Normal 43 3 5 2" xfId="1048" xr:uid="{00000000-0005-0000-0000-00008B130000}"/>
    <cellStyle name="Normal 43 3 6" xfId="1007" xr:uid="{00000000-0005-0000-0000-00008C130000}"/>
    <cellStyle name="Normal 43 3 7" xfId="1019" xr:uid="{00000000-0005-0000-0000-00008D130000}"/>
    <cellStyle name="Normal 43 3 8" xfId="1026" xr:uid="{00000000-0005-0000-0000-00008E130000}"/>
    <cellStyle name="Normal 43 3 9" xfId="1033" xr:uid="{00000000-0005-0000-0000-00008F130000}"/>
    <cellStyle name="Normal 43 4" xfId="5" xr:uid="{00000000-0005-0000-0000-000090130000}"/>
    <cellStyle name="Normal 43 4 2" xfId="7" xr:uid="{00000000-0005-0000-0000-000091130000}"/>
    <cellStyle name="Normal 43 4 2 2" xfId="987" xr:uid="{00000000-0005-0000-0000-000092130000}"/>
    <cellStyle name="Normal 43 4 2 2 2" xfId="1003" xr:uid="{00000000-0005-0000-0000-000093130000}"/>
    <cellStyle name="Normal 43 4 2 3" xfId="4918" xr:uid="{00000000-0005-0000-0000-000094130000}"/>
    <cellStyle name="Normal 43 4 3" xfId="1017" xr:uid="{00000000-0005-0000-0000-000095130000}"/>
    <cellStyle name="Normal 43 4 4" xfId="4919" xr:uid="{00000000-0005-0000-0000-000096130000}"/>
    <cellStyle name="Normal 43 5" xfId="1051" xr:uid="{00000000-0005-0000-0000-000097130000}"/>
    <cellStyle name="Normal 43 5 2" xfId="4920" xr:uid="{00000000-0005-0000-0000-000098130000}"/>
    <cellStyle name="Normal 43 5 3" xfId="6361" xr:uid="{2BCD5DC6-4673-4536-8F0A-23A7BD08FE55}"/>
    <cellStyle name="Normal 43 5 3 2" xfId="9143" xr:uid="{6BC42607-51F8-4E8E-A2D7-0E98DD395F15}"/>
    <cellStyle name="Normal 43 5 4" xfId="6366" xr:uid="{A9A6F883-CC68-4D72-B3D9-3BEF4D443DBF}"/>
    <cellStyle name="Normal 43 6" xfId="6" xr:uid="{00000000-0005-0000-0000-000099130000}"/>
    <cellStyle name="Normal 43 6 2" xfId="7192" xr:uid="{02E4D8AB-8183-44F4-AA56-EA5A8786FF6C}"/>
    <cellStyle name="Normal 43 7" xfId="1054" xr:uid="{00000000-0005-0000-0000-00009A130000}"/>
    <cellStyle name="Normal 43 8" xfId="1056" xr:uid="{00000000-0005-0000-0000-00009B130000}"/>
    <cellStyle name="Normal 43 9" xfId="6930" xr:uid="{37B48F3C-E602-4690-A46F-5071B0817DAB}"/>
    <cellStyle name="Normal 43_BukuBesar" xfId="4921" xr:uid="{00000000-0005-0000-0000-00009C130000}"/>
    <cellStyle name="Normal 44" xfId="751" xr:uid="{00000000-0005-0000-0000-00009D130000}"/>
    <cellStyle name="Normal 44 2" xfId="2111" xr:uid="{00000000-0005-0000-0000-00009E130000}"/>
    <cellStyle name="Normal 44 2 2" xfId="4922" xr:uid="{00000000-0005-0000-0000-00009F130000}"/>
    <cellStyle name="Normal 44 2 3" xfId="4923" xr:uid="{00000000-0005-0000-0000-0000A0130000}"/>
    <cellStyle name="Normal 44 3" xfId="2112" xr:uid="{00000000-0005-0000-0000-0000A1130000}"/>
    <cellStyle name="Normal 44 4" xfId="6511" xr:uid="{30F3F17F-C6AF-4253-AFCE-8C29CFAE0FC3}"/>
    <cellStyle name="Normal 44 5" xfId="7371" xr:uid="{16B4CEC9-3C13-47CB-9306-D691E7B78ED2}"/>
    <cellStyle name="Normal 45" xfId="752" xr:uid="{00000000-0005-0000-0000-0000A2130000}"/>
    <cellStyle name="Normal 45 2" xfId="2113" xr:uid="{00000000-0005-0000-0000-0000A3130000}"/>
    <cellStyle name="Normal 45 2 2" xfId="4924" xr:uid="{00000000-0005-0000-0000-0000A4130000}"/>
    <cellStyle name="Normal 45 2 3" xfId="4925" xr:uid="{00000000-0005-0000-0000-0000A5130000}"/>
    <cellStyle name="Normal 45 3" xfId="4926" xr:uid="{00000000-0005-0000-0000-0000A6130000}"/>
    <cellStyle name="Normal 45 4" xfId="6707" xr:uid="{6F491C82-115B-4E40-BA09-2F9F59FCFD85}"/>
    <cellStyle name="Normal 45 5" xfId="7372" xr:uid="{3D2FE89D-D190-4AE3-B133-C5E6A731416B}"/>
    <cellStyle name="Normal 46" xfId="753" xr:uid="{00000000-0005-0000-0000-0000A7130000}"/>
    <cellStyle name="Normal 46 2" xfId="2114" xr:uid="{00000000-0005-0000-0000-0000A8130000}"/>
    <cellStyle name="Normal 46 2 2" xfId="4927" xr:uid="{00000000-0005-0000-0000-0000A9130000}"/>
    <cellStyle name="Normal 46 2 3" xfId="4928" xr:uid="{00000000-0005-0000-0000-0000AA130000}"/>
    <cellStyle name="Normal 46 3" xfId="4929" xr:uid="{00000000-0005-0000-0000-0000AB130000}"/>
    <cellStyle name="Normal 46 4" xfId="6712" xr:uid="{CA453F7B-3C5D-4677-8DFD-CB9E32CA6DA0}"/>
    <cellStyle name="Normal 46 5" xfId="7373" xr:uid="{F7AD1BE4-1D5E-4AEF-B12E-E6BAD991CA53}"/>
    <cellStyle name="Normal 47" xfId="754" xr:uid="{00000000-0005-0000-0000-0000AC130000}"/>
    <cellStyle name="Normal 47 2" xfId="2115" xr:uid="{00000000-0005-0000-0000-0000AD130000}"/>
    <cellStyle name="Normal 47 2 2" xfId="4930" xr:uid="{00000000-0005-0000-0000-0000AE130000}"/>
    <cellStyle name="Normal 47 2 3" xfId="4931" xr:uid="{00000000-0005-0000-0000-0000AF130000}"/>
    <cellStyle name="Normal 47 3" xfId="6721" xr:uid="{E569D74F-23EC-4B5C-9E00-D0EFF9721780}"/>
    <cellStyle name="Normal 47 4" xfId="7374" xr:uid="{BB59B071-90A8-4AAE-8096-F0CC443B1417}"/>
    <cellStyle name="Normal 48" xfId="755" xr:uid="{00000000-0005-0000-0000-0000B0130000}"/>
    <cellStyle name="Normal 48 2" xfId="4932" xr:uid="{00000000-0005-0000-0000-0000B1130000}"/>
    <cellStyle name="Normal 48 3" xfId="4933" xr:uid="{00000000-0005-0000-0000-0000B2130000}"/>
    <cellStyle name="Normal 48 4" xfId="6729" xr:uid="{44EDDAE3-FE3D-432B-914A-C9D20E410C27}"/>
    <cellStyle name="Normal 49" xfId="756" xr:uid="{00000000-0005-0000-0000-0000B3130000}"/>
    <cellStyle name="Normal 49 2" xfId="4934" xr:uid="{00000000-0005-0000-0000-0000B4130000}"/>
    <cellStyle name="Normal 49 3" xfId="4935" xr:uid="{00000000-0005-0000-0000-0000B5130000}"/>
    <cellStyle name="Normal 49 4" xfId="2116" xr:uid="{00000000-0005-0000-0000-0000B6130000}"/>
    <cellStyle name="Normal 49 5" xfId="6738" xr:uid="{0948364D-1DBF-4D56-AA40-F49296433DDE}"/>
    <cellStyle name="Normal 5" xfId="757" xr:uid="{00000000-0005-0000-0000-0000B7130000}"/>
    <cellStyle name="Normal 5 10" xfId="4936" xr:uid="{00000000-0005-0000-0000-0000B8130000}"/>
    <cellStyle name="Normal 5 10 2" xfId="4937" xr:uid="{00000000-0005-0000-0000-0000B9130000}"/>
    <cellStyle name="Normal 5 11" xfId="4938" xr:uid="{00000000-0005-0000-0000-0000BA130000}"/>
    <cellStyle name="Normal 5 11 2" xfId="7083" xr:uid="{CE84CA44-DA9B-4F14-9115-A006E1DF755C}"/>
    <cellStyle name="Normal 5 2" xfId="758" xr:uid="{00000000-0005-0000-0000-0000BB130000}"/>
    <cellStyle name="Normal 5 2 2" xfId="759" xr:uid="{00000000-0005-0000-0000-0000BC130000}"/>
    <cellStyle name="Normal 5 2 2 2" xfId="760" xr:uid="{00000000-0005-0000-0000-0000BD130000}"/>
    <cellStyle name="Normal 5 2 2 2 2" xfId="2117" xr:uid="{00000000-0005-0000-0000-0000BE130000}"/>
    <cellStyle name="Normal 5 2 2 3" xfId="2118" xr:uid="{00000000-0005-0000-0000-0000BF130000}"/>
    <cellStyle name="Normal 5 2 2 4" xfId="5934" xr:uid="{00000000-0005-0000-0000-0000C0130000}"/>
    <cellStyle name="Normal 5 2 3" xfId="761" xr:uid="{00000000-0005-0000-0000-0000C1130000}"/>
    <cellStyle name="Normal 5 2 3 2" xfId="2119" xr:uid="{00000000-0005-0000-0000-0000C2130000}"/>
    <cellStyle name="Normal 5 2 3 2 2" xfId="4939" xr:uid="{00000000-0005-0000-0000-0000C3130000}"/>
    <cellStyle name="Normal 5 2 3 3" xfId="2120" xr:uid="{00000000-0005-0000-0000-0000C4130000}"/>
    <cellStyle name="Normal 5 2 3 4" xfId="4940" xr:uid="{00000000-0005-0000-0000-0000C5130000}"/>
    <cellStyle name="Normal 5 2 3 5" xfId="6971" xr:uid="{A1D3FB38-28BA-4D12-9475-7824CECDB9DE}"/>
    <cellStyle name="Normal 5 2 4" xfId="4941" xr:uid="{00000000-0005-0000-0000-0000C6130000}"/>
    <cellStyle name="Normal 5 2 4 2" xfId="6891" xr:uid="{EDA4A8E2-2B7A-4F24-9476-9248557703C5}"/>
    <cellStyle name="Normal 5 2 5" xfId="4942" xr:uid="{00000000-0005-0000-0000-0000C7130000}"/>
    <cellStyle name="Normal 5 2 6" xfId="5933" xr:uid="{00000000-0005-0000-0000-0000C8130000}"/>
    <cellStyle name="Normal 5 3" xfId="762" xr:uid="{00000000-0005-0000-0000-0000C9130000}"/>
    <cellStyle name="Normal 5 3 2" xfId="2121" xr:uid="{00000000-0005-0000-0000-0000CA130000}"/>
    <cellStyle name="Normal 5 3 2 2" xfId="4943" xr:uid="{00000000-0005-0000-0000-0000CB130000}"/>
    <cellStyle name="Normal 5 3 2 3" xfId="7109" xr:uid="{825A640C-59D7-4CF7-A132-8DDD20C47212}"/>
    <cellStyle name="Normal 5 3 3" xfId="5935" xr:uid="{00000000-0005-0000-0000-0000CC130000}"/>
    <cellStyle name="Normal 5 3 4" xfId="7091" xr:uid="{510003F7-FE9A-4F0B-87ED-6438EB11ED23}"/>
    <cellStyle name="Normal 5 3 5" xfId="7375" xr:uid="{AAD301BF-7C12-45FC-A728-D63D7330E881}"/>
    <cellStyle name="Normal 5 4" xfId="763" xr:uid="{00000000-0005-0000-0000-0000CD130000}"/>
    <cellStyle name="Normal 5 4 2" xfId="4944" xr:uid="{00000000-0005-0000-0000-0000CE130000}"/>
    <cellStyle name="Normal 5 4 2 2" xfId="7110" xr:uid="{136A1640-FDFD-4EFD-AAD0-0539B5B97583}"/>
    <cellStyle name="Normal 5 4 3" xfId="6293" xr:uid="{00000000-0005-0000-0000-0000CF130000}"/>
    <cellStyle name="Normal 5 4 4" xfId="7092" xr:uid="{82A11B84-BF89-4271-8A39-66232B939A98}"/>
    <cellStyle name="Normal 5 5" xfId="764" xr:uid="{00000000-0005-0000-0000-0000D0130000}"/>
    <cellStyle name="Normal 5 5 2" xfId="2122" xr:uid="{00000000-0005-0000-0000-0000D1130000}"/>
    <cellStyle name="Normal 5 5 2 2" xfId="4945" xr:uid="{00000000-0005-0000-0000-0000D2130000}"/>
    <cellStyle name="Normal 5 5 3" xfId="7094" xr:uid="{E453868F-8970-4B64-AD3F-0A33715B075A}"/>
    <cellStyle name="Normal 5 5 4" xfId="7376" xr:uid="{FB04086B-A427-4368-B50E-30DF8E7561C5}"/>
    <cellStyle name="Normal 5 6" xfId="765" xr:uid="{00000000-0005-0000-0000-0000D3130000}"/>
    <cellStyle name="Normal 5 6 2" xfId="2123" xr:uid="{00000000-0005-0000-0000-0000D4130000}"/>
    <cellStyle name="Normal 5 6 2 2" xfId="2124" xr:uid="{00000000-0005-0000-0000-0000D5130000}"/>
    <cellStyle name="Normal 5 6 3" xfId="2125" xr:uid="{00000000-0005-0000-0000-0000D6130000}"/>
    <cellStyle name="Normal 5 6 4" xfId="4946" xr:uid="{00000000-0005-0000-0000-0000D7130000}"/>
    <cellStyle name="Normal 5 7" xfId="766" xr:uid="{00000000-0005-0000-0000-0000D8130000}"/>
    <cellStyle name="Normal 5 7 2" xfId="2126" xr:uid="{00000000-0005-0000-0000-0000D9130000}"/>
    <cellStyle name="Normal 5 7 3" xfId="4947" xr:uid="{00000000-0005-0000-0000-0000DA130000}"/>
    <cellStyle name="Normal 5 8" xfId="767" xr:uid="{00000000-0005-0000-0000-0000DB130000}"/>
    <cellStyle name="Normal 5 8 2" xfId="4948" xr:uid="{00000000-0005-0000-0000-0000DC130000}"/>
    <cellStyle name="Normal 5 9" xfId="4949" xr:uid="{00000000-0005-0000-0000-0000DD130000}"/>
    <cellStyle name="Normal 5 9 2" xfId="7111" xr:uid="{9B7D5503-B8E7-46EC-B146-DE947CEAF19B}"/>
    <cellStyle name="Normal 5_20091215 Pinjaman RKAP 2010-COD-8%-091215-triwulanan2" xfId="768" xr:uid="{00000000-0005-0000-0000-0000DE130000}"/>
    <cellStyle name="Normal 50" xfId="769" xr:uid="{00000000-0005-0000-0000-0000DF130000}"/>
    <cellStyle name="Normal 50 2" xfId="4950" xr:uid="{00000000-0005-0000-0000-0000E0130000}"/>
    <cellStyle name="Normal 50 3" xfId="4951" xr:uid="{00000000-0005-0000-0000-0000E1130000}"/>
    <cellStyle name="Normal 50 4" xfId="6708" xr:uid="{8ADEFCAC-DD27-4821-85B1-5B1B741C668F}"/>
    <cellStyle name="Normal 51" xfId="770" xr:uid="{00000000-0005-0000-0000-0000E2130000}"/>
    <cellStyle name="Normal 51 2" xfId="4952" xr:uid="{00000000-0005-0000-0000-0000E3130000}"/>
    <cellStyle name="Normal 51 3" xfId="4953" xr:uid="{00000000-0005-0000-0000-0000E4130000}"/>
    <cellStyle name="Normal 51 4" xfId="6713" xr:uid="{2DE06C51-356C-44A9-AF6B-28F8FF26FA1C}"/>
    <cellStyle name="Normal 52" xfId="771" xr:uid="{00000000-0005-0000-0000-0000E5130000}"/>
    <cellStyle name="Normal 52 2" xfId="4954" xr:uid="{00000000-0005-0000-0000-0000E6130000}"/>
    <cellStyle name="Normal 52 2 2" xfId="4955" xr:uid="{00000000-0005-0000-0000-0000E7130000}"/>
    <cellStyle name="Normal 52 3" xfId="4956" xr:uid="{00000000-0005-0000-0000-0000E8130000}"/>
    <cellStyle name="Normal 52 4" xfId="6722" xr:uid="{FBB2D790-64C8-4BB9-A962-A6C113B299A0}"/>
    <cellStyle name="Normal 53" xfId="772" xr:uid="{00000000-0005-0000-0000-0000E9130000}"/>
    <cellStyle name="Normal 53 2" xfId="4957" xr:uid="{00000000-0005-0000-0000-0000EA130000}"/>
    <cellStyle name="Normal 53 2 2" xfId="6730" xr:uid="{4B59B412-57F3-4815-987D-502B65072BB2}"/>
    <cellStyle name="Normal 53 3" xfId="4958" xr:uid="{00000000-0005-0000-0000-0000EB130000}"/>
    <cellStyle name="Normal 53 4" xfId="6390" xr:uid="{BCAF4F90-FA2D-4764-B601-275579CD8E4D}"/>
    <cellStyle name="Normal 54" xfId="773" xr:uid="{00000000-0005-0000-0000-0000EC130000}"/>
    <cellStyle name="Normal 54 2" xfId="4959" xr:uid="{00000000-0005-0000-0000-0000ED130000}"/>
    <cellStyle name="Normal 54 2 2" xfId="5939" xr:uid="{00000000-0005-0000-0000-0000EE130000}"/>
    <cellStyle name="Normal 54 3" xfId="4960" xr:uid="{00000000-0005-0000-0000-0000EF130000}"/>
    <cellStyle name="Normal 54 3 2" xfId="6295" xr:uid="{00000000-0005-0000-0000-0000F0130000}"/>
    <cellStyle name="Normal 54 4" xfId="5938" xr:uid="{00000000-0005-0000-0000-0000F1130000}"/>
    <cellStyle name="Normal 54 5" xfId="6294" xr:uid="{00000000-0005-0000-0000-0000F2130000}"/>
    <cellStyle name="Normal 55" xfId="774" xr:uid="{00000000-0005-0000-0000-0000F3130000}"/>
    <cellStyle name="Normal 55 2" xfId="4961" xr:uid="{00000000-0005-0000-0000-0000F4130000}"/>
    <cellStyle name="Normal 55 3" xfId="4962" xr:uid="{00000000-0005-0000-0000-0000F5130000}"/>
    <cellStyle name="Normal 55 4" xfId="6296" xr:uid="{00000000-0005-0000-0000-0000F6130000}"/>
    <cellStyle name="Normal 55 5" xfId="6744" xr:uid="{EABD5063-882C-4EF4-85B7-F798F3F95956}"/>
    <cellStyle name="Normal 56" xfId="775" xr:uid="{00000000-0005-0000-0000-0000F7130000}"/>
    <cellStyle name="Normal 56 2" xfId="4963" xr:uid="{00000000-0005-0000-0000-0000F8130000}"/>
    <cellStyle name="Normal 56 3" xfId="4964" xr:uid="{00000000-0005-0000-0000-0000F9130000}"/>
    <cellStyle name="Normal 56 4" xfId="6297" xr:uid="{00000000-0005-0000-0000-0000FA130000}"/>
    <cellStyle name="Normal 56 5" xfId="6750" xr:uid="{2D4AE441-5C2F-49BB-86CB-4D76A2014184}"/>
    <cellStyle name="Normal 57" xfId="776" xr:uid="{00000000-0005-0000-0000-0000FB130000}"/>
    <cellStyle name="Normal 57 2" xfId="4965" xr:uid="{00000000-0005-0000-0000-0000FC130000}"/>
    <cellStyle name="Normal 57 2 2" xfId="4966" xr:uid="{00000000-0005-0000-0000-0000FD130000}"/>
    <cellStyle name="Normal 57 3" xfId="4967" xr:uid="{00000000-0005-0000-0000-0000FE130000}"/>
    <cellStyle name="Normal 57 4" xfId="4968" xr:uid="{00000000-0005-0000-0000-0000FF130000}"/>
    <cellStyle name="Normal 57 5" xfId="6298" xr:uid="{00000000-0005-0000-0000-000000140000}"/>
    <cellStyle name="Normal 58" xfId="777" xr:uid="{00000000-0005-0000-0000-000001140000}"/>
    <cellStyle name="Normal 58 2" xfId="4969" xr:uid="{00000000-0005-0000-0000-000002140000}"/>
    <cellStyle name="Normal 58 2 2" xfId="4970" xr:uid="{00000000-0005-0000-0000-000003140000}"/>
    <cellStyle name="Normal 58 3" xfId="4971" xr:uid="{00000000-0005-0000-0000-000004140000}"/>
    <cellStyle name="Normal 58 4" xfId="4972" xr:uid="{00000000-0005-0000-0000-000005140000}"/>
    <cellStyle name="Normal 58 5" xfId="6299" xr:uid="{00000000-0005-0000-0000-000006140000}"/>
    <cellStyle name="Normal 59" xfId="778" xr:uid="{00000000-0005-0000-0000-000007140000}"/>
    <cellStyle name="Normal 59 2" xfId="4973" xr:uid="{00000000-0005-0000-0000-000008140000}"/>
    <cellStyle name="Normal 59 2 2" xfId="4974" xr:uid="{00000000-0005-0000-0000-000009140000}"/>
    <cellStyle name="Normal 59 3" xfId="4975" xr:uid="{00000000-0005-0000-0000-00000A140000}"/>
    <cellStyle name="Normal 59 4" xfId="6300" xr:uid="{00000000-0005-0000-0000-00000B140000}"/>
    <cellStyle name="Normal 6" xfId="779" xr:uid="{00000000-0005-0000-0000-00000C140000}"/>
    <cellStyle name="Normal 6 10" xfId="4976" xr:uid="{00000000-0005-0000-0000-00000D140000}"/>
    <cellStyle name="Normal 6 10 2" xfId="4977" xr:uid="{00000000-0005-0000-0000-00000E140000}"/>
    <cellStyle name="Normal 6 10 3" xfId="6720" xr:uid="{1CA30022-11C2-4E8F-BD4F-535586EA73E9}"/>
    <cellStyle name="Normal 6 11" xfId="4978" xr:uid="{00000000-0005-0000-0000-00000F140000}"/>
    <cellStyle name="Normal 6 11 2" xfId="6728" xr:uid="{83672781-584E-410C-BD3D-5601E7E7ABF1}"/>
    <cellStyle name="Normal 6 12" xfId="5940" xr:uid="{00000000-0005-0000-0000-000010140000}"/>
    <cellStyle name="Normal 6 12 2" xfId="6737" xr:uid="{CCE807B9-71FD-4730-AFB8-5A279ED459E3}"/>
    <cellStyle name="Normal 6 13" xfId="6743" xr:uid="{3CCD325F-C521-455C-ACC9-0DE6B9C63658}"/>
    <cellStyle name="Normal 6 14" xfId="7113" xr:uid="{344DAA53-E4C1-434E-A2C2-FF189F90B067}"/>
    <cellStyle name="Normal 6 2" xfId="780" xr:uid="{00000000-0005-0000-0000-000011140000}"/>
    <cellStyle name="Normal 6 2 2" xfId="781" xr:uid="{00000000-0005-0000-0000-000012140000}"/>
    <cellStyle name="Normal 6 2 2 2" xfId="2127" xr:uid="{00000000-0005-0000-0000-000013140000}"/>
    <cellStyle name="Normal 6 2 2 2 2" xfId="4979" xr:uid="{00000000-0005-0000-0000-000014140000}"/>
    <cellStyle name="Normal 6 2 2 2 3" xfId="4980" xr:uid="{00000000-0005-0000-0000-000015140000}"/>
    <cellStyle name="Normal 6 2 2 3" xfId="4981" xr:uid="{00000000-0005-0000-0000-000016140000}"/>
    <cellStyle name="Normal 6 2 2 4" xfId="4982" xr:uid="{00000000-0005-0000-0000-000017140000}"/>
    <cellStyle name="Normal 6 2 3" xfId="2128" xr:uid="{00000000-0005-0000-0000-000018140000}"/>
    <cellStyle name="Normal 6 3" xfId="782" xr:uid="{00000000-0005-0000-0000-000019140000}"/>
    <cellStyle name="Normal 6 3 2" xfId="2129" xr:uid="{00000000-0005-0000-0000-00001A140000}"/>
    <cellStyle name="Normal 6 3 2 2" xfId="4983" xr:uid="{00000000-0005-0000-0000-00001B140000}"/>
    <cellStyle name="Normal 6 3 2 3" xfId="4984" xr:uid="{00000000-0005-0000-0000-00001C140000}"/>
    <cellStyle name="Normal 6 3 2 4" xfId="7114" xr:uid="{A9F90F4E-D46F-41D4-A9CD-F24C294C8407}"/>
    <cellStyle name="Normal 6 3 3" xfId="5942" xr:uid="{00000000-0005-0000-0000-00001D140000}"/>
    <cellStyle name="Normal 6 4" xfId="783" xr:uid="{00000000-0005-0000-0000-00001E140000}"/>
    <cellStyle name="Normal 6 4 2" xfId="2130" xr:uid="{00000000-0005-0000-0000-00001F140000}"/>
    <cellStyle name="Normal 6 4 2 2" xfId="4985" xr:uid="{00000000-0005-0000-0000-000020140000}"/>
    <cellStyle name="Normal 6 4 2 3" xfId="4986" xr:uid="{00000000-0005-0000-0000-000021140000}"/>
    <cellStyle name="Normal 6 5" xfId="784" xr:uid="{00000000-0005-0000-0000-000022140000}"/>
    <cellStyle name="Normal 6 5 2" xfId="2131" xr:uid="{00000000-0005-0000-0000-000023140000}"/>
    <cellStyle name="Normal 6 5 2 2" xfId="4987" xr:uid="{00000000-0005-0000-0000-000024140000}"/>
    <cellStyle name="Normal 6 5 2 3" xfId="4988" xr:uid="{00000000-0005-0000-0000-000025140000}"/>
    <cellStyle name="Normal 6 5 3" xfId="4989" xr:uid="{00000000-0005-0000-0000-000026140000}"/>
    <cellStyle name="Normal 6 6" xfId="785" xr:uid="{00000000-0005-0000-0000-000027140000}"/>
    <cellStyle name="Normal 6 6 2" xfId="4990" xr:uid="{00000000-0005-0000-0000-000028140000}"/>
    <cellStyle name="Normal 6 6 2 2" xfId="4991" xr:uid="{00000000-0005-0000-0000-000029140000}"/>
    <cellStyle name="Normal 6 7" xfId="786" xr:uid="{00000000-0005-0000-0000-00002A140000}"/>
    <cellStyle name="Normal 6 7 2" xfId="4992" xr:uid="{00000000-0005-0000-0000-00002B140000}"/>
    <cellStyle name="Normal 6 7 2 2" xfId="4993" xr:uid="{00000000-0005-0000-0000-00002C140000}"/>
    <cellStyle name="Normal 6 8" xfId="787" xr:uid="{00000000-0005-0000-0000-00002D140000}"/>
    <cellStyle name="Normal 6 9" xfId="788" xr:uid="{00000000-0005-0000-0000-00002E140000}"/>
    <cellStyle name="Normal 6 9 2" xfId="4994" xr:uid="{00000000-0005-0000-0000-00002F140000}"/>
    <cellStyle name="Normal 6 9 2 2" xfId="4995" xr:uid="{00000000-0005-0000-0000-000030140000}"/>
    <cellStyle name="Normal 6 9 3" xfId="4996" xr:uid="{00000000-0005-0000-0000-000031140000}"/>
    <cellStyle name="Normal 6 9 4" xfId="4997" xr:uid="{00000000-0005-0000-0000-000032140000}"/>
    <cellStyle name="Normal 6_REAL KINERJA GTLO 2009" xfId="4998" xr:uid="{00000000-0005-0000-0000-000033140000}"/>
    <cellStyle name="Normal 60" xfId="789" xr:uid="{00000000-0005-0000-0000-000034140000}"/>
    <cellStyle name="Normal 60 2" xfId="6301" xr:uid="{00000000-0005-0000-0000-000035140000}"/>
    <cellStyle name="Normal 61" xfId="790" xr:uid="{00000000-0005-0000-0000-000036140000}"/>
    <cellStyle name="Normal 61 2" xfId="4999" xr:uid="{00000000-0005-0000-0000-000037140000}"/>
    <cellStyle name="Normal 61 3" xfId="6302" xr:uid="{00000000-0005-0000-0000-000038140000}"/>
    <cellStyle name="Normal 61 4" xfId="6749" xr:uid="{5FDA91D7-4443-4FF0-A7FF-4F266DEE0133}"/>
    <cellStyle name="Normal 62" xfId="791" xr:uid="{00000000-0005-0000-0000-000039140000}"/>
    <cellStyle name="Normal 62 2" xfId="5000" xr:uid="{00000000-0005-0000-0000-00003A140000}"/>
    <cellStyle name="Normal 62 2 2" xfId="5001" xr:uid="{00000000-0005-0000-0000-00003B140000}"/>
    <cellStyle name="Normal 62 3" xfId="5002" xr:uid="{00000000-0005-0000-0000-00003C140000}"/>
    <cellStyle name="Normal 62 4" xfId="6303" xr:uid="{00000000-0005-0000-0000-00003D140000}"/>
    <cellStyle name="Normal 63" xfId="792" xr:uid="{00000000-0005-0000-0000-00003E140000}"/>
    <cellStyle name="Normal 63 10" xfId="2340" xr:uid="{00000000-0005-0000-0000-00003F140000}"/>
    <cellStyle name="Normal 63 11" xfId="6417" xr:uid="{A8D3D2A8-891F-4065-BD7C-B9F22248B569}"/>
    <cellStyle name="Normal 63 2" xfId="11" xr:uid="{00000000-0005-0000-0000-000040140000}"/>
    <cellStyle name="Normal 63 2 2" xfId="982" xr:uid="{00000000-0005-0000-0000-000041140000}"/>
    <cellStyle name="Normal 63 2 2 2" xfId="7427" xr:uid="{49841C02-42B6-4C74-AEBF-FB118A0F8DC5}"/>
    <cellStyle name="Normal 63 2 3" xfId="983" xr:uid="{00000000-0005-0000-0000-000042140000}"/>
    <cellStyle name="Normal 63 2 3 2" xfId="7428" xr:uid="{A3F1B430-D7B9-46A5-AAAC-993BA391B454}"/>
    <cellStyle name="Normal 63 2 4" xfId="984" xr:uid="{00000000-0005-0000-0000-000043140000}"/>
    <cellStyle name="Normal 63 2 4 2" xfId="7429" xr:uid="{4169B0FA-A44B-41FE-8AB0-FA72319DB496}"/>
    <cellStyle name="Normal 63 2 5" xfId="1018" xr:uid="{00000000-0005-0000-0000-000044140000}"/>
    <cellStyle name="Normal 63 2 6" xfId="6355" xr:uid="{00000000-0005-0000-0000-000045140000}"/>
    <cellStyle name="Normal 63 3" xfId="10" xr:uid="{00000000-0005-0000-0000-000046140000}"/>
    <cellStyle name="Normal 63 3 2" xfId="992" xr:uid="{00000000-0005-0000-0000-000047140000}"/>
    <cellStyle name="Normal 63 3 2 2" xfId="7433" xr:uid="{F11CEC65-775C-4684-9127-F3B070AEC0BD}"/>
    <cellStyle name="Normal 63 3 3" xfId="1005" xr:uid="{00000000-0005-0000-0000-000048140000}"/>
    <cellStyle name="Normal 63 3 4" xfId="1012" xr:uid="{00000000-0005-0000-0000-000049140000}"/>
    <cellStyle name="Normal 63 3 5" xfId="1024" xr:uid="{00000000-0005-0000-0000-00004A140000}"/>
    <cellStyle name="Normal 63 3 6" xfId="1031" xr:uid="{00000000-0005-0000-0000-00004B140000}"/>
    <cellStyle name="Normal 63 3 7" xfId="1038" xr:uid="{00000000-0005-0000-0000-00004C140000}"/>
    <cellStyle name="Normal 63 3 8" xfId="1045" xr:uid="{00000000-0005-0000-0000-00004D140000}"/>
    <cellStyle name="Normal 63 4" xfId="1006" xr:uid="{00000000-0005-0000-0000-00004E140000}"/>
    <cellStyle name="Normal 63 5" xfId="1013" xr:uid="{00000000-0005-0000-0000-00004F140000}"/>
    <cellStyle name="Normal 63 6" xfId="1025" xr:uid="{00000000-0005-0000-0000-000050140000}"/>
    <cellStyle name="Normal 63 7" xfId="1032" xr:uid="{00000000-0005-0000-0000-000051140000}"/>
    <cellStyle name="Normal 63 8" xfId="1039" xr:uid="{00000000-0005-0000-0000-000052140000}"/>
    <cellStyle name="Normal 63 9" xfId="1046" xr:uid="{00000000-0005-0000-0000-000053140000}"/>
    <cellStyle name="Normal 64" xfId="793" xr:uid="{00000000-0005-0000-0000-000054140000}"/>
    <cellStyle name="Normal 64 2" xfId="5003" xr:uid="{00000000-0005-0000-0000-000055140000}"/>
    <cellStyle name="Normal 64 3" xfId="5004" xr:uid="{00000000-0005-0000-0000-000056140000}"/>
    <cellStyle name="Normal 64 4" xfId="5005" xr:uid="{00000000-0005-0000-0000-000057140000}"/>
    <cellStyle name="Normal 64 4 2" xfId="8306" xr:uid="{4C32BB28-A854-4F7E-BB70-9CFCFF09552A}"/>
    <cellStyle name="Normal 64 5" xfId="5006" xr:uid="{00000000-0005-0000-0000-000058140000}"/>
    <cellStyle name="Normal 64 6" xfId="5007" xr:uid="{00000000-0005-0000-0000-000059140000}"/>
    <cellStyle name="Normal 64 7" xfId="7112" xr:uid="{EA1960AF-A4B0-4AEF-8029-3049542EACC8}"/>
    <cellStyle name="Normal 64 8" xfId="7377" xr:uid="{6D32098F-83E5-438F-923D-ECAF050BD8DE}"/>
    <cellStyle name="Normal 65" xfId="5008" xr:uid="{00000000-0005-0000-0000-00005A140000}"/>
    <cellStyle name="Normal 65 2" xfId="5009" xr:uid="{00000000-0005-0000-0000-00005B140000}"/>
    <cellStyle name="Normal 65 3" xfId="7116" xr:uid="{AA825CEE-A9E7-46E7-9673-1D0DC0901CCB}"/>
    <cellStyle name="Normal 66" xfId="5010" xr:uid="{00000000-0005-0000-0000-00005C140000}"/>
    <cellStyle name="Normal 66 2" xfId="5011" xr:uid="{00000000-0005-0000-0000-00005D140000}"/>
    <cellStyle name="Normal 66 3" xfId="7118" xr:uid="{D65B6E5E-E61C-4F62-AA37-B573651AF4AF}"/>
    <cellStyle name="Normal 67" xfId="5012" xr:uid="{00000000-0005-0000-0000-00005E140000}"/>
    <cellStyle name="Normal 67 2" xfId="5013" xr:uid="{00000000-0005-0000-0000-00005F140000}"/>
    <cellStyle name="Normal 68" xfId="5014" xr:uid="{00000000-0005-0000-0000-000060140000}"/>
    <cellStyle name="Normal 68 2" xfId="5015" xr:uid="{00000000-0005-0000-0000-000061140000}"/>
    <cellStyle name="Normal 68 3" xfId="7119" xr:uid="{0F599A6B-6294-4CA1-9EFC-06BBC1068319}"/>
    <cellStyle name="Normal 69" xfId="5016" xr:uid="{00000000-0005-0000-0000-000062140000}"/>
    <cellStyle name="Normal 69 2" xfId="5017" xr:uid="{00000000-0005-0000-0000-000063140000}"/>
    <cellStyle name="Normal 69 3" xfId="7121" xr:uid="{0ED6BFEB-EBAD-4ABB-977F-035828862005}"/>
    <cellStyle name="Normal 7" xfId="794" xr:uid="{00000000-0005-0000-0000-000064140000}"/>
    <cellStyle name="Normal 7 2" xfId="795" xr:uid="{00000000-0005-0000-0000-000065140000}"/>
    <cellStyle name="Normal 7 2 2" xfId="796" xr:uid="{00000000-0005-0000-0000-000066140000}"/>
    <cellStyle name="Normal 7 2 2 2" xfId="797" xr:uid="{00000000-0005-0000-0000-000067140000}"/>
    <cellStyle name="Normal 7 2 2 2 2" xfId="5018" xr:uid="{00000000-0005-0000-0000-000068140000}"/>
    <cellStyle name="Normal 7 2 2 2 2 2" xfId="7051" xr:uid="{125229BF-2301-4AA3-9806-6710A93B558A}"/>
    <cellStyle name="Normal 7 2 2 2 3" xfId="7031" xr:uid="{C4D455DC-BEF6-41C9-B443-B4285F07F712}"/>
    <cellStyle name="Normal 7 2 2 3" xfId="5019" xr:uid="{00000000-0005-0000-0000-000069140000}"/>
    <cellStyle name="Normal 7 2 2 4" xfId="5020" xr:uid="{00000000-0005-0000-0000-00006A140000}"/>
    <cellStyle name="Normal 7 2 3" xfId="5021" xr:uid="{00000000-0005-0000-0000-00006B140000}"/>
    <cellStyle name="Normal 7 2 3 2" xfId="6992" xr:uid="{91A9E7A1-C78B-4580-BA5A-48CEE88BB011}"/>
    <cellStyle name="Normal 7 2 4" xfId="6414" xr:uid="{0B1B7451-0C44-4B55-B83B-72AA60FBEC23}"/>
    <cellStyle name="Normal 7 3" xfId="798" xr:uid="{00000000-0005-0000-0000-00006C140000}"/>
    <cellStyle name="Normal 7 3 2" xfId="2132" xr:uid="{00000000-0005-0000-0000-00006D140000}"/>
    <cellStyle name="Normal 7 3 3" xfId="5022" xr:uid="{00000000-0005-0000-0000-00006E140000}"/>
    <cellStyle name="Normal 7 3 4" xfId="5944" xr:uid="{00000000-0005-0000-0000-00006F140000}"/>
    <cellStyle name="Normal 7 4" xfId="799" xr:uid="{00000000-0005-0000-0000-000070140000}"/>
    <cellStyle name="Normal 7 4 2" xfId="5023" xr:uid="{00000000-0005-0000-0000-000071140000}"/>
    <cellStyle name="Normal 7 5" xfId="800" xr:uid="{00000000-0005-0000-0000-000072140000}"/>
    <cellStyle name="Normal 7 5 2" xfId="2133" xr:uid="{00000000-0005-0000-0000-000073140000}"/>
    <cellStyle name="Normal 7 5 3" xfId="7075" xr:uid="{8A5B5A80-3316-48A3-B793-AF911EEB5F39}"/>
    <cellStyle name="Normal 7 6" xfId="2134" xr:uid="{00000000-0005-0000-0000-000074140000}"/>
    <cellStyle name="Normal 7 6 2" xfId="5024" xr:uid="{00000000-0005-0000-0000-000075140000}"/>
    <cellStyle name="Normal 7 6 3" xfId="6784" xr:uid="{C649C4D3-AA64-4FBF-943A-F58E992B5977}"/>
    <cellStyle name="Normal 7 7" xfId="5025" xr:uid="{00000000-0005-0000-0000-000076140000}"/>
    <cellStyle name="Normal 7 8" xfId="5943" xr:uid="{00000000-0005-0000-0000-000077140000}"/>
    <cellStyle name="Normal 70" xfId="5026" xr:uid="{00000000-0005-0000-0000-000078140000}"/>
    <cellStyle name="Normal 70 2" xfId="5027" xr:uid="{00000000-0005-0000-0000-000079140000}"/>
    <cellStyle name="Normal 70 3" xfId="5028" xr:uid="{00000000-0005-0000-0000-00007A140000}"/>
    <cellStyle name="Normal 70 4" xfId="7115" xr:uid="{2586730F-F1A8-4B38-8294-455F4BB6AF93}"/>
    <cellStyle name="Normal 71" xfId="5029" xr:uid="{00000000-0005-0000-0000-00007B140000}"/>
    <cellStyle name="Normal 71 2" xfId="5030" xr:uid="{00000000-0005-0000-0000-00007C140000}"/>
    <cellStyle name="Normal 71 3" xfId="7117" xr:uid="{1EE2F53A-ED22-4DBA-8664-9695D1BFB91A}"/>
    <cellStyle name="Normal 72" xfId="5031" xr:uid="{00000000-0005-0000-0000-00007D140000}"/>
    <cellStyle name="Normal 72 2" xfId="5032" xr:uid="{00000000-0005-0000-0000-00007E140000}"/>
    <cellStyle name="Normal 72 3" xfId="6418" xr:uid="{17A26B0D-135B-486D-81B7-0436D137DF59}"/>
    <cellStyle name="Normal 73" xfId="5033" xr:uid="{00000000-0005-0000-0000-00007F140000}"/>
    <cellStyle name="Normal 73 2" xfId="5034" xr:uid="{00000000-0005-0000-0000-000080140000}"/>
    <cellStyle name="Normal 73 3" xfId="5035" xr:uid="{00000000-0005-0000-0000-000081140000}"/>
    <cellStyle name="Normal 73 3 2" xfId="6415" xr:uid="{58BCFDEE-637C-4007-9930-40B841757172}"/>
    <cellStyle name="Normal 74" xfId="5036" xr:uid="{00000000-0005-0000-0000-000082140000}"/>
    <cellStyle name="Normal 74 2" xfId="5037" xr:uid="{00000000-0005-0000-0000-000083140000}"/>
    <cellStyle name="Normal 74 3" xfId="7120" xr:uid="{23538D12-AC3D-45D5-8A84-F4F0EE265B72}"/>
    <cellStyle name="Normal 75" xfId="5038" xr:uid="{00000000-0005-0000-0000-000084140000}"/>
    <cellStyle name="Normal 75 2" xfId="7124" xr:uid="{92C8A4C3-F81C-4A09-937B-8C7DF8AAD304}"/>
    <cellStyle name="Normal 76" xfId="5039" xr:uid="{00000000-0005-0000-0000-000085140000}"/>
    <cellStyle name="Normal 77" xfId="5040" xr:uid="{00000000-0005-0000-0000-000086140000}"/>
    <cellStyle name="Normal 77 2" xfId="6405" xr:uid="{8D0D8B29-FEB8-4926-B110-CEE7A05EBB28}"/>
    <cellStyle name="Normal 78" xfId="5041" xr:uid="{00000000-0005-0000-0000-000087140000}"/>
    <cellStyle name="Normal 79" xfId="5653" xr:uid="{00000000-0005-0000-0000-000088140000}"/>
    <cellStyle name="Normal 8" xfId="801" xr:uid="{00000000-0005-0000-0000-000089140000}"/>
    <cellStyle name="Normal 8 2" xfId="802" xr:uid="{00000000-0005-0000-0000-00008A140000}"/>
    <cellStyle name="Normal 8 2 2" xfId="803" xr:uid="{00000000-0005-0000-0000-00008B140000}"/>
    <cellStyle name="Normal 8 2 2 2" xfId="2135" xr:uid="{00000000-0005-0000-0000-00008C140000}"/>
    <cellStyle name="Normal 8 2 2 3" xfId="7025" xr:uid="{7BD922A1-F44F-4B17-8B73-99BDBFC0F9A0}"/>
    <cellStyle name="Normal 8 2 3" xfId="2136" xr:uid="{00000000-0005-0000-0000-00008D140000}"/>
    <cellStyle name="Normal 8 2 4" xfId="5042" xr:uid="{00000000-0005-0000-0000-00008E140000}"/>
    <cellStyle name="Normal 8 2 6" xfId="2137" xr:uid="{00000000-0005-0000-0000-00008F140000}"/>
    <cellStyle name="Normal 8 3" xfId="804" xr:uid="{00000000-0005-0000-0000-000090140000}"/>
    <cellStyle name="Normal 8 3 2" xfId="5043" xr:uid="{00000000-0005-0000-0000-000091140000}"/>
    <cellStyle name="Normal 8 4" xfId="805" xr:uid="{00000000-0005-0000-0000-000092140000}"/>
    <cellStyle name="Normal 8 4 2" xfId="5044" xr:uid="{00000000-0005-0000-0000-000093140000}"/>
    <cellStyle name="Normal 8 4 3" xfId="7125" xr:uid="{ED5FEA0C-24E1-4503-94CB-7464BDF31622}"/>
    <cellStyle name="Normal 8 5" xfId="806" xr:uid="{00000000-0005-0000-0000-000094140000}"/>
    <cellStyle name="Normal 8 5 2" xfId="2138" xr:uid="{00000000-0005-0000-0000-000095140000}"/>
    <cellStyle name="Normal 8 6" xfId="2139" xr:uid="{00000000-0005-0000-0000-000096140000}"/>
    <cellStyle name="Normal 8 7" xfId="5045" xr:uid="{00000000-0005-0000-0000-000097140000}"/>
    <cellStyle name="Normal 8 8" xfId="5945" xr:uid="{00000000-0005-0000-0000-000098140000}"/>
    <cellStyle name="Normal 8 9" xfId="6392" xr:uid="{5552D2D1-CB75-43CD-A128-E0CEF056358E}"/>
    <cellStyle name="Normal 80" xfId="2330" xr:uid="{00000000-0005-0000-0000-000099140000}"/>
    <cellStyle name="Normal 80 2" xfId="2140" xr:uid="{00000000-0005-0000-0000-00009A140000}"/>
    <cellStyle name="Normal 80 2 2" xfId="2338" xr:uid="{00000000-0005-0000-0000-00009B140000}"/>
    <cellStyle name="Normal 80 2 2 2" xfId="7524" xr:uid="{749CB0B3-5A5A-4678-A56F-49D4260F6629}"/>
    <cellStyle name="Normal 80 2 3" xfId="6372" xr:uid="{62FF7306-09B2-4EDB-9114-00C07A3C0816}"/>
    <cellStyle name="Normal 80 3" xfId="6376" xr:uid="{EE20FFF4-EEAD-450A-8BF3-C64FA77978B7}"/>
    <cellStyle name="Normal 81" xfId="5976" xr:uid="{00000000-0005-0000-0000-00009C140000}"/>
    <cellStyle name="Normal 82" xfId="6008" xr:uid="{00000000-0005-0000-0000-00009D140000}"/>
    <cellStyle name="Normal 83" xfId="6011" xr:uid="{00000000-0005-0000-0000-00009E140000}"/>
    <cellStyle name="Normal 84" xfId="6012" xr:uid="{00000000-0005-0000-0000-00009F140000}"/>
    <cellStyle name="Normal 85" xfId="6013" xr:uid="{00000000-0005-0000-0000-0000A0140000}"/>
    <cellStyle name="Normal 86" xfId="6014" xr:uid="{00000000-0005-0000-0000-0000A1140000}"/>
    <cellStyle name="Normal 87" xfId="6015" xr:uid="{00000000-0005-0000-0000-0000A2140000}"/>
    <cellStyle name="Normal 88" xfId="6016" xr:uid="{00000000-0005-0000-0000-0000A3140000}"/>
    <cellStyle name="Normal 89" xfId="6017" xr:uid="{00000000-0005-0000-0000-0000A4140000}"/>
    <cellStyle name="Normal 89 2" xfId="8829" xr:uid="{440C8A17-DC57-4965-BA5B-D95B4F13C624}"/>
    <cellStyle name="Normal 9" xfId="807" xr:uid="{00000000-0005-0000-0000-0000A5140000}"/>
    <cellStyle name="Normal 9 2" xfId="808" xr:uid="{00000000-0005-0000-0000-0000A6140000}"/>
    <cellStyle name="Normal 9 2 2" xfId="809" xr:uid="{00000000-0005-0000-0000-0000A7140000}"/>
    <cellStyle name="Normal 9 2 2 2" xfId="810" xr:uid="{00000000-0005-0000-0000-0000A8140000}"/>
    <cellStyle name="Normal 9 2 2 3" xfId="5046" xr:uid="{00000000-0005-0000-0000-0000A9140000}"/>
    <cellStyle name="Normal 9 2 2 4" xfId="5047" xr:uid="{00000000-0005-0000-0000-0000AA140000}"/>
    <cellStyle name="Normal 9 2 2 5" xfId="7128" xr:uid="{2621619A-D1A3-4436-B022-380C25C9A7B6}"/>
    <cellStyle name="Normal 9 2 3" xfId="5048" xr:uid="{00000000-0005-0000-0000-0000AB140000}"/>
    <cellStyle name="Normal 9 2 4" xfId="7127" xr:uid="{DE6E21DD-B938-4EAE-99A2-49E8C30E9103}"/>
    <cellStyle name="Normal 9 2_BukuBesar" xfId="5049" xr:uid="{00000000-0005-0000-0000-0000AC140000}"/>
    <cellStyle name="Normal 9 3" xfId="811" xr:uid="{00000000-0005-0000-0000-0000AD140000}"/>
    <cellStyle name="Normal 9 3 2" xfId="2141" xr:uid="{00000000-0005-0000-0000-0000AE140000}"/>
    <cellStyle name="Normal 9 3 2 2" xfId="5050" xr:uid="{00000000-0005-0000-0000-0000AF140000}"/>
    <cellStyle name="Normal 9 3 3" xfId="7129" xr:uid="{8230B350-754B-46A9-BB70-0B14BE78075D}"/>
    <cellStyle name="Normal 9 4" xfId="812" xr:uid="{00000000-0005-0000-0000-0000B0140000}"/>
    <cellStyle name="Normal 9 4 2" xfId="2142" xr:uid="{00000000-0005-0000-0000-0000B1140000}"/>
    <cellStyle name="Normal 9 4 3" xfId="7130" xr:uid="{9D3E69CD-3411-4126-8F7E-ACFA9437EF01}"/>
    <cellStyle name="Normal 9 5" xfId="2143" xr:uid="{00000000-0005-0000-0000-0000B2140000}"/>
    <cellStyle name="Normal 9 5 2" xfId="5051" xr:uid="{00000000-0005-0000-0000-0000B3140000}"/>
    <cellStyle name="Normal 9 5 3" xfId="7126" xr:uid="{5AFC7AA9-9D78-413E-A2B6-533EE7029F45}"/>
    <cellStyle name="Normal 9 6" xfId="5052" xr:uid="{00000000-0005-0000-0000-0000B4140000}"/>
    <cellStyle name="Normal 9 7" xfId="5053" xr:uid="{00000000-0005-0000-0000-0000B5140000}"/>
    <cellStyle name="Normal 9 8" xfId="5054" xr:uid="{00000000-0005-0000-0000-0000B6140000}"/>
    <cellStyle name="Normal 9_BukuBesar" xfId="5055" xr:uid="{00000000-0005-0000-0000-0000B7140000}"/>
    <cellStyle name="Normal 90" xfId="6018" xr:uid="{00000000-0005-0000-0000-0000B8140000}"/>
    <cellStyle name="Normal 90 2" xfId="8830" xr:uid="{3A46DF10-FA30-440D-AE83-D7F7E1888AF2}"/>
    <cellStyle name="Normal 91" xfId="6356" xr:uid="{A60329A2-E5DE-4F08-AEED-7480F05E45ED}"/>
    <cellStyle name="Normal 91 2" xfId="9138" xr:uid="{7BDB8A53-8441-46CB-BB3D-C32588F15FA7}"/>
    <cellStyle name="Normal 92" xfId="7182" xr:uid="{442195C3-84E9-46BD-AA95-69DF21B7FCFB}"/>
    <cellStyle name="Normal 92 2" xfId="9691" xr:uid="{A97B6467-3327-4789-AC76-2A97109C675B}"/>
    <cellStyle name="Normale_pldt" xfId="813" xr:uid="{00000000-0005-0000-0000-0000B9140000}"/>
    <cellStyle name="Note 10" xfId="814" xr:uid="{00000000-0005-0000-0000-0000BA140000}"/>
    <cellStyle name="Note 10 2" xfId="2144" xr:uid="{00000000-0005-0000-0000-0000BB140000}"/>
    <cellStyle name="Note 10 2 2" xfId="5056" xr:uid="{00000000-0005-0000-0000-0000BC140000}"/>
    <cellStyle name="Note 10 2 2 2" xfId="8308" xr:uid="{09BAC3B8-77BC-4FC4-8B24-33FF0CB79271}"/>
    <cellStyle name="Note 10 2 3" xfId="5057" xr:uid="{00000000-0005-0000-0000-0000BD140000}"/>
    <cellStyle name="Note 10 2 3 2" xfId="8309" xr:uid="{FCEC9003-201A-41BF-9190-A5BCEF742AFD}"/>
    <cellStyle name="Note 10 3" xfId="2145" xr:uid="{00000000-0005-0000-0000-0000BE140000}"/>
    <cellStyle name="Note 10 3 2" xfId="5058" xr:uid="{00000000-0005-0000-0000-0000BF140000}"/>
    <cellStyle name="Note 10 3 2 2" xfId="8310" xr:uid="{6FE2CB43-EA09-4919-9431-74058E90CF5D}"/>
    <cellStyle name="Note 10 4" xfId="5059" xr:uid="{00000000-0005-0000-0000-0000C0140000}"/>
    <cellStyle name="Note 10 4 2" xfId="8311" xr:uid="{846708AF-8A39-4792-A300-5CF3148D3FEC}"/>
    <cellStyle name="Note 10 5" xfId="5060" xr:uid="{00000000-0005-0000-0000-0000C1140000}"/>
    <cellStyle name="Note 10_BukuBesar" xfId="5061" xr:uid="{00000000-0005-0000-0000-0000C2140000}"/>
    <cellStyle name="Note 11" xfId="815" xr:uid="{00000000-0005-0000-0000-0000C3140000}"/>
    <cellStyle name="Note 11 2" xfId="2146" xr:uid="{00000000-0005-0000-0000-0000C4140000}"/>
    <cellStyle name="Note 11 2 2" xfId="5062" xr:uid="{00000000-0005-0000-0000-0000C5140000}"/>
    <cellStyle name="Note 11 2 2 2" xfId="8312" xr:uid="{954C1AD8-8A6E-4B4A-A34F-7935588C4779}"/>
    <cellStyle name="Note 11 2 3" xfId="5063" xr:uid="{00000000-0005-0000-0000-0000C6140000}"/>
    <cellStyle name="Note 11 2 3 2" xfId="8313" xr:uid="{005D7747-E5F9-4D6B-AFE1-65DFDA19F255}"/>
    <cellStyle name="Note 11 3" xfId="2147" xr:uid="{00000000-0005-0000-0000-0000C7140000}"/>
    <cellStyle name="Note 11 3 2" xfId="5064" xr:uid="{00000000-0005-0000-0000-0000C8140000}"/>
    <cellStyle name="Note 11 3 2 2" xfId="8314" xr:uid="{184A5E40-8F48-4492-A7FB-053CBBFEEAE5}"/>
    <cellStyle name="Note 11 4" xfId="5065" xr:uid="{00000000-0005-0000-0000-0000C9140000}"/>
    <cellStyle name="Note 11 4 2" xfId="8315" xr:uid="{10C2BAC7-8ECA-4395-8A87-7864503960EB}"/>
    <cellStyle name="Note 11 5" xfId="5066" xr:uid="{00000000-0005-0000-0000-0000CA140000}"/>
    <cellStyle name="Note 11_BukuBesar" xfId="5067" xr:uid="{00000000-0005-0000-0000-0000CB140000}"/>
    <cellStyle name="Note 12" xfId="816" xr:uid="{00000000-0005-0000-0000-0000CC140000}"/>
    <cellStyle name="Note 12 2" xfId="2148" xr:uid="{00000000-0005-0000-0000-0000CD140000}"/>
    <cellStyle name="Note 12 2 2" xfId="2149" xr:uid="{00000000-0005-0000-0000-0000CE140000}"/>
    <cellStyle name="Note 12 2 2 2" xfId="5068" xr:uid="{00000000-0005-0000-0000-0000CF140000}"/>
    <cellStyle name="Note 12 2 2 2 2" xfId="8316" xr:uid="{EA8DDB6F-8CD0-4422-9DC4-241E14F8334E}"/>
    <cellStyle name="Note 12 2 3" xfId="5069" xr:uid="{00000000-0005-0000-0000-0000D0140000}"/>
    <cellStyle name="Note 12 2 3 2" xfId="8317" xr:uid="{81A7FC7F-98C1-40C1-9F50-867FE6B178FD}"/>
    <cellStyle name="Note 12 3" xfId="2150" xr:uid="{00000000-0005-0000-0000-0000D1140000}"/>
    <cellStyle name="Note 12 3 2" xfId="2151" xr:uid="{00000000-0005-0000-0000-0000D2140000}"/>
    <cellStyle name="Note 12 3 2 2" xfId="7507" xr:uid="{9EACA0AC-DA1A-47A8-868F-B63EAB698151}"/>
    <cellStyle name="Note 12 3 2 3" xfId="7193" xr:uid="{36B82455-187E-4F2B-A140-F486502DF8CB}"/>
    <cellStyle name="Note 12 3 3" xfId="5070" xr:uid="{00000000-0005-0000-0000-0000D3140000}"/>
    <cellStyle name="Note 12 3 3 2" xfId="8318" xr:uid="{3610740B-6BC2-47D1-80CC-7306BF3E543C}"/>
    <cellStyle name="Note 12 4" xfId="2152" xr:uid="{00000000-0005-0000-0000-0000D4140000}"/>
    <cellStyle name="Note 12 4 2" xfId="5071" xr:uid="{00000000-0005-0000-0000-0000D5140000}"/>
    <cellStyle name="Note 12 4 2 2" xfId="8319" xr:uid="{D8D466EC-92FA-444F-ADAA-A3246ECF7437}"/>
    <cellStyle name="Note 12_BukuBesar" xfId="5072" xr:uid="{00000000-0005-0000-0000-0000D6140000}"/>
    <cellStyle name="Note 13" xfId="817" xr:uid="{00000000-0005-0000-0000-0000D7140000}"/>
    <cellStyle name="Note 13 2" xfId="2153" xr:uid="{00000000-0005-0000-0000-0000D8140000}"/>
    <cellStyle name="Note 13 2 2" xfId="2154" xr:uid="{00000000-0005-0000-0000-0000D9140000}"/>
    <cellStyle name="Note 13 2 2 2" xfId="5073" xr:uid="{00000000-0005-0000-0000-0000DA140000}"/>
    <cellStyle name="Note 13 2 2 2 2" xfId="8320" xr:uid="{DE322C16-B7AB-40AD-A7C3-62DA1A5DEC89}"/>
    <cellStyle name="Note 13 2 3" xfId="5074" xr:uid="{00000000-0005-0000-0000-0000DB140000}"/>
    <cellStyle name="Note 13 2 3 2" xfId="8321" xr:uid="{F40BCC36-4602-47C0-9B87-736743DB535F}"/>
    <cellStyle name="Note 13 3" xfId="2155" xr:uid="{00000000-0005-0000-0000-0000DC140000}"/>
    <cellStyle name="Note 13 3 2" xfId="2156" xr:uid="{00000000-0005-0000-0000-0000DD140000}"/>
    <cellStyle name="Note 13 3 2 2" xfId="7508" xr:uid="{90A4F3D0-6348-4491-B024-67A047683E14}"/>
    <cellStyle name="Note 13 3 2 3" xfId="7532" xr:uid="{8E120640-F900-4015-94AF-6F06883F8620}"/>
    <cellStyle name="Note 13 3 3" xfId="5075" xr:uid="{00000000-0005-0000-0000-0000DE140000}"/>
    <cellStyle name="Note 13 3 3 2" xfId="8322" xr:uid="{B8842E86-3F60-4D52-8E0D-452FC405FCA3}"/>
    <cellStyle name="Note 13 4" xfId="2157" xr:uid="{00000000-0005-0000-0000-0000DF140000}"/>
    <cellStyle name="Note 13 4 2" xfId="5076" xr:uid="{00000000-0005-0000-0000-0000E0140000}"/>
    <cellStyle name="Note 13 4 2 2" xfId="8323" xr:uid="{00D239D7-37EA-4786-8F23-6F2B2CEEB9F7}"/>
    <cellStyle name="Note 13_BukuBesar" xfId="5077" xr:uid="{00000000-0005-0000-0000-0000E1140000}"/>
    <cellStyle name="Note 14" xfId="5078" xr:uid="{00000000-0005-0000-0000-0000E2140000}"/>
    <cellStyle name="Note 14 2" xfId="5079" xr:uid="{00000000-0005-0000-0000-0000E3140000}"/>
    <cellStyle name="Note 14 2 2" xfId="5080" xr:uid="{00000000-0005-0000-0000-0000E4140000}"/>
    <cellStyle name="Note 14 2 2 2" xfId="8325" xr:uid="{B89C5E74-FD9E-45D3-A299-68F2ECC8D5F1}"/>
    <cellStyle name="Note 14 2 3" xfId="8324" xr:uid="{341CC61D-3C04-42F1-AEB4-DF8C00C2A6D7}"/>
    <cellStyle name="Note 14 3" xfId="5081" xr:uid="{00000000-0005-0000-0000-0000E5140000}"/>
    <cellStyle name="Note 14_BukuBesar" xfId="5082" xr:uid="{00000000-0005-0000-0000-0000E6140000}"/>
    <cellStyle name="Note 15" xfId="5083" xr:uid="{00000000-0005-0000-0000-0000E7140000}"/>
    <cellStyle name="Note 15 2" xfId="5084" xr:uid="{00000000-0005-0000-0000-0000E8140000}"/>
    <cellStyle name="Note 15 2 2" xfId="5085" xr:uid="{00000000-0005-0000-0000-0000E9140000}"/>
    <cellStyle name="Note 15 2 2 2" xfId="8327" xr:uid="{FCB93677-05AB-4697-8C13-EECF60BD7DFC}"/>
    <cellStyle name="Note 15 2 3" xfId="8326" xr:uid="{26CD94E8-B651-4F7A-BB2C-4C1E5F6DD4E4}"/>
    <cellStyle name="Note 15 3" xfId="5086" xr:uid="{00000000-0005-0000-0000-0000EA140000}"/>
    <cellStyle name="Note 15_BukuBesar" xfId="5087" xr:uid="{00000000-0005-0000-0000-0000EB140000}"/>
    <cellStyle name="Note 16" xfId="5088" xr:uid="{00000000-0005-0000-0000-0000EC140000}"/>
    <cellStyle name="Note 16 2" xfId="5089" xr:uid="{00000000-0005-0000-0000-0000ED140000}"/>
    <cellStyle name="Note 16 2 2" xfId="5090" xr:uid="{00000000-0005-0000-0000-0000EE140000}"/>
    <cellStyle name="Note 16 2 2 2" xfId="8329" xr:uid="{0975E652-8170-412D-93A4-A3F848BD7A49}"/>
    <cellStyle name="Note 16 2 3" xfId="8328" xr:uid="{B988F6C7-D46F-47DB-B325-6A5F0017DB25}"/>
    <cellStyle name="Note 16 3" xfId="5091" xr:uid="{00000000-0005-0000-0000-0000EF140000}"/>
    <cellStyle name="Note 16_BukuBesar" xfId="5092" xr:uid="{00000000-0005-0000-0000-0000F0140000}"/>
    <cellStyle name="Note 17" xfId="5093" xr:uid="{00000000-0005-0000-0000-0000F1140000}"/>
    <cellStyle name="Note 17 2" xfId="5094" xr:uid="{00000000-0005-0000-0000-0000F2140000}"/>
    <cellStyle name="Note 17 2 2" xfId="5095" xr:uid="{00000000-0005-0000-0000-0000F3140000}"/>
    <cellStyle name="Note 17 2 2 2" xfId="8331" xr:uid="{98FCE7DC-33AE-47EC-9042-C305B575EF20}"/>
    <cellStyle name="Note 17 2 3" xfId="8330" xr:uid="{781097F1-3745-4CFE-9E41-7797326FB19D}"/>
    <cellStyle name="Note 17 3" xfId="5096" xr:uid="{00000000-0005-0000-0000-0000F4140000}"/>
    <cellStyle name="Note 17_BukuBesar" xfId="5097" xr:uid="{00000000-0005-0000-0000-0000F5140000}"/>
    <cellStyle name="Note 18" xfId="5098" xr:uid="{00000000-0005-0000-0000-0000F6140000}"/>
    <cellStyle name="Note 18 2" xfId="5099" xr:uid="{00000000-0005-0000-0000-0000F7140000}"/>
    <cellStyle name="Note 18 2 2" xfId="5100" xr:uid="{00000000-0005-0000-0000-0000F8140000}"/>
    <cellStyle name="Note 18 2 2 2" xfId="8333" xr:uid="{D1C48D4C-A856-4DA5-A732-011A3DD35C47}"/>
    <cellStyle name="Note 18 2 3" xfId="8332" xr:uid="{C12E0946-AB7F-4A81-B84C-14605E0CDB96}"/>
    <cellStyle name="Note 18 3" xfId="5101" xr:uid="{00000000-0005-0000-0000-0000F9140000}"/>
    <cellStyle name="Note 18_BukuBesar" xfId="5102" xr:uid="{00000000-0005-0000-0000-0000FA140000}"/>
    <cellStyle name="Note 19" xfId="5103" xr:uid="{00000000-0005-0000-0000-0000FB140000}"/>
    <cellStyle name="Note 19 2" xfId="5104" xr:uid="{00000000-0005-0000-0000-0000FC140000}"/>
    <cellStyle name="Note 19 2 2" xfId="5105" xr:uid="{00000000-0005-0000-0000-0000FD140000}"/>
    <cellStyle name="Note 19 2 2 2" xfId="8335" xr:uid="{727747C2-A2A5-4FB9-BDA4-1B0EF3A36BE5}"/>
    <cellStyle name="Note 19 2 3" xfId="8334" xr:uid="{D4C24913-F806-4CDD-B695-9BE9BA98E260}"/>
    <cellStyle name="Note 19 3" xfId="5106" xr:uid="{00000000-0005-0000-0000-0000FE140000}"/>
    <cellStyle name="Note 19_BukuBesar" xfId="5107" xr:uid="{00000000-0005-0000-0000-0000FF140000}"/>
    <cellStyle name="Note 2" xfId="818" xr:uid="{00000000-0005-0000-0000-000000150000}"/>
    <cellStyle name="Note 2 10" xfId="5108" xr:uid="{00000000-0005-0000-0000-000001150000}"/>
    <cellStyle name="Note 2 10 2" xfId="5109" xr:uid="{00000000-0005-0000-0000-000002150000}"/>
    <cellStyle name="Note 2 10 2 2" xfId="5110" xr:uid="{00000000-0005-0000-0000-000003150000}"/>
    <cellStyle name="Note 2 10 2 2 2" xfId="8337" xr:uid="{32F2DCCA-2896-4875-A66E-612F8949306A}"/>
    <cellStyle name="Note 2 10 2 3" xfId="8336" xr:uid="{F1063C28-5CBF-49DE-AA90-F40349522B06}"/>
    <cellStyle name="Note 2 10 3" xfId="5111" xr:uid="{00000000-0005-0000-0000-000004150000}"/>
    <cellStyle name="Note 2 10_BukuBesar" xfId="5112" xr:uid="{00000000-0005-0000-0000-000005150000}"/>
    <cellStyle name="Note 2 11" xfId="5113" xr:uid="{00000000-0005-0000-0000-000006150000}"/>
    <cellStyle name="Note 2 11 2" xfId="5114" xr:uid="{00000000-0005-0000-0000-000007150000}"/>
    <cellStyle name="Note 2 11 2 2" xfId="5115" xr:uid="{00000000-0005-0000-0000-000008150000}"/>
    <cellStyle name="Note 2 11 2 2 2" xfId="8339" xr:uid="{CABFD3BF-79B4-4447-A81B-D0ACA50A1F98}"/>
    <cellStyle name="Note 2 11 2 3" xfId="8338" xr:uid="{7E38CFF6-EBB8-4BFE-85F7-1406EA6CE0F7}"/>
    <cellStyle name="Note 2 11 3" xfId="5116" xr:uid="{00000000-0005-0000-0000-000009150000}"/>
    <cellStyle name="Note 2 11_BukuBesar" xfId="5117" xr:uid="{00000000-0005-0000-0000-00000A150000}"/>
    <cellStyle name="Note 2 12" xfId="5118" xr:uid="{00000000-0005-0000-0000-00000B150000}"/>
    <cellStyle name="Note 2 12 2" xfId="5119" xr:uid="{00000000-0005-0000-0000-00000C150000}"/>
    <cellStyle name="Note 2 12 2 2" xfId="5120" xr:uid="{00000000-0005-0000-0000-00000D150000}"/>
    <cellStyle name="Note 2 12 2 2 2" xfId="8341" xr:uid="{249A2212-3423-40A5-B972-BBA54513E6CC}"/>
    <cellStyle name="Note 2 12 2 3" xfId="8340" xr:uid="{EA465558-A5B8-4B41-9A2A-67BA79276592}"/>
    <cellStyle name="Note 2 12 3" xfId="5121" xr:uid="{00000000-0005-0000-0000-00000E150000}"/>
    <cellStyle name="Note 2 12_BukuBesar" xfId="5122" xr:uid="{00000000-0005-0000-0000-00000F150000}"/>
    <cellStyle name="Note 2 13" xfId="5123" xr:uid="{00000000-0005-0000-0000-000010150000}"/>
    <cellStyle name="Note 2 13 2" xfId="5124" xr:uid="{00000000-0005-0000-0000-000011150000}"/>
    <cellStyle name="Note 2 13 2 2" xfId="5125" xr:uid="{00000000-0005-0000-0000-000012150000}"/>
    <cellStyle name="Note 2 13 2 2 2" xfId="8343" xr:uid="{42BC1E70-C739-40AC-A754-406CB0F603CB}"/>
    <cellStyle name="Note 2 13 2 3" xfId="8342" xr:uid="{1D18A3D3-2D60-4B88-8502-E800A9748BFA}"/>
    <cellStyle name="Note 2 13 3" xfId="5126" xr:uid="{00000000-0005-0000-0000-000013150000}"/>
    <cellStyle name="Note 2 13_BukuBesar" xfId="5127" xr:uid="{00000000-0005-0000-0000-000014150000}"/>
    <cellStyle name="Note 2 14" xfId="5128" xr:uid="{00000000-0005-0000-0000-000015150000}"/>
    <cellStyle name="Note 2 14 2" xfId="5129" xr:uid="{00000000-0005-0000-0000-000016150000}"/>
    <cellStyle name="Note 2 14 2 2" xfId="5130" xr:uid="{00000000-0005-0000-0000-000017150000}"/>
    <cellStyle name="Note 2 14 2 2 2" xfId="8345" xr:uid="{D125EC26-489D-42EB-BE30-57848DB949C0}"/>
    <cellStyle name="Note 2 14 2 3" xfId="8344" xr:uid="{3857122B-D30F-4E02-9B87-5E0CEE98D8EB}"/>
    <cellStyle name="Note 2 14 3" xfId="5131" xr:uid="{00000000-0005-0000-0000-000018150000}"/>
    <cellStyle name="Note 2 14_BukuBesar" xfId="5132" xr:uid="{00000000-0005-0000-0000-000019150000}"/>
    <cellStyle name="Note 2 15" xfId="5133" xr:uid="{00000000-0005-0000-0000-00001A150000}"/>
    <cellStyle name="Note 2 15 2" xfId="5134" xr:uid="{00000000-0005-0000-0000-00001B150000}"/>
    <cellStyle name="Note 2 15 2 2" xfId="5135" xr:uid="{00000000-0005-0000-0000-00001C150000}"/>
    <cellStyle name="Note 2 15 2 2 2" xfId="8347" xr:uid="{0AF70DA7-3D56-412D-9589-6BCB6D740D1D}"/>
    <cellStyle name="Note 2 15 2 3" xfId="8346" xr:uid="{D2FDD593-F275-494F-A547-CD56C554C238}"/>
    <cellStyle name="Note 2 15 3" xfId="5136" xr:uid="{00000000-0005-0000-0000-00001D150000}"/>
    <cellStyle name="Note 2 15_BukuBesar" xfId="5137" xr:uid="{00000000-0005-0000-0000-00001E150000}"/>
    <cellStyle name="Note 2 16" xfId="5138" xr:uid="{00000000-0005-0000-0000-00001F150000}"/>
    <cellStyle name="Note 2 16 2" xfId="5139" xr:uid="{00000000-0005-0000-0000-000020150000}"/>
    <cellStyle name="Note 2 16 2 2" xfId="5140" xr:uid="{00000000-0005-0000-0000-000021150000}"/>
    <cellStyle name="Note 2 16 2 2 2" xfId="8349" xr:uid="{44230CDD-FE30-4481-8FC2-71537B50B619}"/>
    <cellStyle name="Note 2 16 2 3" xfId="8348" xr:uid="{F2E9B220-AFCA-44AB-A3BA-F0060DFBF8EF}"/>
    <cellStyle name="Note 2 16 3" xfId="5141" xr:uid="{00000000-0005-0000-0000-000022150000}"/>
    <cellStyle name="Note 2 16_BukuBesar" xfId="5142" xr:uid="{00000000-0005-0000-0000-000023150000}"/>
    <cellStyle name="Note 2 17" xfId="5143" xr:uid="{00000000-0005-0000-0000-000024150000}"/>
    <cellStyle name="Note 2 17 2" xfId="5144" xr:uid="{00000000-0005-0000-0000-000025150000}"/>
    <cellStyle name="Note 2 17 2 2" xfId="5145" xr:uid="{00000000-0005-0000-0000-000026150000}"/>
    <cellStyle name="Note 2 17 2 2 2" xfId="8351" xr:uid="{CD4E48E6-BA2A-4F73-8A00-E379472CBAC5}"/>
    <cellStyle name="Note 2 17 2 3" xfId="8350" xr:uid="{A4C40621-D4DE-40E5-92C7-33DDF3887C7A}"/>
    <cellStyle name="Note 2 17 3" xfId="5146" xr:uid="{00000000-0005-0000-0000-000027150000}"/>
    <cellStyle name="Note 2 17_BukuBesar" xfId="5147" xr:uid="{00000000-0005-0000-0000-000028150000}"/>
    <cellStyle name="Note 2 18" xfId="5148" xr:uid="{00000000-0005-0000-0000-000029150000}"/>
    <cellStyle name="Note 2 18 2" xfId="8352" xr:uid="{FE6D14FA-607E-4EC3-BC47-B1A5FA574770}"/>
    <cellStyle name="Note 2 19" xfId="5149" xr:uid="{00000000-0005-0000-0000-00002A150000}"/>
    <cellStyle name="Note 2 19 2" xfId="8353" xr:uid="{8F50FAFA-0487-4B35-BAE2-82F2D58381BD}"/>
    <cellStyle name="Note 2 2" xfId="2158" xr:uid="{00000000-0005-0000-0000-00002B150000}"/>
    <cellStyle name="Note 2 2 2" xfId="2159" xr:uid="{00000000-0005-0000-0000-00002C150000}"/>
    <cellStyle name="Note 2 2 2 2" xfId="5150" xr:uid="{00000000-0005-0000-0000-00002D150000}"/>
    <cellStyle name="Note 2 2 2 2 2" xfId="8354" xr:uid="{6A0008B8-CEA8-4490-84C6-55F426306155}"/>
    <cellStyle name="Note 2 2 2 3" xfId="5151" xr:uid="{00000000-0005-0000-0000-00002E150000}"/>
    <cellStyle name="Note 2 2 2 3 2" xfId="8355" xr:uid="{DA71810F-C515-4965-B2F8-915F5D690888}"/>
    <cellStyle name="Note 2 2 3" xfId="5152" xr:uid="{00000000-0005-0000-0000-00002F150000}"/>
    <cellStyle name="Note 2 2 4" xfId="5153" xr:uid="{00000000-0005-0000-0000-000030150000}"/>
    <cellStyle name="Note 2 2 4 2" xfId="8357" xr:uid="{0765AB66-84F5-4FE1-8F5B-07C817B3F7BD}"/>
    <cellStyle name="Note 2 2 5" xfId="6305" xr:uid="{00000000-0005-0000-0000-000031150000}"/>
    <cellStyle name="Note 2 2 5 2" xfId="9092" xr:uid="{BD86175D-49E3-41D1-8208-FEBC68C3ED49}"/>
    <cellStyle name="Note 2 2 5 3" xfId="9785" xr:uid="{63B84C9A-2229-499F-A131-51BE9E8882A1}"/>
    <cellStyle name="Note 2 2_BukuBesar" xfId="5154" xr:uid="{00000000-0005-0000-0000-000032150000}"/>
    <cellStyle name="Note 2 20" xfId="5155" xr:uid="{00000000-0005-0000-0000-000033150000}"/>
    <cellStyle name="Note 2 20 2" xfId="8358" xr:uid="{D0E8B515-7850-4765-A4B7-56EF2F2351AB}"/>
    <cellStyle name="Note 2 21" xfId="5947" xr:uid="{00000000-0005-0000-0000-000034150000}"/>
    <cellStyle name="Note 2 21 2" xfId="8792" xr:uid="{4FDB2BEB-80D9-4BA4-AB50-75902DB2AACB}"/>
    <cellStyle name="Note 2 22" xfId="5994" xr:uid="{00000000-0005-0000-0000-000035150000}"/>
    <cellStyle name="Note 2 22 2" xfId="8818" xr:uid="{4DCC601D-EABE-418D-A731-3A6A0BD13BBC}"/>
    <cellStyle name="Note 2 22 3" xfId="9771" xr:uid="{6A38F8BB-1311-4DBC-94B3-E3A55116241C}"/>
    <cellStyle name="Note 2 23" xfId="5932" xr:uid="{00000000-0005-0000-0000-000036150000}"/>
    <cellStyle name="Note 2 23 2" xfId="8787" xr:uid="{A3FA8821-91AE-480C-9862-D1D75E8B8308}"/>
    <cellStyle name="Note 2 23 3" xfId="9755" xr:uid="{4C5263C4-C57C-458D-99A2-6A69DEAA7816}"/>
    <cellStyle name="Note 2 24" xfId="5996" xr:uid="{00000000-0005-0000-0000-000037150000}"/>
    <cellStyle name="Note 2 24 2" xfId="8820" xr:uid="{87502A29-758C-4BD0-96CA-FB12048D37A2}"/>
    <cellStyle name="Note 2 24 3" xfId="9773" xr:uid="{9810AFE2-4F44-485D-AEBE-C072923BD069}"/>
    <cellStyle name="Note 2 25" xfId="5937" xr:uid="{00000000-0005-0000-0000-000038150000}"/>
    <cellStyle name="Note 2 25 2" xfId="8789" xr:uid="{DF5914C8-F866-4D63-877E-710F19B6811C}"/>
    <cellStyle name="Note 2 25 3" xfId="9757" xr:uid="{A397A881-5900-434A-A5DC-E11C035022DF}"/>
    <cellStyle name="Note 2 26" xfId="5998" xr:uid="{00000000-0005-0000-0000-000039150000}"/>
    <cellStyle name="Note 2 26 2" xfId="8822" xr:uid="{8285D69F-6F27-4F70-ADA3-ACD0F8052DB0}"/>
    <cellStyle name="Note 2 26 3" xfId="9775" xr:uid="{034BE7B7-D048-441E-AC37-543861274EB9}"/>
    <cellStyle name="Note 2 27" xfId="5946" xr:uid="{00000000-0005-0000-0000-00003A150000}"/>
    <cellStyle name="Note 2 27 2" xfId="8791" xr:uid="{99C4C647-973F-4F39-989F-9E062181920E}"/>
    <cellStyle name="Note 2 27 3" xfId="9759" xr:uid="{43FA6F2B-B861-44D8-85D4-CBC7359953B0}"/>
    <cellStyle name="Note 2 28" xfId="6000" xr:uid="{00000000-0005-0000-0000-00003B150000}"/>
    <cellStyle name="Note 2 28 2" xfId="8824" xr:uid="{75F2FF19-3AB9-4D26-859D-58AFA803F3E2}"/>
    <cellStyle name="Note 2 28 3" xfId="9777" xr:uid="{1E36B058-74D5-4719-9C72-E56FD3892785}"/>
    <cellStyle name="Note 2 29" xfId="5953" xr:uid="{00000000-0005-0000-0000-00003C150000}"/>
    <cellStyle name="Note 2 29 2" xfId="8798" xr:uid="{4967EDF9-CC81-4B15-94FB-50FDAD7BE26B}"/>
    <cellStyle name="Note 2 29 3" xfId="9763" xr:uid="{5A3D6EF6-A209-458D-8802-4AA67AC5E6E8}"/>
    <cellStyle name="Note 2 3" xfId="2160" xr:uid="{00000000-0005-0000-0000-00003D150000}"/>
    <cellStyle name="Note 2 3 2" xfId="2161" xr:uid="{00000000-0005-0000-0000-00003E150000}"/>
    <cellStyle name="Note 2 3 2 2" xfId="5156" xr:uid="{00000000-0005-0000-0000-00003F150000}"/>
    <cellStyle name="Note 2 3 2 2 2" xfId="8359" xr:uid="{CAC1FF38-43D3-4E52-B4DB-B7447B87A29D}"/>
    <cellStyle name="Note 2 3 3" xfId="5157" xr:uid="{00000000-0005-0000-0000-000040150000}"/>
    <cellStyle name="Note 2 3 4" xfId="6306" xr:uid="{00000000-0005-0000-0000-000041150000}"/>
    <cellStyle name="Note 2 3 4 2" xfId="9093" xr:uid="{845F9017-9AD5-4B47-8596-37449183F474}"/>
    <cellStyle name="Note 2 3 4 3" xfId="9786" xr:uid="{29E383EC-77C0-4A6F-84F9-140D8483D4DC}"/>
    <cellStyle name="Note 2 3_BukuBesar" xfId="5158" xr:uid="{00000000-0005-0000-0000-000042150000}"/>
    <cellStyle name="Note 2 30" xfId="6304" xr:uid="{00000000-0005-0000-0000-000043150000}"/>
    <cellStyle name="Note 2 30 2" xfId="9091" xr:uid="{FAB05137-FB03-4347-B3A9-65F6EBD39505}"/>
    <cellStyle name="Note 2 30 3" xfId="9784" xr:uid="{6B052B79-8E1F-4094-A440-7714BC2655AC}"/>
    <cellStyle name="Note 2 31" xfId="7131" xr:uid="{E8FF251D-2AE5-4839-8747-F2D492485FD3}"/>
    <cellStyle name="Note 2 31 2" xfId="9656" xr:uid="{981CAB6C-BC96-4FEE-8AEA-F5F2EE702AB5}"/>
    <cellStyle name="Note 2 31 3" xfId="9869" xr:uid="{5BF149D4-9F0D-48AD-91C4-7288142EA8AA}"/>
    <cellStyle name="Note 2 4" xfId="2162" xr:uid="{00000000-0005-0000-0000-000044150000}"/>
    <cellStyle name="Note 2 4 2" xfId="5159" xr:uid="{00000000-0005-0000-0000-000045150000}"/>
    <cellStyle name="Note 2 4 2 2" xfId="5160" xr:uid="{00000000-0005-0000-0000-000046150000}"/>
    <cellStyle name="Note 2 4 2 2 2" xfId="8361" xr:uid="{2C01F2EE-4718-485C-B10E-313F3F08980D}"/>
    <cellStyle name="Note 2 4 2 3" xfId="8360" xr:uid="{5F272088-943D-4A1D-B820-32EE4285029D}"/>
    <cellStyle name="Note 2 4 3" xfId="5161" xr:uid="{00000000-0005-0000-0000-000047150000}"/>
    <cellStyle name="Note 2 4 4" xfId="6307" xr:uid="{00000000-0005-0000-0000-000048150000}"/>
    <cellStyle name="Note 2 4 4 2" xfId="9094" xr:uid="{6C292CD8-F9E3-4D6E-BF58-4BDF6B40F924}"/>
    <cellStyle name="Note 2 4 4 3" xfId="9787" xr:uid="{96938967-443C-4CAA-B07A-842CCEC93C04}"/>
    <cellStyle name="Note 2 4_BukuBesar" xfId="5162" xr:uid="{00000000-0005-0000-0000-000049150000}"/>
    <cellStyle name="Note 2 5" xfId="5163" xr:uid="{00000000-0005-0000-0000-00004A150000}"/>
    <cellStyle name="Note 2 5 2" xfId="5164" xr:uid="{00000000-0005-0000-0000-00004B150000}"/>
    <cellStyle name="Note 2 5 2 2" xfId="5165" xr:uid="{00000000-0005-0000-0000-00004C150000}"/>
    <cellStyle name="Note 2 5 2 2 2" xfId="8363" xr:uid="{F057BB39-65FB-497C-A46D-07C61BAD1B1F}"/>
    <cellStyle name="Note 2 5 2 3" xfId="8362" xr:uid="{B5E72E6E-4B0F-41BC-B69C-9CA9EF527FE1}"/>
    <cellStyle name="Note 2 5 3" xfId="5166" xr:uid="{00000000-0005-0000-0000-00004D150000}"/>
    <cellStyle name="Note 2 5_BukuBesar" xfId="5167" xr:uid="{00000000-0005-0000-0000-00004E150000}"/>
    <cellStyle name="Note 2 6" xfId="5168" xr:uid="{00000000-0005-0000-0000-00004F150000}"/>
    <cellStyle name="Note 2 6 2" xfId="5169" xr:uid="{00000000-0005-0000-0000-000050150000}"/>
    <cellStyle name="Note 2 6 2 2" xfId="5170" xr:uid="{00000000-0005-0000-0000-000051150000}"/>
    <cellStyle name="Note 2 6 2 2 2" xfId="8365" xr:uid="{D8E60220-B248-4F3E-A0DB-61B8085F0616}"/>
    <cellStyle name="Note 2 6 2 3" xfId="8364" xr:uid="{0B4BF5D6-DC3D-4786-A419-171745BD48EC}"/>
    <cellStyle name="Note 2 6 3" xfId="5171" xr:uid="{00000000-0005-0000-0000-000052150000}"/>
    <cellStyle name="Note 2 6_BukuBesar" xfId="5172" xr:uid="{00000000-0005-0000-0000-000053150000}"/>
    <cellStyle name="Note 2 7" xfId="5173" xr:uid="{00000000-0005-0000-0000-000054150000}"/>
    <cellStyle name="Note 2 7 2" xfId="5174" xr:uid="{00000000-0005-0000-0000-000055150000}"/>
    <cellStyle name="Note 2 7 2 2" xfId="5175" xr:uid="{00000000-0005-0000-0000-000056150000}"/>
    <cellStyle name="Note 2 7 2 2 2" xfId="8367" xr:uid="{23BB1652-E1F2-470B-ABA7-420E2B66288E}"/>
    <cellStyle name="Note 2 7 2 3" xfId="8366" xr:uid="{3BD4C839-E866-437E-BEBD-BBAB199157B6}"/>
    <cellStyle name="Note 2 7 3" xfId="5176" xr:uid="{00000000-0005-0000-0000-000057150000}"/>
    <cellStyle name="Note 2 7_BukuBesar" xfId="5177" xr:uid="{00000000-0005-0000-0000-000058150000}"/>
    <cellStyle name="Note 2 8" xfId="5178" xr:uid="{00000000-0005-0000-0000-000059150000}"/>
    <cellStyle name="Note 2 8 2" xfId="5179" xr:uid="{00000000-0005-0000-0000-00005A150000}"/>
    <cellStyle name="Note 2 8 2 2" xfId="5180" xr:uid="{00000000-0005-0000-0000-00005B150000}"/>
    <cellStyle name="Note 2 8 2 2 2" xfId="8369" xr:uid="{41D06524-4EA9-4E40-8633-69B9E11385DB}"/>
    <cellStyle name="Note 2 8 2 3" xfId="8368" xr:uid="{260E1348-D83A-43C7-9D04-859EBC080D66}"/>
    <cellStyle name="Note 2 8 3" xfId="5181" xr:uid="{00000000-0005-0000-0000-00005C150000}"/>
    <cellStyle name="Note 2 8_BukuBesar" xfId="5182" xr:uid="{00000000-0005-0000-0000-00005D150000}"/>
    <cellStyle name="Note 2 9" xfId="5183" xr:uid="{00000000-0005-0000-0000-00005E150000}"/>
    <cellStyle name="Note 2 9 2" xfId="5184" xr:uid="{00000000-0005-0000-0000-00005F150000}"/>
    <cellStyle name="Note 2 9 2 2" xfId="5185" xr:uid="{00000000-0005-0000-0000-000060150000}"/>
    <cellStyle name="Note 2 9 2 2 2" xfId="8371" xr:uid="{A8E1F226-9A53-492C-8F5C-05F535D2AFD6}"/>
    <cellStyle name="Note 2 9 2 3" xfId="8370" xr:uid="{CB30FF58-80D2-4369-8631-324075E76D8D}"/>
    <cellStyle name="Note 2 9 3" xfId="5186" xr:uid="{00000000-0005-0000-0000-000061150000}"/>
    <cellStyle name="Note 2 9_BukuBesar" xfId="5187" xr:uid="{00000000-0005-0000-0000-000062150000}"/>
    <cellStyle name="Note 20" xfId="5188" xr:uid="{00000000-0005-0000-0000-000063150000}"/>
    <cellStyle name="Note 20 2" xfId="5189" xr:uid="{00000000-0005-0000-0000-000064150000}"/>
    <cellStyle name="Note 20 2 2" xfId="5190" xr:uid="{00000000-0005-0000-0000-000065150000}"/>
    <cellStyle name="Note 20 2 2 2" xfId="8373" xr:uid="{88A22A3E-954F-4207-9951-BD70F6FEFCAD}"/>
    <cellStyle name="Note 20 2 3" xfId="8372" xr:uid="{331A1CAF-A5E1-4EF9-8C00-1467BC9D0B9F}"/>
    <cellStyle name="Note 20 3" xfId="5191" xr:uid="{00000000-0005-0000-0000-000066150000}"/>
    <cellStyle name="Note 20_BukuBesar" xfId="5192" xr:uid="{00000000-0005-0000-0000-000067150000}"/>
    <cellStyle name="Note 21" xfId="5193" xr:uid="{00000000-0005-0000-0000-000068150000}"/>
    <cellStyle name="Note 21 2" xfId="5194" xr:uid="{00000000-0005-0000-0000-000069150000}"/>
    <cellStyle name="Note 21 2 2" xfId="5195" xr:uid="{00000000-0005-0000-0000-00006A150000}"/>
    <cellStyle name="Note 21 2 2 2" xfId="8375" xr:uid="{4C6E4B47-7D1D-4BEF-B527-1B2DE6A90360}"/>
    <cellStyle name="Note 21 2 3" xfId="8374" xr:uid="{63E4E945-07BB-4F30-8040-E2C329450B7F}"/>
    <cellStyle name="Note 21 3" xfId="5196" xr:uid="{00000000-0005-0000-0000-00006B150000}"/>
    <cellStyle name="Note 21_BukuBesar" xfId="5197" xr:uid="{00000000-0005-0000-0000-00006C150000}"/>
    <cellStyle name="Note 22" xfId="5198" xr:uid="{00000000-0005-0000-0000-00006D150000}"/>
    <cellStyle name="Note 22 2" xfId="5199" xr:uid="{00000000-0005-0000-0000-00006E150000}"/>
    <cellStyle name="Note 22 2 2" xfId="5200" xr:uid="{00000000-0005-0000-0000-00006F150000}"/>
    <cellStyle name="Note 22 2 2 2" xfId="8377" xr:uid="{4C3E12EF-9144-4672-B4D0-8EB35AD61061}"/>
    <cellStyle name="Note 22 2 3" xfId="8376" xr:uid="{45D83090-2A0B-4069-88CE-6F46F22A1F6F}"/>
    <cellStyle name="Note 22 3" xfId="5201" xr:uid="{00000000-0005-0000-0000-000070150000}"/>
    <cellStyle name="Note 22_BukuBesar" xfId="5202" xr:uid="{00000000-0005-0000-0000-000071150000}"/>
    <cellStyle name="Note 23" xfId="5203" xr:uid="{00000000-0005-0000-0000-000072150000}"/>
    <cellStyle name="Note 23 2" xfId="5204" xr:uid="{00000000-0005-0000-0000-000073150000}"/>
    <cellStyle name="Note 23 2 2" xfId="5205" xr:uid="{00000000-0005-0000-0000-000074150000}"/>
    <cellStyle name="Note 23 2 2 2" xfId="8379" xr:uid="{8C10AD66-C3E7-4FC6-8777-E6EBF79B781E}"/>
    <cellStyle name="Note 23 2 3" xfId="8378" xr:uid="{8AFF7094-BD59-44A0-80F0-BAD0842A3D4B}"/>
    <cellStyle name="Note 23 3" xfId="5206" xr:uid="{00000000-0005-0000-0000-000075150000}"/>
    <cellStyle name="Note 23_BukuBesar" xfId="5207" xr:uid="{00000000-0005-0000-0000-000076150000}"/>
    <cellStyle name="Note 24" xfId="5208" xr:uid="{00000000-0005-0000-0000-000077150000}"/>
    <cellStyle name="Note 24 2" xfId="5209" xr:uid="{00000000-0005-0000-0000-000078150000}"/>
    <cellStyle name="Note 24 2 2" xfId="5210" xr:uid="{00000000-0005-0000-0000-000079150000}"/>
    <cellStyle name="Note 24 2 2 2" xfId="8381" xr:uid="{32F427DA-0D93-4B10-8ABD-C7FCC78FA02F}"/>
    <cellStyle name="Note 24 2 3" xfId="8380" xr:uid="{12D13675-0A6C-463A-AAFB-5B0EA17E0CAF}"/>
    <cellStyle name="Note 24 3" xfId="5211" xr:uid="{00000000-0005-0000-0000-00007A150000}"/>
    <cellStyle name="Note 24_BukuBesar" xfId="5212" xr:uid="{00000000-0005-0000-0000-00007B150000}"/>
    <cellStyle name="Note 25" xfId="5213" xr:uid="{00000000-0005-0000-0000-00007C150000}"/>
    <cellStyle name="Note 25 2" xfId="5214" xr:uid="{00000000-0005-0000-0000-00007D150000}"/>
    <cellStyle name="Note 25 2 2" xfId="5215" xr:uid="{00000000-0005-0000-0000-00007E150000}"/>
    <cellStyle name="Note 25 2 2 2" xfId="8383" xr:uid="{62987803-FB5C-4B47-81D7-9708D6056944}"/>
    <cellStyle name="Note 25 2 3" xfId="8382" xr:uid="{FE1E37DF-5A35-4344-9039-AE39492D8DA1}"/>
    <cellStyle name="Note 25 3" xfId="5216" xr:uid="{00000000-0005-0000-0000-00007F150000}"/>
    <cellStyle name="Note 25_BukuBesar" xfId="5217" xr:uid="{00000000-0005-0000-0000-000080150000}"/>
    <cellStyle name="Note 26" xfId="5218" xr:uid="{00000000-0005-0000-0000-000081150000}"/>
    <cellStyle name="Note 26 2" xfId="5219" xr:uid="{00000000-0005-0000-0000-000082150000}"/>
    <cellStyle name="Note 26 2 2" xfId="5220" xr:uid="{00000000-0005-0000-0000-000083150000}"/>
    <cellStyle name="Note 26 2 2 2" xfId="8385" xr:uid="{D32D0118-AD48-4DC4-A274-A7D7A2CAFF1C}"/>
    <cellStyle name="Note 26 2 3" xfId="8384" xr:uid="{25108F1B-A30F-4CA5-92DB-6BDA7A6C3742}"/>
    <cellStyle name="Note 26 3" xfId="5221" xr:uid="{00000000-0005-0000-0000-000084150000}"/>
    <cellStyle name="Note 26_BukuBesar" xfId="5222" xr:uid="{00000000-0005-0000-0000-000085150000}"/>
    <cellStyle name="Note 27" xfId="5223" xr:uid="{00000000-0005-0000-0000-000086150000}"/>
    <cellStyle name="Note 27 2" xfId="5224" xr:uid="{00000000-0005-0000-0000-000087150000}"/>
    <cellStyle name="Note 27 2 2" xfId="5225" xr:uid="{00000000-0005-0000-0000-000088150000}"/>
    <cellStyle name="Note 27 2 2 2" xfId="8387" xr:uid="{FCD78B91-8FAC-43BE-A5D7-C8E2094C23F6}"/>
    <cellStyle name="Note 27 2 3" xfId="8386" xr:uid="{8BC0013D-1EB6-4634-A577-8167EA9F79EA}"/>
    <cellStyle name="Note 27 3" xfId="5226" xr:uid="{00000000-0005-0000-0000-000089150000}"/>
    <cellStyle name="Note 27_BukuBesar" xfId="5227" xr:uid="{00000000-0005-0000-0000-00008A150000}"/>
    <cellStyle name="Note 28" xfId="5228" xr:uid="{00000000-0005-0000-0000-00008B150000}"/>
    <cellStyle name="Note 28 2" xfId="5229" xr:uid="{00000000-0005-0000-0000-00008C150000}"/>
    <cellStyle name="Note 28 2 2" xfId="5230" xr:uid="{00000000-0005-0000-0000-00008D150000}"/>
    <cellStyle name="Note 28 2 2 2" xfId="8389" xr:uid="{F869450D-A296-4C00-BC3D-8DE113A96222}"/>
    <cellStyle name="Note 28 2 3" xfId="8388" xr:uid="{BB1AEFEA-3201-435A-B01C-F3F65E9426CD}"/>
    <cellStyle name="Note 28 3" xfId="5231" xr:uid="{00000000-0005-0000-0000-00008E150000}"/>
    <cellStyle name="Note 28_BukuBesar" xfId="5232" xr:uid="{00000000-0005-0000-0000-00008F150000}"/>
    <cellStyle name="Note 29" xfId="5233" xr:uid="{00000000-0005-0000-0000-000090150000}"/>
    <cellStyle name="Note 29 2" xfId="5234" xr:uid="{00000000-0005-0000-0000-000091150000}"/>
    <cellStyle name="Note 29 2 2" xfId="5235" xr:uid="{00000000-0005-0000-0000-000092150000}"/>
    <cellStyle name="Note 29 2 2 2" xfId="8391" xr:uid="{29C08E1F-2C58-420C-BECE-71265787DED6}"/>
    <cellStyle name="Note 29 2 3" xfId="8390" xr:uid="{2E92637A-8CF1-40F2-963B-9E985F946350}"/>
    <cellStyle name="Note 29 3" xfId="5236" xr:uid="{00000000-0005-0000-0000-000093150000}"/>
    <cellStyle name="Note 29_BukuBesar" xfId="5237" xr:uid="{00000000-0005-0000-0000-000094150000}"/>
    <cellStyle name="Note 3" xfId="819" xr:uid="{00000000-0005-0000-0000-000095150000}"/>
    <cellStyle name="Note 3 10" xfId="5238" xr:uid="{00000000-0005-0000-0000-000096150000}"/>
    <cellStyle name="Note 3 10 2" xfId="5239" xr:uid="{00000000-0005-0000-0000-000097150000}"/>
    <cellStyle name="Note 3 10 2 2" xfId="5240" xr:uid="{00000000-0005-0000-0000-000098150000}"/>
    <cellStyle name="Note 3 10 2 2 2" xfId="8393" xr:uid="{6167493B-2D66-4425-BEDC-314F4C9CDC6C}"/>
    <cellStyle name="Note 3 10 2 3" xfId="8392" xr:uid="{4A644626-E0EA-43A5-8840-7EF6FE5F7879}"/>
    <cellStyle name="Note 3 10 3" xfId="5241" xr:uid="{00000000-0005-0000-0000-000099150000}"/>
    <cellStyle name="Note 3 10_BukuBesar" xfId="5242" xr:uid="{00000000-0005-0000-0000-00009A150000}"/>
    <cellStyle name="Note 3 11" xfId="5243" xr:uid="{00000000-0005-0000-0000-00009B150000}"/>
    <cellStyle name="Note 3 11 2" xfId="5244" xr:uid="{00000000-0005-0000-0000-00009C150000}"/>
    <cellStyle name="Note 3 11 2 2" xfId="5245" xr:uid="{00000000-0005-0000-0000-00009D150000}"/>
    <cellStyle name="Note 3 11 2 2 2" xfId="8395" xr:uid="{0A17132E-939A-446C-8008-830191377C8C}"/>
    <cellStyle name="Note 3 11 2 3" xfId="8394" xr:uid="{67EBE686-E9A2-48C9-AF30-DCD76069E79C}"/>
    <cellStyle name="Note 3 11 3" xfId="5246" xr:uid="{00000000-0005-0000-0000-00009E150000}"/>
    <cellStyle name="Note 3 11_BukuBesar" xfId="5247" xr:uid="{00000000-0005-0000-0000-00009F150000}"/>
    <cellStyle name="Note 3 12" xfId="5248" xr:uid="{00000000-0005-0000-0000-0000A0150000}"/>
    <cellStyle name="Note 3 12 2" xfId="5249" xr:uid="{00000000-0005-0000-0000-0000A1150000}"/>
    <cellStyle name="Note 3 12 2 2" xfId="5250" xr:uid="{00000000-0005-0000-0000-0000A2150000}"/>
    <cellStyle name="Note 3 12 2 2 2" xfId="8397" xr:uid="{B64A0C28-947D-4928-A75B-FD57C84FF8B2}"/>
    <cellStyle name="Note 3 12 2 3" xfId="8396" xr:uid="{DC1E4763-AA2B-40D3-92D1-2BA33EC5C4F9}"/>
    <cellStyle name="Note 3 12 3" xfId="5251" xr:uid="{00000000-0005-0000-0000-0000A3150000}"/>
    <cellStyle name="Note 3 12_BukuBesar" xfId="5252" xr:uid="{00000000-0005-0000-0000-0000A4150000}"/>
    <cellStyle name="Note 3 13" xfId="5253" xr:uid="{00000000-0005-0000-0000-0000A5150000}"/>
    <cellStyle name="Note 3 13 2" xfId="5254" xr:uid="{00000000-0005-0000-0000-0000A6150000}"/>
    <cellStyle name="Note 3 13 2 2" xfId="5255" xr:uid="{00000000-0005-0000-0000-0000A7150000}"/>
    <cellStyle name="Note 3 13 2 2 2" xfId="8399" xr:uid="{BD7A6CDB-CB33-4A7F-B477-96113F4DAC77}"/>
    <cellStyle name="Note 3 13 2 3" xfId="8398" xr:uid="{888D2CFF-E39A-46DE-9981-BC9601CED6DC}"/>
    <cellStyle name="Note 3 13 3" xfId="5256" xr:uid="{00000000-0005-0000-0000-0000A8150000}"/>
    <cellStyle name="Note 3 13_BukuBesar" xfId="5257" xr:uid="{00000000-0005-0000-0000-0000A9150000}"/>
    <cellStyle name="Note 3 14" xfId="5258" xr:uid="{00000000-0005-0000-0000-0000AA150000}"/>
    <cellStyle name="Note 3 14 2" xfId="5259" xr:uid="{00000000-0005-0000-0000-0000AB150000}"/>
    <cellStyle name="Note 3 14 2 2" xfId="5260" xr:uid="{00000000-0005-0000-0000-0000AC150000}"/>
    <cellStyle name="Note 3 14 2 2 2" xfId="8401" xr:uid="{E98C72B9-0572-4873-B6F2-2EE704905CEA}"/>
    <cellStyle name="Note 3 14 2 3" xfId="8400" xr:uid="{69A75D37-5F51-486A-A7D8-F5460DFE9FDC}"/>
    <cellStyle name="Note 3 14 3" xfId="5261" xr:uid="{00000000-0005-0000-0000-0000AD150000}"/>
    <cellStyle name="Note 3 14_BukuBesar" xfId="5262" xr:uid="{00000000-0005-0000-0000-0000AE150000}"/>
    <cellStyle name="Note 3 15" xfId="5263" xr:uid="{00000000-0005-0000-0000-0000AF150000}"/>
    <cellStyle name="Note 3 15 2" xfId="5264" xr:uid="{00000000-0005-0000-0000-0000B0150000}"/>
    <cellStyle name="Note 3 15 2 2" xfId="5265" xr:uid="{00000000-0005-0000-0000-0000B1150000}"/>
    <cellStyle name="Note 3 15 2 2 2" xfId="8403" xr:uid="{617D1FEC-7C01-4FAE-BD39-5ED8D696F848}"/>
    <cellStyle name="Note 3 15 2 3" xfId="8402" xr:uid="{5FB71847-4C2D-4292-AF69-6AE1C6A1CA76}"/>
    <cellStyle name="Note 3 15 3" xfId="5266" xr:uid="{00000000-0005-0000-0000-0000B2150000}"/>
    <cellStyle name="Note 3 15_BukuBesar" xfId="5267" xr:uid="{00000000-0005-0000-0000-0000B3150000}"/>
    <cellStyle name="Note 3 16" xfId="5268" xr:uid="{00000000-0005-0000-0000-0000B4150000}"/>
    <cellStyle name="Note 3 16 2" xfId="5269" xr:uid="{00000000-0005-0000-0000-0000B5150000}"/>
    <cellStyle name="Note 3 16 2 2" xfId="5270" xr:uid="{00000000-0005-0000-0000-0000B6150000}"/>
    <cellStyle name="Note 3 16 2 2 2" xfId="8405" xr:uid="{E72EB534-82B6-499C-AD32-9F1539CF10A4}"/>
    <cellStyle name="Note 3 16 2 3" xfId="8404" xr:uid="{59A55F38-E209-4292-8ED1-1D0413E2964D}"/>
    <cellStyle name="Note 3 16 3" xfId="5271" xr:uid="{00000000-0005-0000-0000-0000B7150000}"/>
    <cellStyle name="Note 3 16_BukuBesar" xfId="5272" xr:uid="{00000000-0005-0000-0000-0000B8150000}"/>
    <cellStyle name="Note 3 17" xfId="5273" xr:uid="{00000000-0005-0000-0000-0000B9150000}"/>
    <cellStyle name="Note 3 17 2" xfId="5274" xr:uid="{00000000-0005-0000-0000-0000BA150000}"/>
    <cellStyle name="Note 3 17 2 2" xfId="5275" xr:uid="{00000000-0005-0000-0000-0000BB150000}"/>
    <cellStyle name="Note 3 17 2 2 2" xfId="8407" xr:uid="{4C474C82-116A-4E9E-AE40-DB7319145FBB}"/>
    <cellStyle name="Note 3 17 2 3" xfId="8406" xr:uid="{DB7300B0-3592-4FA2-AEEC-A824E16F145D}"/>
    <cellStyle name="Note 3 17 3" xfId="5276" xr:uid="{00000000-0005-0000-0000-0000BC150000}"/>
    <cellStyle name="Note 3 17_BukuBesar" xfId="5277" xr:uid="{00000000-0005-0000-0000-0000BD150000}"/>
    <cellStyle name="Note 3 18" xfId="5278" xr:uid="{00000000-0005-0000-0000-0000BE150000}"/>
    <cellStyle name="Note 3 19" xfId="5279" xr:uid="{00000000-0005-0000-0000-0000BF150000}"/>
    <cellStyle name="Note 3 19 2" xfId="8408" xr:uid="{9E480E18-5CAC-4406-9B2E-F4192684481F}"/>
    <cellStyle name="Note 3 2" xfId="2163" xr:uid="{00000000-0005-0000-0000-0000C0150000}"/>
    <cellStyle name="Note 3 2 2" xfId="2164" xr:uid="{00000000-0005-0000-0000-0000C1150000}"/>
    <cellStyle name="Note 3 2 2 2" xfId="5280" xr:uid="{00000000-0005-0000-0000-0000C2150000}"/>
    <cellStyle name="Note 3 2 2 2 2" xfId="8409" xr:uid="{7127C889-77F3-4752-A174-627ADB923F52}"/>
    <cellStyle name="Note 3 2 2 3" xfId="5281" xr:uid="{00000000-0005-0000-0000-0000C3150000}"/>
    <cellStyle name="Note 3 2 2 3 2" xfId="8410" xr:uid="{1F3A396E-5562-44EF-8AF8-D2B456BA50AB}"/>
    <cellStyle name="Note 3 2 3" xfId="5282" xr:uid="{00000000-0005-0000-0000-0000C4150000}"/>
    <cellStyle name="Note 3 2 4" xfId="5283" xr:uid="{00000000-0005-0000-0000-0000C5150000}"/>
    <cellStyle name="Note 3 2 4 2" xfId="8411" xr:uid="{2AE65323-9453-4EBA-AE1C-B1664A4F9EE1}"/>
    <cellStyle name="Note 3 2 5" xfId="6309" xr:uid="{00000000-0005-0000-0000-0000C6150000}"/>
    <cellStyle name="Note 3 2 5 2" xfId="9096" xr:uid="{4D21D37B-0F72-47FC-ACD4-17FC6D806AA7}"/>
    <cellStyle name="Note 3 2 5 3" xfId="9789" xr:uid="{48BA611E-05D8-4EA6-BC6C-0056678CE93B}"/>
    <cellStyle name="Note 3 2_BukuBesar" xfId="5284" xr:uid="{00000000-0005-0000-0000-0000C7150000}"/>
    <cellStyle name="Note 3 20" xfId="5285" xr:uid="{00000000-0005-0000-0000-0000C8150000}"/>
    <cellStyle name="Note 3 21" xfId="5948" xr:uid="{00000000-0005-0000-0000-0000C9150000}"/>
    <cellStyle name="Note 3 21 2" xfId="8793" xr:uid="{21D39062-6B9D-4C02-8524-A88D3DD54550}"/>
    <cellStyle name="Note 3 22" xfId="5995" xr:uid="{00000000-0005-0000-0000-0000CA150000}"/>
    <cellStyle name="Note 3 22 2" xfId="8819" xr:uid="{8C80637B-3090-4C80-A1EC-4844764285F9}"/>
    <cellStyle name="Note 3 22 3" xfId="9772" xr:uid="{63FD5033-7D91-444D-AACD-B562007E53EA}"/>
    <cellStyle name="Note 3 23" xfId="5936" xr:uid="{00000000-0005-0000-0000-0000CB150000}"/>
    <cellStyle name="Note 3 23 2" xfId="8788" xr:uid="{CAEF568F-B8BE-4103-89FC-86E1F489B110}"/>
    <cellStyle name="Note 3 23 3" xfId="9756" xr:uid="{59C2686E-1571-4326-B37E-C2F1365B0E07}"/>
    <cellStyle name="Note 3 24" xfId="5997" xr:uid="{00000000-0005-0000-0000-0000CC150000}"/>
    <cellStyle name="Note 3 24 2" xfId="8821" xr:uid="{16CDA190-5D03-4044-860E-C1E2CB4C1378}"/>
    <cellStyle name="Note 3 24 3" xfId="9774" xr:uid="{2C291686-9B18-4649-9D3F-088B97DAEAE4}"/>
    <cellStyle name="Note 3 25" xfId="5941" xr:uid="{00000000-0005-0000-0000-0000CD150000}"/>
    <cellStyle name="Note 3 25 2" xfId="8790" xr:uid="{81F80796-08E2-4209-BCBF-260CFDB10DDC}"/>
    <cellStyle name="Note 3 25 3" xfId="9758" xr:uid="{6FAAFA33-6C9A-44DB-8D38-5F1E3064767D}"/>
    <cellStyle name="Note 3 26" xfId="5999" xr:uid="{00000000-0005-0000-0000-0000CE150000}"/>
    <cellStyle name="Note 3 26 2" xfId="8823" xr:uid="{298FF040-83BB-4CED-8F35-D6636D1308B7}"/>
    <cellStyle name="Note 3 26 3" xfId="9776" xr:uid="{8A5A9871-F0DA-40B3-B1F8-6D35A326CC4C}"/>
    <cellStyle name="Note 3 27" xfId="5951" xr:uid="{00000000-0005-0000-0000-0000CF150000}"/>
    <cellStyle name="Note 3 27 2" xfId="8796" xr:uid="{44C09CB1-422C-4B36-8EE8-A2E79F4EB969}"/>
    <cellStyle name="Note 3 27 3" xfId="9762" xr:uid="{9610459C-6F77-4E6B-86C6-254E8B7B6B62}"/>
    <cellStyle name="Note 3 28" xfId="6001" xr:uid="{00000000-0005-0000-0000-0000D0150000}"/>
    <cellStyle name="Note 3 28 2" xfId="8825" xr:uid="{0B3941B9-9CBE-4117-A936-722CB2731C23}"/>
    <cellStyle name="Note 3 28 3" xfId="9778" xr:uid="{3919E158-A5BA-4A2C-BE91-936D0B4B6496}"/>
    <cellStyle name="Note 3 29" xfId="5956" xr:uid="{00000000-0005-0000-0000-0000D1150000}"/>
    <cellStyle name="Note 3 29 2" xfId="8799" xr:uid="{F924BF12-2B91-46AF-926E-37195D8638DB}"/>
    <cellStyle name="Note 3 29 3" xfId="9764" xr:uid="{668BAA60-E512-476D-B603-2209250F07A8}"/>
    <cellStyle name="Note 3 3" xfId="2165" xr:uid="{00000000-0005-0000-0000-0000D2150000}"/>
    <cellStyle name="Note 3 3 2" xfId="2166" xr:uid="{00000000-0005-0000-0000-0000D3150000}"/>
    <cellStyle name="Note 3 3 2 2" xfId="5286" xr:uid="{00000000-0005-0000-0000-0000D4150000}"/>
    <cellStyle name="Note 3 3 2 2 2" xfId="8412" xr:uid="{1609FEF2-D20C-4E5B-ADA7-7EF3456A0436}"/>
    <cellStyle name="Note 3 3 3" xfId="5287" xr:uid="{00000000-0005-0000-0000-0000D5150000}"/>
    <cellStyle name="Note 3 3 4" xfId="6310" xr:uid="{00000000-0005-0000-0000-0000D6150000}"/>
    <cellStyle name="Note 3 3 4 2" xfId="9097" xr:uid="{85756BCF-BD28-4DD4-9FE3-F1DCCFB16FFE}"/>
    <cellStyle name="Note 3 3 4 3" xfId="9790" xr:uid="{417D8DB8-AA9B-4419-8CB6-1F230D243F32}"/>
    <cellStyle name="Note 3 3_BukuBesar" xfId="5288" xr:uid="{00000000-0005-0000-0000-0000D7150000}"/>
    <cellStyle name="Note 3 30" xfId="6308" xr:uid="{00000000-0005-0000-0000-0000D8150000}"/>
    <cellStyle name="Note 3 30 2" xfId="9095" xr:uid="{569A6FA3-C805-4A34-BFDD-B0C66FD44413}"/>
    <cellStyle name="Note 3 30 3" xfId="9788" xr:uid="{8194E428-8692-4F88-A5CB-2C45E73CD759}"/>
    <cellStyle name="Note 3 4" xfId="2167" xr:uid="{00000000-0005-0000-0000-0000D9150000}"/>
    <cellStyle name="Note 3 4 2" xfId="5289" xr:uid="{00000000-0005-0000-0000-0000DA150000}"/>
    <cellStyle name="Note 3 4 2 2" xfId="5290" xr:uid="{00000000-0005-0000-0000-0000DB150000}"/>
    <cellStyle name="Note 3 4 2 2 2" xfId="8414" xr:uid="{32358F67-BE0E-4250-951A-5EBCBEAE826F}"/>
    <cellStyle name="Note 3 4 2 3" xfId="8413" xr:uid="{28BE4D30-29D4-4DB4-AF12-B1835D3FBC3A}"/>
    <cellStyle name="Note 3 4 3" xfId="5291" xr:uid="{00000000-0005-0000-0000-0000DC150000}"/>
    <cellStyle name="Note 3 4 4" xfId="6311" xr:uid="{00000000-0005-0000-0000-0000DD150000}"/>
    <cellStyle name="Note 3 4 4 2" xfId="9098" xr:uid="{90BFC569-4D50-4B80-96D4-FF30386423CE}"/>
    <cellStyle name="Note 3 4 4 3" xfId="9791" xr:uid="{FED0A73B-92F0-4EB9-8B14-444B4AF9E388}"/>
    <cellStyle name="Note 3 4_BukuBesar" xfId="5292" xr:uid="{00000000-0005-0000-0000-0000DE150000}"/>
    <cellStyle name="Note 3 5" xfId="5293" xr:uid="{00000000-0005-0000-0000-0000DF150000}"/>
    <cellStyle name="Note 3 5 2" xfId="5294" xr:uid="{00000000-0005-0000-0000-0000E0150000}"/>
    <cellStyle name="Note 3 5 2 2" xfId="5295" xr:uid="{00000000-0005-0000-0000-0000E1150000}"/>
    <cellStyle name="Note 3 5 2 2 2" xfId="8416" xr:uid="{E1A5289F-DEDB-45AE-9CCE-F0E6BA61C3B9}"/>
    <cellStyle name="Note 3 5 2 3" xfId="8415" xr:uid="{01339D2D-555D-46FF-8335-4A535853CF3D}"/>
    <cellStyle name="Note 3 5 3" xfId="5296" xr:uid="{00000000-0005-0000-0000-0000E2150000}"/>
    <cellStyle name="Note 3 5_BukuBesar" xfId="5297" xr:uid="{00000000-0005-0000-0000-0000E3150000}"/>
    <cellStyle name="Note 3 6" xfId="5298" xr:uid="{00000000-0005-0000-0000-0000E4150000}"/>
    <cellStyle name="Note 3 6 2" xfId="5299" xr:uid="{00000000-0005-0000-0000-0000E5150000}"/>
    <cellStyle name="Note 3 6 2 2" xfId="5300" xr:uid="{00000000-0005-0000-0000-0000E6150000}"/>
    <cellStyle name="Note 3 6 2 2 2" xfId="8418" xr:uid="{07F3E036-F60D-4150-96CA-95F576E68413}"/>
    <cellStyle name="Note 3 6 2 3" xfId="8417" xr:uid="{A28D9585-8886-4A2E-AFCC-C25DE144EB1D}"/>
    <cellStyle name="Note 3 6 3" xfId="5301" xr:uid="{00000000-0005-0000-0000-0000E7150000}"/>
    <cellStyle name="Note 3 6_BukuBesar" xfId="5302" xr:uid="{00000000-0005-0000-0000-0000E8150000}"/>
    <cellStyle name="Note 3 7" xfId="5303" xr:uid="{00000000-0005-0000-0000-0000E9150000}"/>
    <cellStyle name="Note 3 7 2" xfId="5304" xr:uid="{00000000-0005-0000-0000-0000EA150000}"/>
    <cellStyle name="Note 3 7 2 2" xfId="5305" xr:uid="{00000000-0005-0000-0000-0000EB150000}"/>
    <cellStyle name="Note 3 7 2 2 2" xfId="8420" xr:uid="{8884871E-0353-4ECB-8044-9E75AE0A4D8B}"/>
    <cellStyle name="Note 3 7 2 3" xfId="8419" xr:uid="{FB77D8E3-E58A-43DC-AB0E-AEADBF5078CC}"/>
    <cellStyle name="Note 3 7 3" xfId="5306" xr:uid="{00000000-0005-0000-0000-0000EC150000}"/>
    <cellStyle name="Note 3 7_BukuBesar" xfId="5307" xr:uid="{00000000-0005-0000-0000-0000ED150000}"/>
    <cellStyle name="Note 3 8" xfId="5308" xr:uid="{00000000-0005-0000-0000-0000EE150000}"/>
    <cellStyle name="Note 3 8 2" xfId="5309" xr:uid="{00000000-0005-0000-0000-0000EF150000}"/>
    <cellStyle name="Note 3 8 2 2" xfId="5310" xr:uid="{00000000-0005-0000-0000-0000F0150000}"/>
    <cellStyle name="Note 3 8 2 2 2" xfId="8422" xr:uid="{AE7EE227-4294-4DA2-8BAF-AD5886913889}"/>
    <cellStyle name="Note 3 8 2 3" xfId="8421" xr:uid="{2891AD82-9C8E-4F5E-82AC-CC27F6A4F5F2}"/>
    <cellStyle name="Note 3 8 3" xfId="5311" xr:uid="{00000000-0005-0000-0000-0000F1150000}"/>
    <cellStyle name="Note 3 8_BukuBesar" xfId="5312" xr:uid="{00000000-0005-0000-0000-0000F2150000}"/>
    <cellStyle name="Note 3 9" xfId="5313" xr:uid="{00000000-0005-0000-0000-0000F3150000}"/>
    <cellStyle name="Note 3 9 2" xfId="5314" xr:uid="{00000000-0005-0000-0000-0000F4150000}"/>
    <cellStyle name="Note 3 9 2 2" xfId="5315" xr:uid="{00000000-0005-0000-0000-0000F5150000}"/>
    <cellStyle name="Note 3 9 2 2 2" xfId="8424" xr:uid="{9BDB87A8-3296-42FB-AE40-CF9BC125032A}"/>
    <cellStyle name="Note 3 9 2 3" xfId="8423" xr:uid="{CD387817-618C-478C-8761-2FA327F961E8}"/>
    <cellStyle name="Note 3 9 3" xfId="5316" xr:uid="{00000000-0005-0000-0000-0000F6150000}"/>
    <cellStyle name="Note 3 9_BukuBesar" xfId="5317" xr:uid="{00000000-0005-0000-0000-0000F7150000}"/>
    <cellStyle name="Note 30" xfId="5318" xr:uid="{00000000-0005-0000-0000-0000F8150000}"/>
    <cellStyle name="Note 30 2" xfId="5319" xr:uid="{00000000-0005-0000-0000-0000F9150000}"/>
    <cellStyle name="Note 30 2 2" xfId="5320" xr:uid="{00000000-0005-0000-0000-0000FA150000}"/>
    <cellStyle name="Note 30 2 2 2" xfId="8426" xr:uid="{4EF0AA77-A59B-4514-A54B-E2B4CEF4C702}"/>
    <cellStyle name="Note 30 2 3" xfId="8425" xr:uid="{3AE0DB2D-363C-49E4-81E3-B0ACFC8AD25B}"/>
    <cellStyle name="Note 30 3" xfId="5321" xr:uid="{00000000-0005-0000-0000-0000FB150000}"/>
    <cellStyle name="Note 30_BukuBesar" xfId="5322" xr:uid="{00000000-0005-0000-0000-0000FC150000}"/>
    <cellStyle name="Note 31" xfId="5323" xr:uid="{00000000-0005-0000-0000-0000FD150000}"/>
    <cellStyle name="Note 31 2" xfId="5324" xr:uid="{00000000-0005-0000-0000-0000FE150000}"/>
    <cellStyle name="Note 31 2 2" xfId="5325" xr:uid="{00000000-0005-0000-0000-0000FF150000}"/>
    <cellStyle name="Note 31 2 2 2" xfId="8428" xr:uid="{9A73B0C3-B2BF-4F59-932E-D3930C518D97}"/>
    <cellStyle name="Note 31 2 3" xfId="8427" xr:uid="{5A8AC0F4-0BF1-438A-9F64-8719E86BDD65}"/>
    <cellStyle name="Note 31 3" xfId="5326" xr:uid="{00000000-0005-0000-0000-000000160000}"/>
    <cellStyle name="Note 31_BukuBesar" xfId="5327" xr:uid="{00000000-0005-0000-0000-000001160000}"/>
    <cellStyle name="Note 32" xfId="5328" xr:uid="{00000000-0005-0000-0000-000002160000}"/>
    <cellStyle name="Note 32 2" xfId="5329" xr:uid="{00000000-0005-0000-0000-000003160000}"/>
    <cellStyle name="Note 32 2 2" xfId="5330" xr:uid="{00000000-0005-0000-0000-000004160000}"/>
    <cellStyle name="Note 32 2 2 2" xfId="8430" xr:uid="{8586564F-4104-479F-9A14-E3D4ED9F4B5E}"/>
    <cellStyle name="Note 32 2 3" xfId="8429" xr:uid="{DDA3B2AD-0EC5-4B99-B797-4E032ABE6C1A}"/>
    <cellStyle name="Note 32 3" xfId="5331" xr:uid="{00000000-0005-0000-0000-000005160000}"/>
    <cellStyle name="Note 32_BukuBesar" xfId="5332" xr:uid="{00000000-0005-0000-0000-000006160000}"/>
    <cellStyle name="Note 33" xfId="5333" xr:uid="{00000000-0005-0000-0000-000007160000}"/>
    <cellStyle name="Note 33 2" xfId="5334" xr:uid="{00000000-0005-0000-0000-000008160000}"/>
    <cellStyle name="Note 33 2 2" xfId="5335" xr:uid="{00000000-0005-0000-0000-000009160000}"/>
    <cellStyle name="Note 33 2 2 2" xfId="8432" xr:uid="{4F07A586-3BAB-420A-8B95-E6F486AD195A}"/>
    <cellStyle name="Note 33 2 3" xfId="8431" xr:uid="{003EA448-AFF7-4D14-AF95-ED7A5D0A2C01}"/>
    <cellStyle name="Note 33 3" xfId="5336" xr:uid="{00000000-0005-0000-0000-00000A160000}"/>
    <cellStyle name="Note 33_BukuBesar" xfId="5337" xr:uid="{00000000-0005-0000-0000-00000B160000}"/>
    <cellStyle name="Note 34" xfId="5338" xr:uid="{00000000-0005-0000-0000-00000C160000}"/>
    <cellStyle name="Note 34 2" xfId="5339" xr:uid="{00000000-0005-0000-0000-00000D160000}"/>
    <cellStyle name="Note 34 2 2" xfId="5340" xr:uid="{00000000-0005-0000-0000-00000E160000}"/>
    <cellStyle name="Note 34 2 2 2" xfId="8434" xr:uid="{DF7B2D07-295F-4ED8-BADD-CFD24BB1CCF2}"/>
    <cellStyle name="Note 34 2 3" xfId="8433" xr:uid="{E5A40FD8-CC0C-4A5A-89B6-2275F4755963}"/>
    <cellStyle name="Note 34 3" xfId="5341" xr:uid="{00000000-0005-0000-0000-00000F160000}"/>
    <cellStyle name="Note 34_BukuBesar" xfId="5342" xr:uid="{00000000-0005-0000-0000-000010160000}"/>
    <cellStyle name="Note 35" xfId="5343" xr:uid="{00000000-0005-0000-0000-000011160000}"/>
    <cellStyle name="Note 35 2" xfId="5344" xr:uid="{00000000-0005-0000-0000-000012160000}"/>
    <cellStyle name="Note 35 2 2" xfId="5345" xr:uid="{00000000-0005-0000-0000-000013160000}"/>
    <cellStyle name="Note 35 2 2 2" xfId="8436" xr:uid="{B2BC88C0-16C9-4A87-AD69-CEF450C99E1C}"/>
    <cellStyle name="Note 35 2 3" xfId="8435" xr:uid="{1B3EE1F3-E78A-4299-A38C-D9E2192294BC}"/>
    <cellStyle name="Note 35 3" xfId="5346" xr:uid="{00000000-0005-0000-0000-000014160000}"/>
    <cellStyle name="Note 35_BukuBesar" xfId="5347" xr:uid="{00000000-0005-0000-0000-000015160000}"/>
    <cellStyle name="Note 36" xfId="5348" xr:uid="{00000000-0005-0000-0000-000016160000}"/>
    <cellStyle name="Note 36 2" xfId="5349" xr:uid="{00000000-0005-0000-0000-000017160000}"/>
    <cellStyle name="Note 36 2 2" xfId="5350" xr:uid="{00000000-0005-0000-0000-000018160000}"/>
    <cellStyle name="Note 36 2 2 2" xfId="8438" xr:uid="{1B9CF862-09D1-40DB-B7E1-526CB9B2E96A}"/>
    <cellStyle name="Note 36 2 3" xfId="8437" xr:uid="{113225F2-ACC4-4A44-8826-455D7EC5FAAB}"/>
    <cellStyle name="Note 36 3" xfId="5351" xr:uid="{00000000-0005-0000-0000-000019160000}"/>
    <cellStyle name="Note 36_BukuBesar" xfId="5352" xr:uid="{00000000-0005-0000-0000-00001A160000}"/>
    <cellStyle name="Note 37" xfId="5353" xr:uid="{00000000-0005-0000-0000-00001B160000}"/>
    <cellStyle name="Note 37 2" xfId="5354" xr:uid="{00000000-0005-0000-0000-00001C160000}"/>
    <cellStyle name="Note 37 2 2" xfId="5355" xr:uid="{00000000-0005-0000-0000-00001D160000}"/>
    <cellStyle name="Note 37 2 2 2" xfId="8440" xr:uid="{17F0BCAA-7D77-4E67-A144-B0C641CB6083}"/>
    <cellStyle name="Note 37 2 3" xfId="8439" xr:uid="{17D3B669-2BB9-4625-ADC3-C8F7E978F348}"/>
    <cellStyle name="Note 37 3" xfId="5356" xr:uid="{00000000-0005-0000-0000-00001E160000}"/>
    <cellStyle name="Note 37_BukuBesar" xfId="5357" xr:uid="{00000000-0005-0000-0000-00001F160000}"/>
    <cellStyle name="Note 38" xfId="5358" xr:uid="{00000000-0005-0000-0000-000020160000}"/>
    <cellStyle name="Note 38 2" xfId="5359" xr:uid="{00000000-0005-0000-0000-000021160000}"/>
    <cellStyle name="Note 38 2 2" xfId="5360" xr:uid="{00000000-0005-0000-0000-000022160000}"/>
    <cellStyle name="Note 38 2 2 2" xfId="8442" xr:uid="{4D0BB639-C328-472E-8756-4738FB4F516B}"/>
    <cellStyle name="Note 38 2 3" xfId="8441" xr:uid="{0CEFE19D-2DA8-442B-BFB8-BF18EBC34339}"/>
    <cellStyle name="Note 38 3" xfId="5361" xr:uid="{00000000-0005-0000-0000-000023160000}"/>
    <cellStyle name="Note 38_BukuBesar" xfId="5362" xr:uid="{00000000-0005-0000-0000-000024160000}"/>
    <cellStyle name="Note 39" xfId="5363" xr:uid="{00000000-0005-0000-0000-000025160000}"/>
    <cellStyle name="Note 39 2" xfId="5364" xr:uid="{00000000-0005-0000-0000-000026160000}"/>
    <cellStyle name="Note 39 2 2" xfId="5365" xr:uid="{00000000-0005-0000-0000-000027160000}"/>
    <cellStyle name="Note 39 2 2 2" xfId="8444" xr:uid="{5F29AD0E-484C-4213-A7C7-02B243E596D5}"/>
    <cellStyle name="Note 39 2 3" xfId="8443" xr:uid="{4A789983-7DD2-49BA-97BE-3BAD71D056BB}"/>
    <cellStyle name="Note 39 3" xfId="5366" xr:uid="{00000000-0005-0000-0000-000028160000}"/>
    <cellStyle name="Note 39_BukuBesar" xfId="5367" xr:uid="{00000000-0005-0000-0000-000029160000}"/>
    <cellStyle name="Note 4" xfId="820" xr:uid="{00000000-0005-0000-0000-00002A160000}"/>
    <cellStyle name="Note 4 10" xfId="5368" xr:uid="{00000000-0005-0000-0000-00002B160000}"/>
    <cellStyle name="Note 4 10 2" xfId="8445" xr:uid="{BDFED577-4714-49AF-9596-883FE135BB17}"/>
    <cellStyle name="Note 4 2" xfId="2168" xr:uid="{00000000-0005-0000-0000-00002C160000}"/>
    <cellStyle name="Note 4 2 2" xfId="2169" xr:uid="{00000000-0005-0000-0000-00002D160000}"/>
    <cellStyle name="Note 4 2 2 2" xfId="5369" xr:uid="{00000000-0005-0000-0000-00002E160000}"/>
    <cellStyle name="Note 4 2 2 2 2" xfId="5370" xr:uid="{00000000-0005-0000-0000-00002F160000}"/>
    <cellStyle name="Note 4 2 2 2 2 2" xfId="8447" xr:uid="{507AB58F-D8BB-4E14-AEE1-E6D1E7601586}"/>
    <cellStyle name="Note 4 2 2 2 3" xfId="8446" xr:uid="{B88B8213-CACC-4C2A-A02C-D59ABF58B5F7}"/>
    <cellStyle name="Note 4 2 2 3" xfId="5371" xr:uid="{00000000-0005-0000-0000-000030160000}"/>
    <cellStyle name="Note 4 2 2 4" xfId="5372" xr:uid="{00000000-0005-0000-0000-000031160000}"/>
    <cellStyle name="Note 4 2 2 4 2" xfId="8448" xr:uid="{1E8809AA-53F8-4B53-8652-0A2510347039}"/>
    <cellStyle name="Note 4 2 2_BukuBesar" xfId="5373" xr:uid="{00000000-0005-0000-0000-000032160000}"/>
    <cellStyle name="Note 4 2 3" xfId="5374" xr:uid="{00000000-0005-0000-0000-000033160000}"/>
    <cellStyle name="Note 4 2 3 2" xfId="5375" xr:uid="{00000000-0005-0000-0000-000034160000}"/>
    <cellStyle name="Note 4 2 4" xfId="5376" xr:uid="{00000000-0005-0000-0000-000035160000}"/>
    <cellStyle name="Note 4 2 5" xfId="5377" xr:uid="{00000000-0005-0000-0000-000036160000}"/>
    <cellStyle name="Note 4 2 5 2" xfId="8449" xr:uid="{8E9BBFD8-771C-4992-A1BA-35AE75581139}"/>
    <cellStyle name="Note 4 2_BukuBesar" xfId="5378" xr:uid="{00000000-0005-0000-0000-000037160000}"/>
    <cellStyle name="Note 4 3" xfId="2170" xr:uid="{00000000-0005-0000-0000-000038160000}"/>
    <cellStyle name="Note 4 3 2" xfId="2171" xr:uid="{00000000-0005-0000-0000-000039160000}"/>
    <cellStyle name="Note 4 3 2 2" xfId="5379" xr:uid="{00000000-0005-0000-0000-00003A160000}"/>
    <cellStyle name="Note 4 3 2 2 2" xfId="8450" xr:uid="{F3146788-BCC1-49A9-9A9E-CF5816A89A76}"/>
    <cellStyle name="Note 4 3 3" xfId="5380" xr:uid="{00000000-0005-0000-0000-00003B160000}"/>
    <cellStyle name="Note 4 3_BukuBesar" xfId="5381" xr:uid="{00000000-0005-0000-0000-00003C160000}"/>
    <cellStyle name="Note 4 4" xfId="2172" xr:uid="{00000000-0005-0000-0000-00003D160000}"/>
    <cellStyle name="Note 4 4 2" xfId="5382" xr:uid="{00000000-0005-0000-0000-00003E160000}"/>
    <cellStyle name="Note 4 4 2 2" xfId="8451" xr:uid="{802DEF9F-7ADF-4DCF-9F74-2DCDFA54E9CD}"/>
    <cellStyle name="Note 4 5" xfId="5383" xr:uid="{00000000-0005-0000-0000-00003F160000}"/>
    <cellStyle name="Note 4 5 2" xfId="5384" xr:uid="{00000000-0005-0000-0000-000040160000}"/>
    <cellStyle name="Note 4 5 2 2" xfId="8453" xr:uid="{EB3A1D09-D249-4016-A9D4-0DEC12E8AE34}"/>
    <cellStyle name="Note 4 5 3" xfId="8452" xr:uid="{51EE03C7-3614-4CCE-B177-75D8917EB1C6}"/>
    <cellStyle name="Note 4 6" xfId="5385" xr:uid="{00000000-0005-0000-0000-000041160000}"/>
    <cellStyle name="Note 4 6 2" xfId="8454" xr:uid="{483C5238-D552-47C9-AA78-DC5C07679253}"/>
    <cellStyle name="Note 4 7" xfId="5386" xr:uid="{00000000-0005-0000-0000-000042160000}"/>
    <cellStyle name="Note 4 7 2" xfId="8455" xr:uid="{5FB42CBA-719A-426F-8BA7-4CF7070B28C5}"/>
    <cellStyle name="Note 4 8" xfId="5387" xr:uid="{00000000-0005-0000-0000-000043160000}"/>
    <cellStyle name="Note 4 9" xfId="5388" xr:uid="{00000000-0005-0000-0000-000044160000}"/>
    <cellStyle name="Note 4 9 2" xfId="8456" xr:uid="{2743AFF8-04E9-4148-BB47-8D37A20578C3}"/>
    <cellStyle name="Note 40" xfId="5389" xr:uid="{00000000-0005-0000-0000-000045160000}"/>
    <cellStyle name="Note 40 2" xfId="5390" xr:uid="{00000000-0005-0000-0000-000046160000}"/>
    <cellStyle name="Note 40 2 2" xfId="5391" xr:uid="{00000000-0005-0000-0000-000047160000}"/>
    <cellStyle name="Note 40 2 2 2" xfId="8458" xr:uid="{EC5B7397-9848-4759-9FCE-76704EBDDA33}"/>
    <cellStyle name="Note 40 2 3" xfId="8457" xr:uid="{43A060F6-FC78-4510-B317-576536066934}"/>
    <cellStyle name="Note 40 3" xfId="5392" xr:uid="{00000000-0005-0000-0000-000048160000}"/>
    <cellStyle name="Note 40_BukuBesar" xfId="5393" xr:uid="{00000000-0005-0000-0000-000049160000}"/>
    <cellStyle name="Note 41" xfId="5394" xr:uid="{00000000-0005-0000-0000-00004A160000}"/>
    <cellStyle name="Note 41 2" xfId="5395" xr:uid="{00000000-0005-0000-0000-00004B160000}"/>
    <cellStyle name="Note 41 2 2" xfId="5396" xr:uid="{00000000-0005-0000-0000-00004C160000}"/>
    <cellStyle name="Note 41 2 2 2" xfId="8460" xr:uid="{0F34F9D3-2E84-4813-9015-F0652939A651}"/>
    <cellStyle name="Note 41 2 3" xfId="8459" xr:uid="{D3334D35-7108-4843-8B80-71ADF1AAD3BB}"/>
    <cellStyle name="Note 41 3" xfId="5397" xr:uid="{00000000-0005-0000-0000-00004D160000}"/>
    <cellStyle name="Note 41_BukuBesar" xfId="5398" xr:uid="{00000000-0005-0000-0000-00004E160000}"/>
    <cellStyle name="Note 42" xfId="5399" xr:uid="{00000000-0005-0000-0000-00004F160000}"/>
    <cellStyle name="Note 42 2" xfId="5400" xr:uid="{00000000-0005-0000-0000-000050160000}"/>
    <cellStyle name="Note 42 2 2" xfId="5401" xr:uid="{00000000-0005-0000-0000-000051160000}"/>
    <cellStyle name="Note 42 2 2 2" xfId="8462" xr:uid="{5D68B2AB-E10D-42A4-85A5-77153214B596}"/>
    <cellStyle name="Note 42 2 3" xfId="8461" xr:uid="{5988030F-3296-4893-BB2E-ECCC43143AF1}"/>
    <cellStyle name="Note 42 3" xfId="5402" xr:uid="{00000000-0005-0000-0000-000052160000}"/>
    <cellStyle name="Note 42_BukuBesar" xfId="5403" xr:uid="{00000000-0005-0000-0000-000053160000}"/>
    <cellStyle name="Note 43" xfId="5404" xr:uid="{00000000-0005-0000-0000-000054160000}"/>
    <cellStyle name="Note 43 2" xfId="5405" xr:uid="{00000000-0005-0000-0000-000055160000}"/>
    <cellStyle name="Note 43 2 2" xfId="5406" xr:uid="{00000000-0005-0000-0000-000056160000}"/>
    <cellStyle name="Note 43 2 2 2" xfId="8464" xr:uid="{23D2CD25-6DED-4F40-96A9-229DBCA4C15B}"/>
    <cellStyle name="Note 43 2 3" xfId="8463" xr:uid="{C95BC14E-C399-4C54-94B4-685A53C55071}"/>
    <cellStyle name="Note 43 3" xfId="5407" xr:uid="{00000000-0005-0000-0000-000057160000}"/>
    <cellStyle name="Note 43_BukuBesar" xfId="5408" xr:uid="{00000000-0005-0000-0000-000058160000}"/>
    <cellStyle name="Note 44" xfId="5409" xr:uid="{00000000-0005-0000-0000-000059160000}"/>
    <cellStyle name="Note 44 2" xfId="5410" xr:uid="{00000000-0005-0000-0000-00005A160000}"/>
    <cellStyle name="Note 44 2 2" xfId="5411" xr:uid="{00000000-0005-0000-0000-00005B160000}"/>
    <cellStyle name="Note 44 2 2 2" xfId="8466" xr:uid="{16939154-DA8E-4544-BFEB-64D77DDF5EBB}"/>
    <cellStyle name="Note 44 2 3" xfId="8465" xr:uid="{10E5A1C6-11A6-4AA8-BFE4-DCC0D71DE16B}"/>
    <cellStyle name="Note 44 3" xfId="5412" xr:uid="{00000000-0005-0000-0000-00005C160000}"/>
    <cellStyle name="Note 44_BukuBesar" xfId="5413" xr:uid="{00000000-0005-0000-0000-00005D160000}"/>
    <cellStyle name="Note 45" xfId="5414" xr:uid="{00000000-0005-0000-0000-00005E160000}"/>
    <cellStyle name="Note 45 2" xfId="5415" xr:uid="{00000000-0005-0000-0000-00005F160000}"/>
    <cellStyle name="Note 45 2 2" xfId="5416" xr:uid="{00000000-0005-0000-0000-000060160000}"/>
    <cellStyle name="Note 45 2 2 2" xfId="8468" xr:uid="{DD5E241A-FBB9-48C0-8DF1-5BA5F4B664F9}"/>
    <cellStyle name="Note 45 2 3" xfId="8467" xr:uid="{32859089-5172-4987-9202-4F78B9FA8496}"/>
    <cellStyle name="Note 45 3" xfId="5417" xr:uid="{00000000-0005-0000-0000-000061160000}"/>
    <cellStyle name="Note 45_BukuBesar" xfId="5418" xr:uid="{00000000-0005-0000-0000-000062160000}"/>
    <cellStyle name="Note 46" xfId="5419" xr:uid="{00000000-0005-0000-0000-000063160000}"/>
    <cellStyle name="Note 46 2" xfId="5420" xr:uid="{00000000-0005-0000-0000-000064160000}"/>
    <cellStyle name="Note 46 2 2" xfId="5421" xr:uid="{00000000-0005-0000-0000-000065160000}"/>
    <cellStyle name="Note 46 2 2 2" xfId="8470" xr:uid="{C3317768-406D-451E-B8F0-C03596418640}"/>
    <cellStyle name="Note 46 2 3" xfId="8469" xr:uid="{2091D9CC-3AE6-4203-B1DA-F629A384DAF8}"/>
    <cellStyle name="Note 46 3" xfId="5422" xr:uid="{00000000-0005-0000-0000-000066160000}"/>
    <cellStyle name="Note 46_BukuBesar" xfId="5423" xr:uid="{00000000-0005-0000-0000-000067160000}"/>
    <cellStyle name="Note 47" xfId="5424" xr:uid="{00000000-0005-0000-0000-000068160000}"/>
    <cellStyle name="Note 47 2" xfId="5425" xr:uid="{00000000-0005-0000-0000-000069160000}"/>
    <cellStyle name="Note 47 2 2" xfId="5426" xr:uid="{00000000-0005-0000-0000-00006A160000}"/>
    <cellStyle name="Note 47 2 2 2" xfId="8472" xr:uid="{7BE7F989-25E1-49E2-B65F-5BA5CE1B72F9}"/>
    <cellStyle name="Note 47 2 3" xfId="8471" xr:uid="{129AEBB9-0ED4-4465-B0A7-081A5520D13A}"/>
    <cellStyle name="Note 47 3" xfId="5427" xr:uid="{00000000-0005-0000-0000-00006B160000}"/>
    <cellStyle name="Note 47_BukuBesar" xfId="5428" xr:uid="{00000000-0005-0000-0000-00006C160000}"/>
    <cellStyle name="Note 48" xfId="5429" xr:uid="{00000000-0005-0000-0000-00006D160000}"/>
    <cellStyle name="Note 48 2" xfId="5430" xr:uid="{00000000-0005-0000-0000-00006E160000}"/>
    <cellStyle name="Note 48 2 2" xfId="5431" xr:uid="{00000000-0005-0000-0000-00006F160000}"/>
    <cellStyle name="Note 48 2 2 2" xfId="8474" xr:uid="{BC5395CC-C425-4F13-943A-2888EA293C5A}"/>
    <cellStyle name="Note 48 2 3" xfId="8473" xr:uid="{7BC97263-CD2D-4212-93DD-1CAA9598BCAE}"/>
    <cellStyle name="Note 48 3" xfId="5432" xr:uid="{00000000-0005-0000-0000-000070160000}"/>
    <cellStyle name="Note 48_BukuBesar" xfId="5433" xr:uid="{00000000-0005-0000-0000-000071160000}"/>
    <cellStyle name="Note 49" xfId="5434" xr:uid="{00000000-0005-0000-0000-000072160000}"/>
    <cellStyle name="Note 49 2" xfId="5435" xr:uid="{00000000-0005-0000-0000-000073160000}"/>
    <cellStyle name="Note 49 2 2" xfId="5436" xr:uid="{00000000-0005-0000-0000-000074160000}"/>
    <cellStyle name="Note 49 2 2 2" xfId="8476" xr:uid="{D7FEFB2D-5BF7-4BA7-82BD-5DD5A349978A}"/>
    <cellStyle name="Note 49 2 3" xfId="8475" xr:uid="{500DDC3D-5DD1-4E04-AF5F-562D8F169193}"/>
    <cellStyle name="Note 49 3" xfId="5437" xr:uid="{00000000-0005-0000-0000-000075160000}"/>
    <cellStyle name="Note 49_BukuBesar" xfId="5438" xr:uid="{00000000-0005-0000-0000-000076160000}"/>
    <cellStyle name="Note 5" xfId="821" xr:uid="{00000000-0005-0000-0000-000077160000}"/>
    <cellStyle name="Note 5 10" xfId="5439" xr:uid="{00000000-0005-0000-0000-000078160000}"/>
    <cellStyle name="Note 5 10 2" xfId="8477" xr:uid="{97467FB6-070A-40B1-A2D0-FE7FF3879CFB}"/>
    <cellStyle name="Note 5 2" xfId="2173" xr:uid="{00000000-0005-0000-0000-000079160000}"/>
    <cellStyle name="Note 5 2 2" xfId="5440" xr:uid="{00000000-0005-0000-0000-00007A160000}"/>
    <cellStyle name="Note 5 2 2 2" xfId="5441" xr:uid="{00000000-0005-0000-0000-00007B160000}"/>
    <cellStyle name="Note 5 2 2 2 2" xfId="5442" xr:uid="{00000000-0005-0000-0000-00007C160000}"/>
    <cellStyle name="Note 5 2 2 2 2 2" xfId="8479" xr:uid="{9B23F5D4-8407-4B3E-BEA2-BDD448CC98E5}"/>
    <cellStyle name="Note 5 2 2 2 3" xfId="8478" xr:uid="{9B5C2C30-C966-4FF1-B913-85D4F0E69769}"/>
    <cellStyle name="Note 5 2 2 3" xfId="5443" xr:uid="{00000000-0005-0000-0000-00007D160000}"/>
    <cellStyle name="Note 5 2 2_BukuBesar" xfId="5444" xr:uid="{00000000-0005-0000-0000-00007E160000}"/>
    <cellStyle name="Note 5 2 3" xfId="5445" xr:uid="{00000000-0005-0000-0000-00007F160000}"/>
    <cellStyle name="Note 5 2 3 2" xfId="5446" xr:uid="{00000000-0005-0000-0000-000080160000}"/>
    <cellStyle name="Note 5 2 4" xfId="5447" xr:uid="{00000000-0005-0000-0000-000081160000}"/>
    <cellStyle name="Note 5 2 5" xfId="5448" xr:uid="{00000000-0005-0000-0000-000082160000}"/>
    <cellStyle name="Note 5 2 5 2" xfId="8480" xr:uid="{87AD4371-991E-4E76-BEAB-39DE98FAB72E}"/>
    <cellStyle name="Note 5 2 6" xfId="5449" xr:uid="{00000000-0005-0000-0000-000083160000}"/>
    <cellStyle name="Note 5 2 6 2" xfId="8481" xr:uid="{89183434-F009-4796-9340-AF4FC4306106}"/>
    <cellStyle name="Note 5 2 7" xfId="5450" xr:uid="{00000000-0005-0000-0000-000084160000}"/>
    <cellStyle name="Note 5 2 7 2" xfId="8482" xr:uid="{1EB6B3AA-2E84-4D77-B9D8-56DA09F3B942}"/>
    <cellStyle name="Note 5 2 8" xfId="7510" xr:uid="{0E4C3416-B670-40AE-824D-5986E2E4DD32}"/>
    <cellStyle name="Note 5 2 9" xfId="8568" xr:uid="{A9B3B121-6776-470C-880C-04C127B7D9A9}"/>
    <cellStyle name="Note 5 2_BukuBesar" xfId="5451" xr:uid="{00000000-0005-0000-0000-000085160000}"/>
    <cellStyle name="Note 5 3" xfId="2174" xr:uid="{00000000-0005-0000-0000-000086160000}"/>
    <cellStyle name="Note 5 3 2" xfId="5452" xr:uid="{00000000-0005-0000-0000-000087160000}"/>
    <cellStyle name="Note 5 3 2 2" xfId="5453" xr:uid="{00000000-0005-0000-0000-000088160000}"/>
    <cellStyle name="Note 5 3 2 2 2" xfId="8484" xr:uid="{F9484EFD-C415-400D-A1B9-E12FF93F6AAB}"/>
    <cellStyle name="Note 5 3 2 3" xfId="8483" xr:uid="{3E58F0A2-86EE-438E-87E2-7B65BFBE4902}"/>
    <cellStyle name="Note 5 3 3" xfId="5454" xr:uid="{00000000-0005-0000-0000-000089160000}"/>
    <cellStyle name="Note 5 3 4" xfId="5455" xr:uid="{00000000-0005-0000-0000-00008A160000}"/>
    <cellStyle name="Note 5 3 4 2" xfId="8485" xr:uid="{C09DD8C7-A3C8-4B90-B89E-01C881135D90}"/>
    <cellStyle name="Note 5 3_BukuBesar" xfId="5456" xr:uid="{00000000-0005-0000-0000-00008B160000}"/>
    <cellStyle name="Note 5 4" xfId="5457" xr:uid="{00000000-0005-0000-0000-00008C160000}"/>
    <cellStyle name="Note 5 4 2" xfId="5458" xr:uid="{00000000-0005-0000-0000-00008D160000}"/>
    <cellStyle name="Note 5 4 2 2" xfId="8486" xr:uid="{E5C21E80-F55A-4210-88DE-8F8D971B5D64}"/>
    <cellStyle name="Note 5 5" xfId="5459" xr:uid="{00000000-0005-0000-0000-00008E160000}"/>
    <cellStyle name="Note 5 5 2" xfId="5460" xr:uid="{00000000-0005-0000-0000-00008F160000}"/>
    <cellStyle name="Note 5 5 2 2" xfId="8488" xr:uid="{A56303D8-D001-4EEA-8C92-695AA0F8FA5E}"/>
    <cellStyle name="Note 5 5 3" xfId="8487" xr:uid="{13976690-B575-4F67-966C-88A1BD92BE64}"/>
    <cellStyle name="Note 5 6" xfId="5461" xr:uid="{00000000-0005-0000-0000-000090160000}"/>
    <cellStyle name="Note 5 6 2" xfId="8489" xr:uid="{E9A75F12-E302-47CF-B263-E87E1EBB7B17}"/>
    <cellStyle name="Note 5 7" xfId="5462" xr:uid="{00000000-0005-0000-0000-000091160000}"/>
    <cellStyle name="Note 5 7 2" xfId="8490" xr:uid="{F6282665-2241-4B9D-B56F-53FB511229DD}"/>
    <cellStyle name="Note 5 8" xfId="5463" xr:uid="{00000000-0005-0000-0000-000092160000}"/>
    <cellStyle name="Note 5 9" xfId="5464" xr:uid="{00000000-0005-0000-0000-000093160000}"/>
    <cellStyle name="Note 5 9 2" xfId="8491" xr:uid="{FF659415-103D-48C6-95CB-33CF36C726B9}"/>
    <cellStyle name="Note 50" xfId="5465" xr:uid="{00000000-0005-0000-0000-000094160000}"/>
    <cellStyle name="Note 50 2" xfId="5466" xr:uid="{00000000-0005-0000-0000-000095160000}"/>
    <cellStyle name="Note 6" xfId="822" xr:uid="{00000000-0005-0000-0000-000096160000}"/>
    <cellStyle name="Note 6 10" xfId="5467" xr:uid="{00000000-0005-0000-0000-000097160000}"/>
    <cellStyle name="Note 6 10 2" xfId="8492" xr:uid="{FDF69343-B3F4-4887-8A30-70FBD4C9FB39}"/>
    <cellStyle name="Note 6 2" xfId="2175" xr:uid="{00000000-0005-0000-0000-000098160000}"/>
    <cellStyle name="Note 6 2 2" xfId="5468" xr:uid="{00000000-0005-0000-0000-000099160000}"/>
    <cellStyle name="Note 6 2 2 2" xfId="5469" xr:uid="{00000000-0005-0000-0000-00009A160000}"/>
    <cellStyle name="Note 6 2 2 2 2" xfId="8494" xr:uid="{BE699617-1B27-466D-8CF2-F3F3ADDF18D2}"/>
    <cellStyle name="Note 6 2 2 3" xfId="8493" xr:uid="{827B8740-204A-4F8B-9CEC-4EA1C5FD68E9}"/>
    <cellStyle name="Note 6 2 3" xfId="5470" xr:uid="{00000000-0005-0000-0000-00009B160000}"/>
    <cellStyle name="Note 6 2 4" xfId="5471" xr:uid="{00000000-0005-0000-0000-00009C160000}"/>
    <cellStyle name="Note 6 2 4 2" xfId="8495" xr:uid="{FCC1270A-56D3-4294-8241-AEDC821D2029}"/>
    <cellStyle name="Note 6 2_BukuBesar" xfId="5472" xr:uid="{00000000-0005-0000-0000-00009D160000}"/>
    <cellStyle name="Note 6 3" xfId="2176" xr:uid="{00000000-0005-0000-0000-00009E160000}"/>
    <cellStyle name="Note 6 3 2" xfId="5473" xr:uid="{00000000-0005-0000-0000-00009F160000}"/>
    <cellStyle name="Note 6 3 2 2" xfId="8496" xr:uid="{8ADB2941-EE5A-41D1-BC08-CAF3EA98AF75}"/>
    <cellStyle name="Note 6 3 3" xfId="5474" xr:uid="{00000000-0005-0000-0000-0000A0160000}"/>
    <cellStyle name="Note 6 3 3 2" xfId="8497" xr:uid="{6EDE7B17-EC88-4142-A476-CABB8D8A7D1F}"/>
    <cellStyle name="Note 6 4" xfId="5475" xr:uid="{00000000-0005-0000-0000-0000A1160000}"/>
    <cellStyle name="Note 6 4 2" xfId="5476" xr:uid="{00000000-0005-0000-0000-0000A2160000}"/>
    <cellStyle name="Note 6 4 2 2" xfId="8498" xr:uid="{8544CC21-0B80-43F3-B504-F2FADA819843}"/>
    <cellStyle name="Note 6 5" xfId="5477" xr:uid="{00000000-0005-0000-0000-0000A3160000}"/>
    <cellStyle name="Note 6 5 2" xfId="5478" xr:uid="{00000000-0005-0000-0000-0000A4160000}"/>
    <cellStyle name="Note 6 5 2 2" xfId="8500" xr:uid="{401CC2B3-B48A-48F8-B8B7-2663AAB52014}"/>
    <cellStyle name="Note 6 5 3" xfId="8499" xr:uid="{06C1F8EF-7299-42BF-83BC-72011F3F9178}"/>
    <cellStyle name="Note 6 6" xfId="5479" xr:uid="{00000000-0005-0000-0000-0000A5160000}"/>
    <cellStyle name="Note 6 6 2" xfId="8501" xr:uid="{3D4C2316-2998-4B75-A550-3669C1F19355}"/>
    <cellStyle name="Note 6 7" xfId="5480" xr:uid="{00000000-0005-0000-0000-0000A6160000}"/>
    <cellStyle name="Note 6 7 2" xfId="8502" xr:uid="{FE4AC337-3345-4EA8-9600-15345689228F}"/>
    <cellStyle name="Note 6 8" xfId="5481" xr:uid="{00000000-0005-0000-0000-0000A7160000}"/>
    <cellStyle name="Note 6 9" xfId="5482" xr:uid="{00000000-0005-0000-0000-0000A8160000}"/>
    <cellStyle name="Note 6 9 2" xfId="8503" xr:uid="{0030521B-DBB8-463E-84A7-2610323C31FF}"/>
    <cellStyle name="Note 6_BukuBesar" xfId="5483" xr:uid="{00000000-0005-0000-0000-0000A9160000}"/>
    <cellStyle name="Note 7" xfId="823" xr:uid="{00000000-0005-0000-0000-0000AA160000}"/>
    <cellStyle name="Note 7 2" xfId="2177" xr:uid="{00000000-0005-0000-0000-0000AB160000}"/>
    <cellStyle name="Note 7 2 2" xfId="5484" xr:uid="{00000000-0005-0000-0000-0000AC160000}"/>
    <cellStyle name="Note 7 2 2 2" xfId="8504" xr:uid="{7B3BB879-0A91-4F8C-B387-A7FFA2D77F61}"/>
    <cellStyle name="Note 7 2 3" xfId="5485" xr:uid="{00000000-0005-0000-0000-0000AD160000}"/>
    <cellStyle name="Note 7 2 3 2" xfId="8505" xr:uid="{8BEEA609-116A-410E-B2B2-4E76546D1E0B}"/>
    <cellStyle name="Note 7 3" xfId="2178" xr:uid="{00000000-0005-0000-0000-0000AE160000}"/>
    <cellStyle name="Note 7 3 2" xfId="5486" xr:uid="{00000000-0005-0000-0000-0000AF160000}"/>
    <cellStyle name="Note 7 3 2 2" xfId="8506" xr:uid="{1A85449B-F1C2-4FCF-A4DF-7A79913690D8}"/>
    <cellStyle name="Note 7 4" xfId="5487" xr:uid="{00000000-0005-0000-0000-0000B0160000}"/>
    <cellStyle name="Note 7 4 2" xfId="8507" xr:uid="{6F4FFE2B-7842-4405-AA76-963AA5454ABB}"/>
    <cellStyle name="Note 7 5" xfId="5488" xr:uid="{00000000-0005-0000-0000-0000B1160000}"/>
    <cellStyle name="Note 7_BukuBesar" xfId="5489" xr:uid="{00000000-0005-0000-0000-0000B2160000}"/>
    <cellStyle name="Note 8" xfId="824" xr:uid="{00000000-0005-0000-0000-0000B3160000}"/>
    <cellStyle name="Note 8 2" xfId="2179" xr:uid="{00000000-0005-0000-0000-0000B4160000}"/>
    <cellStyle name="Note 8 2 2" xfId="5490" xr:uid="{00000000-0005-0000-0000-0000B5160000}"/>
    <cellStyle name="Note 8 2 2 2" xfId="8508" xr:uid="{41AEB954-15C3-46FD-8923-F2E28348C68F}"/>
    <cellStyle name="Note 8 2 3" xfId="5491" xr:uid="{00000000-0005-0000-0000-0000B6160000}"/>
    <cellStyle name="Note 8 2 3 2" xfId="8509" xr:uid="{B5746F36-E6DE-4E0D-A1A5-68E667AE2459}"/>
    <cellStyle name="Note 8 3" xfId="2180" xr:uid="{00000000-0005-0000-0000-0000B7160000}"/>
    <cellStyle name="Note 8 3 2" xfId="5492" xr:uid="{00000000-0005-0000-0000-0000B8160000}"/>
    <cellStyle name="Note 8 3 2 2" xfId="8510" xr:uid="{EEBBAC13-ECAB-4B98-872D-4622C9C9D1A0}"/>
    <cellStyle name="Note 8 4" xfId="5493" xr:uid="{00000000-0005-0000-0000-0000B9160000}"/>
    <cellStyle name="Note 8 4 2" xfId="8511" xr:uid="{AFCB7443-B1DE-4CD6-88A2-6FE0DA1A49BF}"/>
    <cellStyle name="Note 8 5" xfId="5494" xr:uid="{00000000-0005-0000-0000-0000BA160000}"/>
    <cellStyle name="Note 8_BukuBesar" xfId="5495" xr:uid="{00000000-0005-0000-0000-0000BB160000}"/>
    <cellStyle name="Note 9" xfId="825" xr:uid="{00000000-0005-0000-0000-0000BC160000}"/>
    <cellStyle name="Note 9 2" xfId="2181" xr:uid="{00000000-0005-0000-0000-0000BD160000}"/>
    <cellStyle name="Note 9 2 2" xfId="5496" xr:uid="{00000000-0005-0000-0000-0000BE160000}"/>
    <cellStyle name="Note 9 2 2 2" xfId="8512" xr:uid="{BB6C6A67-E0CE-4EE1-B5FE-AF58CE24EFC7}"/>
    <cellStyle name="Note 9 2 3" xfId="5497" xr:uid="{00000000-0005-0000-0000-0000BF160000}"/>
    <cellStyle name="Note 9 2 3 2" xfId="8513" xr:uid="{6959AED5-CD37-4083-8A8F-90A08846A590}"/>
    <cellStyle name="Note 9 3" xfId="2182" xr:uid="{00000000-0005-0000-0000-0000C0160000}"/>
    <cellStyle name="Note 9 3 2" xfId="5498" xr:uid="{00000000-0005-0000-0000-0000C1160000}"/>
    <cellStyle name="Note 9 3 2 2" xfId="8514" xr:uid="{87822A21-A4BE-4161-B6CE-8C0C52932B88}"/>
    <cellStyle name="Note 9 4" xfId="5499" xr:uid="{00000000-0005-0000-0000-0000C2160000}"/>
    <cellStyle name="Note 9 4 2" xfId="8515" xr:uid="{4307BF5D-CDEF-4E41-B24E-5D523AF121B1}"/>
    <cellStyle name="Note 9 5" xfId="5500" xr:uid="{00000000-0005-0000-0000-0000C3160000}"/>
    <cellStyle name="Note 9_BukuBesar" xfId="5501" xr:uid="{00000000-0005-0000-0000-0000C4160000}"/>
    <cellStyle name="Œ…‹æØ‚è [0.00]_Region Orders (2)" xfId="826" xr:uid="{00000000-0005-0000-0000-0000C5160000}"/>
    <cellStyle name="Œ…‹æØ‚è_Region Orders (2)" xfId="827" xr:uid="{00000000-0005-0000-0000-0000C6160000}"/>
    <cellStyle name="Output 2" xfId="828" xr:uid="{00000000-0005-0000-0000-0000C7160000}"/>
    <cellStyle name="Output 2 2" xfId="2183" xr:uid="{00000000-0005-0000-0000-0000C8160000}"/>
    <cellStyle name="Output 2 2 2" xfId="5502" xr:uid="{00000000-0005-0000-0000-0000C9160000}"/>
    <cellStyle name="Output 2 2 2 2" xfId="8516" xr:uid="{3873C59B-AA7A-44FC-86B1-727847F6FD90}"/>
    <cellStyle name="Output 2 2 3" xfId="5503" xr:uid="{00000000-0005-0000-0000-0000CA160000}"/>
    <cellStyle name="Output 2 2 3 2" xfId="8517" xr:uid="{C908BC0E-7E31-4686-A668-C1EF5318573A}"/>
    <cellStyle name="Output 2 2 4" xfId="6312" xr:uid="{00000000-0005-0000-0000-0000CB160000}"/>
    <cellStyle name="Output 2 2 4 2" xfId="9099" xr:uid="{9C7C91DB-FEB9-4B6E-BC5C-56653705833D}"/>
    <cellStyle name="Output 2 2 4 3" xfId="9792" xr:uid="{5F36D668-BFE0-4247-B2EA-6DECDEE2BF53}"/>
    <cellStyle name="Output 2 3" xfId="2184" xr:uid="{00000000-0005-0000-0000-0000CC160000}"/>
    <cellStyle name="Output 2 3 2" xfId="6313" xr:uid="{00000000-0005-0000-0000-0000CD160000}"/>
    <cellStyle name="Output 2 3 2 2" xfId="9100" xr:uid="{612451A2-F28B-40E2-B2F0-ED59D68AE4BE}"/>
    <cellStyle name="Output 2 3 2 3" xfId="9793" xr:uid="{731C061B-9F87-47A5-90BE-82BC58E8171B}"/>
    <cellStyle name="Output 2 3 3" xfId="7511" xr:uid="{3F89A7E9-6BA2-45B9-9856-5C53A1A766F2}"/>
    <cellStyle name="Output 2 3 4" xfId="9218" xr:uid="{B4C598A4-60D2-4C6D-B9E6-32F4D956D77E}"/>
    <cellStyle name="Output 2 4" xfId="5504" xr:uid="{00000000-0005-0000-0000-0000CE160000}"/>
    <cellStyle name="Output 2 4 2" xfId="6314" xr:uid="{00000000-0005-0000-0000-0000CF160000}"/>
    <cellStyle name="Output 2 4 2 2" xfId="9101" xr:uid="{2A781AB5-E15A-4F2E-B88F-74F0E2A299A8}"/>
    <cellStyle name="Output 2 4 2 3" xfId="9794" xr:uid="{BC48CFB0-EA6E-49BC-AA43-B9568628558B}"/>
    <cellStyle name="Output 2 4 3" xfId="8518" xr:uid="{9A8B6723-6522-4C0A-88CD-313A17B69268}"/>
    <cellStyle name="Output 2 5" xfId="5949" xr:uid="{00000000-0005-0000-0000-0000D0160000}"/>
    <cellStyle name="Output 2 5 2" xfId="8794" xr:uid="{4DA3E837-6352-4587-8DA9-BED0B53C11CB}"/>
    <cellStyle name="Output 2 5 3" xfId="9760" xr:uid="{C5EEA373-73DA-4EFD-816F-FBADCC389256}"/>
    <cellStyle name="Output 2 6" xfId="7132" xr:uid="{76EC526E-3606-478E-BC44-52F1A5D4901A}"/>
    <cellStyle name="Output 2 6 2" xfId="9657" xr:uid="{82A3BE31-D89A-49FA-85C2-0052DAA16E6E}"/>
    <cellStyle name="Output 2 6 3" xfId="9870" xr:uid="{ADE1118B-126A-42CD-B77E-EBFDD4CCF7AE}"/>
    <cellStyle name="Output 3" xfId="5950" xr:uid="{00000000-0005-0000-0000-0000D1160000}"/>
    <cellStyle name="Output 3 2" xfId="6315" xr:uid="{00000000-0005-0000-0000-0000D2160000}"/>
    <cellStyle name="Output 3 2 2" xfId="9102" xr:uid="{2E8E445C-84D6-4BF4-86E3-9209AD51020E}"/>
    <cellStyle name="Output 3 2 3" xfId="9795" xr:uid="{548141D6-0CE1-4ABC-8C83-AE9B209E1BA8}"/>
    <cellStyle name="Output 3 3" xfId="6316" xr:uid="{00000000-0005-0000-0000-0000D3160000}"/>
    <cellStyle name="Output 3 3 2" xfId="9103" xr:uid="{9427E30D-D596-498F-8EB5-DD969DE6F633}"/>
    <cellStyle name="Output 3 3 3" xfId="9796" xr:uid="{EA7B4881-F3A4-4A90-8C4C-159278A25A01}"/>
    <cellStyle name="Output 3 4" xfId="6317" xr:uid="{00000000-0005-0000-0000-0000D4160000}"/>
    <cellStyle name="Output 3 4 2" xfId="9104" xr:uid="{14B0EA56-B855-495B-90C4-635020425F7D}"/>
    <cellStyle name="Output 3 4 3" xfId="9797" xr:uid="{CF1639E6-9F80-4C6F-909F-8C70614FB45F}"/>
    <cellStyle name="Output 3 5" xfId="8795" xr:uid="{28F9EB1E-F8F3-432C-A8D7-9083DE7A9ED4}"/>
    <cellStyle name="Output 3 6" xfId="9761" xr:uid="{7DB9BFA7-5959-4C83-8330-14F8DFB89708}"/>
    <cellStyle name="per.style" xfId="829" xr:uid="{00000000-0005-0000-0000-0000D5160000}"/>
    <cellStyle name="per.style 2" xfId="2185" xr:uid="{00000000-0005-0000-0000-0000D6160000}"/>
    <cellStyle name="Percent" xfId="6362" builtinId="5"/>
    <cellStyle name="Percent [0]" xfId="830" xr:uid="{00000000-0005-0000-0000-0000D7160000}"/>
    <cellStyle name="Percent [0] 2" xfId="7133" xr:uid="{0DDC0502-D0C8-49AD-BD6C-6D1C75641137}"/>
    <cellStyle name="Percent [00]" xfId="831" xr:uid="{00000000-0005-0000-0000-0000D8160000}"/>
    <cellStyle name="Percent [00] 2" xfId="5952" xr:uid="{00000000-0005-0000-0000-0000D9160000}"/>
    <cellStyle name="Percent [00] 2 2" xfId="6320" xr:uid="{00000000-0005-0000-0000-0000DA160000}"/>
    <cellStyle name="Percent [00] 2 2 2" xfId="9106" xr:uid="{48FC25A0-EF95-42FD-B3D9-6B401F0C6926}"/>
    <cellStyle name="Percent [00] 2 3" xfId="7135" xr:uid="{C3AFDCA9-59CC-4E18-A60E-E943A43A35BE}"/>
    <cellStyle name="Percent [00] 2 3 2" xfId="9659" xr:uid="{F049BAB7-478E-4F71-BE51-8FFDBCE5CDD4}"/>
    <cellStyle name="Percent [00] 2 4" xfId="8797" xr:uid="{440F7166-99C8-4A9C-ACB4-8942E80C5806}"/>
    <cellStyle name="Percent [00] 3" xfId="6321" xr:uid="{00000000-0005-0000-0000-0000DB160000}"/>
    <cellStyle name="Percent [00] 3 2" xfId="9107" xr:uid="{1B54BF1A-6F5C-4B9A-91AA-471FE7406A75}"/>
    <cellStyle name="Percent [00] 4" xfId="6319" xr:uid="{00000000-0005-0000-0000-0000DC160000}"/>
    <cellStyle name="Percent [00] 4 2" xfId="9105" xr:uid="{992EE6AF-72E1-4737-BD8F-24E70409FB05}"/>
    <cellStyle name="Percent [00] 5" xfId="7134" xr:uid="{CA1C102B-F420-4FB8-82E7-07DF123642DE}"/>
    <cellStyle name="Percent [00] 5 2" xfId="9658" xr:uid="{FD77B0F8-0747-458D-A420-AB59B197C105}"/>
    <cellStyle name="Percent [00] 6" xfId="7378" xr:uid="{3C1D666A-90BB-4EB6-A8D6-09F7B77BDE0B}"/>
    <cellStyle name="Percent [2]" xfId="832" xr:uid="{00000000-0005-0000-0000-0000DD160000}"/>
    <cellStyle name="Percent [2] 2" xfId="833" xr:uid="{00000000-0005-0000-0000-0000DE160000}"/>
    <cellStyle name="Percent [2] 2 2" xfId="2186" xr:uid="{00000000-0005-0000-0000-0000DF160000}"/>
    <cellStyle name="Percent [2] 3" xfId="2187" xr:uid="{00000000-0005-0000-0000-0000E0160000}"/>
    <cellStyle name="Percent 10" xfId="834" xr:uid="{00000000-0005-0000-0000-0000E1160000}"/>
    <cellStyle name="Percent 10 2" xfId="2188" xr:uid="{00000000-0005-0000-0000-0000E2160000}"/>
    <cellStyle name="Percent 10 3" xfId="7136" xr:uid="{05093D14-F191-468C-9FCC-C10BF1D97107}"/>
    <cellStyle name="Percent 11" xfId="835" xr:uid="{00000000-0005-0000-0000-0000E3160000}"/>
    <cellStyle name="Percent 11 2" xfId="836" xr:uid="{00000000-0005-0000-0000-0000E4160000}"/>
    <cellStyle name="Percent 11 2 2" xfId="2189" xr:uid="{00000000-0005-0000-0000-0000E5160000}"/>
    <cellStyle name="Percent 11 3" xfId="2190" xr:uid="{00000000-0005-0000-0000-0000E6160000}"/>
    <cellStyle name="Percent 12" xfId="837" xr:uid="{00000000-0005-0000-0000-0000E7160000}"/>
    <cellStyle name="Percent 12 2" xfId="838" xr:uid="{00000000-0005-0000-0000-0000E8160000}"/>
    <cellStyle name="Percent 12 2 2" xfId="2191" xr:uid="{00000000-0005-0000-0000-0000E9160000}"/>
    <cellStyle name="Percent 12 3" xfId="2192" xr:uid="{00000000-0005-0000-0000-0000EA160000}"/>
    <cellStyle name="Percent 13" xfId="839" xr:uid="{00000000-0005-0000-0000-0000EB160000}"/>
    <cellStyle name="Percent 13 2" xfId="840" xr:uid="{00000000-0005-0000-0000-0000EC160000}"/>
    <cellStyle name="Percent 13 2 2" xfId="2193" xr:uid="{00000000-0005-0000-0000-0000ED160000}"/>
    <cellStyle name="Percent 13 2 2 2" xfId="5505" xr:uid="{00000000-0005-0000-0000-0000EE160000}"/>
    <cellStyle name="Percent 13 2 3" xfId="2194" xr:uid="{00000000-0005-0000-0000-0000EF160000}"/>
    <cellStyle name="Percent 13 2 3 2" xfId="5506" xr:uid="{00000000-0005-0000-0000-0000F0160000}"/>
    <cellStyle name="Percent 13 2 4" xfId="5507" xr:uid="{00000000-0005-0000-0000-0000F1160000}"/>
    <cellStyle name="Percent 13 2 5" xfId="7122" xr:uid="{4CDDBB5D-9235-431A-8D18-07D24C0BAE49}"/>
    <cellStyle name="Percent 13 3" xfId="2195" xr:uid="{00000000-0005-0000-0000-0000F2160000}"/>
    <cellStyle name="Percent 13 3 2" xfId="5508" xr:uid="{00000000-0005-0000-0000-0000F3160000}"/>
    <cellStyle name="Percent 13 4" xfId="2196" xr:uid="{00000000-0005-0000-0000-0000F4160000}"/>
    <cellStyle name="Percent 13 4 2" xfId="5509" xr:uid="{00000000-0005-0000-0000-0000F5160000}"/>
    <cellStyle name="Percent 13 5" xfId="5510" xr:uid="{00000000-0005-0000-0000-0000F6160000}"/>
    <cellStyle name="Percent 13 6" xfId="5954" xr:uid="{00000000-0005-0000-0000-0000F7160000}"/>
    <cellStyle name="Percent 13 7" xfId="7137" xr:uid="{F33B2A99-748D-4527-85F7-31462C95A744}"/>
    <cellStyle name="Percent 14" xfId="841" xr:uid="{00000000-0005-0000-0000-0000F8160000}"/>
    <cellStyle name="Percent 14 2" xfId="2197" xr:uid="{00000000-0005-0000-0000-0000F9160000}"/>
    <cellStyle name="Percent 14 2 2" xfId="5511" xr:uid="{00000000-0005-0000-0000-0000FA160000}"/>
    <cellStyle name="Percent 14 3" xfId="2198" xr:uid="{00000000-0005-0000-0000-0000FB160000}"/>
    <cellStyle name="Percent 14 4" xfId="7138" xr:uid="{A89C3D40-91AC-476F-A8FC-B2852BA8D293}"/>
    <cellStyle name="Percent 15" xfId="2199" xr:uid="{00000000-0005-0000-0000-0000FC160000}"/>
    <cellStyle name="Percent 15 2" xfId="5512" xr:uid="{00000000-0005-0000-0000-0000FD160000}"/>
    <cellStyle name="Percent 15 3" xfId="5513" xr:uid="{00000000-0005-0000-0000-0000FE160000}"/>
    <cellStyle name="Percent 15 4" xfId="7139" xr:uid="{D5D6577D-C6BD-453C-A18E-A50D50A1F58B}"/>
    <cellStyle name="Percent 16" xfId="2200" xr:uid="{00000000-0005-0000-0000-0000FF160000}"/>
    <cellStyle name="Percent 16 2" xfId="7140" xr:uid="{C00D11B5-1876-4781-97DE-4371D59B5ECB}"/>
    <cellStyle name="Percent 17" xfId="2201" xr:uid="{00000000-0005-0000-0000-000000170000}"/>
    <cellStyle name="Percent 17 2" xfId="5514" xr:uid="{00000000-0005-0000-0000-000001170000}"/>
    <cellStyle name="Percent 18" xfId="5515" xr:uid="{00000000-0005-0000-0000-000002170000}"/>
    <cellStyle name="Percent 18 2" xfId="5516" xr:uid="{00000000-0005-0000-0000-000003170000}"/>
    <cellStyle name="Percent 19" xfId="5517" xr:uid="{00000000-0005-0000-0000-000004170000}"/>
    <cellStyle name="Percent 19 2" xfId="5518" xr:uid="{00000000-0005-0000-0000-000005170000}"/>
    <cellStyle name="Percent 2" xfId="842" xr:uid="{00000000-0005-0000-0000-000006170000}"/>
    <cellStyle name="Percent 2 10" xfId="843" xr:uid="{00000000-0005-0000-0000-000007170000}"/>
    <cellStyle name="Percent 2 10 2" xfId="2202" xr:uid="{00000000-0005-0000-0000-000008170000}"/>
    <cellStyle name="Percent 2 11" xfId="844" xr:uid="{00000000-0005-0000-0000-000009170000}"/>
    <cellStyle name="Percent 2 11 2" xfId="2203" xr:uid="{00000000-0005-0000-0000-00000A170000}"/>
    <cellStyle name="Percent 2 12" xfId="845" xr:uid="{00000000-0005-0000-0000-00000B170000}"/>
    <cellStyle name="Percent 2 12 2" xfId="2204" xr:uid="{00000000-0005-0000-0000-00000C170000}"/>
    <cellStyle name="Percent 2 13" xfId="846" xr:uid="{00000000-0005-0000-0000-00000D170000}"/>
    <cellStyle name="Percent 2 13 2" xfId="2205" xr:uid="{00000000-0005-0000-0000-00000E170000}"/>
    <cellStyle name="Percent 2 14" xfId="847" xr:uid="{00000000-0005-0000-0000-00000F170000}"/>
    <cellStyle name="Percent 2 14 2" xfId="2206" xr:uid="{00000000-0005-0000-0000-000010170000}"/>
    <cellStyle name="Percent 2 15" xfId="848" xr:uid="{00000000-0005-0000-0000-000011170000}"/>
    <cellStyle name="Percent 2 15 2" xfId="2207" xr:uid="{00000000-0005-0000-0000-000012170000}"/>
    <cellStyle name="Percent 2 16" xfId="849" xr:uid="{00000000-0005-0000-0000-000013170000}"/>
    <cellStyle name="Percent 2 16 2" xfId="2208" xr:uid="{00000000-0005-0000-0000-000014170000}"/>
    <cellStyle name="Percent 2 17" xfId="850" xr:uid="{00000000-0005-0000-0000-000015170000}"/>
    <cellStyle name="Percent 2 17 2" xfId="2209" xr:uid="{00000000-0005-0000-0000-000016170000}"/>
    <cellStyle name="Percent 2 18" xfId="851" xr:uid="{00000000-0005-0000-0000-000017170000}"/>
    <cellStyle name="Percent 2 18 2" xfId="2210" xr:uid="{00000000-0005-0000-0000-000018170000}"/>
    <cellStyle name="Percent 2 19" xfId="852" xr:uid="{00000000-0005-0000-0000-000019170000}"/>
    <cellStyle name="Percent 2 19 2" xfId="2211" xr:uid="{00000000-0005-0000-0000-00001A170000}"/>
    <cellStyle name="Percent 2 2" xfId="853" xr:uid="{00000000-0005-0000-0000-00001B170000}"/>
    <cellStyle name="Percent 2 2 2" xfId="854" xr:uid="{00000000-0005-0000-0000-00001C170000}"/>
    <cellStyle name="Percent 2 2 2 2" xfId="2212" xr:uid="{00000000-0005-0000-0000-00001D170000}"/>
    <cellStyle name="Percent 2 2 3" xfId="2213" xr:uid="{00000000-0005-0000-0000-00001E170000}"/>
    <cellStyle name="Percent 2 2 4" xfId="7186" xr:uid="{916B645B-05C8-4172-961D-3559AAA4543F}"/>
    <cellStyle name="Percent 2 20" xfId="855" xr:uid="{00000000-0005-0000-0000-00001F170000}"/>
    <cellStyle name="Percent 2 20 2" xfId="2214" xr:uid="{00000000-0005-0000-0000-000020170000}"/>
    <cellStyle name="Percent 2 21" xfId="856" xr:uid="{00000000-0005-0000-0000-000021170000}"/>
    <cellStyle name="Percent 2 21 2" xfId="2215" xr:uid="{00000000-0005-0000-0000-000022170000}"/>
    <cellStyle name="Percent 2 22" xfId="857" xr:uid="{00000000-0005-0000-0000-000023170000}"/>
    <cellStyle name="Percent 2 22 2" xfId="2216" xr:uid="{00000000-0005-0000-0000-000024170000}"/>
    <cellStyle name="Percent 2 23" xfId="858" xr:uid="{00000000-0005-0000-0000-000025170000}"/>
    <cellStyle name="Percent 2 23 2" xfId="2217" xr:uid="{00000000-0005-0000-0000-000026170000}"/>
    <cellStyle name="Percent 2 24" xfId="859" xr:uid="{00000000-0005-0000-0000-000027170000}"/>
    <cellStyle name="Percent 2 24 2" xfId="2218" xr:uid="{00000000-0005-0000-0000-000028170000}"/>
    <cellStyle name="Percent 2 25" xfId="860" xr:uid="{00000000-0005-0000-0000-000029170000}"/>
    <cellStyle name="Percent 2 25 2" xfId="2219" xr:uid="{00000000-0005-0000-0000-00002A170000}"/>
    <cellStyle name="Percent 2 26" xfId="861" xr:uid="{00000000-0005-0000-0000-00002B170000}"/>
    <cellStyle name="Percent 2 26 2" xfId="2220" xr:uid="{00000000-0005-0000-0000-00002C170000}"/>
    <cellStyle name="Percent 2 27" xfId="2221" xr:uid="{00000000-0005-0000-0000-00002D170000}"/>
    <cellStyle name="Percent 2 27 2" xfId="2222" xr:uid="{00000000-0005-0000-0000-00002E170000}"/>
    <cellStyle name="Percent 2 28" xfId="5955" xr:uid="{00000000-0005-0000-0000-00002F170000}"/>
    <cellStyle name="Percent 2 29" xfId="6391" xr:uid="{8AEE05EA-3E40-43A0-AE0B-F8CEB31D007E}"/>
    <cellStyle name="Percent 2 3" xfId="862" xr:uid="{00000000-0005-0000-0000-000030170000}"/>
    <cellStyle name="Percent 2 3 10" xfId="2223" xr:uid="{00000000-0005-0000-0000-000031170000}"/>
    <cellStyle name="Percent 2 3 11" xfId="2224" xr:uid="{00000000-0005-0000-0000-000032170000}"/>
    <cellStyle name="Percent 2 3 12" xfId="2225" xr:uid="{00000000-0005-0000-0000-000033170000}"/>
    <cellStyle name="Percent 2 3 13" xfId="2226" xr:uid="{00000000-0005-0000-0000-000034170000}"/>
    <cellStyle name="Percent 2 3 14" xfId="2227" xr:uid="{00000000-0005-0000-0000-000035170000}"/>
    <cellStyle name="Percent 2 3 15" xfId="2228" xr:uid="{00000000-0005-0000-0000-000036170000}"/>
    <cellStyle name="Percent 2 3 16" xfId="2229" xr:uid="{00000000-0005-0000-0000-000037170000}"/>
    <cellStyle name="Percent 2 3 17" xfId="2230" xr:uid="{00000000-0005-0000-0000-000038170000}"/>
    <cellStyle name="Percent 2 3 18" xfId="2231" xr:uid="{00000000-0005-0000-0000-000039170000}"/>
    <cellStyle name="Percent 2 3 19" xfId="2232" xr:uid="{00000000-0005-0000-0000-00003A170000}"/>
    <cellStyle name="Percent 2 3 2" xfId="2233" xr:uid="{00000000-0005-0000-0000-00003B170000}"/>
    <cellStyle name="Percent 2 3 20" xfId="2234" xr:uid="{00000000-0005-0000-0000-00003C170000}"/>
    <cellStyle name="Percent 2 3 21" xfId="2235" xr:uid="{00000000-0005-0000-0000-00003D170000}"/>
    <cellStyle name="Percent 2 3 22" xfId="2236" xr:uid="{00000000-0005-0000-0000-00003E170000}"/>
    <cellStyle name="Percent 2 3 23" xfId="2237" xr:uid="{00000000-0005-0000-0000-00003F170000}"/>
    <cellStyle name="Percent 2 3 24" xfId="2238" xr:uid="{00000000-0005-0000-0000-000040170000}"/>
    <cellStyle name="Percent 2 3 25" xfId="2239" xr:uid="{00000000-0005-0000-0000-000041170000}"/>
    <cellStyle name="Percent 2 3 26" xfId="2240" xr:uid="{00000000-0005-0000-0000-000042170000}"/>
    <cellStyle name="Percent 2 3 27" xfId="2241" xr:uid="{00000000-0005-0000-0000-000043170000}"/>
    <cellStyle name="Percent 2 3 28" xfId="2242" xr:uid="{00000000-0005-0000-0000-000044170000}"/>
    <cellStyle name="Percent 2 3 29" xfId="2243" xr:uid="{00000000-0005-0000-0000-000045170000}"/>
    <cellStyle name="Percent 2 3 3" xfId="2244" xr:uid="{00000000-0005-0000-0000-000046170000}"/>
    <cellStyle name="Percent 2 3 30" xfId="2245" xr:uid="{00000000-0005-0000-0000-000047170000}"/>
    <cellStyle name="Percent 2 3 31" xfId="2246" xr:uid="{00000000-0005-0000-0000-000048170000}"/>
    <cellStyle name="Percent 2 3 32" xfId="2247" xr:uid="{00000000-0005-0000-0000-000049170000}"/>
    <cellStyle name="Percent 2 3 33" xfId="2248" xr:uid="{00000000-0005-0000-0000-00004A170000}"/>
    <cellStyle name="Percent 2 3 34" xfId="2249" xr:uid="{00000000-0005-0000-0000-00004B170000}"/>
    <cellStyle name="Percent 2 3 35" xfId="2250" xr:uid="{00000000-0005-0000-0000-00004C170000}"/>
    <cellStyle name="Percent 2 3 36" xfId="2251" xr:uid="{00000000-0005-0000-0000-00004D170000}"/>
    <cellStyle name="Percent 2 3 37" xfId="2252" xr:uid="{00000000-0005-0000-0000-00004E170000}"/>
    <cellStyle name="Percent 2 3 38" xfId="2253" xr:uid="{00000000-0005-0000-0000-00004F170000}"/>
    <cellStyle name="Percent 2 3 39" xfId="5519" xr:uid="{00000000-0005-0000-0000-000050170000}"/>
    <cellStyle name="Percent 2 3 4" xfId="2254" xr:uid="{00000000-0005-0000-0000-000051170000}"/>
    <cellStyle name="Percent 2 3 5" xfId="2255" xr:uid="{00000000-0005-0000-0000-000052170000}"/>
    <cellStyle name="Percent 2 3 6" xfId="2256" xr:uid="{00000000-0005-0000-0000-000053170000}"/>
    <cellStyle name="Percent 2 3 7" xfId="2257" xr:uid="{00000000-0005-0000-0000-000054170000}"/>
    <cellStyle name="Percent 2 3 8" xfId="2258" xr:uid="{00000000-0005-0000-0000-000055170000}"/>
    <cellStyle name="Percent 2 3 9" xfId="2259" xr:uid="{00000000-0005-0000-0000-000056170000}"/>
    <cellStyle name="Percent 2 4" xfId="863" xr:uid="{00000000-0005-0000-0000-000057170000}"/>
    <cellStyle name="Percent 2 4 2" xfId="2260" xr:uid="{00000000-0005-0000-0000-000058170000}"/>
    <cellStyle name="Percent 2 5" xfId="864" xr:uid="{00000000-0005-0000-0000-000059170000}"/>
    <cellStyle name="Percent 2 5 2" xfId="2261" xr:uid="{00000000-0005-0000-0000-00005A170000}"/>
    <cellStyle name="Percent 2 5 2 2" xfId="5520" xr:uid="{00000000-0005-0000-0000-00005B170000}"/>
    <cellStyle name="Percent 2 5 3" xfId="5521" xr:uid="{00000000-0005-0000-0000-00005C170000}"/>
    <cellStyle name="Percent 2 5 4" xfId="6819" xr:uid="{A193D123-BE4F-4D1A-A035-51FAD1B01633}"/>
    <cellStyle name="Percent 2 5 5" xfId="7379" xr:uid="{5C9ADCB1-BABE-4408-98EF-728601594D1B}"/>
    <cellStyle name="Percent 2 6" xfId="865" xr:uid="{00000000-0005-0000-0000-00005D170000}"/>
    <cellStyle name="Percent 2 6 2" xfId="2262" xr:uid="{00000000-0005-0000-0000-00005E170000}"/>
    <cellStyle name="Percent 2 7" xfId="866" xr:uid="{00000000-0005-0000-0000-00005F170000}"/>
    <cellStyle name="Percent 2 7 2" xfId="2263" xr:uid="{00000000-0005-0000-0000-000060170000}"/>
    <cellStyle name="Percent 2 8" xfId="867" xr:uid="{00000000-0005-0000-0000-000061170000}"/>
    <cellStyle name="Percent 2 8 2" xfId="2264" xr:uid="{00000000-0005-0000-0000-000062170000}"/>
    <cellStyle name="Percent 2 9" xfId="868" xr:uid="{00000000-0005-0000-0000-000063170000}"/>
    <cellStyle name="Percent 2 9 2" xfId="2265" xr:uid="{00000000-0005-0000-0000-000064170000}"/>
    <cellStyle name="Percent 20" xfId="5522" xr:uid="{00000000-0005-0000-0000-000065170000}"/>
    <cellStyle name="Percent 20 2" xfId="5523" xr:uid="{00000000-0005-0000-0000-000066170000}"/>
    <cellStyle name="Percent 21" xfId="5524" xr:uid="{00000000-0005-0000-0000-000067170000}"/>
    <cellStyle name="Percent 22" xfId="5525" xr:uid="{00000000-0005-0000-0000-000068170000}"/>
    <cellStyle name="Percent 23" xfId="5526" xr:uid="{00000000-0005-0000-0000-000069170000}"/>
    <cellStyle name="Percent 24" xfId="6318" xr:uid="{00000000-0005-0000-0000-00006A170000}"/>
    <cellStyle name="Percent 25" xfId="6359" xr:uid="{82AB65F9-A394-4CF3-B2B9-7D43AE85269A}"/>
    <cellStyle name="Percent 25 2" xfId="9141" xr:uid="{F23F9086-247A-4088-8D2C-F61FD507FCB9}"/>
    <cellStyle name="Percent 3" xfId="869" xr:uid="{00000000-0005-0000-0000-00006B170000}"/>
    <cellStyle name="Percent 3 2" xfId="870" xr:uid="{00000000-0005-0000-0000-00006C170000}"/>
    <cellStyle name="Percent 3 2 2" xfId="2266" xr:uid="{00000000-0005-0000-0000-00006D170000}"/>
    <cellStyle name="Percent 3 2 2 2" xfId="5527" xr:uid="{00000000-0005-0000-0000-00006E170000}"/>
    <cellStyle name="Percent 3 2 3" xfId="5528" xr:uid="{00000000-0005-0000-0000-00006F170000}"/>
    <cellStyle name="Percent 3 3" xfId="871" xr:uid="{00000000-0005-0000-0000-000070170000}"/>
    <cellStyle name="Percent 3 3 2" xfId="2267" xr:uid="{00000000-0005-0000-0000-000071170000}"/>
    <cellStyle name="Percent 3 3 2 2" xfId="5529" xr:uid="{00000000-0005-0000-0000-000072170000}"/>
    <cellStyle name="Percent 3 3 3" xfId="2268" xr:uid="{00000000-0005-0000-0000-000073170000}"/>
    <cellStyle name="Percent 3 3 4" xfId="5958" xr:uid="{00000000-0005-0000-0000-000074170000}"/>
    <cellStyle name="Percent 3 3 5" xfId="7380" xr:uid="{4E7C9632-67DC-4E35-B9C2-FE52D4E2ECB4}"/>
    <cellStyle name="Percent 3 4" xfId="872" xr:uid="{00000000-0005-0000-0000-000075170000}"/>
    <cellStyle name="Percent 3 4 2" xfId="2269" xr:uid="{00000000-0005-0000-0000-000076170000}"/>
    <cellStyle name="Percent 3 5" xfId="2270" xr:uid="{00000000-0005-0000-0000-000077170000}"/>
    <cellStyle name="Percent 3 6" xfId="5530" xr:uid="{00000000-0005-0000-0000-000078170000}"/>
    <cellStyle name="Percent 3 7" xfId="5957" xr:uid="{00000000-0005-0000-0000-000079170000}"/>
    <cellStyle name="Percent 3 8" xfId="6394" xr:uid="{C05208D1-67B5-4851-99A5-AC222AF416C4}"/>
    <cellStyle name="Percent 4" xfId="873" xr:uid="{00000000-0005-0000-0000-00007A170000}"/>
    <cellStyle name="Percent 4 2" xfId="874" xr:uid="{00000000-0005-0000-0000-00007B170000}"/>
    <cellStyle name="Percent 4 2 2" xfId="2271" xr:uid="{00000000-0005-0000-0000-00007C170000}"/>
    <cellStyle name="Percent 4 2 3" xfId="5531" xr:uid="{00000000-0005-0000-0000-00007D170000}"/>
    <cellStyle name="Percent 4 3" xfId="875" xr:uid="{00000000-0005-0000-0000-00007E170000}"/>
    <cellStyle name="Percent 4 3 2" xfId="2272" xr:uid="{00000000-0005-0000-0000-00007F170000}"/>
    <cellStyle name="Percent 4 4" xfId="876" xr:uid="{00000000-0005-0000-0000-000080170000}"/>
    <cellStyle name="Percent 4 4 2" xfId="2273" xr:uid="{00000000-0005-0000-0000-000081170000}"/>
    <cellStyle name="Percent 4 4 3" xfId="7141" xr:uid="{59033159-F71F-47F7-8699-543892DC6AF1}"/>
    <cellStyle name="Percent 4 5" xfId="877" xr:uid="{00000000-0005-0000-0000-000082170000}"/>
    <cellStyle name="Percent 4 5 2" xfId="2274" xr:uid="{00000000-0005-0000-0000-000083170000}"/>
    <cellStyle name="Percent 4 6" xfId="2275" xr:uid="{00000000-0005-0000-0000-000084170000}"/>
    <cellStyle name="Percent 4 7" xfId="5959" xr:uid="{00000000-0005-0000-0000-000085170000}"/>
    <cellStyle name="Percent 4 8" xfId="6403" xr:uid="{F00E184C-0F49-467F-B8C8-C9B5D371E680}"/>
    <cellStyle name="Percent 5" xfId="878" xr:uid="{00000000-0005-0000-0000-000086170000}"/>
    <cellStyle name="Percent 5 2" xfId="879" xr:uid="{00000000-0005-0000-0000-000087170000}"/>
    <cellStyle name="Percent 5 2 2" xfId="2276" xr:uid="{00000000-0005-0000-0000-000088170000}"/>
    <cellStyle name="Percent 5 2 3" xfId="5532" xr:uid="{00000000-0005-0000-0000-000089170000}"/>
    <cellStyle name="Percent 5 3" xfId="880" xr:uid="{00000000-0005-0000-0000-00008A170000}"/>
    <cellStyle name="Percent 5 3 2" xfId="2277" xr:uid="{00000000-0005-0000-0000-00008B170000}"/>
    <cellStyle name="Percent 5 4" xfId="881" xr:uid="{00000000-0005-0000-0000-00008C170000}"/>
    <cellStyle name="Percent 5 4 2" xfId="2278" xr:uid="{00000000-0005-0000-0000-00008D170000}"/>
    <cellStyle name="Percent 5 5" xfId="882" xr:uid="{00000000-0005-0000-0000-00008E170000}"/>
    <cellStyle name="Percent 5 5 2" xfId="2279" xr:uid="{00000000-0005-0000-0000-00008F170000}"/>
    <cellStyle name="Percent 5 6" xfId="2280" xr:uid="{00000000-0005-0000-0000-000090170000}"/>
    <cellStyle name="Percent 5 7" xfId="5533" xr:uid="{00000000-0005-0000-0000-000091170000}"/>
    <cellStyle name="Percent 6" xfId="883" xr:uid="{00000000-0005-0000-0000-000092170000}"/>
    <cellStyle name="Percent 6 2" xfId="2281" xr:uid="{00000000-0005-0000-0000-000093170000}"/>
    <cellStyle name="Percent 6 2 2" xfId="7144" xr:uid="{A30A5E4A-BF05-4716-92B7-F3AED7C6E853}"/>
    <cellStyle name="Percent 6 3" xfId="5534" xr:uid="{00000000-0005-0000-0000-000094170000}"/>
    <cellStyle name="Percent 6 4" xfId="7143" xr:uid="{642EBF4E-45AB-4847-A975-99F5C79A9C62}"/>
    <cellStyle name="Percent 7" xfId="884" xr:uid="{00000000-0005-0000-0000-000095170000}"/>
    <cellStyle name="Percent 7 2" xfId="885" xr:uid="{00000000-0005-0000-0000-000096170000}"/>
    <cellStyle name="Percent 7 2 2" xfId="2282" xr:uid="{00000000-0005-0000-0000-000097170000}"/>
    <cellStyle name="Percent 7 3" xfId="2283" xr:uid="{00000000-0005-0000-0000-000098170000}"/>
    <cellStyle name="Percent 7 3 2" xfId="7145" xr:uid="{8EFE939C-F2EF-48BC-A018-735064DE5203}"/>
    <cellStyle name="Percent 7 4" xfId="5535" xr:uid="{00000000-0005-0000-0000-000099170000}"/>
    <cellStyle name="Percent 8" xfId="886" xr:uid="{00000000-0005-0000-0000-00009A170000}"/>
    <cellStyle name="Percent 8 2" xfId="887" xr:uid="{00000000-0005-0000-0000-00009B170000}"/>
    <cellStyle name="Percent 8 2 2" xfId="2284" xr:uid="{00000000-0005-0000-0000-00009C170000}"/>
    <cellStyle name="Percent 8 3" xfId="2285" xr:uid="{00000000-0005-0000-0000-00009D170000}"/>
    <cellStyle name="Percent 8 4" xfId="5536" xr:uid="{00000000-0005-0000-0000-00009E170000}"/>
    <cellStyle name="Percent 9" xfId="888" xr:uid="{00000000-0005-0000-0000-00009F170000}"/>
    <cellStyle name="Percent 9 2" xfId="889" xr:uid="{00000000-0005-0000-0000-0000A0170000}"/>
    <cellStyle name="Percent 9 2 2" xfId="2286" xr:uid="{00000000-0005-0000-0000-0000A1170000}"/>
    <cellStyle name="Percent 9 3" xfId="2287" xr:uid="{00000000-0005-0000-0000-0000A2170000}"/>
    <cellStyle name="PERCENTAGE" xfId="890" xr:uid="{00000000-0005-0000-0000-0000A3170000}"/>
    <cellStyle name="PERCENTAGE 2" xfId="2288" xr:uid="{00000000-0005-0000-0000-0000A4170000}"/>
    <cellStyle name="PERCENTAGE 3" xfId="7146" xr:uid="{98AB9E51-E9D4-49C4-8993-915D56BE2684}"/>
    <cellStyle name="Persen" xfId="891" xr:uid="{00000000-0005-0000-0000-0000A5170000}"/>
    <cellStyle name="PrePop Currency (0)" xfId="892" xr:uid="{00000000-0005-0000-0000-0000A6170000}"/>
    <cellStyle name="PrePop Currency (0) 2" xfId="893" xr:uid="{00000000-0005-0000-0000-0000A7170000}"/>
    <cellStyle name="PrePop Currency (0) 2 2" xfId="6323" xr:uid="{00000000-0005-0000-0000-0000A8170000}"/>
    <cellStyle name="PrePop Currency (0) 2 2 2" xfId="9109" xr:uid="{551559D5-BA4B-4CAE-9F84-90F91F6B4E5E}"/>
    <cellStyle name="PrePop Currency (0) 2 3" xfId="7382" xr:uid="{3CB1B8CB-6182-4C9F-8BC1-0BDEFED7344B}"/>
    <cellStyle name="PrePop Currency (0) 3" xfId="5960" xr:uid="{00000000-0005-0000-0000-0000A9170000}"/>
    <cellStyle name="PrePop Currency (0) 3 2" xfId="6324" xr:uid="{00000000-0005-0000-0000-0000AA170000}"/>
    <cellStyle name="PrePop Currency (0) 3 2 2" xfId="9110" xr:uid="{E46FA31D-3A49-4BAD-B4A6-C90A0EA59BFF}"/>
    <cellStyle name="PrePop Currency (0) 3 3" xfId="8800" xr:uid="{A613F614-AD8D-42F6-BA12-BC1FDAAE9E0F}"/>
    <cellStyle name="PrePop Currency (0) 4" xfId="6322" xr:uid="{00000000-0005-0000-0000-0000AB170000}"/>
    <cellStyle name="PrePop Currency (0) 4 2" xfId="9108" xr:uid="{968B0C7D-7B30-4F6C-A82E-63545530737C}"/>
    <cellStyle name="PrePop Currency (0) 5" xfId="7381" xr:uid="{7B74A815-A424-4E0F-9C5A-F9D3995D2279}"/>
    <cellStyle name="PrePop Currency (2)" xfId="894" xr:uid="{00000000-0005-0000-0000-0000AC170000}"/>
    <cellStyle name="PrePop Currency (2) 2" xfId="895" xr:uid="{00000000-0005-0000-0000-0000AD170000}"/>
    <cellStyle name="PrePop Currency (2) 2 2" xfId="6326" xr:uid="{00000000-0005-0000-0000-0000AE170000}"/>
    <cellStyle name="PrePop Currency (2) 2 2 2" xfId="9112" xr:uid="{787FF4C4-EDE9-4362-9B6C-04BE1C290C77}"/>
    <cellStyle name="PrePop Currency (2) 2 3" xfId="7384" xr:uid="{95E434DC-6E01-4B62-98E2-5D236BA514CF}"/>
    <cellStyle name="PrePop Currency (2) 3" xfId="5961" xr:uid="{00000000-0005-0000-0000-0000AF170000}"/>
    <cellStyle name="PrePop Currency (2) 3 2" xfId="6327" xr:uid="{00000000-0005-0000-0000-0000B0170000}"/>
    <cellStyle name="PrePop Currency (2) 3 2 2" xfId="9113" xr:uid="{5EE251B7-3FE0-41E9-87A1-880764B051D3}"/>
    <cellStyle name="PrePop Currency (2) 3 3" xfId="8801" xr:uid="{3D4B7164-494C-440B-9DF9-C5F4D2FD7C45}"/>
    <cellStyle name="PrePop Currency (2) 4" xfId="6325" xr:uid="{00000000-0005-0000-0000-0000B1170000}"/>
    <cellStyle name="PrePop Currency (2) 4 2" xfId="9111" xr:uid="{21C8441C-9BA3-4A9C-A7BE-5848C90C48D7}"/>
    <cellStyle name="PrePop Currency (2) 5" xfId="7383" xr:uid="{5FD0520E-E766-4741-84C2-3BB44540ACEE}"/>
    <cellStyle name="PrePop Units (0)" xfId="896" xr:uid="{00000000-0005-0000-0000-0000B2170000}"/>
    <cellStyle name="PrePop Units (0) 2" xfId="897" xr:uid="{00000000-0005-0000-0000-0000B3170000}"/>
    <cellStyle name="PrePop Units (0) 2 2" xfId="6329" xr:uid="{00000000-0005-0000-0000-0000B4170000}"/>
    <cellStyle name="PrePop Units (0) 2 2 2" xfId="9115" xr:uid="{040BD6C6-2942-4917-B6C7-BB1F2CCF7D1B}"/>
    <cellStyle name="PrePop Units (0) 2 3" xfId="7386" xr:uid="{8DA9A633-0CB9-4FD0-9FDC-A90831373EDD}"/>
    <cellStyle name="PrePop Units (0) 3" xfId="5962" xr:uid="{00000000-0005-0000-0000-0000B5170000}"/>
    <cellStyle name="PrePop Units (0) 3 2" xfId="6330" xr:uid="{00000000-0005-0000-0000-0000B6170000}"/>
    <cellStyle name="PrePop Units (0) 3 2 2" xfId="9116" xr:uid="{ED1DC2C8-567F-4C5C-9A75-9B55C569BAB0}"/>
    <cellStyle name="PrePop Units (0) 3 3" xfId="8802" xr:uid="{E7844D40-5CEC-4A56-9F8B-7270F1D9DA6A}"/>
    <cellStyle name="PrePop Units (0) 4" xfId="6328" xr:uid="{00000000-0005-0000-0000-0000B7170000}"/>
    <cellStyle name="PrePop Units (0) 4 2" xfId="9114" xr:uid="{6A6D5597-7879-454F-BECD-F684BD9DBA8B}"/>
    <cellStyle name="PrePop Units (0) 5" xfId="7385" xr:uid="{8E47A9EF-0455-4A70-A995-0F9F5661A6F7}"/>
    <cellStyle name="PrePop Units (1)" xfId="898" xr:uid="{00000000-0005-0000-0000-0000B8170000}"/>
    <cellStyle name="PrePop Units (1) 2" xfId="899" xr:uid="{00000000-0005-0000-0000-0000B9170000}"/>
    <cellStyle name="PrePop Units (1) 2 2" xfId="6332" xr:uid="{00000000-0005-0000-0000-0000BA170000}"/>
    <cellStyle name="PrePop Units (1) 2 2 2" xfId="9118" xr:uid="{CC37FD85-95F2-4567-80A7-96034D916923}"/>
    <cellStyle name="PrePop Units (1) 2 3" xfId="7388" xr:uid="{68BF537C-2187-436C-8F47-6ED7F6294E84}"/>
    <cellStyle name="PrePop Units (1) 3" xfId="5963" xr:uid="{00000000-0005-0000-0000-0000BB170000}"/>
    <cellStyle name="PrePop Units (1) 3 2" xfId="6333" xr:uid="{00000000-0005-0000-0000-0000BC170000}"/>
    <cellStyle name="PrePop Units (1) 3 2 2" xfId="9119" xr:uid="{976BB113-2723-4DAD-A926-E998AD9312E3}"/>
    <cellStyle name="PrePop Units (1) 3 3" xfId="8803" xr:uid="{BBDD5825-B956-470B-85C6-2BEE326101F6}"/>
    <cellStyle name="PrePop Units (1) 4" xfId="6331" xr:uid="{00000000-0005-0000-0000-0000BD170000}"/>
    <cellStyle name="PrePop Units (1) 4 2" xfId="9117" xr:uid="{CB98ECFF-5382-4D15-8E94-CBD8BFF6FFC3}"/>
    <cellStyle name="PrePop Units (1) 5" xfId="7387" xr:uid="{6768A983-0152-48C1-8998-258253048C14}"/>
    <cellStyle name="PrePop Units (2)" xfId="900" xr:uid="{00000000-0005-0000-0000-0000BE170000}"/>
    <cellStyle name="PrePop Units (2) 2" xfId="901" xr:uid="{00000000-0005-0000-0000-0000BF170000}"/>
    <cellStyle name="PrePop Units (2) 2 2" xfId="6335" xr:uid="{00000000-0005-0000-0000-0000C0170000}"/>
    <cellStyle name="PrePop Units (2) 2 2 2" xfId="9121" xr:uid="{CA4882C1-5A51-4025-827A-DDB816D59B3F}"/>
    <cellStyle name="PrePop Units (2) 2 3" xfId="7390" xr:uid="{072C706B-FC5E-419C-8A75-BA8F63C6E010}"/>
    <cellStyle name="PrePop Units (2) 3" xfId="5964" xr:uid="{00000000-0005-0000-0000-0000C1170000}"/>
    <cellStyle name="PrePop Units (2) 3 2" xfId="6336" xr:uid="{00000000-0005-0000-0000-0000C2170000}"/>
    <cellStyle name="PrePop Units (2) 3 2 2" xfId="9122" xr:uid="{1705D59E-F697-4BDC-9AA6-F67347D8D755}"/>
    <cellStyle name="PrePop Units (2) 3 3" xfId="8804" xr:uid="{9643A926-640C-483D-8341-769F57507DB7}"/>
    <cellStyle name="PrePop Units (2) 4" xfId="6334" xr:uid="{00000000-0005-0000-0000-0000C3170000}"/>
    <cellStyle name="PrePop Units (2) 4 2" xfId="9120" xr:uid="{4BDF6A50-A1EA-4453-BAEB-8424DFD426CF}"/>
    <cellStyle name="PrePop Units (2) 5" xfId="7389" xr:uid="{38FC0E8A-2EE3-4BB2-954B-4E2E9F7F743F}"/>
    <cellStyle name="pricing" xfId="902" xr:uid="{00000000-0005-0000-0000-0000C4170000}"/>
    <cellStyle name="pricing 2" xfId="903" xr:uid="{00000000-0005-0000-0000-0000C5170000}"/>
    <cellStyle name="pricing 2 2" xfId="5537" xr:uid="{00000000-0005-0000-0000-0000C6170000}"/>
    <cellStyle name="pricing 2 3" xfId="7044" xr:uid="{6489D1F6-A613-462C-9BA7-A5150E4DD7D6}"/>
    <cellStyle name="pricing 2 3 2" xfId="9649" xr:uid="{3118E23B-F287-456E-A9D9-0F5AE7DC5DC7}"/>
    <cellStyle name="pricing 2 4" xfId="7392" xr:uid="{7EA621E3-89AB-4B00-B5A3-7C3FDBC268A9}"/>
    <cellStyle name="pricing 3" xfId="2289" xr:uid="{00000000-0005-0000-0000-0000C7170000}"/>
    <cellStyle name="pricing 4" xfId="5538" xr:uid="{00000000-0005-0000-0000-0000C8170000}"/>
    <cellStyle name="pricing 5" xfId="7066" xr:uid="{D8F29B69-D9F5-413D-BB74-3259691D4E04}"/>
    <cellStyle name="pricing 5 2" xfId="9654" xr:uid="{6197065B-8D7B-4038-9040-CB29D9A3E787}"/>
    <cellStyle name="pricing 6" xfId="7391" xr:uid="{EA8AAFF2-2A9C-4333-8100-2D793F1CA445}"/>
    <cellStyle name="PSChar" xfId="904" xr:uid="{00000000-0005-0000-0000-0000C9170000}"/>
    <cellStyle name="PSChar 2" xfId="2290" xr:uid="{00000000-0005-0000-0000-0000CA170000}"/>
    <cellStyle name="PSChar 2 2" xfId="5539" xr:uid="{00000000-0005-0000-0000-0000CB170000}"/>
    <cellStyle name="PSChar 3" xfId="6990" xr:uid="{6B43A3B7-447F-42CF-9411-F3FE97931671}"/>
    <cellStyle name="Reset range style to defaults" xfId="7147" xr:uid="{9CA426EA-D9C8-4D39-91BA-D5CB56C24014}"/>
    <cellStyle name="RevList" xfId="905" xr:uid="{00000000-0005-0000-0000-0000CC170000}"/>
    <cellStyle name="RevList 2" xfId="906" xr:uid="{00000000-0005-0000-0000-0000CD170000}"/>
    <cellStyle name="RevList 2 2" xfId="5540" xr:uid="{00000000-0005-0000-0000-0000CE170000}"/>
    <cellStyle name="RevList 3" xfId="2291" xr:uid="{00000000-0005-0000-0000-0000CF170000}"/>
    <cellStyle name="RevList 4" xfId="5541" xr:uid="{00000000-0005-0000-0000-0000D0170000}"/>
    <cellStyle name="RevList 5" xfId="6987" xr:uid="{E4367ADD-7A1B-4BB2-B7DD-5FFD744E0635}"/>
    <cellStyle name="Ribu" xfId="907" xr:uid="{00000000-0005-0000-0000-0000D1170000}"/>
    <cellStyle name="Ribu 2" xfId="2292" xr:uid="{00000000-0005-0000-0000-0000D2170000}"/>
    <cellStyle name="sbt2" xfId="908" xr:uid="{00000000-0005-0000-0000-0000D3170000}"/>
    <cellStyle name="sbt2 10" xfId="909" xr:uid="{00000000-0005-0000-0000-0000D4170000}"/>
    <cellStyle name="sbt2 10 2" xfId="7149" xr:uid="{46E629F0-EDFF-4826-BDEC-F5375A962716}"/>
    <cellStyle name="sbt2 10 2 2" xfId="9661" xr:uid="{B89CFCF0-5E79-4773-A4AD-DDA001991BF5}"/>
    <cellStyle name="sbt2 10 3" xfId="7394" xr:uid="{E309DF50-5201-4490-9E07-C0F5E323CDBA}"/>
    <cellStyle name="sbt2 11" xfId="5542" xr:uid="{00000000-0005-0000-0000-0000D5170000}"/>
    <cellStyle name="sbt2 11 2" xfId="8519" xr:uid="{FFE6B8BB-1488-476D-A191-39FCFDBA46C5}"/>
    <cellStyle name="sbt2 12" xfId="5965" xr:uid="{00000000-0005-0000-0000-0000D6170000}"/>
    <cellStyle name="sbt2 12 2" xfId="8805" xr:uid="{46DF9677-AD72-4148-9858-0F72CC603462}"/>
    <cellStyle name="sbt2 12 3" xfId="9765" xr:uid="{8AF289F7-EC0A-4484-BFE9-EDFF24EABA30}"/>
    <cellStyle name="sbt2 13" xfId="7148" xr:uid="{3B8EC9AB-1372-437D-A329-3C201C8143E0}"/>
    <cellStyle name="sbt2 13 2" xfId="9660" xr:uid="{2CDDA0D4-2F35-4738-8C5C-7F4E7A9CA001}"/>
    <cellStyle name="sbt2 14" xfId="7393" xr:uid="{1AC6B459-7B58-4FFC-BA62-07B4B8CB497D}"/>
    <cellStyle name="sbt2 2" xfId="910" xr:uid="{00000000-0005-0000-0000-0000D7170000}"/>
    <cellStyle name="sbt2 2 2" xfId="2293" xr:uid="{00000000-0005-0000-0000-0000D8170000}"/>
    <cellStyle name="sbt2 2 2 2" xfId="7512" xr:uid="{AEDA28D5-338D-42C3-A01A-EA01B9E16C8F}"/>
    <cellStyle name="sbt2 2 2 3" xfId="7531" xr:uid="{0A3DBF7C-9B5A-47B8-9A5B-EBA505C368EF}"/>
    <cellStyle name="sbt2 2 3" xfId="2294" xr:uid="{00000000-0005-0000-0000-0000D9170000}"/>
    <cellStyle name="sbt2 2 3 2" xfId="7513" xr:uid="{F7B66E7C-807E-4634-B44E-72B863C8936B}"/>
    <cellStyle name="sbt2 2 3 3" xfId="7530" xr:uid="{F49E7FB5-DE93-47BF-BB69-6AAED12B6F4C}"/>
    <cellStyle name="sbt2 2 4" xfId="5543" xr:uid="{00000000-0005-0000-0000-0000DA170000}"/>
    <cellStyle name="sbt2 2 4 2" xfId="8520" xr:uid="{76B5E659-D583-4B33-AE10-C5C0DCA184A5}"/>
    <cellStyle name="sbt2 2 5" xfId="6337" xr:uid="{00000000-0005-0000-0000-0000DB170000}"/>
    <cellStyle name="sbt2 2 5 2" xfId="9123" xr:uid="{2C71D94C-9218-447D-8391-838A25C76E24}"/>
    <cellStyle name="sbt2 2 5 3" xfId="9798" xr:uid="{BE651706-F4DA-4855-8710-9D2BB13CD109}"/>
    <cellStyle name="sbt2 2 6" xfId="7150" xr:uid="{66643B8B-D172-437D-8551-44AA6967FF97}"/>
    <cellStyle name="sbt2 2 6 2" xfId="9662" xr:uid="{FBED2340-C88B-4BBB-BBDE-F2021EE30CA5}"/>
    <cellStyle name="sbt2 2 7" xfId="7395" xr:uid="{9CFE867C-595D-44A7-B8EE-6099B6C0ADB7}"/>
    <cellStyle name="sbt2 3" xfId="911" xr:uid="{00000000-0005-0000-0000-0000DC170000}"/>
    <cellStyle name="sbt2 3 2" xfId="5544" xr:uid="{00000000-0005-0000-0000-0000DD170000}"/>
    <cellStyle name="sbt2 3 2 2" xfId="8521" xr:uid="{EEC93385-0277-4392-950D-FD8B8082D09C}"/>
    <cellStyle name="sbt2 3 3" xfId="6338" xr:uid="{00000000-0005-0000-0000-0000DE170000}"/>
    <cellStyle name="sbt2 3 3 2" xfId="9124" xr:uid="{189229FF-9CB3-4785-AA02-87BAADA0E0C7}"/>
    <cellStyle name="sbt2 3 3 3" xfId="9799" xr:uid="{4E84BDCA-D899-486E-A436-2DDEB9C8F94A}"/>
    <cellStyle name="sbt2 3 4" xfId="7151" xr:uid="{57C0EA6C-426B-481C-A590-9C4537EE014C}"/>
    <cellStyle name="sbt2 3 4 2" xfId="9663" xr:uid="{9931C93E-97B7-405E-9443-EC7685F98125}"/>
    <cellStyle name="sbt2 3 5" xfId="7396" xr:uid="{F21E0343-E1C5-457C-AC76-60E760052A7F}"/>
    <cellStyle name="sbt2 4" xfId="912" xr:uid="{00000000-0005-0000-0000-0000DF170000}"/>
    <cellStyle name="sbt2 4 2" xfId="5545" xr:uid="{00000000-0005-0000-0000-0000E0170000}"/>
    <cellStyle name="sbt2 4 2 2" xfId="8522" xr:uid="{1490EB31-076B-43EC-9005-A22675506C91}"/>
    <cellStyle name="sbt2 4 3" xfId="6339" xr:uid="{00000000-0005-0000-0000-0000E1170000}"/>
    <cellStyle name="sbt2 4 3 2" xfId="9125" xr:uid="{471D63B3-5082-47C2-9F49-52E8809723D0}"/>
    <cellStyle name="sbt2 4 3 3" xfId="9800" xr:uid="{42CD2A4E-5A33-4785-A4BF-4CE794C123E7}"/>
    <cellStyle name="sbt2 4 4" xfId="7152" xr:uid="{2A43B824-32CA-408F-9D12-D7D888B626E7}"/>
    <cellStyle name="sbt2 4 4 2" xfId="9664" xr:uid="{53A0CC75-915C-40F7-8589-ECF4C8D171AD}"/>
    <cellStyle name="sbt2 4 5" xfId="7397" xr:uid="{52D9C976-5EFD-4522-8936-ADCF9A881813}"/>
    <cellStyle name="sbt2 5" xfId="913" xr:uid="{00000000-0005-0000-0000-0000E2170000}"/>
    <cellStyle name="sbt2 5 2" xfId="7153" xr:uid="{29AD2CFB-6EF2-4B67-ACC5-B1DAD836FAE2}"/>
    <cellStyle name="sbt2 5 2 2" xfId="9665" xr:uid="{A50DDC5D-0E2B-43E4-81CB-5C26735A067D}"/>
    <cellStyle name="sbt2 5 3" xfId="7398" xr:uid="{E2B4E4D9-3FC2-4A95-8D71-135F38F9011F}"/>
    <cellStyle name="sbt2 6" xfId="914" xr:uid="{00000000-0005-0000-0000-0000E3170000}"/>
    <cellStyle name="sbt2 6 2" xfId="7154" xr:uid="{C345528A-20AF-4581-B685-20D87B13C8D4}"/>
    <cellStyle name="sbt2 6 2 2" xfId="9666" xr:uid="{9F511017-8F75-4430-B47F-27DB3C8F0693}"/>
    <cellStyle name="sbt2 6 3" xfId="7399" xr:uid="{646D29B0-E59D-4CD1-ACBD-79C1D2CAF890}"/>
    <cellStyle name="sbt2 7" xfId="915" xr:uid="{00000000-0005-0000-0000-0000E4170000}"/>
    <cellStyle name="sbt2 7 2" xfId="7155" xr:uid="{DC8D1BAA-0AE3-4783-BC34-822F0C33944C}"/>
    <cellStyle name="sbt2 7 2 2" xfId="9667" xr:uid="{AF1F4C9F-6752-4F61-B4BB-59D861379470}"/>
    <cellStyle name="sbt2 7 3" xfId="7400" xr:uid="{2968F89C-4747-4B9F-A208-471D2AB02DF8}"/>
    <cellStyle name="sbt2 8" xfId="916" xr:uid="{00000000-0005-0000-0000-0000E5170000}"/>
    <cellStyle name="sbt2 8 2" xfId="7156" xr:uid="{25C03E58-9AF3-4EBF-B127-79F3BFDC9CFB}"/>
    <cellStyle name="sbt2 8 2 2" xfId="9668" xr:uid="{47B57B51-3C78-4170-B181-3C119DBCE471}"/>
    <cellStyle name="sbt2 8 3" xfId="7401" xr:uid="{9286444A-D6C4-4C26-90A8-3118EFF3057A}"/>
    <cellStyle name="sbt2 9" xfId="917" xr:uid="{00000000-0005-0000-0000-0000E6170000}"/>
    <cellStyle name="sbt2 9 2" xfId="6605" xr:uid="{4AF07D46-2BF8-4F4F-81E6-04F641F6C775}"/>
    <cellStyle name="sbt2 9 2 2" xfId="9290" xr:uid="{472BC669-5526-4828-B994-35B4F52C5986}"/>
    <cellStyle name="sbt2 9 3" xfId="7402" xr:uid="{5BB654A9-32A3-40B7-AE55-76F5B98CA7EB}"/>
    <cellStyle name="SHEET" xfId="918" xr:uid="{00000000-0005-0000-0000-0000E7170000}"/>
    <cellStyle name="SHEET 2" xfId="2295" xr:uid="{00000000-0005-0000-0000-0000E8170000}"/>
    <cellStyle name="SHEET 3" xfId="5546" xr:uid="{00000000-0005-0000-0000-0000E9170000}"/>
    <cellStyle name="SHEET 4" xfId="7157" xr:uid="{540D6A40-D60C-46EA-AED4-0A92E8E177F2}"/>
    <cellStyle name="SPOl" xfId="919" xr:uid="{00000000-0005-0000-0000-0000EA170000}"/>
    <cellStyle name="SPOl 2" xfId="2296" xr:uid="{00000000-0005-0000-0000-0000EB170000}"/>
    <cellStyle name="style" xfId="920" xr:uid="{00000000-0005-0000-0000-0000EC170000}"/>
    <cellStyle name="Style 1" xfId="921" xr:uid="{00000000-0005-0000-0000-0000ED170000}"/>
    <cellStyle name="Style 1 2" xfId="2297" xr:uid="{00000000-0005-0000-0000-0000EE170000}"/>
    <cellStyle name="style 10" xfId="922" xr:uid="{00000000-0005-0000-0000-0000EF170000}"/>
    <cellStyle name="style 10 2" xfId="5547" xr:uid="{00000000-0005-0000-0000-0000F0170000}"/>
    <cellStyle name="style 10 2 2" xfId="8523" xr:uid="{FA757C84-46E4-4978-B5B6-2C2A5E80BA88}"/>
    <cellStyle name="style 10 2 3" xfId="9710" xr:uid="{E661D6D8-F0D8-4BBF-95E1-4022F3312A68}"/>
    <cellStyle name="style 10 3" xfId="7158" xr:uid="{4CD1C794-22CB-42B4-A3EE-98DDDCA6A188}"/>
    <cellStyle name="style 10 3 2" xfId="9669" xr:uid="{FE5D2F79-C4B4-486F-962A-DBD1BC10B2CF}"/>
    <cellStyle name="style 10 3 3" xfId="9871" xr:uid="{B7B61462-DDAD-4EAD-A791-7FEA1F9069C6}"/>
    <cellStyle name="style 10 4" xfId="7404" xr:uid="{2F821684-3EA8-462C-B3B2-8D3A939FA84A}"/>
    <cellStyle name="style 11" xfId="923" xr:uid="{00000000-0005-0000-0000-0000F1170000}"/>
    <cellStyle name="style 11 2" xfId="5548" xr:uid="{00000000-0005-0000-0000-0000F2170000}"/>
    <cellStyle name="style 11 2 2" xfId="8524" xr:uid="{77B346CC-5C27-460F-96B4-AB83FA831BDD}"/>
    <cellStyle name="style 11 2 3" xfId="9711" xr:uid="{3FC5ADA5-90E0-43B5-8785-B82421973450}"/>
    <cellStyle name="style 11 3" xfId="7159" xr:uid="{97E3E06E-31E5-482C-8CC3-5F1E2E3A5081}"/>
    <cellStyle name="style 11 3 2" xfId="9670" xr:uid="{5365EEA3-496D-4ADD-98C0-B3D0ABF08A83}"/>
    <cellStyle name="style 11 3 3" xfId="9872" xr:uid="{C3CB66E0-59D2-42F7-99FE-6902BFA1BE47}"/>
    <cellStyle name="style 11 4" xfId="7405" xr:uid="{6F8FDC1F-1A2F-4514-BEE3-2FA32BCC00A4}"/>
    <cellStyle name="style 12" xfId="924" xr:uid="{00000000-0005-0000-0000-0000F3170000}"/>
    <cellStyle name="style 12 2" xfId="5549" xr:uid="{00000000-0005-0000-0000-0000F4170000}"/>
    <cellStyle name="style 12 2 2" xfId="8525" xr:uid="{3F73A529-2E8F-4283-96F1-83B1A4547827}"/>
    <cellStyle name="style 12 2 3" xfId="9712" xr:uid="{2529930F-3B3D-4BBB-BB7B-D57B1A81A6C3}"/>
    <cellStyle name="style 12 3" xfId="7160" xr:uid="{40BEDAC6-7017-4050-B5E6-1A7D29834D03}"/>
    <cellStyle name="style 12 3 2" xfId="9671" xr:uid="{C3DAB89F-CF6E-465F-95DE-AA3B25C8D6DA}"/>
    <cellStyle name="style 12 3 3" xfId="9873" xr:uid="{2A6CECA3-03D5-41EC-84BB-0B81ACD01044}"/>
    <cellStyle name="style 12 4" xfId="7406" xr:uid="{575EEA91-75E5-45F5-AC6F-1A6A423CEA88}"/>
    <cellStyle name="style 13" xfId="925" xr:uid="{00000000-0005-0000-0000-0000F5170000}"/>
    <cellStyle name="style 13 2" xfId="5550" xr:uid="{00000000-0005-0000-0000-0000F6170000}"/>
    <cellStyle name="style 13 2 2" xfId="8526" xr:uid="{DB84907A-AB45-4F4F-92FA-29AC077822E7}"/>
    <cellStyle name="style 13 2 3" xfId="9713" xr:uid="{307DAB84-B165-476E-9BD8-E929989C0778}"/>
    <cellStyle name="style 13 3" xfId="7161" xr:uid="{5625076B-A1AB-4A87-8F84-71B3181E50BF}"/>
    <cellStyle name="style 13 3 2" xfId="9672" xr:uid="{A7CA79A7-FDE0-4A07-B121-7D1536BD825F}"/>
    <cellStyle name="style 13 3 3" xfId="9874" xr:uid="{1550A2C2-A087-484D-9081-59E42A00A6F1}"/>
    <cellStyle name="style 13 4" xfId="7407" xr:uid="{CCB77B09-94E3-4C3F-AAAF-1F2704DCED4D}"/>
    <cellStyle name="style 14" xfId="926" xr:uid="{00000000-0005-0000-0000-0000F7170000}"/>
    <cellStyle name="style 14 2" xfId="5551" xr:uid="{00000000-0005-0000-0000-0000F8170000}"/>
    <cellStyle name="style 14 2 2" xfId="8527" xr:uid="{12823315-F34F-4468-8C90-9B909A15335B}"/>
    <cellStyle name="style 14 2 3" xfId="9714" xr:uid="{BD227DC8-232D-44E2-B4EE-7C50250D951C}"/>
    <cellStyle name="style 14 3" xfId="7162" xr:uid="{3587A3D8-7730-400C-BC34-5F5110F9308D}"/>
    <cellStyle name="style 14 3 2" xfId="9673" xr:uid="{0B2B03FA-EFE7-41F1-A036-116F3D6F28E9}"/>
    <cellStyle name="style 14 3 3" xfId="9875" xr:uid="{CD676E27-593E-47D3-8E2D-A6D1E4795906}"/>
    <cellStyle name="style 14 4" xfId="7408" xr:uid="{B43CCD14-0866-43F8-B268-0E85BBA9938E}"/>
    <cellStyle name="style 15" xfId="927" xr:uid="{00000000-0005-0000-0000-0000F9170000}"/>
    <cellStyle name="style 15 2" xfId="5552" xr:uid="{00000000-0005-0000-0000-0000FA170000}"/>
    <cellStyle name="style 15 2 2" xfId="8528" xr:uid="{76C203E6-7182-44C2-A2FF-816F03EB07A8}"/>
    <cellStyle name="style 15 2 3" xfId="9715" xr:uid="{75D92A18-85A6-4065-ADAF-BF22E17CC98C}"/>
    <cellStyle name="style 15 3" xfId="7164" xr:uid="{544BFD98-D9D2-429F-AEAB-D726CC1999A8}"/>
    <cellStyle name="style 15 3 2" xfId="9675" xr:uid="{CA83B6D9-343F-45A8-B947-F4923CD06280}"/>
    <cellStyle name="style 15 3 3" xfId="9877" xr:uid="{AB08C778-62E6-4AA6-9CF2-C3E44D1BC320}"/>
    <cellStyle name="style 15 4" xfId="7409" xr:uid="{1AAC1AE4-C7B9-4A1F-BA56-9B0D33B8E904}"/>
    <cellStyle name="style 16" xfId="928" xr:uid="{00000000-0005-0000-0000-0000FB170000}"/>
    <cellStyle name="style 16 2" xfId="5553" xr:uid="{00000000-0005-0000-0000-0000FC170000}"/>
    <cellStyle name="style 16 2 2" xfId="8529" xr:uid="{6A690EE0-38D1-4AAA-AA0C-37A49CFA8896}"/>
    <cellStyle name="style 16 2 3" xfId="9716" xr:uid="{C98A0641-207F-44B8-A8E8-EA60C63439EE}"/>
    <cellStyle name="style 16 3" xfId="7166" xr:uid="{54C1FF80-A35C-49CE-B51D-87CBF815BEB7}"/>
    <cellStyle name="style 16 3 2" xfId="9677" xr:uid="{DB5FFF81-DE83-4712-B9FA-2C2FD754E215}"/>
    <cellStyle name="style 16 3 3" xfId="9879" xr:uid="{DBBD908F-67FB-42DB-A9CA-D17AC916BFA0}"/>
    <cellStyle name="style 16 4" xfId="7410" xr:uid="{4F20E959-EB0E-4A98-8B31-8A6CA83ADF9A}"/>
    <cellStyle name="style 17" xfId="929" xr:uid="{00000000-0005-0000-0000-0000FD170000}"/>
    <cellStyle name="style 17 2" xfId="5554" xr:uid="{00000000-0005-0000-0000-0000FE170000}"/>
    <cellStyle name="style 17 2 2" xfId="8530" xr:uid="{72C90B20-1669-48A5-92BD-845EB210DC01}"/>
    <cellStyle name="style 17 2 3" xfId="9717" xr:uid="{D745A3E3-03ED-48C1-9BA6-94B6D6A5DF73}"/>
    <cellStyle name="style 17 3" xfId="7168" xr:uid="{5ABA0DC6-67F2-485C-B988-90CD5B325067}"/>
    <cellStyle name="style 17 3 2" xfId="9679" xr:uid="{AACBB7EE-E657-4A19-8103-465CFD8545EA}"/>
    <cellStyle name="style 17 3 3" xfId="9881" xr:uid="{4872EB06-109A-482B-8AA0-FA550DA42BE1}"/>
    <cellStyle name="style 17 4" xfId="7411" xr:uid="{925E99DA-1F6F-44AC-BB6A-6B197D91A562}"/>
    <cellStyle name="style 18" xfId="930" xr:uid="{00000000-0005-0000-0000-0000FF170000}"/>
    <cellStyle name="style 18 2" xfId="5555" xr:uid="{00000000-0005-0000-0000-000000180000}"/>
    <cellStyle name="style 18 2 2" xfId="8531" xr:uid="{1A8567BA-61EF-4CB1-BC4B-11457F9FE373}"/>
    <cellStyle name="style 18 2 3" xfId="9718" xr:uid="{4DE89479-2751-4F5A-B968-04A15F7D5739}"/>
    <cellStyle name="style 18 3" xfId="7169" xr:uid="{153D16C8-7DEC-4572-B1B3-0476A618C3A2}"/>
    <cellStyle name="style 18 3 2" xfId="9680" xr:uid="{568DD793-E380-4A6B-A58D-EA81CF328125}"/>
    <cellStyle name="style 18 3 3" xfId="9882" xr:uid="{66D96B46-777A-4206-8930-DBD23DB70248}"/>
    <cellStyle name="style 18 4" xfId="7412" xr:uid="{C9CD2B77-2EB0-4413-A738-C089AABD8EB5}"/>
    <cellStyle name="style 19" xfId="931" xr:uid="{00000000-0005-0000-0000-000001180000}"/>
    <cellStyle name="style 19 2" xfId="5556" xr:uid="{00000000-0005-0000-0000-000002180000}"/>
    <cellStyle name="style 19 2 2" xfId="8532" xr:uid="{49AB655F-3C08-4B4C-99FE-07F081B11685}"/>
    <cellStyle name="style 19 2 3" xfId="9719" xr:uid="{D16BA6E1-CAFA-497E-A47D-D326B8074A17}"/>
    <cellStyle name="style 19 3" xfId="7170" xr:uid="{0BC5856A-9A6D-496C-ABC7-D6E7E6C7315A}"/>
    <cellStyle name="style 19 3 2" xfId="9681" xr:uid="{93CC0BCB-A242-4748-9C23-3A201E115454}"/>
    <cellStyle name="style 19 3 3" xfId="9883" xr:uid="{71FEC74E-1565-4775-B6E0-46137008A1C7}"/>
    <cellStyle name="style 19 4" xfId="7413" xr:uid="{7CB83123-3CB3-408C-88E4-93768CEC94D6}"/>
    <cellStyle name="style 2" xfId="932" xr:uid="{00000000-0005-0000-0000-000003180000}"/>
    <cellStyle name="style 2 2" xfId="2298" xr:uid="{00000000-0005-0000-0000-000004180000}"/>
    <cellStyle name="style 2 2 2" xfId="5557" xr:uid="{00000000-0005-0000-0000-000005180000}"/>
    <cellStyle name="style 2 2 2 2" xfId="8533" xr:uid="{72B8A0A4-6ACA-4FB0-96E0-0733A2546F43}"/>
    <cellStyle name="style 2 2 2 3" xfId="9720" xr:uid="{898E3934-758C-41A1-8827-75AF6089635B}"/>
    <cellStyle name="style 2 2 3" xfId="7514" xr:uid="{A0C679C1-FCAB-441F-9FDD-CAF06BBB32B6}"/>
    <cellStyle name="style 2 3" xfId="2299" xr:uid="{00000000-0005-0000-0000-000006180000}"/>
    <cellStyle name="style 2 3 2" xfId="7515" xr:uid="{25C3709C-9951-4A9C-827B-A0CB48D7FA57}"/>
    <cellStyle name="style 2 4" xfId="2300" xr:uid="{00000000-0005-0000-0000-000007180000}"/>
    <cellStyle name="style 2 4 2" xfId="7516" xr:uid="{1F85EFC5-3921-4933-AFF8-27289503BC6E}"/>
    <cellStyle name="style 2 5" xfId="5558" xr:uid="{00000000-0005-0000-0000-000008180000}"/>
    <cellStyle name="style 2 5 2" xfId="8534" xr:uid="{01E1C683-CBF2-41CC-9434-02975FFB965E}"/>
    <cellStyle name="style 2 5 3" xfId="9721" xr:uid="{E981C0E4-6E71-4922-A366-9D5B4CE9417E}"/>
    <cellStyle name="style 2 6" xfId="6341" xr:uid="{00000000-0005-0000-0000-000009180000}"/>
    <cellStyle name="style 2 7" xfId="7171" xr:uid="{21C197C3-FE0F-4106-AB12-3B304282ABC0}"/>
    <cellStyle name="style 2 7 2" xfId="9682" xr:uid="{FC64C38A-2E64-4C56-9B20-8366DE006F3F}"/>
    <cellStyle name="style 2 7 3" xfId="9884" xr:uid="{5F693591-367C-4865-9E5A-D1B2394637E7}"/>
    <cellStyle name="style 20" xfId="933" xr:uid="{00000000-0005-0000-0000-00000A180000}"/>
    <cellStyle name="style 20 2" xfId="5559" xr:uid="{00000000-0005-0000-0000-00000B180000}"/>
    <cellStyle name="style 20 2 2" xfId="8535" xr:uid="{3070A85C-273A-4B7D-9983-550D493157CB}"/>
    <cellStyle name="style 20 2 3" xfId="9722" xr:uid="{EE6CAB67-1980-48EF-BAE4-3CC19C8BEB21}"/>
    <cellStyle name="style 20 3" xfId="7163" xr:uid="{52C7705F-611A-42D7-BE0F-C0BB2239F586}"/>
    <cellStyle name="style 20 3 2" xfId="9674" xr:uid="{10FA87E3-58BB-4196-BC79-0FFFA0208EF2}"/>
    <cellStyle name="style 20 3 3" xfId="9876" xr:uid="{79AC581A-698B-4FDA-9113-FF9D7D1C93D8}"/>
    <cellStyle name="style 20 4" xfId="7414" xr:uid="{E276D32E-BF82-4CE4-A5B1-9F87B1371288}"/>
    <cellStyle name="style 21" xfId="934" xr:uid="{00000000-0005-0000-0000-00000C180000}"/>
    <cellStyle name="style 21 2" xfId="5560" xr:uid="{00000000-0005-0000-0000-00000D180000}"/>
    <cellStyle name="style 21 2 2" xfId="8536" xr:uid="{492BBF52-CF06-4C50-AA7E-D5D243D064CB}"/>
    <cellStyle name="style 21 2 3" xfId="9723" xr:uid="{707F6D94-D821-48F3-BC2D-BBC6158EE3FB}"/>
    <cellStyle name="style 21 3" xfId="7165" xr:uid="{6B2D8247-E7B7-42FA-93CC-C5B2D70B840A}"/>
    <cellStyle name="style 21 3 2" xfId="9676" xr:uid="{1E6FB945-63D5-4F1A-9E2C-040C88E4BA46}"/>
    <cellStyle name="style 21 3 3" xfId="9878" xr:uid="{3D3F2AD4-08C6-4D61-B97D-328960CC19E7}"/>
    <cellStyle name="style 21 4" xfId="7415" xr:uid="{B6D8B4B7-F78D-491F-85D0-B4212D263B23}"/>
    <cellStyle name="style 22" xfId="935" xr:uid="{00000000-0005-0000-0000-00000E180000}"/>
    <cellStyle name="style 22 2" xfId="5561" xr:uid="{00000000-0005-0000-0000-00000F180000}"/>
    <cellStyle name="style 22 2 2" xfId="8537" xr:uid="{94D88BF0-F7C0-4B3D-A44E-CAD082A18AC8}"/>
    <cellStyle name="style 22 2 3" xfId="9724" xr:uid="{124C42BD-EB7F-4C01-A989-90E1E12B3637}"/>
    <cellStyle name="style 22 3" xfId="7167" xr:uid="{35BA47FF-94CC-4CC7-910B-B2B204380759}"/>
    <cellStyle name="style 22 3 2" xfId="9678" xr:uid="{A40C0ADA-F304-438E-847C-22260FCAEDC5}"/>
    <cellStyle name="style 22 3 3" xfId="9880" xr:uid="{BC94EC54-1DB2-4366-B218-25BE7E99C05E}"/>
    <cellStyle name="style 22 4" xfId="7416" xr:uid="{4CA58F23-FFF8-4908-87A8-8D25B3B3BAE2}"/>
    <cellStyle name="style 23" xfId="5562" xr:uid="{00000000-0005-0000-0000-000010180000}"/>
    <cellStyle name="style 23 2" xfId="8538" xr:uid="{F31AD441-7BF0-4091-9C75-86ED1DE362A1}"/>
    <cellStyle name="style 23 3" xfId="9725" xr:uid="{95F603A0-B236-4772-8180-5EE005BD8E6C}"/>
    <cellStyle name="style 24" xfId="5563" xr:uid="{00000000-0005-0000-0000-000011180000}"/>
    <cellStyle name="style 24 2" xfId="8539" xr:uid="{3BB9F35F-1DF3-42EF-88F1-AE4C88A24CAC}"/>
    <cellStyle name="style 24 3" xfId="9726" xr:uid="{770C72D3-59A9-4E21-BD37-0737DA0BF8E4}"/>
    <cellStyle name="style 25" xfId="5564" xr:uid="{00000000-0005-0000-0000-000012180000}"/>
    <cellStyle name="style 25 2" xfId="8540" xr:uid="{2B739859-CEF1-4B9E-85D8-1D3EA46E58CD}"/>
    <cellStyle name="style 25 3" xfId="9727" xr:uid="{B2B769CD-6657-47B8-9C6D-A0F0D7B2C4E4}"/>
    <cellStyle name="style 26" xfId="5565" xr:uid="{00000000-0005-0000-0000-000013180000}"/>
    <cellStyle name="style 26 2" xfId="8541" xr:uid="{D71ED2B1-7FCA-4FC3-A288-0EE5330D7AB3}"/>
    <cellStyle name="style 26 3" xfId="9728" xr:uid="{B2FC4AF4-6B28-457C-90C4-E574C619AC4B}"/>
    <cellStyle name="style 27" xfId="5566" xr:uid="{00000000-0005-0000-0000-000014180000}"/>
    <cellStyle name="style 27 2" xfId="8542" xr:uid="{AA6DBA37-E849-41B3-A1C0-B3748F8C5F91}"/>
    <cellStyle name="style 27 3" xfId="9729" xr:uid="{D63B28D7-0E23-4612-AE83-C3808CDAAAB7}"/>
    <cellStyle name="style 28" xfId="5567" xr:uid="{00000000-0005-0000-0000-000015180000}"/>
    <cellStyle name="style 28 2" xfId="8543" xr:uid="{A54963A7-E66B-4DDE-84A2-1F02C5DCFF12}"/>
    <cellStyle name="style 28 3" xfId="9730" xr:uid="{EBA86C47-3071-451B-8BFE-592FC9041A83}"/>
    <cellStyle name="style 29" xfId="5966" xr:uid="{00000000-0005-0000-0000-000016180000}"/>
    <cellStyle name="style 29 2" xfId="8806" xr:uid="{692EAF88-3D5F-4A68-A6CD-4D9EC1DF35E6}"/>
    <cellStyle name="style 3" xfId="936" xr:uid="{00000000-0005-0000-0000-000017180000}"/>
    <cellStyle name="style 3 2" xfId="5568" xr:uid="{00000000-0005-0000-0000-000018180000}"/>
    <cellStyle name="style 3 2 2" xfId="8544" xr:uid="{6CA344D5-A353-430A-BE41-14B499A3FEA5}"/>
    <cellStyle name="style 3 2 3" xfId="9731" xr:uid="{1C774DE9-EBFF-4DFB-A472-6C9E39F28766}"/>
    <cellStyle name="style 3 3" xfId="5569" xr:uid="{00000000-0005-0000-0000-000019180000}"/>
    <cellStyle name="style 3 3 2" xfId="8545" xr:uid="{4FE034B5-8C59-4754-A9FE-F92177736FFB}"/>
    <cellStyle name="style 3 3 3" xfId="9732" xr:uid="{BB00D6C1-A787-4A83-BE3E-AEDF3B833E4D}"/>
    <cellStyle name="style 3 4" xfId="6342" xr:uid="{00000000-0005-0000-0000-00001A180000}"/>
    <cellStyle name="style 3 5" xfId="6802" xr:uid="{8341F54A-88A7-4214-8735-8D953E326969}"/>
    <cellStyle name="style 3 5 2" xfId="9458" xr:uid="{4C85A919-1A53-4ADA-962C-99863F0BF4C6}"/>
    <cellStyle name="style 3 5 3" xfId="9829" xr:uid="{9984EA15-7936-47DE-8129-B703777DB29B}"/>
    <cellStyle name="style 30" xfId="6002" xr:uid="{00000000-0005-0000-0000-00001B180000}"/>
    <cellStyle name="style 31" xfId="5969" xr:uid="{00000000-0005-0000-0000-00001C180000}"/>
    <cellStyle name="style 32" xfId="6003" xr:uid="{00000000-0005-0000-0000-00001D180000}"/>
    <cellStyle name="style 33" xfId="5974" xr:uid="{00000000-0005-0000-0000-00001E180000}"/>
    <cellStyle name="style 34" xfId="6006" xr:uid="{00000000-0005-0000-0000-00001F180000}"/>
    <cellStyle name="style 35" xfId="5975" xr:uid="{00000000-0005-0000-0000-000020180000}"/>
    <cellStyle name="style 36" xfId="6007" xr:uid="{00000000-0005-0000-0000-000021180000}"/>
    <cellStyle name="style 37" xfId="6010" xr:uid="{00000000-0005-0000-0000-000022180000}"/>
    <cellStyle name="style 38" xfId="6340" xr:uid="{00000000-0005-0000-0000-000023180000}"/>
    <cellStyle name="style 39" xfId="7123" xr:uid="{0529E73D-440B-47B7-8512-FCD7BDC07183}"/>
    <cellStyle name="style 39 2" xfId="9655" xr:uid="{EE0CE6F8-7B24-4DA0-B34B-4A25D533B2EE}"/>
    <cellStyle name="style 39 3" xfId="9868" xr:uid="{46168175-0F96-486D-BBC7-E78213A84D31}"/>
    <cellStyle name="style 4" xfId="937" xr:uid="{00000000-0005-0000-0000-000024180000}"/>
    <cellStyle name="style 4 2" xfId="5570" xr:uid="{00000000-0005-0000-0000-000025180000}"/>
    <cellStyle name="style 4 2 2" xfId="8546" xr:uid="{B7709358-7138-444B-9765-BBCA5618880C}"/>
    <cellStyle name="style 4 2 3" xfId="9733" xr:uid="{4C9F535B-8F04-4548-953C-6548071745AB}"/>
    <cellStyle name="style 4 3" xfId="5571" xr:uid="{00000000-0005-0000-0000-000026180000}"/>
    <cellStyle name="style 4 3 2" xfId="8547" xr:uid="{F4C37C21-0D42-44D2-BD1F-38F9B4D78D7E}"/>
    <cellStyle name="style 4 3 3" xfId="9734" xr:uid="{DE0F4443-31ED-4085-BED3-7CF9FE98CE16}"/>
    <cellStyle name="style 4 4" xfId="7172" xr:uid="{A05BC3A3-7D80-48AE-8627-A563C210D081}"/>
    <cellStyle name="style 4 4 2" xfId="9683" xr:uid="{89854405-6B3F-48A4-9145-68A304486464}"/>
    <cellStyle name="style 4 4 3" xfId="9885" xr:uid="{03D70271-1645-4C63-8830-9C8FE8DF4379}"/>
    <cellStyle name="style 4 5" xfId="7417" xr:uid="{644FC154-C074-4662-B0BE-EFAC1C7EEEEF}"/>
    <cellStyle name="style 40" xfId="7403" xr:uid="{EF2A38A5-B544-4DA8-9994-DCA74D45E4D5}"/>
    <cellStyle name="style 41" xfId="8305" xr:uid="{DE3502F8-F5A8-4F67-8954-701E9629C474}"/>
    <cellStyle name="style 5" xfId="938" xr:uid="{00000000-0005-0000-0000-000027180000}"/>
    <cellStyle name="style 5 2" xfId="5572" xr:uid="{00000000-0005-0000-0000-000028180000}"/>
    <cellStyle name="style 5 2 2" xfId="8548" xr:uid="{963274EE-0DC8-442E-8504-3759393751DA}"/>
    <cellStyle name="style 5 2 3" xfId="9735" xr:uid="{CE12E326-1F08-4870-A82F-9D657223722F}"/>
    <cellStyle name="style 5 3" xfId="5573" xr:uid="{00000000-0005-0000-0000-000029180000}"/>
    <cellStyle name="style 5 3 2" xfId="8549" xr:uid="{74194B7A-2E25-4929-80DC-BD8922DDDD3F}"/>
    <cellStyle name="style 5 3 3" xfId="9736" xr:uid="{A0DB6ABB-EB02-4C55-8D3F-0BF65B7B4309}"/>
    <cellStyle name="style 5 4" xfId="7173" xr:uid="{07237E58-7108-4FD9-87AA-4D6B8BA5C95D}"/>
    <cellStyle name="style 5 4 2" xfId="9684" xr:uid="{4F5AEDD0-9121-4508-8861-61306D10E042}"/>
    <cellStyle name="style 5 4 3" xfId="9886" xr:uid="{249D7394-DE2F-4971-AB37-D41A4052E533}"/>
    <cellStyle name="style 5 5" xfId="7418" xr:uid="{7659D8E2-B284-49B6-B093-B057EE85AE9B}"/>
    <cellStyle name="style 6" xfId="939" xr:uid="{00000000-0005-0000-0000-00002A180000}"/>
    <cellStyle name="style 6 2" xfId="5574" xr:uid="{00000000-0005-0000-0000-00002B180000}"/>
    <cellStyle name="style 6 2 2" xfId="8550" xr:uid="{8B503890-A55A-4300-86DE-7B723CBADE11}"/>
    <cellStyle name="style 6 2 3" xfId="9737" xr:uid="{2F2F1EFC-366F-46F2-B118-5C6DB985E9AF}"/>
    <cellStyle name="style 6 3" xfId="5575" xr:uid="{00000000-0005-0000-0000-00002C180000}"/>
    <cellStyle name="style 6 3 2" xfId="8551" xr:uid="{889E6778-1B9E-4A82-AFD9-78F5310B2C9B}"/>
    <cellStyle name="style 6 3 3" xfId="9738" xr:uid="{6F39410B-C41A-46C9-8F3C-11F357F67950}"/>
    <cellStyle name="style 6 4" xfId="7174" xr:uid="{C181BAAD-E97A-4856-AA68-2A4ABA165331}"/>
    <cellStyle name="style 6 4 2" xfId="9685" xr:uid="{4C632A0A-E3E4-4F9A-B216-3E027943EFBB}"/>
    <cellStyle name="style 6 4 3" xfId="9887" xr:uid="{0E56CFC5-6128-4D99-AF82-D51C5B268C14}"/>
    <cellStyle name="style 6 5" xfId="7419" xr:uid="{84A98EB9-3CF1-4DD4-8D5B-4EA481463FEC}"/>
    <cellStyle name="style 7" xfId="940" xr:uid="{00000000-0005-0000-0000-00002D180000}"/>
    <cellStyle name="style 7 2" xfId="5576" xr:uid="{00000000-0005-0000-0000-00002E180000}"/>
    <cellStyle name="style 7 2 2" xfId="8552" xr:uid="{09248994-46CA-426E-9E95-263C19D86EAB}"/>
    <cellStyle name="style 7 2 3" xfId="9739" xr:uid="{0EBF8C92-F5E9-4709-9369-D2D3246C221E}"/>
    <cellStyle name="style 7 3" xfId="7175" xr:uid="{B5627F7F-24F2-423C-B70D-3FBDA0FAAF29}"/>
    <cellStyle name="style 7 3 2" xfId="9686" xr:uid="{B26D2403-B75D-4E11-B4BC-D05FC07FA72B}"/>
    <cellStyle name="style 7 3 3" xfId="9888" xr:uid="{7352F578-1427-43E5-BEAB-6514618BA942}"/>
    <cellStyle name="style 7 4" xfId="7420" xr:uid="{CAE40076-DC1A-4623-85C4-FB29D7741F75}"/>
    <cellStyle name="style 8" xfId="941" xr:uid="{00000000-0005-0000-0000-00002F180000}"/>
    <cellStyle name="style 8 2" xfId="5577" xr:uid="{00000000-0005-0000-0000-000030180000}"/>
    <cellStyle name="style 8 2 2" xfId="8553" xr:uid="{DC0EE1C7-0092-496B-8D4D-EA5F7C37D9F7}"/>
    <cellStyle name="style 8 2 3" xfId="9740" xr:uid="{727DB567-0800-4CB7-BF94-0068AF6199C4}"/>
    <cellStyle name="style 8 3" xfId="7176" xr:uid="{1E2BC45B-35A3-4CAE-914F-B8DB1F9B1E8F}"/>
    <cellStyle name="style 8 3 2" xfId="9687" xr:uid="{866ED68B-221D-4E75-B2EC-C38040FC3F6A}"/>
    <cellStyle name="style 8 3 3" xfId="9889" xr:uid="{EA94DFFA-994E-4877-8602-295CA208CC71}"/>
    <cellStyle name="style 8 4" xfId="7421" xr:uid="{8F212FA2-D88D-410F-A667-41DC665B77DD}"/>
    <cellStyle name="style 9" xfId="942" xr:uid="{00000000-0005-0000-0000-000031180000}"/>
    <cellStyle name="style 9 2" xfId="5578" xr:uid="{00000000-0005-0000-0000-000032180000}"/>
    <cellStyle name="style 9 2 2" xfId="8554" xr:uid="{59E9EE19-FA3F-4F90-914D-CD7E8CFD70F2}"/>
    <cellStyle name="style 9 2 3" xfId="9741" xr:uid="{6EC05065-90F0-402B-8855-8E41F03DAC94}"/>
    <cellStyle name="style 9 3" xfId="7177" xr:uid="{D7BC10E8-2646-430C-97A4-671FDC108D04}"/>
    <cellStyle name="style 9 3 2" xfId="9688" xr:uid="{6F847C87-513B-4071-83C7-E05F9B20DDE8}"/>
    <cellStyle name="style 9 3 3" xfId="9890" xr:uid="{15F40DFE-CA14-4EF0-A6B0-A9AF98B98F7E}"/>
    <cellStyle name="style 9 4" xfId="7422" xr:uid="{48B670F4-1960-4801-9839-C7FF087C06E7}"/>
    <cellStyle name="style1" xfId="943" xr:uid="{00000000-0005-0000-0000-000033180000}"/>
    <cellStyle name="style1 2" xfId="2301" xr:uid="{00000000-0005-0000-0000-000034180000}"/>
    <cellStyle name="style1 3" xfId="5579" xr:uid="{00000000-0005-0000-0000-000035180000}"/>
    <cellStyle name="style1 4" xfId="7178" xr:uid="{C0FABD57-CB45-422D-A9F6-65B266F4187D}"/>
    <cellStyle name="style2" xfId="944" xr:uid="{00000000-0005-0000-0000-000036180000}"/>
    <cellStyle name="style2 2" xfId="2302" xr:uid="{00000000-0005-0000-0000-000037180000}"/>
    <cellStyle name="style2 3" xfId="5580" xr:uid="{00000000-0005-0000-0000-000038180000}"/>
    <cellStyle name="style2 4" xfId="7179" xr:uid="{55405CC0-F804-40D7-839E-48D9B4158CC8}"/>
    <cellStyle name="subt1" xfId="945" xr:uid="{00000000-0005-0000-0000-000039180000}"/>
    <cellStyle name="subt1 2" xfId="2303" xr:uid="{00000000-0005-0000-0000-00003A180000}"/>
    <cellStyle name="subt1 2 2" xfId="7517" xr:uid="{F781CF6B-2957-4036-9143-577D205056F5}"/>
    <cellStyle name="subt1 3" xfId="2304" xr:uid="{00000000-0005-0000-0000-00003B180000}"/>
    <cellStyle name="subt1 3 2" xfId="7518" xr:uid="{A9E05BC3-8C1F-444E-BA92-813CD2BAE6F3}"/>
    <cellStyle name="subt1 4" xfId="5581" xr:uid="{00000000-0005-0000-0000-00003C180000}"/>
    <cellStyle name="subt1 4 2" xfId="8555" xr:uid="{E4CEBFBB-B558-4A99-AC39-ADD9546A13E1}"/>
    <cellStyle name="subt1 5" xfId="6586" xr:uid="{ACD5D341-AED9-4FBF-A700-0DB1B2A95309}"/>
    <cellStyle name="subt1 5 2" xfId="9271" xr:uid="{70705C17-0EB0-4AE3-A2C9-ED88B1EDAE9D}"/>
    <cellStyle name="subt1 6" xfId="7423" xr:uid="{AD77E61A-0ED0-435D-AE8C-A7F3303D03A3}"/>
    <cellStyle name="Subtotal" xfId="946" xr:uid="{00000000-0005-0000-0000-00003D180000}"/>
    <cellStyle name="Subtotal 2" xfId="947" xr:uid="{00000000-0005-0000-0000-00003E180000}"/>
    <cellStyle name="Subtotal 2 2" xfId="2305" xr:uid="{00000000-0005-0000-0000-00003F180000}"/>
    <cellStyle name="Subtotal 3" xfId="2306" xr:uid="{00000000-0005-0000-0000-000040180000}"/>
    <cellStyle name="Subtotal 4" xfId="5582" xr:uid="{00000000-0005-0000-0000-000041180000}"/>
    <cellStyle name="Subtotal 5" xfId="6706" xr:uid="{0A15CA87-7184-43C7-8865-9954BACA132B}"/>
    <cellStyle name="tahap" xfId="948" xr:uid="{00000000-0005-0000-0000-000042180000}"/>
    <cellStyle name="tahap 2" xfId="949" xr:uid="{00000000-0005-0000-0000-000043180000}"/>
    <cellStyle name="tahap 2 2" xfId="2307" xr:uid="{00000000-0005-0000-0000-000044180000}"/>
    <cellStyle name="tahap 3" xfId="2308" xr:uid="{00000000-0005-0000-0000-000045180000}"/>
    <cellStyle name="Text Indent A" xfId="950" xr:uid="{00000000-0005-0000-0000-000046180000}"/>
    <cellStyle name="Text Indent A 2" xfId="2309" xr:uid="{00000000-0005-0000-0000-000047180000}"/>
    <cellStyle name="Text Indent B" xfId="951" xr:uid="{00000000-0005-0000-0000-000048180000}"/>
    <cellStyle name="Text Indent B 2" xfId="6683" xr:uid="{44B30D60-E77F-4BF1-BA87-8A4ECF7206FC}"/>
    <cellStyle name="Text Indent C" xfId="952" xr:uid="{00000000-0005-0000-0000-000049180000}"/>
    <cellStyle name="Text Indent C 2" xfId="953" xr:uid="{00000000-0005-0000-0000-00004A180000}"/>
    <cellStyle name="Text Indent C 2 2" xfId="6344" xr:uid="{00000000-0005-0000-0000-00004B180000}"/>
    <cellStyle name="Text Indent C 2 2 2" xfId="9127" xr:uid="{AF2A1461-FE4A-41FC-901A-4B981C0EC20A}"/>
    <cellStyle name="Text Indent C 2 3" xfId="7425" xr:uid="{100A02ED-3AAD-4F04-937D-348395C11F7C}"/>
    <cellStyle name="Text Indent C 3" xfId="5967" xr:uid="{00000000-0005-0000-0000-00004C180000}"/>
    <cellStyle name="Text Indent C 3 2" xfId="6345" xr:uid="{00000000-0005-0000-0000-00004D180000}"/>
    <cellStyle name="Text Indent C 3 2 2" xfId="9128" xr:uid="{311693F6-F969-4449-A150-5F316EAB7E4B}"/>
    <cellStyle name="Text Indent C 3 3" xfId="8807" xr:uid="{D20AC58F-2A8E-485A-B7B9-921EB379AE5A}"/>
    <cellStyle name="Text Indent C 4" xfId="6343" xr:uid="{00000000-0005-0000-0000-00004E180000}"/>
    <cellStyle name="Text Indent C 4 2" xfId="9126" xr:uid="{C7E3AD67-6C27-4FFA-8740-3178C6A5C124}"/>
    <cellStyle name="Text Indent C 5" xfId="7424" xr:uid="{97B017EF-6697-46AF-B5BB-1E688187B9FD}"/>
    <cellStyle name="þ_x001d_ð &amp;ý&amp;†ýG_x0008_ X_x000a__x0007__x0001__x0001_" xfId="954" xr:uid="{00000000-0005-0000-0000-00004F180000}"/>
    <cellStyle name="þ_x001d_ð &amp;ý&amp;†ýG_x0008_ X_x000a__x0007__x0001__x0001_ 2" xfId="5968" xr:uid="{00000000-0005-0000-0000-000050180000}"/>
    <cellStyle name="þ_x001d_ð &amp;ý&amp;†ýG_x0008_ X_x000a__x0007__x0001__x0001_ 2 2" xfId="6347" xr:uid="{00000000-0005-0000-0000-000051180000}"/>
    <cellStyle name="þ_x001d_ð &amp;ý&amp;†ýG_x0008_ X_x000a__x0007__x0001__x0001_ 2 2 2" xfId="9130" xr:uid="{82EE2A9D-4539-4F03-A2E8-2FF997583F7E}"/>
    <cellStyle name="þ_x001d_ð &amp;ý&amp;†ýG_x0008_ X_x000a__x0007__x0001__x0001_ 2 3" xfId="8808" xr:uid="{09D9F111-16C9-407E-A2E0-7FF8B1B91D38}"/>
    <cellStyle name="þ_x001d_ð &amp;ý&amp;†ýG_x0008_ X_x000a__x0007__x0001__x0001_ 3" xfId="6348" xr:uid="{00000000-0005-0000-0000-000052180000}"/>
    <cellStyle name="þ_x001d_ð &amp;ý&amp;†ýG_x0008_ X_x000a__x0007__x0001__x0001_ 3 2" xfId="9131" xr:uid="{B16A069B-3AE0-4979-8892-4C14B01C9B8B}"/>
    <cellStyle name="þ_x001d_ð &amp;ý&amp;†ýG_x0008_ X_x000a__x0007__x0001__x0001_ 4" xfId="6346" xr:uid="{00000000-0005-0000-0000-000053180000}"/>
    <cellStyle name="þ_x001d_ð &amp;ý&amp;†ýG_x0008_ X_x000a__x0007__x0001__x0001_ 4 2" xfId="9129" xr:uid="{57BBD356-B67A-422B-BA72-FB0975DE900D}"/>
    <cellStyle name="þ_x001d_ð &amp;ý&amp;†ýG_x0008_ X_x000a__x0007__x0001__x0001_ 5" xfId="7426" xr:uid="{275A1B5A-5720-43EB-9C5E-EB648DA85B40}"/>
    <cellStyle name="þ_x001d_ð &amp;ý&amp;†ýG_x0008_ X_x000d__x0007__x0001__x0001_" xfId="6767" xr:uid="{E41D7373-5DE7-494B-818C-E0C925F91C84}"/>
    <cellStyle name="þ_x001d_ð &amp;ý&amp;†ýG_x0008_ X_x000d__x0007__x0001__x0001_ 2" xfId="7180" xr:uid="{D061B6B7-ACBE-4144-B8AC-DADEE6E4181A}"/>
    <cellStyle name="þ_x001d_ð &amp;ý&amp;†ýG_x0008_ X_x000d__x0007__x0001__x0001_ 2 2" xfId="9689" xr:uid="{19A6B35F-6D2A-408D-B118-09923218AAC9}"/>
    <cellStyle name="þ_x001d_ð &amp;ý&amp;†ýG_x0008_ X_x000d__x0007__x0001__x0001_ 3" xfId="9427" xr:uid="{1D93BFC1-EDCD-4F06-B4CA-5E2587449829}"/>
    <cellStyle name="Title 2" xfId="955" xr:uid="{00000000-0005-0000-0000-000054180000}"/>
    <cellStyle name="Title 2 2" xfId="2310" xr:uid="{00000000-0005-0000-0000-000055180000}"/>
    <cellStyle name="Title 2 2 2" xfId="5583" xr:uid="{00000000-0005-0000-0000-000056180000}"/>
    <cellStyle name="Title 2 3" xfId="7142" xr:uid="{BB8A3974-CC9B-4C6C-9356-D4A470066404}"/>
    <cellStyle name="Title 3" xfId="5970" xr:uid="{00000000-0005-0000-0000-000057180000}"/>
    <cellStyle name="Total 10" xfId="5584" xr:uid="{00000000-0005-0000-0000-000058180000}"/>
    <cellStyle name="Total 11" xfId="5585" xr:uid="{00000000-0005-0000-0000-000059180000}"/>
    <cellStyle name="Total 12" xfId="5586" xr:uid="{00000000-0005-0000-0000-00005A180000}"/>
    <cellStyle name="Total 13" xfId="5587" xr:uid="{00000000-0005-0000-0000-00005B180000}"/>
    <cellStyle name="Total 14" xfId="5588" xr:uid="{00000000-0005-0000-0000-00005C180000}"/>
    <cellStyle name="Total 15" xfId="5589" xr:uid="{00000000-0005-0000-0000-00005D180000}"/>
    <cellStyle name="Total 16" xfId="5590" xr:uid="{00000000-0005-0000-0000-00005E180000}"/>
    <cellStyle name="Total 17" xfId="5591" xr:uid="{00000000-0005-0000-0000-00005F180000}"/>
    <cellStyle name="Total 18" xfId="5592" xr:uid="{00000000-0005-0000-0000-000060180000}"/>
    <cellStyle name="Total 19" xfId="5593" xr:uid="{00000000-0005-0000-0000-000061180000}"/>
    <cellStyle name="Total 2" xfId="956" xr:uid="{00000000-0005-0000-0000-000062180000}"/>
    <cellStyle name="Total 2 10" xfId="6004" xr:uid="{00000000-0005-0000-0000-000063180000}"/>
    <cellStyle name="Total 2 10 2" xfId="8826" xr:uid="{EE731D39-E56A-4019-B6D6-186D14973A9D}"/>
    <cellStyle name="Total 2 10 3" xfId="9779" xr:uid="{FC56230D-A69B-43EF-918B-5B37DDA680A1}"/>
    <cellStyle name="Total 2 2" xfId="2311" xr:uid="{00000000-0005-0000-0000-000064180000}"/>
    <cellStyle name="Total 2 2 2" xfId="5594" xr:uid="{00000000-0005-0000-0000-000065180000}"/>
    <cellStyle name="Total 2 2 2 2" xfId="5595" xr:uid="{00000000-0005-0000-0000-000066180000}"/>
    <cellStyle name="Total 2 2 2 2 2" xfId="8557" xr:uid="{8AEA5728-4DFC-4D4D-9103-C154EE588876}"/>
    <cellStyle name="Total 2 2 2 2 3" xfId="9743" xr:uid="{47BF613B-BF17-451E-B0EE-846264C43B2F}"/>
    <cellStyle name="Total 2 2 2 3" xfId="8556" xr:uid="{C5DD000C-38F6-4085-A397-950D0E14D77B}"/>
    <cellStyle name="Total 2 2 2 4" xfId="9742" xr:uid="{DB8D16D7-00E1-40B2-9188-69D6AFF57C96}"/>
    <cellStyle name="Total 2 2 3" xfId="5596" xr:uid="{00000000-0005-0000-0000-000067180000}"/>
    <cellStyle name="Total 2 2 4" xfId="6349" xr:uid="{00000000-0005-0000-0000-000068180000}"/>
    <cellStyle name="Total 2 2 4 2" xfId="9132" xr:uid="{8BA34AA1-CE87-4B7C-8870-39C68C927E47}"/>
    <cellStyle name="Total 2 2 4 3" xfId="9801" xr:uid="{66464C1E-2D8A-42B0-BCEA-CA4C4E3EBEA9}"/>
    <cellStyle name="Total 2 2_BukuBesar" xfId="5597" xr:uid="{00000000-0005-0000-0000-000069180000}"/>
    <cellStyle name="Total 2 3" xfId="2312" xr:uid="{00000000-0005-0000-0000-00006A180000}"/>
    <cellStyle name="Total 2 3 2" xfId="5598" xr:uid="{00000000-0005-0000-0000-00006B180000}"/>
    <cellStyle name="Total 2 3 3" xfId="6350" xr:uid="{00000000-0005-0000-0000-00006C180000}"/>
    <cellStyle name="Total 2 3 3 2" xfId="9133" xr:uid="{8D3DBF04-16F7-4C32-A8ED-BFC53724C81C}"/>
    <cellStyle name="Total 2 3 3 3" xfId="9802" xr:uid="{C08C9B93-4609-4C14-9E65-9CD36D17EC88}"/>
    <cellStyle name="Total 2 4" xfId="5599" xr:uid="{00000000-0005-0000-0000-00006D180000}"/>
    <cellStyle name="Total 2 4 2" xfId="6351" xr:uid="{00000000-0005-0000-0000-00006E180000}"/>
    <cellStyle name="Total 2 4 2 2" xfId="9134" xr:uid="{739E83AD-60D3-4759-87CE-54FF383F5AF1}"/>
    <cellStyle name="Total 2 4 2 3" xfId="9803" xr:uid="{51A4C4DF-7A07-4F61-B91C-57A1AE9C881E}"/>
    <cellStyle name="Total 2 4 3" xfId="8558" xr:uid="{6BE020C1-D561-4C02-A8D5-FCBEE36A91DD}"/>
    <cellStyle name="Total 2 4 4" xfId="9744" xr:uid="{7EE46F33-662A-4704-A588-74427E05C685}"/>
    <cellStyle name="Total 2 5" xfId="5600" xr:uid="{00000000-0005-0000-0000-00006F180000}"/>
    <cellStyle name="Total 2 6" xfId="5601" xr:uid="{00000000-0005-0000-0000-000070180000}"/>
    <cellStyle name="Total 2 7" xfId="5602" xr:uid="{00000000-0005-0000-0000-000071180000}"/>
    <cellStyle name="Total 2 8" xfId="5603" xr:uid="{00000000-0005-0000-0000-000072180000}"/>
    <cellStyle name="Total 2 8 2" xfId="8559" xr:uid="{EB93D5EA-409F-461C-8B91-549871B1A082}"/>
    <cellStyle name="Total 2 8 3" xfId="9745" xr:uid="{E5A95BD0-81C5-48E0-9651-B29720798E2A}"/>
    <cellStyle name="Total 2 9" xfId="5971" xr:uid="{00000000-0005-0000-0000-000073180000}"/>
    <cellStyle name="Total 2 9 2" xfId="8809" xr:uid="{C28F4F5E-04DD-4D06-9174-C4F840CFC941}"/>
    <cellStyle name="Total 2 9 3" xfId="9766" xr:uid="{1B5686E6-B224-4705-831C-FC475F0E904F}"/>
    <cellStyle name="Total 20" xfId="5604" xr:uid="{00000000-0005-0000-0000-000074180000}"/>
    <cellStyle name="Total 21" xfId="5605" xr:uid="{00000000-0005-0000-0000-000075180000}"/>
    <cellStyle name="Total 22" xfId="5606" xr:uid="{00000000-0005-0000-0000-000076180000}"/>
    <cellStyle name="Total 23" xfId="5607" xr:uid="{00000000-0005-0000-0000-000077180000}"/>
    <cellStyle name="Total 24" xfId="5608" xr:uid="{00000000-0005-0000-0000-000078180000}"/>
    <cellStyle name="Total 25" xfId="5609" xr:uid="{00000000-0005-0000-0000-000079180000}"/>
    <cellStyle name="Total 26" xfId="5610" xr:uid="{00000000-0005-0000-0000-00007A180000}"/>
    <cellStyle name="Total 27" xfId="5611" xr:uid="{00000000-0005-0000-0000-00007B180000}"/>
    <cellStyle name="Total 28" xfId="5612" xr:uid="{00000000-0005-0000-0000-00007C180000}"/>
    <cellStyle name="Total 29" xfId="5613" xr:uid="{00000000-0005-0000-0000-00007D180000}"/>
    <cellStyle name="Total 3" xfId="957" xr:uid="{00000000-0005-0000-0000-00007E180000}"/>
    <cellStyle name="Total 3 10" xfId="6009" xr:uid="{00000000-0005-0000-0000-00007F180000}"/>
    <cellStyle name="Total 3 10 2" xfId="8828" xr:uid="{CECF2F9B-2EFA-4179-A8DE-D7D26325B49D}"/>
    <cellStyle name="Total 3 10 3" xfId="9781" xr:uid="{5FD518E8-641B-4415-9D75-4C2970F35CEB}"/>
    <cellStyle name="Total 3 2" xfId="2313" xr:uid="{00000000-0005-0000-0000-000080180000}"/>
    <cellStyle name="Total 3 2 2" xfId="5614" xr:uid="{00000000-0005-0000-0000-000081180000}"/>
    <cellStyle name="Total 3 2 2 2" xfId="5615" xr:uid="{00000000-0005-0000-0000-000082180000}"/>
    <cellStyle name="Total 3 2 2 2 2" xfId="8561" xr:uid="{DFD7BBBA-16D3-41D1-B966-1FD7B6DE0533}"/>
    <cellStyle name="Total 3 2 2 2 3" xfId="9747" xr:uid="{1AC6DE88-F9A9-4A9B-AB17-1A666CADD678}"/>
    <cellStyle name="Total 3 2 2 3" xfId="8560" xr:uid="{A8F19DEA-CEC9-4B8B-9700-F7E81D19CE5C}"/>
    <cellStyle name="Total 3 2 2 4" xfId="9746" xr:uid="{EF45A90C-ED68-4B6F-95A1-F2B8CB27E571}"/>
    <cellStyle name="Total 3 2 3" xfId="5616" xr:uid="{00000000-0005-0000-0000-000083180000}"/>
    <cellStyle name="Total 3 2 4" xfId="6352" xr:uid="{00000000-0005-0000-0000-000084180000}"/>
    <cellStyle name="Total 3 2 4 2" xfId="9135" xr:uid="{629E1098-8EC4-48DE-AF4E-8DF6F6B0526F}"/>
    <cellStyle name="Total 3 2 4 3" xfId="9804" xr:uid="{772F50C6-58EC-4839-9A10-7A3693368EDE}"/>
    <cellStyle name="Total 3 2_BukuBesar" xfId="5617" xr:uid="{00000000-0005-0000-0000-000085180000}"/>
    <cellStyle name="Total 3 3" xfId="2314" xr:uid="{00000000-0005-0000-0000-000086180000}"/>
    <cellStyle name="Total 3 3 2" xfId="5618" xr:uid="{00000000-0005-0000-0000-000087180000}"/>
    <cellStyle name="Total 3 3 3" xfId="6353" xr:uid="{00000000-0005-0000-0000-000088180000}"/>
    <cellStyle name="Total 3 3 3 2" xfId="9136" xr:uid="{19ED8F2E-C489-410C-BF1B-E27040A349EC}"/>
    <cellStyle name="Total 3 3 3 3" xfId="9805" xr:uid="{F505DB78-2E50-44C5-B32E-0659A7EF3974}"/>
    <cellStyle name="Total 3 4" xfId="5619" xr:uid="{00000000-0005-0000-0000-000089180000}"/>
    <cellStyle name="Total 3 4 2" xfId="6354" xr:uid="{00000000-0005-0000-0000-00008A180000}"/>
    <cellStyle name="Total 3 4 2 2" xfId="9137" xr:uid="{A7CADFCE-C7AC-44DE-8EAC-22B49B36FA7C}"/>
    <cellStyle name="Total 3 4 2 3" xfId="9806" xr:uid="{61472D3D-816D-4B8B-95BD-D203933F6190}"/>
    <cellStyle name="Total 3 5" xfId="5620" xr:uid="{00000000-0005-0000-0000-00008B180000}"/>
    <cellStyle name="Total 3 6" xfId="5621" xr:uid="{00000000-0005-0000-0000-00008C180000}"/>
    <cellStyle name="Total 3 7" xfId="5622" xr:uid="{00000000-0005-0000-0000-00008D180000}"/>
    <cellStyle name="Total 3 8" xfId="5972" xr:uid="{00000000-0005-0000-0000-00008E180000}"/>
    <cellStyle name="Total 3 8 2" xfId="8810" xr:uid="{41C22711-221F-413F-AA84-15F71187D495}"/>
    <cellStyle name="Total 3 8 3" xfId="9767" xr:uid="{79C1B3DE-8E49-415A-900B-94182B73B0A4}"/>
    <cellStyle name="Total 3 9" xfId="6005" xr:uid="{00000000-0005-0000-0000-00008F180000}"/>
    <cellStyle name="Total 3 9 2" xfId="8827" xr:uid="{FB9E0B71-3740-42B2-81E8-91CF17BBF776}"/>
    <cellStyle name="Total 3 9 3" xfId="9780" xr:uid="{1AF8CABB-828C-4133-ABF0-EE41FC9D9F09}"/>
    <cellStyle name="Total 30" xfId="5623" xr:uid="{00000000-0005-0000-0000-000090180000}"/>
    <cellStyle name="Total 31" xfId="5624" xr:uid="{00000000-0005-0000-0000-000091180000}"/>
    <cellStyle name="Total 32" xfId="5625" xr:uid="{00000000-0005-0000-0000-000092180000}"/>
    <cellStyle name="Total 33" xfId="5626" xr:uid="{00000000-0005-0000-0000-000093180000}"/>
    <cellStyle name="Total 34" xfId="5627" xr:uid="{00000000-0005-0000-0000-000094180000}"/>
    <cellStyle name="Total 35" xfId="5628" xr:uid="{00000000-0005-0000-0000-000095180000}"/>
    <cellStyle name="Total 4" xfId="958" xr:uid="{00000000-0005-0000-0000-000096180000}"/>
    <cellStyle name="Total 4 2" xfId="2315" xr:uid="{00000000-0005-0000-0000-000097180000}"/>
    <cellStyle name="Total 4 2 2" xfId="5629" xr:uid="{00000000-0005-0000-0000-000098180000}"/>
    <cellStyle name="Total 4 2 2 2" xfId="5630" xr:uid="{00000000-0005-0000-0000-000099180000}"/>
    <cellStyle name="Total 4 2 2 2 2" xfId="8563" xr:uid="{BBA7A2F7-82B6-4A85-8341-01E64EB51027}"/>
    <cellStyle name="Total 4 2 2 2 3" xfId="9749" xr:uid="{7DC24AED-A496-45C7-88A3-520D79ADFB55}"/>
    <cellStyle name="Total 4 2 2 3" xfId="8562" xr:uid="{B6111BD8-47AA-441B-A36A-3C707F20A8C0}"/>
    <cellStyle name="Total 4 2 2 4" xfId="9748" xr:uid="{DBE31582-7371-4CE4-B87D-9176BBEE114C}"/>
    <cellStyle name="Total 4 2 3" xfId="5631" xr:uid="{00000000-0005-0000-0000-00009A180000}"/>
    <cellStyle name="Total 4 2_BukuBesar" xfId="5632" xr:uid="{00000000-0005-0000-0000-00009B180000}"/>
    <cellStyle name="Total 4 3" xfId="2316" xr:uid="{00000000-0005-0000-0000-00009C180000}"/>
    <cellStyle name="Total 4 3 2" xfId="5633" xr:uid="{00000000-0005-0000-0000-00009D180000}"/>
    <cellStyle name="Total 4 4" xfId="5634" xr:uid="{00000000-0005-0000-0000-00009E180000}"/>
    <cellStyle name="Total 4 5" xfId="5635" xr:uid="{00000000-0005-0000-0000-00009F180000}"/>
    <cellStyle name="Total 4 6" xfId="5636" xr:uid="{00000000-0005-0000-0000-0000A0180000}"/>
    <cellStyle name="Total 4 7" xfId="5637" xr:uid="{00000000-0005-0000-0000-0000A1180000}"/>
    <cellStyle name="Total 5" xfId="959" xr:uid="{00000000-0005-0000-0000-0000A2180000}"/>
    <cellStyle name="Total 5 2" xfId="2317" xr:uid="{00000000-0005-0000-0000-0000A3180000}"/>
    <cellStyle name="Total 5 2 2" xfId="5638" xr:uid="{00000000-0005-0000-0000-0000A4180000}"/>
    <cellStyle name="Total 5 2 2 2" xfId="5639" xr:uid="{00000000-0005-0000-0000-0000A5180000}"/>
    <cellStyle name="Total 5 2 2 2 2" xfId="8565" xr:uid="{3853AE81-5F2E-4837-9BED-452D4DE65030}"/>
    <cellStyle name="Total 5 2 2 2 3" xfId="9751" xr:uid="{B2AAD31D-1FCC-4615-A732-9D47F733068E}"/>
    <cellStyle name="Total 5 2 2 3" xfId="8564" xr:uid="{18BE50C3-D49C-463E-86C5-63238C56FBE2}"/>
    <cellStyle name="Total 5 2 2 4" xfId="9750" xr:uid="{38845C7E-C24F-4D56-A20E-D7CDC25CB3F5}"/>
    <cellStyle name="Total 5 2 3" xfId="5640" xr:uid="{00000000-0005-0000-0000-0000A6180000}"/>
    <cellStyle name="Total 5 2_BukuBesar" xfId="5641" xr:uid="{00000000-0005-0000-0000-0000A7180000}"/>
    <cellStyle name="Total 5 3" xfId="2318" xr:uid="{00000000-0005-0000-0000-0000A8180000}"/>
    <cellStyle name="Total 5 3 2" xfId="5642" xr:uid="{00000000-0005-0000-0000-0000A9180000}"/>
    <cellStyle name="Total 5 4" xfId="5643" xr:uid="{00000000-0005-0000-0000-0000AA180000}"/>
    <cellStyle name="Total 5 5" xfId="5644" xr:uid="{00000000-0005-0000-0000-0000AB180000}"/>
    <cellStyle name="Total 5 6" xfId="5645" xr:uid="{00000000-0005-0000-0000-0000AC180000}"/>
    <cellStyle name="Total 5 7" xfId="5646" xr:uid="{00000000-0005-0000-0000-0000AD180000}"/>
    <cellStyle name="Total 6" xfId="960" xr:uid="{00000000-0005-0000-0000-0000AE180000}"/>
    <cellStyle name="Total 6 2" xfId="2319" xr:uid="{00000000-0005-0000-0000-0000AF180000}"/>
    <cellStyle name="Total 6 2 2" xfId="5647" xr:uid="{00000000-0005-0000-0000-0000B0180000}"/>
    <cellStyle name="Total 6 3" xfId="2320" xr:uid="{00000000-0005-0000-0000-0000B1180000}"/>
    <cellStyle name="Total 7" xfId="961" xr:uid="{00000000-0005-0000-0000-0000B2180000}"/>
    <cellStyle name="Total 7 2" xfId="2321" xr:uid="{00000000-0005-0000-0000-0000B3180000}"/>
    <cellStyle name="Total 7 2 2" xfId="5648" xr:uid="{00000000-0005-0000-0000-0000B4180000}"/>
    <cellStyle name="Total 7 3" xfId="2322" xr:uid="{00000000-0005-0000-0000-0000B5180000}"/>
    <cellStyle name="Total 8" xfId="962" xr:uid="{00000000-0005-0000-0000-0000B6180000}"/>
    <cellStyle name="Total 8 2" xfId="2323" xr:uid="{00000000-0005-0000-0000-0000B7180000}"/>
    <cellStyle name="Total 8 2 2" xfId="5649" xr:uid="{00000000-0005-0000-0000-0000B8180000}"/>
    <cellStyle name="Total 8 3" xfId="2324" xr:uid="{00000000-0005-0000-0000-0000B9180000}"/>
    <cellStyle name="Total 9" xfId="963" xr:uid="{00000000-0005-0000-0000-0000BA180000}"/>
    <cellStyle name="Total 9 2" xfId="2325" xr:uid="{00000000-0005-0000-0000-0000BB180000}"/>
    <cellStyle name="Total 9 2 2" xfId="5650" xr:uid="{00000000-0005-0000-0000-0000BC180000}"/>
    <cellStyle name="Total 9 2 2 2" xfId="8566" xr:uid="{274AD331-0E8A-4716-AD23-8A4C0D954F47}"/>
    <cellStyle name="Total 9 2 2 3" xfId="9752" xr:uid="{E4F13C43-BA0A-4B26-A3AD-FAD7704FEA2B}"/>
    <cellStyle name="Total 9 2 3" xfId="5651" xr:uid="{00000000-0005-0000-0000-0000BD180000}"/>
    <cellStyle name="Total 9 2 3 2" xfId="8567" xr:uid="{BDD23C26-2412-4A8A-8F96-4DF966457BD8}"/>
    <cellStyle name="Total 9 2 3 3" xfId="9753" xr:uid="{D75193C7-AA22-46DE-8331-3E5533DEDC20}"/>
    <cellStyle name="Total 9 2 4" xfId="7529" xr:uid="{F282A41F-2875-417B-8E4D-D18197F5E2D5}"/>
    <cellStyle name="Total 9 3" xfId="2326" xr:uid="{00000000-0005-0000-0000-0000BE180000}"/>
    <cellStyle name="Total 9 3 2" xfId="7528" xr:uid="{DB960074-E270-40FA-B9EF-303050A1DEDF}"/>
    <cellStyle name="Total 9 4" xfId="7369" xr:uid="{A28A3AA5-6C30-4B35-A3EC-39A004DED880}"/>
    <cellStyle name="Tusental_NPV" xfId="964" xr:uid="{00000000-0005-0000-0000-0000BF180000}"/>
    <cellStyle name="Valuta (0)_pldt" xfId="965" xr:uid="{00000000-0005-0000-0000-0000C0180000}"/>
    <cellStyle name="Valuta_NPV" xfId="966" xr:uid="{00000000-0005-0000-0000-0000C1180000}"/>
    <cellStyle name="Warning Text 2" xfId="967" xr:uid="{00000000-0005-0000-0000-0000C2180000}"/>
    <cellStyle name="Warning Text 2 2" xfId="2327" xr:uid="{00000000-0005-0000-0000-0000C3180000}"/>
    <cellStyle name="Warning Text 2 2 2" xfId="5652" xr:uid="{00000000-0005-0000-0000-0000C4180000}"/>
    <cellStyle name="Warning Text 3" xfId="5973" xr:uid="{00000000-0005-0000-0000-0000C5180000}"/>
    <cellStyle name="WHead - Style2" xfId="968" xr:uid="{00000000-0005-0000-0000-0000C6180000}"/>
    <cellStyle name="WHead - Style2 2" xfId="2328" xr:uid="{00000000-0005-0000-0000-0000C7180000}"/>
    <cellStyle name="똿뗦먛귟 [0.00]_PRODUCT DETAIL Q1" xfId="969" xr:uid="{00000000-0005-0000-0000-0000C8180000}"/>
    <cellStyle name="똿뗦먛귟_PRODUCT DETAIL Q1" xfId="970" xr:uid="{00000000-0005-0000-0000-0000C9180000}"/>
    <cellStyle name="믅됞 [0.00]_PRODUCT DETAIL Q1" xfId="971" xr:uid="{00000000-0005-0000-0000-0000CA180000}"/>
    <cellStyle name="믅됞_PRODUCT DETAIL Q1" xfId="972" xr:uid="{00000000-0005-0000-0000-0000CB180000}"/>
    <cellStyle name="백분율_HOBONG" xfId="973" xr:uid="{00000000-0005-0000-0000-0000CC180000}"/>
    <cellStyle name="뷭?_BOOKSHIP" xfId="974" xr:uid="{00000000-0005-0000-0000-0000CD180000}"/>
    <cellStyle name="쉼표_PAKET 10 HIPDS" xfId="975" xr:uid="{00000000-0005-0000-0000-0000CE180000}"/>
    <cellStyle name="콤마 [0]_1202" xfId="976" xr:uid="{00000000-0005-0000-0000-0000CF180000}"/>
    <cellStyle name="콤마_1202" xfId="977" xr:uid="{00000000-0005-0000-0000-0000D0180000}"/>
    <cellStyle name="통화 [0]_1202" xfId="978" xr:uid="{00000000-0005-0000-0000-0000D1180000}"/>
    <cellStyle name="통화_1202" xfId="979" xr:uid="{00000000-0005-0000-0000-0000D2180000}"/>
    <cellStyle name="표준_(정보부문)월별인원계획" xfId="980" xr:uid="{00000000-0005-0000-0000-0000D3180000}"/>
    <cellStyle name="標準_CJP Projection-model (2006SEP19)-AA(execost)2_Installment_schedule_per_Annex_17__JPY_(1)" xfId="981" xr:uid="{00000000-0005-0000-0000-0000D4180000}"/>
  </cellStyles>
  <dxfs count="0"/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sheetMetadata" Target="metadata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4487925228858588"/>
          <c:y val="2.4518742885264656E-2"/>
          <c:w val="0.52703271237436788"/>
          <c:h val="0.91964170692573266"/>
        </c:manualLayout>
      </c:layout>
      <c:barChart>
        <c:barDir val="bar"/>
        <c:grouping val="stacked"/>
        <c:varyColors val="0"/>
        <c:ser>
          <c:idx val="0"/>
          <c:order val="0"/>
          <c:tx>
            <c:v>REAL</c:v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cat>
            <c:strRef>
              <c:f>scoreboard!$B$4:$B$16</c:f>
              <c:strCache>
                <c:ptCount val="13"/>
                <c:pt idx="0">
                  <c:v>Pertumbuhan Penjualan Tenaga Listrik</c:v>
                </c:pt>
                <c:pt idx="1">
                  <c:v>Delta Daya Tersambung</c:v>
                </c:pt>
                <c:pt idx="2">
                  <c:v>kWh Jual Multiguna Non Backfeeding</c:v>
                </c:pt>
                <c:pt idx="3">
                  <c:v>Pertumbuhan Penjualan Layanan Khusus</c:v>
                </c:pt>
                <c:pt idx="4">
                  <c:v>Penambahan Pelanggan Premium</c:v>
                </c:pt>
                <c:pt idx="5">
                  <c:v>Susut Jaringan (Tanpa E-Min)</c:v>
                </c:pt>
                <c:pt idx="6">
                  <c:v>SAIDI sesuai kewenangannya</c:v>
                </c:pt>
                <c:pt idx="7">
                  <c:v>SAIFI sesuai kewenangannya</c:v>
                </c:pt>
                <c:pt idx="8">
                  <c:v>Energy Not Served</c:v>
                </c:pt>
                <c:pt idx="9">
                  <c:v>Implementasi PLN Mobile</c:v>
                </c:pt>
                <c:pt idx="10">
                  <c:v>Jumlah Komplain Pelanggan</c:v>
                </c:pt>
                <c:pt idx="11">
                  <c:v>Aging Complaint</c:v>
                </c:pt>
                <c:pt idx="12">
                  <c:v>Rata-Rata Rasio Tunggakan </c:v>
                </c:pt>
              </c:strCache>
            </c:strRef>
          </c:cat>
          <c:val>
            <c:numRef>
              <c:f>scoreboard!$F$4:$F$16</c:f>
              <c:numCache>
                <c:formatCode>0%</c:formatCode>
                <c:ptCount val="13"/>
                <c:pt idx="0">
                  <c:v>0</c:v>
                </c:pt>
                <c:pt idx="1">
                  <c:v>0.83824497500852346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0.91319444444444442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0C-4A88-B45A-E70ADF3CC66E}"/>
            </c:ext>
          </c:extLst>
        </c:ser>
        <c:ser>
          <c:idx val="1"/>
          <c:order val="1"/>
          <c:tx>
            <c:v>GAP</c:v>
          </c:tx>
          <c:spPr>
            <a:solidFill>
              <a:srgbClr val="FF0000"/>
            </a:solidFill>
            <a:scene3d>
              <a:camera prst="orthographicFront"/>
              <a:lightRig rig="threePt" dir="t"/>
            </a:scene3d>
            <a:sp3d prstMaterial="matte">
              <a:bevelT w="63500" h="63500" prst="artDeco"/>
              <a:contourClr>
                <a:srgbClr val="000000"/>
              </a:contourClr>
            </a:sp3d>
          </c:spPr>
          <c:invertIfNegative val="0"/>
          <c:cat>
            <c:strRef>
              <c:f>scoreboard!$B$4:$B$16</c:f>
              <c:strCache>
                <c:ptCount val="13"/>
                <c:pt idx="0">
                  <c:v>Pertumbuhan Penjualan Tenaga Listrik</c:v>
                </c:pt>
                <c:pt idx="1">
                  <c:v>Delta Daya Tersambung</c:v>
                </c:pt>
                <c:pt idx="2">
                  <c:v>kWh Jual Multiguna Non Backfeeding</c:v>
                </c:pt>
                <c:pt idx="3">
                  <c:v>Pertumbuhan Penjualan Layanan Khusus</c:v>
                </c:pt>
                <c:pt idx="4">
                  <c:v>Penambahan Pelanggan Premium</c:v>
                </c:pt>
                <c:pt idx="5">
                  <c:v>Susut Jaringan (Tanpa E-Min)</c:v>
                </c:pt>
                <c:pt idx="6">
                  <c:v>SAIDI sesuai kewenangannya</c:v>
                </c:pt>
                <c:pt idx="7">
                  <c:v>SAIFI sesuai kewenangannya</c:v>
                </c:pt>
                <c:pt idx="8">
                  <c:v>Energy Not Served</c:v>
                </c:pt>
                <c:pt idx="9">
                  <c:v>Implementasi PLN Mobile</c:v>
                </c:pt>
                <c:pt idx="10">
                  <c:v>Jumlah Komplain Pelanggan</c:v>
                </c:pt>
                <c:pt idx="11">
                  <c:v>Aging Complaint</c:v>
                </c:pt>
                <c:pt idx="12">
                  <c:v>Rata-Rata Rasio Tunggakan </c:v>
                </c:pt>
              </c:strCache>
            </c:strRef>
          </c:cat>
          <c:val>
            <c:numRef>
              <c:f>scoreboard!$G$4:$G$16</c:f>
              <c:numCache>
                <c:formatCode>0%</c:formatCode>
                <c:ptCount val="13"/>
                <c:pt idx="0">
                  <c:v>0</c:v>
                </c:pt>
                <c:pt idx="1">
                  <c:v>0.16175502499147654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8.680555555555558E-2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0C-4A88-B45A-E70ADF3CC6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40174976"/>
        <c:axId val="240173440"/>
      </c:barChart>
      <c:valAx>
        <c:axId val="240173440"/>
        <c:scaling>
          <c:orientation val="minMax"/>
          <c:max val="1"/>
        </c:scaling>
        <c:delete val="0"/>
        <c:axPos val="b"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sz="1100"/>
            </a:pPr>
            <a:endParaRPr lang="en-US"/>
          </a:p>
        </c:txPr>
        <c:crossAx val="240174976"/>
        <c:crosses val="autoZero"/>
        <c:crossBetween val="between"/>
        <c:majorUnit val="0.2"/>
      </c:valAx>
      <c:catAx>
        <c:axId val="2401749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240173440"/>
        <c:crosses val="autoZero"/>
        <c:auto val="1"/>
        <c:lblAlgn val="ctr"/>
        <c:lblOffset val="100"/>
        <c:noMultiLvlLbl val="0"/>
      </c:catAx>
    </c:plotArea>
    <c:legend>
      <c:legendPos val="r"/>
      <c:layout>
        <c:manualLayout>
          <c:xMode val="edge"/>
          <c:yMode val="edge"/>
          <c:x val="8.5436271685551657E-4"/>
          <c:y val="0.93077159612894877"/>
          <c:w val="0.16608655398581931"/>
          <c:h val="6.8704032816178498E-2"/>
        </c:manualLayout>
      </c:layout>
      <c:overlay val="0"/>
      <c:txPr>
        <a:bodyPr/>
        <a:lstStyle/>
        <a:p>
          <a:pPr rtl="0">
            <a:defRPr sz="11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4" l="0.70000000000000062" r="0.70000000000000062" t="0.750000000000004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4487925228858588"/>
          <c:y val="2.4518742885264656E-2"/>
          <c:w val="0.52703271237436788"/>
          <c:h val="0.91964170692573266"/>
        </c:manualLayout>
      </c:layout>
      <c:barChart>
        <c:barDir val="bar"/>
        <c:grouping val="stacked"/>
        <c:varyColors val="0"/>
        <c:ser>
          <c:idx val="0"/>
          <c:order val="0"/>
          <c:tx>
            <c:v>REAL</c:v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cat>
            <c:strRef>
              <c:f>scoreboard!$B$17:$B$30</c:f>
              <c:strCache>
                <c:ptCount val="14"/>
                <c:pt idx="0">
                  <c:v>Jumlah ULP NIHIL</c:v>
                </c:pt>
                <c:pt idx="1">
                  <c:v>Migrasi LPB pelanggan menunggak berulang</c:v>
                </c:pt>
                <c:pt idx="2">
                  <c:v>BPP - Opex Non Fuel</c:v>
                </c:pt>
                <c:pt idx="3">
                  <c:v>CF Pembangkit Non BBM</c:v>
                </c:pt>
                <c:pt idx="4">
                  <c:v>SFC PLTD PLN</c:v>
                </c:pt>
                <c:pt idx="5">
                  <c:v>Manajemen SDM, Komunikasi, dan TJSL</c:v>
                </c:pt>
                <c:pt idx="6">
                  <c:v>b. Produktivitas Unit</c:v>
                </c:pt>
                <c:pt idx="7">
                  <c:v>c. Pengelolaan Komunikasi dan TJSL</c:v>
                </c:pt>
                <c:pt idx="8">
                  <c:v>b. Maturity Level Gudang</c:v>
                </c:pt>
                <c:pt idx="9">
                  <c:v>c. Maturity Level Sustainbility</c:v>
                </c:pt>
                <c:pt idx="10">
                  <c:v>d. Implementasi Roadmap Perbaikan Penerapan Manajemen Risiko dan Pencapaian Perlakuan Risiko</c:v>
                </c:pt>
                <c:pt idx="11">
                  <c:v>Kepatuhan :</c:v>
                </c:pt>
                <c:pt idx="12">
                  <c:v>a. Pengelolaan K3, Keamanan dan Lingkungan Hidup</c:v>
                </c:pt>
                <c:pt idx="13">
                  <c:v>c. Ketepatan penyampaian pelaporan dan
Akurasi Data Kinerja</c:v>
                </c:pt>
              </c:strCache>
            </c:strRef>
          </c:cat>
          <c:val>
            <c:numRef>
              <c:f>scoreboard!$F$17:$F$30</c:f>
              <c:numCache>
                <c:formatCode>0%</c:formatCode>
                <c:ptCount val="14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 formatCode="0.0%">
                  <c:v>0</c:v>
                </c:pt>
                <c:pt idx="6">
                  <c:v>0.9</c:v>
                </c:pt>
                <c:pt idx="7" formatCode="0.00%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0D-4185-8793-72046A03A5AE}"/>
            </c:ext>
          </c:extLst>
        </c:ser>
        <c:ser>
          <c:idx val="1"/>
          <c:order val="1"/>
          <c:tx>
            <c:v>GAP</c:v>
          </c:tx>
          <c:spPr>
            <a:solidFill>
              <a:srgbClr val="FF0000"/>
            </a:solidFill>
            <a:scene3d>
              <a:camera prst="orthographicFront"/>
              <a:lightRig rig="threePt" dir="t"/>
            </a:scene3d>
            <a:sp3d prstMaterial="matte">
              <a:bevelT w="63500" h="63500" prst="artDeco"/>
              <a:contourClr>
                <a:srgbClr val="000000"/>
              </a:contourClr>
            </a:sp3d>
          </c:spPr>
          <c:invertIfNegative val="0"/>
          <c:cat>
            <c:strRef>
              <c:f>scoreboard!$B$17:$B$30</c:f>
              <c:strCache>
                <c:ptCount val="14"/>
                <c:pt idx="0">
                  <c:v>Jumlah ULP NIHIL</c:v>
                </c:pt>
                <c:pt idx="1">
                  <c:v>Migrasi LPB pelanggan menunggak berulang</c:v>
                </c:pt>
                <c:pt idx="2">
                  <c:v>BPP - Opex Non Fuel</c:v>
                </c:pt>
                <c:pt idx="3">
                  <c:v>CF Pembangkit Non BBM</c:v>
                </c:pt>
                <c:pt idx="4">
                  <c:v>SFC PLTD PLN</c:v>
                </c:pt>
                <c:pt idx="5">
                  <c:v>Manajemen SDM, Komunikasi, dan TJSL</c:v>
                </c:pt>
                <c:pt idx="6">
                  <c:v>b. Produktivitas Unit</c:v>
                </c:pt>
                <c:pt idx="7">
                  <c:v>c. Pengelolaan Komunikasi dan TJSL</c:v>
                </c:pt>
                <c:pt idx="8">
                  <c:v>b. Maturity Level Gudang</c:v>
                </c:pt>
                <c:pt idx="9">
                  <c:v>c. Maturity Level Sustainbility</c:v>
                </c:pt>
                <c:pt idx="10">
                  <c:v>d. Implementasi Roadmap Perbaikan Penerapan Manajemen Risiko dan Pencapaian Perlakuan Risiko</c:v>
                </c:pt>
                <c:pt idx="11">
                  <c:v>Kepatuhan :</c:v>
                </c:pt>
                <c:pt idx="12">
                  <c:v>a. Pengelolaan K3, Keamanan dan Lingkungan Hidup</c:v>
                </c:pt>
                <c:pt idx="13">
                  <c:v>c. Ketepatan penyampaian pelaporan dan
Akurasi Data Kinerja</c:v>
                </c:pt>
              </c:strCache>
            </c:strRef>
          </c:cat>
          <c:val>
            <c:numRef>
              <c:f>scoreboard!$G$17:$G$30</c:f>
              <c:numCache>
                <c:formatCode>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9.9999999999999978E-2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0D-4185-8793-72046A03A5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95255424"/>
        <c:axId val="295253888"/>
      </c:barChart>
      <c:valAx>
        <c:axId val="295253888"/>
        <c:scaling>
          <c:orientation val="minMax"/>
          <c:max val="1"/>
        </c:scaling>
        <c:delete val="0"/>
        <c:axPos val="b"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295255424"/>
        <c:crosses val="autoZero"/>
        <c:crossBetween val="between"/>
        <c:majorUnit val="0.2"/>
      </c:valAx>
      <c:catAx>
        <c:axId val="295255424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295253888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</c:chart>
  <c:printSettings>
    <c:headerFooter/>
    <c:pageMargins b="0.750000000000004" l="0.70000000000000062" r="0.70000000000000062" t="0.75000000000000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4487925228858588"/>
          <c:y val="2.4518742885264656E-2"/>
          <c:w val="0.52703271237436788"/>
          <c:h val="0.91964170692573266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00B050"/>
            </a:solidFill>
            <a:ln>
              <a:solidFill>
                <a:srgbClr val="00B050"/>
              </a:solidFill>
            </a:ln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cat>
            <c:strRef>
              <c:f>scoreboard!$B$39:$B$43</c:f>
              <c:strCache>
                <c:ptCount val="5"/>
                <c:pt idx="0">
                  <c:v>SAIDI</c:v>
                </c:pt>
                <c:pt idx="1">
                  <c:v>Rasio Tunggakan</c:v>
                </c:pt>
                <c:pt idx="2">
                  <c:v>Multiguna</c:v>
                </c:pt>
                <c:pt idx="3">
                  <c:v>RE 99 %</c:v>
                </c:pt>
                <c:pt idx="4">
                  <c:v>Komplain Pelanggan</c:v>
                </c:pt>
              </c:strCache>
            </c:strRef>
          </c:cat>
          <c:val>
            <c:numRef>
              <c:f>scoreboard!$F$39:$F$43</c:f>
              <c:numCache>
                <c:formatCode>0%</c:formatCode>
                <c:ptCount val="5"/>
                <c:pt idx="0">
                  <c:v>1</c:v>
                </c:pt>
                <c:pt idx="1">
                  <c:v>0.91319444444444442</c:v>
                </c:pt>
                <c:pt idx="2">
                  <c:v>0</c:v>
                </c:pt>
                <c:pt idx="3">
                  <c:v>0.9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04-4E75-BC42-058CEE5626D6}"/>
            </c:ext>
          </c:extLst>
        </c:ser>
        <c:ser>
          <c:idx val="1"/>
          <c:order val="1"/>
          <c:spPr>
            <a:solidFill>
              <a:srgbClr val="FF0000"/>
            </a:solidFill>
            <a:scene3d>
              <a:camera prst="orthographicFront"/>
              <a:lightRig rig="threePt" dir="t"/>
            </a:scene3d>
            <a:sp3d prstMaterial="matte">
              <a:bevelT w="63500" h="63500" prst="artDeco"/>
              <a:contourClr>
                <a:srgbClr val="000000"/>
              </a:contourClr>
            </a:sp3d>
          </c:spPr>
          <c:invertIfNegative val="0"/>
          <c:cat>
            <c:strRef>
              <c:f>scoreboard!$B$39:$B$43</c:f>
              <c:strCache>
                <c:ptCount val="5"/>
                <c:pt idx="0">
                  <c:v>SAIDI</c:v>
                </c:pt>
                <c:pt idx="1">
                  <c:v>Rasio Tunggakan</c:v>
                </c:pt>
                <c:pt idx="2">
                  <c:v>Multiguna</c:v>
                </c:pt>
                <c:pt idx="3">
                  <c:v>RE 99 %</c:v>
                </c:pt>
                <c:pt idx="4">
                  <c:v>Komplain Pelanggan</c:v>
                </c:pt>
              </c:strCache>
            </c:strRef>
          </c:cat>
          <c:val>
            <c:numRef>
              <c:f>scoreboard!$G$39:$G$43</c:f>
              <c:numCache>
                <c:formatCode>0%</c:formatCode>
                <c:ptCount val="5"/>
                <c:pt idx="0">
                  <c:v>0</c:v>
                </c:pt>
                <c:pt idx="1">
                  <c:v>8.680555555555558E-2</c:v>
                </c:pt>
                <c:pt idx="2">
                  <c:v>0</c:v>
                </c:pt>
                <c:pt idx="3">
                  <c:v>9.9999999999999978E-2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04-4E75-BC42-058CEE5626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40223360"/>
        <c:axId val="240209280"/>
      </c:barChart>
      <c:valAx>
        <c:axId val="240209280"/>
        <c:scaling>
          <c:orientation val="minMax"/>
          <c:max val="1"/>
        </c:scaling>
        <c:delete val="0"/>
        <c:axPos val="b"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sz="1100"/>
            </a:pPr>
            <a:endParaRPr lang="en-US"/>
          </a:p>
        </c:txPr>
        <c:crossAx val="240223360"/>
        <c:crosses val="autoZero"/>
        <c:crossBetween val="between"/>
        <c:majorUnit val="0.2"/>
      </c:valAx>
      <c:catAx>
        <c:axId val="240223360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240209280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</c:chart>
  <c:printSettings>
    <c:headerFooter/>
    <c:pageMargins b="0.750000000000004" l="0.70000000000000062" r="0.70000000000000062" t="0.750000000000004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TREN!$B$4</c:f>
              <c:strCache>
                <c:ptCount val="1"/>
                <c:pt idx="0">
                  <c:v>UP3 Tolitoli</c:v>
                </c:pt>
              </c:strCache>
            </c:strRef>
          </c:tx>
          <c:spPr>
            <a:noFill/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TREN!$C$3:$N$3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TREN!$C$4:$N$4</c:f>
              <c:numCache>
                <c:formatCode>General</c:formatCode>
                <c:ptCount val="12"/>
                <c:pt idx="0" formatCode="0.00">
                  <c:v>80.400000000000006</c:v>
                </c:pt>
                <c:pt idx="1">
                  <c:v>87.04</c:v>
                </c:pt>
                <c:pt idx="2">
                  <c:v>93.39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C4-4680-B734-5D9BEF2470E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729746591"/>
        <c:axId val="729757407"/>
      </c:barChart>
      <c:catAx>
        <c:axId val="729746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757407"/>
        <c:crosses val="autoZero"/>
        <c:auto val="1"/>
        <c:lblAlgn val="ctr"/>
        <c:lblOffset val="100"/>
        <c:noMultiLvlLbl val="0"/>
      </c:catAx>
      <c:valAx>
        <c:axId val="72975740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746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TREN!$B$5</c:f>
              <c:strCache>
                <c:ptCount val="1"/>
                <c:pt idx="0">
                  <c:v>ULP Tolitoli Kota</c:v>
                </c:pt>
              </c:strCache>
            </c:strRef>
          </c:tx>
          <c:spPr>
            <a:noFill/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TREN!$C$3:$N$3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TREN!$C$5:$N$5</c:f>
              <c:numCache>
                <c:formatCode>General</c:formatCode>
                <c:ptCount val="12"/>
                <c:pt idx="0">
                  <c:v>75.72</c:v>
                </c:pt>
                <c:pt idx="1">
                  <c:v>87.05</c:v>
                </c:pt>
                <c:pt idx="2">
                  <c:v>93.36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71-4575-A669-425C04D4B46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729746591"/>
        <c:axId val="729757407"/>
      </c:barChart>
      <c:catAx>
        <c:axId val="729746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757407"/>
        <c:crosses val="autoZero"/>
        <c:auto val="1"/>
        <c:lblAlgn val="ctr"/>
        <c:lblOffset val="100"/>
        <c:noMultiLvlLbl val="0"/>
      </c:catAx>
      <c:valAx>
        <c:axId val="72975740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746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TREN!$B$6</c:f>
              <c:strCache>
                <c:ptCount val="1"/>
                <c:pt idx="0">
                  <c:v>ULP Leok</c:v>
                </c:pt>
              </c:strCache>
            </c:strRef>
          </c:tx>
          <c:spPr>
            <a:noFill/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TREN!$C$3:$N$3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TREN!$C$6:$N$6</c:f>
              <c:numCache>
                <c:formatCode>General</c:formatCode>
                <c:ptCount val="12"/>
                <c:pt idx="0">
                  <c:v>66.709999999999994</c:v>
                </c:pt>
                <c:pt idx="1">
                  <c:v>77.27</c:v>
                </c:pt>
                <c:pt idx="2">
                  <c:v>90.08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C3-497B-82EE-6B14E1962B4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729746591"/>
        <c:axId val="729757407"/>
      </c:barChart>
      <c:catAx>
        <c:axId val="729746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757407"/>
        <c:crosses val="autoZero"/>
        <c:auto val="1"/>
        <c:lblAlgn val="ctr"/>
        <c:lblOffset val="100"/>
        <c:noMultiLvlLbl val="0"/>
      </c:catAx>
      <c:valAx>
        <c:axId val="72975740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746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TREN!$B$7</c:f>
              <c:strCache>
                <c:ptCount val="1"/>
                <c:pt idx="0">
                  <c:v>ULP Bangkir</c:v>
                </c:pt>
              </c:strCache>
            </c:strRef>
          </c:tx>
          <c:spPr>
            <a:noFill/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TREN!$C$3:$N$3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TREN!$C$7:$N$7</c:f>
              <c:numCache>
                <c:formatCode>General</c:formatCode>
                <c:ptCount val="12"/>
                <c:pt idx="0">
                  <c:v>74.87</c:v>
                </c:pt>
                <c:pt idx="1">
                  <c:v>75.95</c:v>
                </c:pt>
                <c:pt idx="2">
                  <c:v>87.94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80-4FC2-922B-73E72251B1D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729746591"/>
        <c:axId val="729757407"/>
      </c:barChart>
      <c:catAx>
        <c:axId val="729746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757407"/>
        <c:crosses val="autoZero"/>
        <c:auto val="1"/>
        <c:lblAlgn val="ctr"/>
        <c:lblOffset val="100"/>
        <c:noMultiLvlLbl val="0"/>
      </c:catAx>
      <c:valAx>
        <c:axId val="72975740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746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TREN!$B$8</c:f>
              <c:strCache>
                <c:ptCount val="1"/>
                <c:pt idx="0">
                  <c:v>ULP Moutong</c:v>
                </c:pt>
              </c:strCache>
            </c:strRef>
          </c:tx>
          <c:spPr>
            <a:noFill/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TREN!$C$3:$N$3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TREN!$C$8:$N$8</c:f>
              <c:numCache>
                <c:formatCode>General</c:formatCode>
                <c:ptCount val="12"/>
                <c:pt idx="0">
                  <c:v>88.26</c:v>
                </c:pt>
                <c:pt idx="1">
                  <c:v>86.77</c:v>
                </c:pt>
                <c:pt idx="2">
                  <c:v>86.59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50-4394-B8B7-61F7B45695B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729746591"/>
        <c:axId val="729757407"/>
      </c:barChart>
      <c:catAx>
        <c:axId val="729746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757407"/>
        <c:crosses val="autoZero"/>
        <c:auto val="1"/>
        <c:lblAlgn val="ctr"/>
        <c:lblOffset val="100"/>
        <c:noMultiLvlLbl val="0"/>
      </c:catAx>
      <c:valAx>
        <c:axId val="72975740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746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TREN!$B$9</c:f>
              <c:strCache>
                <c:ptCount val="1"/>
                <c:pt idx="0">
                  <c:v>ULP Kotaraya</c:v>
                </c:pt>
              </c:strCache>
            </c:strRef>
          </c:tx>
          <c:spPr>
            <a:noFill/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TREN!$C$3:$N$3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TREN!$C$9:$N$9</c:f>
              <c:numCache>
                <c:formatCode>General</c:formatCode>
                <c:ptCount val="12"/>
                <c:pt idx="0">
                  <c:v>65.25</c:v>
                </c:pt>
                <c:pt idx="1">
                  <c:v>74.42</c:v>
                </c:pt>
                <c:pt idx="2">
                  <c:v>79.989999999999995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12-442A-9517-FD339771A2E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729746591"/>
        <c:axId val="729757407"/>
      </c:barChart>
      <c:catAx>
        <c:axId val="729746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757407"/>
        <c:crosses val="autoZero"/>
        <c:auto val="1"/>
        <c:lblAlgn val="ctr"/>
        <c:lblOffset val="100"/>
        <c:noMultiLvlLbl val="0"/>
      </c:catAx>
      <c:valAx>
        <c:axId val="72975740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746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2AE-4D11-A92C-13AB5E234B3C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2AE-4D11-A92C-13AB5E234B3C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2AE-4D11-A92C-13AB5E234B3C}"/>
              </c:ext>
            </c:extLst>
          </c:dPt>
          <c:cat>
            <c:strRef>
              <c:f>STRG!$CB$3:$CB$5</c:f>
              <c:strCache>
                <c:ptCount val="3"/>
                <c:pt idx="0">
                  <c:v>GREEN</c:v>
                </c:pt>
                <c:pt idx="1">
                  <c:v>YELLOW</c:v>
                </c:pt>
                <c:pt idx="2">
                  <c:v>RED</c:v>
                </c:pt>
              </c:strCache>
            </c:strRef>
          </c:cat>
          <c:val>
            <c:numRef>
              <c:f>STRG!$CC$3:$CC$5</c:f>
              <c:numCache>
                <c:formatCode>General</c:formatCode>
                <c:ptCount val="3"/>
                <c:pt idx="0">
                  <c:v>33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2AE-4D11-A92C-13AB5E234B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STRG!$BS$3</c:f>
              <c:strCache>
                <c:ptCount val="1"/>
                <c:pt idx="0">
                  <c:v>GREEN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STRG!$BR$4:$BR$42</c:f>
              <c:strCache>
                <c:ptCount val="39"/>
                <c:pt idx="0">
                  <c:v>Penjualan Tenaga Listrik</c:v>
                </c:pt>
                <c:pt idx="1">
                  <c:v>SAIDI Sesuai Kewenangannya</c:v>
                </c:pt>
                <c:pt idx="2">
                  <c:v>SAIFI Sesuai Kewenangannya</c:v>
                </c:pt>
                <c:pt idx="3">
                  <c:v>ENS</c:v>
                </c:pt>
                <c:pt idx="4">
                  <c:v>Susut Distribusi Tanpa E-min (sesuai kewenangan)</c:v>
                </c:pt>
                <c:pt idx="5">
                  <c:v>Penyelesaian Temuan P2TL</c:v>
                </c:pt>
                <c:pt idx="6">
                  <c:v>Penyelesaian Ganti Meter</c:v>
                </c:pt>
                <c:pt idx="7">
                  <c:v>Gangguan TM &gt; 5 Menit</c:v>
                </c:pt>
                <c:pt idx="8">
                  <c:v>Gangguan TM ≤ 5 Menit</c:v>
                </c:pt>
                <c:pt idx="9">
                  <c:v>Kerusakan Peralatan Distribusi (PHB TM dan Trafo) Sesuai Kewenangan</c:v>
                </c:pt>
                <c:pt idx="10">
                  <c:v>Feedback Rating Negatif pada PLN Mobile - Gangguan</c:v>
                </c:pt>
                <c:pt idx="11">
                  <c:v>Pengaduan Gangguan Berulang pada PLN Mobile</c:v>
                </c:pt>
                <c:pt idx="12">
                  <c:v>Rating PLN Mobile</c:v>
                </c:pt>
                <c:pt idx="13">
                  <c:v>Jumlah Kali Transaksi Keuangan melalui PLN Mobile</c:v>
                </c:pt>
                <c:pt idx="14">
                  <c:v>Response Time atas Gangguan (diluar Clear Tamper)</c:v>
                </c:pt>
                <c:pt idx="15">
                  <c:v>Success Rate Auto Dispatch Gangguan Individual (diluar Clear Tamper)</c:v>
                </c:pt>
                <c:pt idx="16">
                  <c:v>Recovery Time Gangguan Meluas TM</c:v>
                </c:pt>
                <c:pt idx="17">
                  <c:v>Penormalan Siaga 1 Gangguan TM</c:v>
                </c:pt>
                <c:pt idx="18">
                  <c:v>Pengembangan EAM Distribusi</c:v>
                </c:pt>
                <c:pt idx="19">
                  <c:v>Penambahan Daya Tersambung</c:v>
                </c:pt>
                <c:pt idx="20">
                  <c:v>Penambahan Jumlah Pelanggan</c:v>
                </c:pt>
                <c:pt idx="21">
                  <c:v>Jumlah Penambahan Pelanggan Produk Tematik</c:v>
                </c:pt>
                <c:pt idx="22">
                  <c:v>Implementasi Kesesuaian Sektor Bisnis sesuai KBLI 2020</c:v>
                </c:pt>
                <c:pt idx="23">
                  <c:v>Penambahan Jumlah Pelanggan Rumah Tangga Lisdes</c:v>
                </c:pt>
                <c:pt idx="24">
                  <c:v>Peningkatan kWh Penjualan dari Pelanggan Rumah Tangga Lisdes</c:v>
                </c:pt>
                <c:pt idx="25">
                  <c:v>Jumlah Pengguna Swa Cam</c:v>
                </c:pt>
                <c:pt idx="26">
                  <c:v>Tindak Lanjut LBKB (Laporan Bulanan Kelainan Baca Meter)</c:v>
                </c:pt>
                <c:pt idx="27">
                  <c:v>Pencapaian Rata-Rata Saldo Tanggal 20 diluar Konsumen Instansi (Kementerian &amp; Lembaga)</c:v>
                </c:pt>
                <c:pt idx="28">
                  <c:v>Pencapaian Saldo Rata-Rata Akhir Bulan diluar Konsumen Instansi (Kementerian &amp; Lembaga)</c:v>
                </c:pt>
                <c:pt idx="29">
                  <c:v>Pencapaian Pelunasan PRR</c:v>
                </c:pt>
                <c:pt idx="30">
                  <c:v>Pengendalian Penggunaan Anggaran Investasi sesuai RKAP</c:v>
                </c:pt>
                <c:pt idx="31">
                  <c:v>Usulan Penghapusan ATTB</c:v>
                </c:pt>
                <c:pt idx="32">
                  <c:v>Usulan Penghapusan PRR</c:v>
                </c:pt>
                <c:pt idx="33">
                  <c:v>HCR, OCR, dan Produktivitas Pegawai</c:v>
                </c:pt>
                <c:pt idx="34">
                  <c:v>Produktivitas Unit</c:v>
                </c:pt>
                <c:pt idx="35">
                  <c:v>Pengelolaan Komunikasi dan TJSL</c:v>
                </c:pt>
                <c:pt idx="36">
                  <c:v>Peningkatan Layanan dan Budaya K3</c:v>
                </c:pt>
                <c:pt idx="37">
                  <c:v>Implementasi PLN Bisnis Ekselen</c:v>
                </c:pt>
                <c:pt idx="38">
                  <c:v>Maturity Level Gudang</c:v>
                </c:pt>
              </c:strCache>
            </c:strRef>
          </c:cat>
          <c:val>
            <c:numRef>
              <c:f>STRG!$BS$4:$BS$42</c:f>
              <c:numCache>
                <c:formatCode>_(* #,##0_);_(* \(#,##0\);_(* "-"??_);_(@_)</c:formatCode>
                <c:ptCount val="39"/>
                <c:pt idx="0">
                  <c:v>0</c:v>
                </c:pt>
                <c:pt idx="1">
                  <c:v>110</c:v>
                </c:pt>
                <c:pt idx="2">
                  <c:v>110</c:v>
                </c:pt>
                <c:pt idx="3">
                  <c:v>110</c:v>
                </c:pt>
                <c:pt idx="4">
                  <c:v>109.83726787129302</c:v>
                </c:pt>
                <c:pt idx="5">
                  <c:v>110</c:v>
                </c:pt>
                <c:pt idx="6">
                  <c:v>100.16924053310767</c:v>
                </c:pt>
                <c:pt idx="7">
                  <c:v>110</c:v>
                </c:pt>
                <c:pt idx="8">
                  <c:v>110</c:v>
                </c:pt>
                <c:pt idx="9">
                  <c:v>110</c:v>
                </c:pt>
                <c:pt idx="10">
                  <c:v>110</c:v>
                </c:pt>
                <c:pt idx="11">
                  <c:v>110</c:v>
                </c:pt>
                <c:pt idx="12">
                  <c:v>100</c:v>
                </c:pt>
                <c:pt idx="13">
                  <c:v>110</c:v>
                </c:pt>
                <c:pt idx="14">
                  <c:v>110</c:v>
                </c:pt>
                <c:pt idx="15">
                  <c:v>100</c:v>
                </c:pt>
                <c:pt idx="16">
                  <c:v>110.00000000000001</c:v>
                </c:pt>
                <c:pt idx="17">
                  <c:v>110.00000000000001</c:v>
                </c:pt>
                <c:pt idx="18">
                  <c:v>101.95</c:v>
                </c:pt>
                <c:pt idx="19">
                  <c:v>0</c:v>
                </c:pt>
                <c:pt idx="20">
                  <c:v>0</c:v>
                </c:pt>
                <c:pt idx="21">
                  <c:v>108.68055555555556</c:v>
                </c:pt>
                <c:pt idx="22">
                  <c:v>100</c:v>
                </c:pt>
                <c:pt idx="23">
                  <c:v>110</c:v>
                </c:pt>
                <c:pt idx="24">
                  <c:v>110</c:v>
                </c:pt>
                <c:pt idx="25">
                  <c:v>110</c:v>
                </c:pt>
                <c:pt idx="26">
                  <c:v>100</c:v>
                </c:pt>
                <c:pt idx="27">
                  <c:v>110</c:v>
                </c:pt>
                <c:pt idx="28">
                  <c:v>0</c:v>
                </c:pt>
                <c:pt idx="29">
                  <c:v>110</c:v>
                </c:pt>
                <c:pt idx="30">
                  <c:v>0</c:v>
                </c:pt>
                <c:pt idx="31">
                  <c:v>100</c:v>
                </c:pt>
                <c:pt idx="32">
                  <c:v>110</c:v>
                </c:pt>
                <c:pt idx="33">
                  <c:v>100</c:v>
                </c:pt>
                <c:pt idx="34">
                  <c:v>0</c:v>
                </c:pt>
                <c:pt idx="35">
                  <c:v>110.00000000000001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F0-4CCF-B02D-6D2B50B23834}"/>
            </c:ext>
          </c:extLst>
        </c:ser>
        <c:ser>
          <c:idx val="1"/>
          <c:order val="1"/>
          <c:tx>
            <c:strRef>
              <c:f>STRG!$BT$3</c:f>
              <c:strCache>
                <c:ptCount val="1"/>
                <c:pt idx="0">
                  <c:v>YELLOW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STRG!$BR$4:$BR$42</c:f>
              <c:strCache>
                <c:ptCount val="39"/>
                <c:pt idx="0">
                  <c:v>Penjualan Tenaga Listrik</c:v>
                </c:pt>
                <c:pt idx="1">
                  <c:v>SAIDI Sesuai Kewenangannya</c:v>
                </c:pt>
                <c:pt idx="2">
                  <c:v>SAIFI Sesuai Kewenangannya</c:v>
                </c:pt>
                <c:pt idx="3">
                  <c:v>ENS</c:v>
                </c:pt>
                <c:pt idx="4">
                  <c:v>Susut Distribusi Tanpa E-min (sesuai kewenangan)</c:v>
                </c:pt>
                <c:pt idx="5">
                  <c:v>Penyelesaian Temuan P2TL</c:v>
                </c:pt>
                <c:pt idx="6">
                  <c:v>Penyelesaian Ganti Meter</c:v>
                </c:pt>
                <c:pt idx="7">
                  <c:v>Gangguan TM &gt; 5 Menit</c:v>
                </c:pt>
                <c:pt idx="8">
                  <c:v>Gangguan TM ≤ 5 Menit</c:v>
                </c:pt>
                <c:pt idx="9">
                  <c:v>Kerusakan Peralatan Distribusi (PHB TM dan Trafo) Sesuai Kewenangan</c:v>
                </c:pt>
                <c:pt idx="10">
                  <c:v>Feedback Rating Negatif pada PLN Mobile - Gangguan</c:v>
                </c:pt>
                <c:pt idx="11">
                  <c:v>Pengaduan Gangguan Berulang pada PLN Mobile</c:v>
                </c:pt>
                <c:pt idx="12">
                  <c:v>Rating PLN Mobile</c:v>
                </c:pt>
                <c:pt idx="13">
                  <c:v>Jumlah Kali Transaksi Keuangan melalui PLN Mobile</c:v>
                </c:pt>
                <c:pt idx="14">
                  <c:v>Response Time atas Gangguan (diluar Clear Tamper)</c:v>
                </c:pt>
                <c:pt idx="15">
                  <c:v>Success Rate Auto Dispatch Gangguan Individual (diluar Clear Tamper)</c:v>
                </c:pt>
                <c:pt idx="16">
                  <c:v>Recovery Time Gangguan Meluas TM</c:v>
                </c:pt>
                <c:pt idx="17">
                  <c:v>Penormalan Siaga 1 Gangguan TM</c:v>
                </c:pt>
                <c:pt idx="18">
                  <c:v>Pengembangan EAM Distribusi</c:v>
                </c:pt>
                <c:pt idx="19">
                  <c:v>Penambahan Daya Tersambung</c:v>
                </c:pt>
                <c:pt idx="20">
                  <c:v>Penambahan Jumlah Pelanggan</c:v>
                </c:pt>
                <c:pt idx="21">
                  <c:v>Jumlah Penambahan Pelanggan Produk Tematik</c:v>
                </c:pt>
                <c:pt idx="22">
                  <c:v>Implementasi Kesesuaian Sektor Bisnis sesuai KBLI 2020</c:v>
                </c:pt>
                <c:pt idx="23">
                  <c:v>Penambahan Jumlah Pelanggan Rumah Tangga Lisdes</c:v>
                </c:pt>
                <c:pt idx="24">
                  <c:v>Peningkatan kWh Penjualan dari Pelanggan Rumah Tangga Lisdes</c:v>
                </c:pt>
                <c:pt idx="25">
                  <c:v>Jumlah Pengguna Swa Cam</c:v>
                </c:pt>
                <c:pt idx="26">
                  <c:v>Tindak Lanjut LBKB (Laporan Bulanan Kelainan Baca Meter)</c:v>
                </c:pt>
                <c:pt idx="27">
                  <c:v>Pencapaian Rata-Rata Saldo Tanggal 20 diluar Konsumen Instansi (Kementerian &amp; Lembaga)</c:v>
                </c:pt>
                <c:pt idx="28">
                  <c:v>Pencapaian Saldo Rata-Rata Akhir Bulan diluar Konsumen Instansi (Kementerian &amp; Lembaga)</c:v>
                </c:pt>
                <c:pt idx="29">
                  <c:v>Pencapaian Pelunasan PRR</c:v>
                </c:pt>
                <c:pt idx="30">
                  <c:v>Pengendalian Penggunaan Anggaran Investasi sesuai RKAP</c:v>
                </c:pt>
                <c:pt idx="31">
                  <c:v>Usulan Penghapusan ATTB</c:v>
                </c:pt>
                <c:pt idx="32">
                  <c:v>Usulan Penghapusan PRR</c:v>
                </c:pt>
                <c:pt idx="33">
                  <c:v>HCR, OCR, dan Produktivitas Pegawai</c:v>
                </c:pt>
                <c:pt idx="34">
                  <c:v>Produktivitas Unit</c:v>
                </c:pt>
                <c:pt idx="35">
                  <c:v>Pengelolaan Komunikasi dan TJSL</c:v>
                </c:pt>
                <c:pt idx="36">
                  <c:v>Peningkatan Layanan dan Budaya K3</c:v>
                </c:pt>
                <c:pt idx="37">
                  <c:v>Implementasi PLN Bisnis Ekselen</c:v>
                </c:pt>
                <c:pt idx="38">
                  <c:v>Maturity Level Gudang</c:v>
                </c:pt>
              </c:strCache>
            </c:strRef>
          </c:cat>
          <c:val>
            <c:numRef>
              <c:f>STRG!$BT$4:$BT$42</c:f>
              <c:numCache>
                <c:formatCode>_(* #,##0_);_(* \(#,##0\);_(* "-"??_);_(@_)</c:formatCode>
                <c:ptCount val="39"/>
                <c:pt idx="0">
                  <c:v>96.926600284191835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98.641414189401601</c:v>
                </c:pt>
                <c:pt idx="29">
                  <c:v>0</c:v>
                </c:pt>
                <c:pt idx="30">
                  <c:v>95.05263157894737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F0-4CCF-B02D-6D2B50B23834}"/>
            </c:ext>
          </c:extLst>
        </c:ser>
        <c:ser>
          <c:idx val="2"/>
          <c:order val="2"/>
          <c:tx>
            <c:strRef>
              <c:f>STRG!$BU$3</c:f>
              <c:strCache>
                <c:ptCount val="1"/>
                <c:pt idx="0">
                  <c:v>RED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STRG!$BR$4:$BR$42</c:f>
              <c:strCache>
                <c:ptCount val="39"/>
                <c:pt idx="0">
                  <c:v>Penjualan Tenaga Listrik</c:v>
                </c:pt>
                <c:pt idx="1">
                  <c:v>SAIDI Sesuai Kewenangannya</c:v>
                </c:pt>
                <c:pt idx="2">
                  <c:v>SAIFI Sesuai Kewenangannya</c:v>
                </c:pt>
                <c:pt idx="3">
                  <c:v>ENS</c:v>
                </c:pt>
                <c:pt idx="4">
                  <c:v>Susut Distribusi Tanpa E-min (sesuai kewenangan)</c:v>
                </c:pt>
                <c:pt idx="5">
                  <c:v>Penyelesaian Temuan P2TL</c:v>
                </c:pt>
                <c:pt idx="6">
                  <c:v>Penyelesaian Ganti Meter</c:v>
                </c:pt>
                <c:pt idx="7">
                  <c:v>Gangguan TM &gt; 5 Menit</c:v>
                </c:pt>
                <c:pt idx="8">
                  <c:v>Gangguan TM ≤ 5 Menit</c:v>
                </c:pt>
                <c:pt idx="9">
                  <c:v>Kerusakan Peralatan Distribusi (PHB TM dan Trafo) Sesuai Kewenangan</c:v>
                </c:pt>
                <c:pt idx="10">
                  <c:v>Feedback Rating Negatif pada PLN Mobile - Gangguan</c:v>
                </c:pt>
                <c:pt idx="11">
                  <c:v>Pengaduan Gangguan Berulang pada PLN Mobile</c:v>
                </c:pt>
                <c:pt idx="12">
                  <c:v>Rating PLN Mobile</c:v>
                </c:pt>
                <c:pt idx="13">
                  <c:v>Jumlah Kali Transaksi Keuangan melalui PLN Mobile</c:v>
                </c:pt>
                <c:pt idx="14">
                  <c:v>Response Time atas Gangguan (diluar Clear Tamper)</c:v>
                </c:pt>
                <c:pt idx="15">
                  <c:v>Success Rate Auto Dispatch Gangguan Individual (diluar Clear Tamper)</c:v>
                </c:pt>
                <c:pt idx="16">
                  <c:v>Recovery Time Gangguan Meluas TM</c:v>
                </c:pt>
                <c:pt idx="17">
                  <c:v>Penormalan Siaga 1 Gangguan TM</c:v>
                </c:pt>
                <c:pt idx="18">
                  <c:v>Pengembangan EAM Distribusi</c:v>
                </c:pt>
                <c:pt idx="19">
                  <c:v>Penambahan Daya Tersambung</c:v>
                </c:pt>
                <c:pt idx="20">
                  <c:v>Penambahan Jumlah Pelanggan</c:v>
                </c:pt>
                <c:pt idx="21">
                  <c:v>Jumlah Penambahan Pelanggan Produk Tematik</c:v>
                </c:pt>
                <c:pt idx="22">
                  <c:v>Implementasi Kesesuaian Sektor Bisnis sesuai KBLI 2020</c:v>
                </c:pt>
                <c:pt idx="23">
                  <c:v>Penambahan Jumlah Pelanggan Rumah Tangga Lisdes</c:v>
                </c:pt>
                <c:pt idx="24">
                  <c:v>Peningkatan kWh Penjualan dari Pelanggan Rumah Tangga Lisdes</c:v>
                </c:pt>
                <c:pt idx="25">
                  <c:v>Jumlah Pengguna Swa Cam</c:v>
                </c:pt>
                <c:pt idx="26">
                  <c:v>Tindak Lanjut LBKB (Laporan Bulanan Kelainan Baca Meter)</c:v>
                </c:pt>
                <c:pt idx="27">
                  <c:v>Pencapaian Rata-Rata Saldo Tanggal 20 diluar Konsumen Instansi (Kementerian &amp; Lembaga)</c:v>
                </c:pt>
                <c:pt idx="28">
                  <c:v>Pencapaian Saldo Rata-Rata Akhir Bulan diluar Konsumen Instansi (Kementerian &amp; Lembaga)</c:v>
                </c:pt>
                <c:pt idx="29">
                  <c:v>Pencapaian Pelunasan PRR</c:v>
                </c:pt>
                <c:pt idx="30">
                  <c:v>Pengendalian Penggunaan Anggaran Investasi sesuai RKAP</c:v>
                </c:pt>
                <c:pt idx="31">
                  <c:v>Usulan Penghapusan ATTB</c:v>
                </c:pt>
                <c:pt idx="32">
                  <c:v>Usulan Penghapusan PRR</c:v>
                </c:pt>
                <c:pt idx="33">
                  <c:v>HCR, OCR, dan Produktivitas Pegawai</c:v>
                </c:pt>
                <c:pt idx="34">
                  <c:v>Produktivitas Unit</c:v>
                </c:pt>
                <c:pt idx="35">
                  <c:v>Pengelolaan Komunikasi dan TJSL</c:v>
                </c:pt>
                <c:pt idx="36">
                  <c:v>Peningkatan Layanan dan Budaya K3</c:v>
                </c:pt>
                <c:pt idx="37">
                  <c:v>Implementasi PLN Bisnis Ekselen</c:v>
                </c:pt>
                <c:pt idx="38">
                  <c:v>Maturity Level Gudang</c:v>
                </c:pt>
              </c:strCache>
            </c:strRef>
          </c:cat>
          <c:val>
            <c:numRef>
              <c:f>STRG!$BU$4:$BU$42</c:f>
              <c:numCache>
                <c:formatCode>_(* #,##0_);_(* \(#,##0\);_(* "-"??_);_(@_)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68.3459468550286</c:v>
                </c:pt>
                <c:pt idx="20">
                  <c:v>50.787219263718455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90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F0-4CCF-B02D-6D2B50B23834}"/>
            </c:ext>
          </c:extLst>
        </c:ser>
        <c:ser>
          <c:idx val="3"/>
          <c:order val="3"/>
          <c:tx>
            <c:strRef>
              <c:f>STRG!$BV$3</c:f>
              <c:strCache>
                <c:ptCount val="1"/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997B7176-6DB8-43A3-AD67-4FE9673DD063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DAF0-4CCF-B02D-6D2B50B2383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3FA0256-5F4F-4B38-A12F-7D9F3BAD20BE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35BF-41B0-84A4-788E5903F15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DD5AD19-55C0-4675-B5E7-38C2EF1A7ACE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35BF-41B0-84A4-788E5903F15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84F1AD8-692C-468F-9E9D-9F6206208A48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35BF-41B0-84A4-788E5903F15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2B89466-9A10-4C59-8206-173B0ABFA0DE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35BF-41B0-84A4-788E5903F15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CCA5326-1341-4549-AA86-5A0245E3F39C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35BF-41B0-84A4-788E5903F15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AAE294A-9ED9-48EA-93D0-380AE2F26A72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35BF-41B0-84A4-788E5903F15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813F6CE3-AB5A-4082-97A0-146D8F9F03EA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35BF-41B0-84A4-788E5903F15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27221563-059C-496B-A16C-4BD501FCE0AD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35BF-41B0-84A4-788E5903F15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019C9012-24A5-4CE7-AD92-993484C99A28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35BF-41B0-84A4-788E5903F15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108E945F-117F-4982-920F-8E8979A0E9B7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35BF-41B0-84A4-788E5903F15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9FA8D053-C9DA-4C23-A179-44B76EEBB693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35BF-41B0-84A4-788E5903F15A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A8888A66-91B4-4AA1-8E36-3C4102058DEC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35BF-41B0-84A4-788E5903F15A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234E0C55-6CBA-46D8-956D-BE98EE94836A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35BF-41B0-84A4-788E5903F15A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D3A2D108-2162-493F-8702-F05EEFBF3FC7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35BF-41B0-84A4-788E5903F15A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F0697530-27A1-4D60-B838-F3DB7DCE8A0F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35BF-41B0-84A4-788E5903F15A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7A5C9F48-BCEB-40A6-8A94-9907046A59A5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35BF-41B0-84A4-788E5903F15A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A6806712-8D51-4FAB-A2E8-1EB57E7CBCBE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35BF-41B0-84A4-788E5903F15A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D78FA648-F7DC-46D3-A188-D4D5346219C0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35BF-41B0-84A4-788E5903F15A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4737FCA4-2EC9-4B2B-A811-8453DBB2C130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35BF-41B0-84A4-788E5903F15A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D8FA1807-459E-4FFB-8D87-5AF90731C767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35BF-41B0-84A4-788E5903F15A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D71857C0-EF02-4371-BFD7-8BB9B35239C3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35BF-41B0-84A4-788E5903F15A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03A5057E-261E-4BBC-BC2F-04BD6C28BBC0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35BF-41B0-84A4-788E5903F15A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AA79F0B9-70AB-4003-9FE7-D6A381261EFA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35BF-41B0-84A4-788E5903F15A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D9A2EC2F-9FDD-4C28-A934-704DF9296DCB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35BF-41B0-84A4-788E5903F15A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1F901132-5189-43AC-841A-C604A2C621F9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35BF-41B0-84A4-788E5903F15A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83E32D6F-C256-420B-ADC6-08A9EEAE881D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35BF-41B0-84A4-788E5903F15A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73F63148-D6DF-4DA7-AB05-382DB4C8638D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35BF-41B0-84A4-788E5903F15A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F0724E54-A060-4281-B516-914BE64F67AC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35BF-41B0-84A4-788E5903F15A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0D79B0DB-18A0-490B-A8A8-F1FB19E0C306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35BF-41B0-84A4-788E5903F15A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BE55A793-1E9C-43A4-8A79-2C77B9D95A88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35BF-41B0-84A4-788E5903F15A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04020292-B972-4F25-9543-A5E8765304C9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35BF-41B0-84A4-788E5903F15A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A5C2BBEA-EDAB-46E0-AC8F-B91DD9CE391A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35BF-41B0-84A4-788E5903F15A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E020705C-6E7D-4F1A-B763-7BAF11C84719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35BF-41B0-84A4-788E5903F15A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C0BE187B-BAC2-4907-998A-0AFBEDBD5DB3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35BF-41B0-84A4-788E5903F15A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2E673032-C6E4-491A-9083-CAB19A1AB0FB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35BF-41B0-84A4-788E5903F15A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E4166D3E-D9E4-4DAD-8D07-3DF7C35B7333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35BF-41B0-84A4-788E5903F15A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16D8615C-8C19-4240-A54D-CEA8A5B97562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35BF-41B0-84A4-788E5903F15A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361F1069-3FFB-4B8A-BE67-E1BB87668091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35BF-41B0-84A4-788E5903F1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STRG!$BR$4:$BR$42</c:f>
              <c:strCache>
                <c:ptCount val="39"/>
                <c:pt idx="0">
                  <c:v>Penjualan Tenaga Listrik</c:v>
                </c:pt>
                <c:pt idx="1">
                  <c:v>SAIDI Sesuai Kewenangannya</c:v>
                </c:pt>
                <c:pt idx="2">
                  <c:v>SAIFI Sesuai Kewenangannya</c:v>
                </c:pt>
                <c:pt idx="3">
                  <c:v>ENS</c:v>
                </c:pt>
                <c:pt idx="4">
                  <c:v>Susut Distribusi Tanpa E-min (sesuai kewenangan)</c:v>
                </c:pt>
                <c:pt idx="5">
                  <c:v>Penyelesaian Temuan P2TL</c:v>
                </c:pt>
                <c:pt idx="6">
                  <c:v>Penyelesaian Ganti Meter</c:v>
                </c:pt>
                <c:pt idx="7">
                  <c:v>Gangguan TM &gt; 5 Menit</c:v>
                </c:pt>
                <c:pt idx="8">
                  <c:v>Gangguan TM ≤ 5 Menit</c:v>
                </c:pt>
                <c:pt idx="9">
                  <c:v>Kerusakan Peralatan Distribusi (PHB TM dan Trafo) Sesuai Kewenangan</c:v>
                </c:pt>
                <c:pt idx="10">
                  <c:v>Feedback Rating Negatif pada PLN Mobile - Gangguan</c:v>
                </c:pt>
                <c:pt idx="11">
                  <c:v>Pengaduan Gangguan Berulang pada PLN Mobile</c:v>
                </c:pt>
                <c:pt idx="12">
                  <c:v>Rating PLN Mobile</c:v>
                </c:pt>
                <c:pt idx="13">
                  <c:v>Jumlah Kali Transaksi Keuangan melalui PLN Mobile</c:v>
                </c:pt>
                <c:pt idx="14">
                  <c:v>Response Time atas Gangguan (diluar Clear Tamper)</c:v>
                </c:pt>
                <c:pt idx="15">
                  <c:v>Success Rate Auto Dispatch Gangguan Individual (diluar Clear Tamper)</c:v>
                </c:pt>
                <c:pt idx="16">
                  <c:v>Recovery Time Gangguan Meluas TM</c:v>
                </c:pt>
                <c:pt idx="17">
                  <c:v>Penormalan Siaga 1 Gangguan TM</c:v>
                </c:pt>
                <c:pt idx="18">
                  <c:v>Pengembangan EAM Distribusi</c:v>
                </c:pt>
                <c:pt idx="19">
                  <c:v>Penambahan Daya Tersambung</c:v>
                </c:pt>
                <c:pt idx="20">
                  <c:v>Penambahan Jumlah Pelanggan</c:v>
                </c:pt>
                <c:pt idx="21">
                  <c:v>Jumlah Penambahan Pelanggan Produk Tematik</c:v>
                </c:pt>
                <c:pt idx="22">
                  <c:v>Implementasi Kesesuaian Sektor Bisnis sesuai KBLI 2020</c:v>
                </c:pt>
                <c:pt idx="23">
                  <c:v>Penambahan Jumlah Pelanggan Rumah Tangga Lisdes</c:v>
                </c:pt>
                <c:pt idx="24">
                  <c:v>Peningkatan kWh Penjualan dari Pelanggan Rumah Tangga Lisdes</c:v>
                </c:pt>
                <c:pt idx="25">
                  <c:v>Jumlah Pengguna Swa Cam</c:v>
                </c:pt>
                <c:pt idx="26">
                  <c:v>Tindak Lanjut LBKB (Laporan Bulanan Kelainan Baca Meter)</c:v>
                </c:pt>
                <c:pt idx="27">
                  <c:v>Pencapaian Rata-Rata Saldo Tanggal 20 diluar Konsumen Instansi (Kementerian &amp; Lembaga)</c:v>
                </c:pt>
                <c:pt idx="28">
                  <c:v>Pencapaian Saldo Rata-Rata Akhir Bulan diluar Konsumen Instansi (Kementerian &amp; Lembaga)</c:v>
                </c:pt>
                <c:pt idx="29">
                  <c:v>Pencapaian Pelunasan PRR</c:v>
                </c:pt>
                <c:pt idx="30">
                  <c:v>Pengendalian Penggunaan Anggaran Investasi sesuai RKAP</c:v>
                </c:pt>
                <c:pt idx="31">
                  <c:v>Usulan Penghapusan ATTB</c:v>
                </c:pt>
                <c:pt idx="32">
                  <c:v>Usulan Penghapusan PRR</c:v>
                </c:pt>
                <c:pt idx="33">
                  <c:v>HCR, OCR, dan Produktivitas Pegawai</c:v>
                </c:pt>
                <c:pt idx="34">
                  <c:v>Produktivitas Unit</c:v>
                </c:pt>
                <c:pt idx="35">
                  <c:v>Pengelolaan Komunikasi dan TJSL</c:v>
                </c:pt>
                <c:pt idx="36">
                  <c:v>Peningkatan Layanan dan Budaya K3</c:v>
                </c:pt>
                <c:pt idx="37">
                  <c:v>Implementasi PLN Bisnis Ekselen</c:v>
                </c:pt>
                <c:pt idx="38">
                  <c:v>Maturity Level Gudang</c:v>
                </c:pt>
              </c:strCache>
            </c:strRef>
          </c:cat>
          <c:val>
            <c:numRef>
              <c:f>STRG!$BV$4:$BV$42</c:f>
              <c:numCache>
                <c:formatCode>_(* #,##0.00_);_(* \(#,##0.00\);_(* "-"??_);_(@_)</c:formatCode>
                <c:ptCount val="39"/>
                <c:pt idx="0">
                  <c:v>0.96926600284191833</c:v>
                </c:pt>
                <c:pt idx="1">
                  <c:v>1.1000000000000001</c:v>
                </c:pt>
                <c:pt idx="2">
                  <c:v>1.1000000000000001</c:v>
                </c:pt>
                <c:pt idx="3">
                  <c:v>1.1000000000000001</c:v>
                </c:pt>
                <c:pt idx="4">
                  <c:v>1.0983726787129302</c:v>
                </c:pt>
                <c:pt idx="5">
                  <c:v>1.1000000000000001</c:v>
                </c:pt>
                <c:pt idx="6">
                  <c:v>1.0016924053310767</c:v>
                </c:pt>
                <c:pt idx="7">
                  <c:v>1.1000000000000001</c:v>
                </c:pt>
                <c:pt idx="8">
                  <c:v>1.1000000000000001</c:v>
                </c:pt>
                <c:pt idx="9">
                  <c:v>1.1000000000000001</c:v>
                </c:pt>
                <c:pt idx="10">
                  <c:v>1.1000000000000001</c:v>
                </c:pt>
                <c:pt idx="11">
                  <c:v>1.1000000000000001</c:v>
                </c:pt>
                <c:pt idx="12">
                  <c:v>1</c:v>
                </c:pt>
                <c:pt idx="13">
                  <c:v>1.1000000000000001</c:v>
                </c:pt>
                <c:pt idx="14">
                  <c:v>1.1000000000000001</c:v>
                </c:pt>
                <c:pt idx="15">
                  <c:v>1</c:v>
                </c:pt>
                <c:pt idx="16">
                  <c:v>1.1000000000000001</c:v>
                </c:pt>
                <c:pt idx="17">
                  <c:v>1.1000000000000001</c:v>
                </c:pt>
                <c:pt idx="18">
                  <c:v>1.0195000000000001</c:v>
                </c:pt>
                <c:pt idx="19">
                  <c:v>0.68345946855028605</c:v>
                </c:pt>
                <c:pt idx="20">
                  <c:v>0.50787219263718453</c:v>
                </c:pt>
                <c:pt idx="21">
                  <c:v>1.0868055555555556</c:v>
                </c:pt>
                <c:pt idx="22">
                  <c:v>1</c:v>
                </c:pt>
                <c:pt idx="23">
                  <c:v>1.1000000000000001</c:v>
                </c:pt>
                <c:pt idx="24">
                  <c:v>1.1000000000000001</c:v>
                </c:pt>
                <c:pt idx="25">
                  <c:v>1.1000000000000001</c:v>
                </c:pt>
                <c:pt idx="26">
                  <c:v>1</c:v>
                </c:pt>
                <c:pt idx="27">
                  <c:v>1.1000000000000001</c:v>
                </c:pt>
                <c:pt idx="28">
                  <c:v>0.98641414189401599</c:v>
                </c:pt>
                <c:pt idx="29">
                  <c:v>1.1000000000000001</c:v>
                </c:pt>
                <c:pt idx="30">
                  <c:v>0.95052631578947366</c:v>
                </c:pt>
                <c:pt idx="31">
                  <c:v>1</c:v>
                </c:pt>
                <c:pt idx="32">
                  <c:v>1.1000000000000001</c:v>
                </c:pt>
                <c:pt idx="33">
                  <c:v>1</c:v>
                </c:pt>
                <c:pt idx="34">
                  <c:v>0.9</c:v>
                </c:pt>
                <c:pt idx="35">
                  <c:v>1.1000000000000001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STRG!$BQ$4:$BQ$44</c15:f>
                <c15:dlblRangeCache>
                  <c:ptCount val="41"/>
                  <c:pt idx="0">
                    <c:v> 97 </c:v>
                  </c:pt>
                  <c:pt idx="1">
                    <c:v> 110 </c:v>
                  </c:pt>
                  <c:pt idx="2">
                    <c:v> 110 </c:v>
                  </c:pt>
                  <c:pt idx="3">
                    <c:v> 110 </c:v>
                  </c:pt>
                  <c:pt idx="4">
                    <c:v> 110 </c:v>
                  </c:pt>
                  <c:pt idx="5">
                    <c:v> 110 </c:v>
                  </c:pt>
                  <c:pt idx="6">
                    <c:v> 100 </c:v>
                  </c:pt>
                  <c:pt idx="7">
                    <c:v> 110 </c:v>
                  </c:pt>
                  <c:pt idx="8">
                    <c:v> 110 </c:v>
                  </c:pt>
                  <c:pt idx="9">
                    <c:v> 110 </c:v>
                  </c:pt>
                  <c:pt idx="10">
                    <c:v> 110 </c:v>
                  </c:pt>
                  <c:pt idx="11">
                    <c:v> 110 </c:v>
                  </c:pt>
                  <c:pt idx="12">
                    <c:v> 100 </c:v>
                  </c:pt>
                  <c:pt idx="13">
                    <c:v> 110 </c:v>
                  </c:pt>
                  <c:pt idx="14">
                    <c:v> 110 </c:v>
                  </c:pt>
                  <c:pt idx="15">
                    <c:v> 100 </c:v>
                  </c:pt>
                  <c:pt idx="16">
                    <c:v> 110 </c:v>
                  </c:pt>
                  <c:pt idx="17">
                    <c:v> 110 </c:v>
                  </c:pt>
                  <c:pt idx="18">
                    <c:v> 102 </c:v>
                  </c:pt>
                  <c:pt idx="19">
                    <c:v> 68 </c:v>
                  </c:pt>
                  <c:pt idx="20">
                    <c:v> 51 </c:v>
                  </c:pt>
                  <c:pt idx="21">
                    <c:v> 109 </c:v>
                  </c:pt>
                  <c:pt idx="22">
                    <c:v> 100 </c:v>
                  </c:pt>
                  <c:pt idx="23">
                    <c:v> 110 </c:v>
                  </c:pt>
                  <c:pt idx="24">
                    <c:v> 110 </c:v>
                  </c:pt>
                  <c:pt idx="25">
                    <c:v> 110 </c:v>
                  </c:pt>
                  <c:pt idx="26">
                    <c:v> 100 </c:v>
                  </c:pt>
                  <c:pt idx="27">
                    <c:v> 110 </c:v>
                  </c:pt>
                  <c:pt idx="28">
                    <c:v> 99 </c:v>
                  </c:pt>
                  <c:pt idx="29">
                    <c:v> 110 </c:v>
                  </c:pt>
                  <c:pt idx="30">
                    <c:v> 95 </c:v>
                  </c:pt>
                  <c:pt idx="31">
                    <c:v> 100 </c:v>
                  </c:pt>
                  <c:pt idx="32">
                    <c:v> 110 </c:v>
                  </c:pt>
                  <c:pt idx="33">
                    <c:v> 100 </c:v>
                  </c:pt>
                  <c:pt idx="34">
                    <c:v> 90 </c:v>
                  </c:pt>
                  <c:pt idx="35">
                    <c:v> 110 </c:v>
                  </c:pt>
                  <c:pt idx="36">
                    <c:v> 100 </c:v>
                  </c:pt>
                  <c:pt idx="37">
                    <c:v> 100 </c:v>
                  </c:pt>
                  <c:pt idx="38">
                    <c:v> 100 </c:v>
                  </c:pt>
                  <c:pt idx="39">
                    <c:v> 110 </c:v>
                  </c:pt>
                  <c:pt idx="40">
                    <c:v> 100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A-DAF0-4CCF-B02D-6D2B50B2383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974400335"/>
        <c:axId val="1974399375"/>
      </c:barChart>
      <c:catAx>
        <c:axId val="197440033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399375"/>
        <c:crosses val="autoZero"/>
        <c:auto val="1"/>
        <c:lblAlgn val="ctr"/>
        <c:lblOffset val="100"/>
        <c:noMultiLvlLbl val="0"/>
      </c:catAx>
      <c:valAx>
        <c:axId val="1974399375"/>
        <c:scaling>
          <c:orientation val="minMax"/>
        </c:scaling>
        <c:delete val="1"/>
        <c:axPos val="t"/>
        <c:numFmt formatCode="_(* #,##0_);_(* \(#,##0\);_(* &quot;-&quot;??_);_(@_)" sourceLinked="1"/>
        <c:majorTickMark val="none"/>
        <c:minorTickMark val="none"/>
        <c:tickLblPos val="nextTo"/>
        <c:crossAx val="197440033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STRG!$AZ$47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alpha val="9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STRG!$BA$46:$BL$46</c:f>
              <c:numCache>
                <c:formatCode>mmm</c:formatCode>
                <c:ptCount val="12"/>
                <c:pt idx="0">
                  <c:v>45688</c:v>
                </c:pt>
                <c:pt idx="1">
                  <c:v>45716</c:v>
                </c:pt>
                <c:pt idx="2">
                  <c:v>45747</c:v>
                </c:pt>
                <c:pt idx="3">
                  <c:v>45777</c:v>
                </c:pt>
                <c:pt idx="4">
                  <c:v>45808</c:v>
                </c:pt>
                <c:pt idx="5">
                  <c:v>45838</c:v>
                </c:pt>
                <c:pt idx="6">
                  <c:v>45869</c:v>
                </c:pt>
                <c:pt idx="7">
                  <c:v>45900</c:v>
                </c:pt>
                <c:pt idx="8">
                  <c:v>45930</c:v>
                </c:pt>
                <c:pt idx="9">
                  <c:v>45961</c:v>
                </c:pt>
                <c:pt idx="10">
                  <c:v>45991</c:v>
                </c:pt>
                <c:pt idx="11">
                  <c:v>46022</c:v>
                </c:pt>
              </c:numCache>
            </c:numRef>
          </c:cat>
          <c:val>
            <c:numRef>
              <c:f>STRG!$BA$47:$BL$47</c:f>
              <c:numCache>
                <c:formatCode>General</c:formatCode>
                <c:ptCount val="12"/>
                <c:pt idx="0">
                  <c:v>93.03</c:v>
                </c:pt>
                <c:pt idx="1">
                  <c:v>101.02</c:v>
                </c:pt>
                <c:pt idx="2">
                  <c:v>97.37</c:v>
                </c:pt>
                <c:pt idx="3">
                  <c:v>101.25</c:v>
                </c:pt>
                <c:pt idx="4">
                  <c:v>103.83</c:v>
                </c:pt>
                <c:pt idx="5">
                  <c:v>104.94</c:v>
                </c:pt>
                <c:pt idx="6">
                  <c:v>104.61</c:v>
                </c:pt>
                <c:pt idx="7">
                  <c:v>106.6</c:v>
                </c:pt>
                <c:pt idx="8">
                  <c:v>105.02</c:v>
                </c:pt>
                <c:pt idx="9">
                  <c:v>105.61</c:v>
                </c:pt>
                <c:pt idx="10">
                  <c:v>106.87</c:v>
                </c:pt>
                <c:pt idx="11">
                  <c:v>107.09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32-45BA-A0CE-475DFBC335E3}"/>
            </c:ext>
          </c:extLst>
        </c:ser>
        <c:ser>
          <c:idx val="1"/>
          <c:order val="1"/>
          <c:tx>
            <c:strRef>
              <c:f>STRG!$AZ$48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STRG!$BA$46:$BL$46</c:f>
              <c:numCache>
                <c:formatCode>mmm</c:formatCode>
                <c:ptCount val="12"/>
                <c:pt idx="0">
                  <c:v>45688</c:v>
                </c:pt>
                <c:pt idx="1">
                  <c:v>45716</c:v>
                </c:pt>
                <c:pt idx="2">
                  <c:v>45747</c:v>
                </c:pt>
                <c:pt idx="3">
                  <c:v>45777</c:v>
                </c:pt>
                <c:pt idx="4">
                  <c:v>45808</c:v>
                </c:pt>
                <c:pt idx="5">
                  <c:v>45838</c:v>
                </c:pt>
                <c:pt idx="6">
                  <c:v>45869</c:v>
                </c:pt>
                <c:pt idx="7">
                  <c:v>45900</c:v>
                </c:pt>
                <c:pt idx="8">
                  <c:v>45930</c:v>
                </c:pt>
                <c:pt idx="9">
                  <c:v>45961</c:v>
                </c:pt>
                <c:pt idx="10">
                  <c:v>45991</c:v>
                </c:pt>
                <c:pt idx="11">
                  <c:v>46022</c:v>
                </c:pt>
              </c:numCache>
            </c:numRef>
          </c:cat>
          <c:val>
            <c:numRef>
              <c:f>STRG!$BA$48:$BL$48</c:f>
              <c:numCache>
                <c:formatCode>General</c:formatCode>
                <c:ptCount val="1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32-45BA-A0CE-475DFBC335E3}"/>
            </c:ext>
          </c:extLst>
        </c:ser>
        <c:ser>
          <c:idx val="2"/>
          <c:order val="2"/>
          <c:tx>
            <c:strRef>
              <c:f>STRG!$AZ$49</c:f>
              <c:strCache>
                <c:ptCount val="1"/>
                <c:pt idx="0">
                  <c:v>REALISASI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alpha val="7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STRG!$BA$46:$BL$46</c:f>
              <c:numCache>
                <c:formatCode>mmm</c:formatCode>
                <c:ptCount val="12"/>
                <c:pt idx="0">
                  <c:v>45688</c:v>
                </c:pt>
                <c:pt idx="1">
                  <c:v>45716</c:v>
                </c:pt>
                <c:pt idx="2">
                  <c:v>45747</c:v>
                </c:pt>
                <c:pt idx="3">
                  <c:v>45777</c:v>
                </c:pt>
                <c:pt idx="4">
                  <c:v>45808</c:v>
                </c:pt>
                <c:pt idx="5">
                  <c:v>45838</c:v>
                </c:pt>
                <c:pt idx="6">
                  <c:v>45869</c:v>
                </c:pt>
                <c:pt idx="7">
                  <c:v>45900</c:v>
                </c:pt>
                <c:pt idx="8">
                  <c:v>45930</c:v>
                </c:pt>
                <c:pt idx="9">
                  <c:v>45961</c:v>
                </c:pt>
                <c:pt idx="10">
                  <c:v>45991</c:v>
                </c:pt>
                <c:pt idx="11">
                  <c:v>46022</c:v>
                </c:pt>
              </c:numCache>
            </c:numRef>
          </c:cat>
          <c:val>
            <c:numRef>
              <c:f>STRG!$BA$49:$BL$49</c:f>
              <c:numCache>
                <c:formatCode>_(* #,##0.00_);_(* \(#,##0.00\);_(* "-"??_);_(@_)</c:formatCode>
                <c:ptCount val="12"/>
                <c:pt idx="0">
                  <c:v>95.520000000000024</c:v>
                </c:pt>
                <c:pt idx="1">
                  <c:v>95.180000000000035</c:v>
                </c:pt>
                <c:pt idx="2">
                  <c:v>101.53000000000003</c:v>
                </c:pt>
                <c:pt idx="3">
                  <c:v>100.92000000000002</c:v>
                </c:pt>
                <c:pt idx="4">
                  <c:v>100.61000000000004</c:v>
                </c:pt>
                <c:pt idx="5">
                  <c:v>102.7</c:v>
                </c:pt>
                <c:pt idx="6">
                  <c:v>102.61000000000003</c:v>
                </c:pt>
                <c:pt idx="7">
                  <c:v>102.74000000000001</c:v>
                </c:pt>
                <c:pt idx="8">
                  <c:v>103.22000000000003</c:v>
                </c:pt>
                <c:pt idx="9">
                  <c:v>103.02000000000002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32-45BA-A0CE-475DFBC335E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1435487"/>
        <c:axId val="91435007"/>
      </c:barChart>
      <c:dateAx>
        <c:axId val="91435487"/>
        <c:scaling>
          <c:orientation val="minMax"/>
        </c:scaling>
        <c:delete val="0"/>
        <c:axPos val="b"/>
        <c:numFmt formatCode="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35007"/>
        <c:crosses val="autoZero"/>
        <c:auto val="1"/>
        <c:lblOffset val="100"/>
        <c:baseTimeUnit val="months"/>
      </c:dateAx>
      <c:valAx>
        <c:axId val="9143500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1435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STRG!$BY$12</c:f>
              <c:strCache>
                <c:ptCount val="1"/>
                <c:pt idx="0">
                  <c:v>YELLOW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alpha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STRG!$BX$13:$BX$41</c15:sqref>
                  </c15:fullRef>
                </c:ext>
              </c:extLst>
              <c:f>STRG!$BX$13:$BX$23</c:f>
              <c:strCache>
                <c:ptCount val="6"/>
                <c:pt idx="0">
                  <c:v>Penjualan Tenaga Listrik</c:v>
                </c:pt>
                <c:pt idx="1">
                  <c:v>Penambahan Daya Tersambung</c:v>
                </c:pt>
                <c:pt idx="2">
                  <c:v>Penambahan Jumlah Pelanggan</c:v>
                </c:pt>
                <c:pt idx="3">
                  <c:v>Pencapaian Saldo Rata-Rata Akhir Bulan diluar Konsumen Instansi (Kementerian &amp; Lembaga)</c:v>
                </c:pt>
                <c:pt idx="4">
                  <c:v>Pengendalian Penggunaan Anggaran Investasi sesuai RKAP</c:v>
                </c:pt>
                <c:pt idx="5">
                  <c:v>Produktivitas Unit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STRG!$BY$13:$BY$41</c15:sqref>
                  </c15:fullRef>
                </c:ext>
              </c:extLst>
              <c:f>STRG!$BY$13:$BY$23</c:f>
              <c:numCache>
                <c:formatCode>_(* #,##0.00_);_(* \(#,##0.00\);_(* "-"??_);_(@_)</c:formatCode>
                <c:ptCount val="11"/>
                <c:pt idx="0">
                  <c:v>96.926600284191835</c:v>
                </c:pt>
                <c:pt idx="1">
                  <c:v>#N/A</c:v>
                </c:pt>
                <c:pt idx="2">
                  <c:v>#N/A</c:v>
                </c:pt>
                <c:pt idx="3">
                  <c:v>98.641414189401601</c:v>
                </c:pt>
                <c:pt idx="4">
                  <c:v>95.05263157894737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73-4681-9631-BCAA36C9043A}"/>
            </c:ext>
          </c:extLst>
        </c:ser>
        <c:ser>
          <c:idx val="1"/>
          <c:order val="1"/>
          <c:tx>
            <c:strRef>
              <c:f>STRG!$BZ$12</c:f>
              <c:strCache>
                <c:ptCount val="1"/>
                <c:pt idx="0">
                  <c:v>RED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alpha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STRG!$BX$13:$BX$41</c15:sqref>
                  </c15:fullRef>
                </c:ext>
              </c:extLst>
              <c:f>STRG!$BX$13:$BX$23</c:f>
              <c:strCache>
                <c:ptCount val="6"/>
                <c:pt idx="0">
                  <c:v>Penjualan Tenaga Listrik</c:v>
                </c:pt>
                <c:pt idx="1">
                  <c:v>Penambahan Daya Tersambung</c:v>
                </c:pt>
                <c:pt idx="2">
                  <c:v>Penambahan Jumlah Pelanggan</c:v>
                </c:pt>
                <c:pt idx="3">
                  <c:v>Pencapaian Saldo Rata-Rata Akhir Bulan diluar Konsumen Instansi (Kementerian &amp; Lembaga)</c:v>
                </c:pt>
                <c:pt idx="4">
                  <c:v>Pengendalian Penggunaan Anggaran Investasi sesuai RKAP</c:v>
                </c:pt>
                <c:pt idx="5">
                  <c:v>Produktivitas Unit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STRG!$BZ$13:$BZ$41</c15:sqref>
                  </c15:fullRef>
                </c:ext>
              </c:extLst>
              <c:f>STRG!$BZ$13:$BZ$23</c:f>
              <c:numCache>
                <c:formatCode>_(* #,##0.00_);_(* \(#,##0.00\);_(* "-"??_);_(@_)</c:formatCode>
                <c:ptCount val="11"/>
                <c:pt idx="0">
                  <c:v>#N/A</c:v>
                </c:pt>
                <c:pt idx="1">
                  <c:v>68.3459468550286</c:v>
                </c:pt>
                <c:pt idx="2">
                  <c:v>50.787219263718455</c:v>
                </c:pt>
                <c:pt idx="3">
                  <c:v>#N/A</c:v>
                </c:pt>
                <c:pt idx="4">
                  <c:v>#N/A</c:v>
                </c:pt>
                <c:pt idx="5">
                  <c:v>90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73-4681-9631-BCAA36C9043A}"/>
            </c:ext>
          </c:extLst>
        </c:ser>
        <c:ser>
          <c:idx val="3"/>
          <c:order val="3"/>
          <c:tx>
            <c:strRef>
              <c:f>STRG!$CB$12</c:f>
              <c:strCache>
                <c:ptCount val="1"/>
                <c:pt idx="0">
                  <c:v>GAP KIN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STRG!$BX$13:$BX$41</c15:sqref>
                  </c15:fullRef>
                </c:ext>
              </c:extLst>
              <c:f>STRG!$BX$13:$BX$23</c:f>
              <c:strCache>
                <c:ptCount val="6"/>
                <c:pt idx="0">
                  <c:v>Penjualan Tenaga Listrik</c:v>
                </c:pt>
                <c:pt idx="1">
                  <c:v>Penambahan Daya Tersambung</c:v>
                </c:pt>
                <c:pt idx="2">
                  <c:v>Penambahan Jumlah Pelanggan</c:v>
                </c:pt>
                <c:pt idx="3">
                  <c:v>Pencapaian Saldo Rata-Rata Akhir Bulan diluar Konsumen Instansi (Kementerian &amp; Lembaga)</c:v>
                </c:pt>
                <c:pt idx="4">
                  <c:v>Pengendalian Penggunaan Anggaran Investasi sesuai RKAP</c:v>
                </c:pt>
                <c:pt idx="5">
                  <c:v>Produktivitas Unit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STRG!$CB$13:$CB$41</c15:sqref>
                  </c15:fullRef>
                </c:ext>
              </c:extLst>
              <c:f>STRG!$CB$13:$CB$23</c:f>
              <c:numCache>
                <c:formatCode>_(* #,##0.00_);_(* \(#,##0.00\);_(* "-"??_);_(@_)</c:formatCode>
                <c:ptCount val="11"/>
                <c:pt idx="0">
                  <c:v>3.073399715808165</c:v>
                </c:pt>
                <c:pt idx="1">
                  <c:v>31.6540531449714</c:v>
                </c:pt>
                <c:pt idx="2">
                  <c:v>49.212780736281545</c:v>
                </c:pt>
                <c:pt idx="3">
                  <c:v>1.3585858105983988</c:v>
                </c:pt>
                <c:pt idx="4">
                  <c:v>4.9473684210526301</c:v>
                </c:pt>
                <c:pt idx="5">
                  <c:v>10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B73-4681-9631-BCAA36C9043A}"/>
            </c:ext>
          </c:extLst>
        </c:ser>
        <c:ser>
          <c:idx val="5"/>
          <c:order val="5"/>
          <c:tx>
            <c:strRef>
              <c:f>STRG!$CD$12</c:f>
              <c:strCache>
                <c:ptCount val="1"/>
                <c:pt idx="0">
                  <c:v>GAP POIN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STRG!$BX$13:$BX$41</c15:sqref>
                  </c15:fullRef>
                </c:ext>
              </c:extLst>
              <c:f>STRG!$BX$13:$BX$23</c:f>
              <c:strCache>
                <c:ptCount val="6"/>
                <c:pt idx="0">
                  <c:v>Penjualan Tenaga Listrik</c:v>
                </c:pt>
                <c:pt idx="1">
                  <c:v>Penambahan Daya Tersambung</c:v>
                </c:pt>
                <c:pt idx="2">
                  <c:v>Penambahan Jumlah Pelanggan</c:v>
                </c:pt>
                <c:pt idx="3">
                  <c:v>Pencapaian Saldo Rata-Rata Akhir Bulan diluar Konsumen Instansi (Kementerian &amp; Lembaga)</c:v>
                </c:pt>
                <c:pt idx="4">
                  <c:v>Pengendalian Penggunaan Anggaran Investasi sesuai RKAP</c:v>
                </c:pt>
                <c:pt idx="5">
                  <c:v>Produktivitas Unit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STRG!$CD$13:$CD$41</c15:sqref>
                  </c15:fullRef>
                </c:ext>
              </c:extLst>
              <c:f>STRG!$CD$13:$CD$23</c:f>
              <c:numCache>
                <c:formatCode>_(* #,##0.00_);_(* \(#,##0.00\);_(* "-"??_);_(@_)</c:formatCode>
                <c:ptCount val="11"/>
                <c:pt idx="0">
                  <c:v>0.43027596021314313</c:v>
                </c:pt>
                <c:pt idx="1">
                  <c:v>0.633081062899428</c:v>
                </c:pt>
                <c:pt idx="2">
                  <c:v>0.98425561472563095</c:v>
                </c:pt>
                <c:pt idx="3">
                  <c:v>2.7171716211967976E-2</c:v>
                </c:pt>
                <c:pt idx="4">
                  <c:v>9.8947368421052603E-2</c:v>
                </c:pt>
                <c:pt idx="5">
                  <c:v>0.1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B73-4681-9631-BCAA36C9043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100"/>
        <c:axId val="1770424319"/>
        <c:axId val="1770415679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STRG!$CA$12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STRG!$BX$13:$BX$41</c15:sqref>
                        </c15:fullRef>
                        <c15:formulaRef>
                          <c15:sqref>STRG!$BX$13:$BX$23</c15:sqref>
                        </c15:formulaRef>
                      </c:ext>
                    </c:extLst>
                    <c:strCache>
                      <c:ptCount val="6"/>
                      <c:pt idx="0">
                        <c:v>Penjualan Tenaga Listrik</c:v>
                      </c:pt>
                      <c:pt idx="1">
                        <c:v>Penambahan Daya Tersambung</c:v>
                      </c:pt>
                      <c:pt idx="2">
                        <c:v>Penambahan Jumlah Pelanggan</c:v>
                      </c:pt>
                      <c:pt idx="3">
                        <c:v>Pencapaian Saldo Rata-Rata Akhir Bulan diluar Konsumen Instansi (Kementerian &amp; Lembaga)</c:v>
                      </c:pt>
                      <c:pt idx="4">
                        <c:v>Pengendalian Penggunaan Anggaran Investasi sesuai RKAP</c:v>
                      </c:pt>
                      <c:pt idx="5">
                        <c:v>Produktivitas Unit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STRG!$CA$13:$CA$41</c15:sqref>
                        </c15:fullRef>
                        <c15:formulaRef>
                          <c15:sqref>STRG!$CA$13:$CA$23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1"/>
                      <c:pt idx="0">
                        <c:v>96.926600284191835</c:v>
                      </c:pt>
                      <c:pt idx="1">
                        <c:v>68.3459468550286</c:v>
                      </c:pt>
                      <c:pt idx="2">
                        <c:v>50.787219263718455</c:v>
                      </c:pt>
                      <c:pt idx="3">
                        <c:v>98.641414189401601</c:v>
                      </c:pt>
                      <c:pt idx="4">
                        <c:v>95.05263157894737</c:v>
                      </c:pt>
                      <c:pt idx="5">
                        <c:v>90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4B73-4681-9631-BCAA36C9043A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STRG!$CC$12</c15:sqref>
                        </c15:formulaRef>
                      </c:ext>
                    </c:extLst>
                    <c:strCache>
                      <c:ptCount val="1"/>
                      <c:pt idx="0">
                        <c:v>BOBOT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STRG!$BX$13:$BX$41</c15:sqref>
                        </c15:fullRef>
                        <c15:formulaRef>
                          <c15:sqref>STRG!$BX$13:$BX$23</c15:sqref>
                        </c15:formulaRef>
                      </c:ext>
                    </c:extLst>
                    <c:strCache>
                      <c:ptCount val="6"/>
                      <c:pt idx="0">
                        <c:v>Penjualan Tenaga Listrik</c:v>
                      </c:pt>
                      <c:pt idx="1">
                        <c:v>Penambahan Daya Tersambung</c:v>
                      </c:pt>
                      <c:pt idx="2">
                        <c:v>Penambahan Jumlah Pelanggan</c:v>
                      </c:pt>
                      <c:pt idx="3">
                        <c:v>Pencapaian Saldo Rata-Rata Akhir Bulan diluar Konsumen Instansi (Kementerian &amp; Lembaga)</c:v>
                      </c:pt>
                      <c:pt idx="4">
                        <c:v>Pengendalian Penggunaan Anggaran Investasi sesuai RKAP</c:v>
                      </c:pt>
                      <c:pt idx="5">
                        <c:v>Produktivitas Unit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STRG!$CC$13:$CC$41</c15:sqref>
                        </c15:fullRef>
                        <c15:formulaRef>
                          <c15:sqref>STRG!$CC$13:$CC$23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14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1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B73-4681-9631-BCAA36C9043A}"/>
                  </c:ext>
                </c:extLst>
              </c15:ser>
            </c15:filteredBarSeries>
          </c:ext>
        </c:extLst>
      </c:barChart>
      <c:catAx>
        <c:axId val="1770424319"/>
        <c:scaling>
          <c:orientation val="maxMin"/>
        </c:scaling>
        <c:delete val="0"/>
        <c:axPos val="l"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0" spcFirstLastPara="1" vertOverflow="ellipsis" wrap="square" anchor="ctr" anchorCtr="0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0415679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770415679"/>
        <c:scaling>
          <c:orientation val="minMax"/>
        </c:scaling>
        <c:delete val="1"/>
        <c:axPos val="t"/>
        <c:numFmt formatCode="0%" sourceLinked="1"/>
        <c:majorTickMark val="none"/>
        <c:minorTickMark val="none"/>
        <c:tickLblPos val="nextTo"/>
        <c:crossAx val="1770424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val>
            <c:numRef>
              <c:f>STRG!$BA$64:$BL$64</c:f>
              <c:numCache>
                <c:formatCode>_(* #,##0.00_);_(* \(#,##0.00\);_(* "-"??_);_(@_)</c:formatCode>
                <c:ptCount val="12"/>
                <c:pt idx="0">
                  <c:v>72.37</c:v>
                </c:pt>
                <c:pt idx="1">
                  <c:v>87.880000000000038</c:v>
                </c:pt>
                <c:pt idx="2">
                  <c:v>98.72999999999999</c:v>
                </c:pt>
                <c:pt idx="3">
                  <c:v>99.18</c:v>
                </c:pt>
                <c:pt idx="4">
                  <c:v>98.450000000000017</c:v>
                </c:pt>
                <c:pt idx="5">
                  <c:v>95.890000000000015</c:v>
                </c:pt>
                <c:pt idx="6">
                  <c:v>98.030000000000015</c:v>
                </c:pt>
                <c:pt idx="7">
                  <c:v>98.940000000000012</c:v>
                </c:pt>
                <c:pt idx="8">
                  <c:v>98.67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03-4C49-B712-8B047AF07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52868224"/>
        <c:axId val="1842779136"/>
      </c:barChart>
      <c:catAx>
        <c:axId val="1852868224"/>
        <c:scaling>
          <c:orientation val="minMax"/>
        </c:scaling>
        <c:delete val="1"/>
        <c:axPos val="b"/>
        <c:majorTickMark val="none"/>
        <c:minorTickMark val="none"/>
        <c:tickLblPos val="nextTo"/>
        <c:crossAx val="1842779136"/>
        <c:crosses val="autoZero"/>
        <c:auto val="1"/>
        <c:lblAlgn val="ctr"/>
        <c:lblOffset val="100"/>
        <c:noMultiLvlLbl val="0"/>
      </c:catAx>
      <c:valAx>
        <c:axId val="1842779136"/>
        <c:scaling>
          <c:orientation val="minMax"/>
          <c:max val="110"/>
          <c:min val="0"/>
        </c:scaling>
        <c:delete val="1"/>
        <c:axPos val="l"/>
        <c:numFmt formatCode="_(* #,##0.00_);_(* \(#,##0.00\);_(* &quot;-&quot;??_);_(@_)" sourceLinked="1"/>
        <c:majorTickMark val="none"/>
        <c:minorTickMark val="none"/>
        <c:tickLblPos val="nextTo"/>
        <c:crossAx val="1852868224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STRG!$BA$112:$BL$112</c:f>
              <c:numCache>
                <c:formatCode>_(* #,##0.00_);_(* \(#,##0.00\);_(* "-"??_);_(@_)</c:formatCode>
                <c:ptCount val="12"/>
                <c:pt idx="0">
                  <c:v>97.11</c:v>
                </c:pt>
                <c:pt idx="1">
                  <c:v>97.37</c:v>
                </c:pt>
                <c:pt idx="2">
                  <c:v>106.96</c:v>
                </c:pt>
                <c:pt idx="3">
                  <c:v>107.03999999999999</c:v>
                </c:pt>
                <c:pt idx="4">
                  <c:v>105.94</c:v>
                </c:pt>
                <c:pt idx="5">
                  <c:v>105.89</c:v>
                </c:pt>
                <c:pt idx="6">
                  <c:v>104.99000000000001</c:v>
                </c:pt>
                <c:pt idx="7">
                  <c:v>104.95</c:v>
                </c:pt>
                <c:pt idx="8">
                  <c:v>104.78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36-4E4D-8C85-568FEB5AD9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3734384"/>
        <c:axId val="1843734864"/>
      </c:barChart>
      <c:catAx>
        <c:axId val="1843734384"/>
        <c:scaling>
          <c:orientation val="minMax"/>
        </c:scaling>
        <c:delete val="1"/>
        <c:axPos val="b"/>
        <c:majorTickMark val="none"/>
        <c:minorTickMark val="none"/>
        <c:tickLblPos val="nextTo"/>
        <c:crossAx val="1843734864"/>
        <c:crosses val="autoZero"/>
        <c:auto val="1"/>
        <c:lblAlgn val="ctr"/>
        <c:lblOffset val="100"/>
        <c:noMultiLvlLbl val="0"/>
      </c:catAx>
      <c:valAx>
        <c:axId val="1843734864"/>
        <c:scaling>
          <c:orientation val="minMax"/>
          <c:max val="110"/>
          <c:min val="0"/>
        </c:scaling>
        <c:delete val="1"/>
        <c:axPos val="l"/>
        <c:numFmt formatCode="_(* #,##0.00_);_(* \(#,##0.00\);_(* &quot;-&quot;??_);_(@_)" sourceLinked="1"/>
        <c:majorTickMark val="none"/>
        <c:minorTickMark val="none"/>
        <c:tickLblPos val="nextTo"/>
        <c:crossAx val="1843734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STRG!$BA$157:$BL$157</c:f>
              <c:numCache>
                <c:formatCode>_(* #,##0.00_);_(* \(#,##0.00\);_(* "-"??_);_(@_)</c:formatCode>
                <c:ptCount val="12"/>
                <c:pt idx="0">
                  <c:v>90.710000000000008</c:v>
                </c:pt>
                <c:pt idx="1">
                  <c:v>95.420000000000016</c:v>
                </c:pt>
                <c:pt idx="2">
                  <c:v>96.86999999999999</c:v>
                </c:pt>
                <c:pt idx="3">
                  <c:v>97.39</c:v>
                </c:pt>
                <c:pt idx="4">
                  <c:v>97.82</c:v>
                </c:pt>
                <c:pt idx="5">
                  <c:v>98.820000000000007</c:v>
                </c:pt>
                <c:pt idx="6">
                  <c:v>98.9</c:v>
                </c:pt>
                <c:pt idx="7">
                  <c:v>98.970000000000013</c:v>
                </c:pt>
                <c:pt idx="8">
                  <c:v>100.03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2D-4B47-8A3F-64F0C42204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462240"/>
        <c:axId val="166467040"/>
      </c:barChart>
      <c:catAx>
        <c:axId val="166462240"/>
        <c:scaling>
          <c:orientation val="minMax"/>
        </c:scaling>
        <c:delete val="1"/>
        <c:axPos val="b"/>
        <c:majorTickMark val="none"/>
        <c:minorTickMark val="none"/>
        <c:tickLblPos val="nextTo"/>
        <c:crossAx val="166467040"/>
        <c:crosses val="autoZero"/>
        <c:auto val="1"/>
        <c:lblAlgn val="ctr"/>
        <c:lblOffset val="100"/>
        <c:noMultiLvlLbl val="0"/>
      </c:catAx>
      <c:valAx>
        <c:axId val="166467040"/>
        <c:scaling>
          <c:orientation val="minMax"/>
          <c:max val="110"/>
          <c:min val="0"/>
        </c:scaling>
        <c:delete val="1"/>
        <c:axPos val="l"/>
        <c:numFmt formatCode="_(* #,##0.00_);_(* \(#,##0.00\);_(* &quot;-&quot;??_);_(@_)" sourceLinked="1"/>
        <c:majorTickMark val="none"/>
        <c:minorTickMark val="none"/>
        <c:tickLblPos val="nextTo"/>
        <c:crossAx val="166462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STRG!$BA$202:$BL$202</c:f>
              <c:numCache>
                <c:formatCode>_(* #,##0.00_);_(* \(#,##0.00\);_(* "-"??_);_(@_)</c:formatCode>
                <c:ptCount val="12"/>
                <c:pt idx="0">
                  <c:v>93.620000000000019</c:v>
                </c:pt>
                <c:pt idx="1">
                  <c:v>91.61</c:v>
                </c:pt>
                <c:pt idx="2">
                  <c:v>97.929999999999978</c:v>
                </c:pt>
                <c:pt idx="3">
                  <c:v>98.360000000000014</c:v>
                </c:pt>
                <c:pt idx="4">
                  <c:v>97.539999999999992</c:v>
                </c:pt>
                <c:pt idx="5">
                  <c:v>101.43</c:v>
                </c:pt>
                <c:pt idx="6">
                  <c:v>102.19</c:v>
                </c:pt>
                <c:pt idx="7">
                  <c:v>102.86</c:v>
                </c:pt>
                <c:pt idx="8">
                  <c:v>103.55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AB-40B4-91D1-40207E56BA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770880"/>
        <c:axId val="150774240"/>
      </c:barChart>
      <c:catAx>
        <c:axId val="150770880"/>
        <c:scaling>
          <c:orientation val="minMax"/>
        </c:scaling>
        <c:delete val="1"/>
        <c:axPos val="b"/>
        <c:majorTickMark val="none"/>
        <c:minorTickMark val="none"/>
        <c:tickLblPos val="nextTo"/>
        <c:crossAx val="150774240"/>
        <c:crosses val="autoZero"/>
        <c:auto val="1"/>
        <c:lblAlgn val="ctr"/>
        <c:lblOffset val="100"/>
        <c:noMultiLvlLbl val="0"/>
      </c:catAx>
      <c:valAx>
        <c:axId val="150774240"/>
        <c:scaling>
          <c:orientation val="minMax"/>
          <c:max val="110"/>
          <c:min val="0"/>
        </c:scaling>
        <c:delete val="1"/>
        <c:axPos val="l"/>
        <c:numFmt formatCode="_(* #,##0.00_);_(* \(#,##0.00\);_(* &quot;-&quot;??_);_(@_)" sourceLinked="1"/>
        <c:majorTickMark val="none"/>
        <c:minorTickMark val="none"/>
        <c:tickLblPos val="nextTo"/>
        <c:crossAx val="150770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STRG!$BA$247:$BL$247</c:f>
              <c:numCache>
                <c:formatCode>_(* #,##0.00_);_(* \(#,##0.00\);_(* "-"??_);_(@_)</c:formatCode>
                <c:ptCount val="12"/>
                <c:pt idx="0">
                  <c:v>88.97</c:v>
                </c:pt>
                <c:pt idx="1">
                  <c:v>91.439999999999984</c:v>
                </c:pt>
                <c:pt idx="2">
                  <c:v>96.59999999999998</c:v>
                </c:pt>
                <c:pt idx="3">
                  <c:v>95.49</c:v>
                </c:pt>
                <c:pt idx="4">
                  <c:v>96.419999999999987</c:v>
                </c:pt>
                <c:pt idx="5">
                  <c:v>98.09</c:v>
                </c:pt>
                <c:pt idx="6">
                  <c:v>98.420000000000016</c:v>
                </c:pt>
                <c:pt idx="7">
                  <c:v>98.890000000000015</c:v>
                </c:pt>
                <c:pt idx="8">
                  <c:v>100.15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8B-4697-B135-D51B41664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8937600"/>
        <c:axId val="1798930400"/>
      </c:barChart>
      <c:catAx>
        <c:axId val="1798937600"/>
        <c:scaling>
          <c:orientation val="minMax"/>
        </c:scaling>
        <c:delete val="1"/>
        <c:axPos val="b"/>
        <c:majorTickMark val="none"/>
        <c:minorTickMark val="none"/>
        <c:tickLblPos val="nextTo"/>
        <c:crossAx val="1798930400"/>
        <c:crosses val="autoZero"/>
        <c:auto val="1"/>
        <c:lblAlgn val="ctr"/>
        <c:lblOffset val="100"/>
        <c:noMultiLvlLbl val="0"/>
      </c:catAx>
      <c:valAx>
        <c:axId val="1798930400"/>
        <c:scaling>
          <c:orientation val="minMax"/>
          <c:max val="110"/>
          <c:min val="0"/>
        </c:scaling>
        <c:delete val="1"/>
        <c:axPos val="l"/>
        <c:numFmt formatCode="_(* #,##0.00_);_(* \(#,##0.00\);_(* &quot;-&quot;??_);_(@_)" sourceLinked="1"/>
        <c:majorTickMark val="none"/>
        <c:minorTickMark val="none"/>
        <c:tickLblPos val="nextTo"/>
        <c:crossAx val="1798937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STRG!$BS$3</c:f>
              <c:strCache>
                <c:ptCount val="1"/>
                <c:pt idx="0">
                  <c:v>GREEN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STRG!$BR$4:$BR$42</c:f>
              <c:strCache>
                <c:ptCount val="39"/>
                <c:pt idx="0">
                  <c:v>Penjualan Tenaga Listrik</c:v>
                </c:pt>
                <c:pt idx="1">
                  <c:v>SAIDI Sesuai Kewenangannya</c:v>
                </c:pt>
                <c:pt idx="2">
                  <c:v>SAIFI Sesuai Kewenangannya</c:v>
                </c:pt>
                <c:pt idx="3">
                  <c:v>ENS</c:v>
                </c:pt>
                <c:pt idx="4">
                  <c:v>Susut Distribusi Tanpa E-min (sesuai kewenangan)</c:v>
                </c:pt>
                <c:pt idx="5">
                  <c:v>Penyelesaian Temuan P2TL</c:v>
                </c:pt>
                <c:pt idx="6">
                  <c:v>Penyelesaian Ganti Meter</c:v>
                </c:pt>
                <c:pt idx="7">
                  <c:v>Gangguan TM &gt; 5 Menit</c:v>
                </c:pt>
                <c:pt idx="8">
                  <c:v>Gangguan TM ≤ 5 Menit</c:v>
                </c:pt>
                <c:pt idx="9">
                  <c:v>Kerusakan Peralatan Distribusi (PHB TM dan Trafo) Sesuai Kewenangan</c:v>
                </c:pt>
                <c:pt idx="10">
                  <c:v>Feedback Rating Negatif pada PLN Mobile - Gangguan</c:v>
                </c:pt>
                <c:pt idx="11">
                  <c:v>Pengaduan Gangguan Berulang pada PLN Mobile</c:v>
                </c:pt>
                <c:pt idx="12">
                  <c:v>Rating PLN Mobile</c:v>
                </c:pt>
                <c:pt idx="13">
                  <c:v>Jumlah Kali Transaksi Keuangan melalui PLN Mobile</c:v>
                </c:pt>
                <c:pt idx="14">
                  <c:v>Response Time atas Gangguan (diluar Clear Tamper)</c:v>
                </c:pt>
                <c:pt idx="15">
                  <c:v>Success Rate Auto Dispatch Gangguan Individual (diluar Clear Tamper)</c:v>
                </c:pt>
                <c:pt idx="16">
                  <c:v>Recovery Time Gangguan Meluas TM</c:v>
                </c:pt>
                <c:pt idx="17">
                  <c:v>Penormalan Siaga 1 Gangguan TM</c:v>
                </c:pt>
                <c:pt idx="18">
                  <c:v>Pengembangan EAM Distribusi</c:v>
                </c:pt>
                <c:pt idx="19">
                  <c:v>Penambahan Daya Tersambung</c:v>
                </c:pt>
                <c:pt idx="20">
                  <c:v>Penambahan Jumlah Pelanggan</c:v>
                </c:pt>
                <c:pt idx="21">
                  <c:v>Jumlah Penambahan Pelanggan Produk Tematik</c:v>
                </c:pt>
                <c:pt idx="22">
                  <c:v>Implementasi Kesesuaian Sektor Bisnis sesuai KBLI 2020</c:v>
                </c:pt>
                <c:pt idx="23">
                  <c:v>Penambahan Jumlah Pelanggan Rumah Tangga Lisdes</c:v>
                </c:pt>
                <c:pt idx="24">
                  <c:v>Peningkatan kWh Penjualan dari Pelanggan Rumah Tangga Lisdes</c:v>
                </c:pt>
                <c:pt idx="25">
                  <c:v>Jumlah Pengguna Swa Cam</c:v>
                </c:pt>
                <c:pt idx="26">
                  <c:v>Tindak Lanjut LBKB (Laporan Bulanan Kelainan Baca Meter)</c:v>
                </c:pt>
                <c:pt idx="27">
                  <c:v>Pencapaian Rata-Rata Saldo Tanggal 20 diluar Konsumen Instansi (Kementerian &amp; Lembaga)</c:v>
                </c:pt>
                <c:pt idx="28">
                  <c:v>Pencapaian Saldo Rata-Rata Akhir Bulan diluar Konsumen Instansi (Kementerian &amp; Lembaga)</c:v>
                </c:pt>
                <c:pt idx="29">
                  <c:v>Pencapaian Pelunasan PRR</c:v>
                </c:pt>
                <c:pt idx="30">
                  <c:v>Pengendalian Penggunaan Anggaran Investasi sesuai RKAP</c:v>
                </c:pt>
                <c:pt idx="31">
                  <c:v>Usulan Penghapusan ATTB</c:v>
                </c:pt>
                <c:pt idx="32">
                  <c:v>Usulan Penghapusan PRR</c:v>
                </c:pt>
                <c:pt idx="33">
                  <c:v>HCR, OCR, dan Produktivitas Pegawai</c:v>
                </c:pt>
                <c:pt idx="34">
                  <c:v>Produktivitas Unit</c:v>
                </c:pt>
                <c:pt idx="35">
                  <c:v>Pengelolaan Komunikasi dan TJSL</c:v>
                </c:pt>
                <c:pt idx="36">
                  <c:v>Peningkatan Layanan dan Budaya K3</c:v>
                </c:pt>
                <c:pt idx="37">
                  <c:v>Implementasi PLN Bisnis Ekselen</c:v>
                </c:pt>
                <c:pt idx="38">
                  <c:v>Maturity Level Gudang</c:v>
                </c:pt>
              </c:strCache>
            </c:strRef>
          </c:cat>
          <c:val>
            <c:numRef>
              <c:f>STRG!$BS$4:$BS$42</c:f>
              <c:numCache>
                <c:formatCode>_(* #,##0_);_(* \(#,##0\);_(* "-"??_);_(@_)</c:formatCode>
                <c:ptCount val="39"/>
                <c:pt idx="0">
                  <c:v>0</c:v>
                </c:pt>
                <c:pt idx="1">
                  <c:v>110</c:v>
                </c:pt>
                <c:pt idx="2">
                  <c:v>110</c:v>
                </c:pt>
                <c:pt idx="3">
                  <c:v>110</c:v>
                </c:pt>
                <c:pt idx="4">
                  <c:v>109.83726787129302</c:v>
                </c:pt>
                <c:pt idx="5">
                  <c:v>110</c:v>
                </c:pt>
                <c:pt idx="6">
                  <c:v>100.16924053310767</c:v>
                </c:pt>
                <c:pt idx="7">
                  <c:v>110</c:v>
                </c:pt>
                <c:pt idx="8">
                  <c:v>110</c:v>
                </c:pt>
                <c:pt idx="9">
                  <c:v>110</c:v>
                </c:pt>
                <c:pt idx="10">
                  <c:v>110</c:v>
                </c:pt>
                <c:pt idx="11">
                  <c:v>110</c:v>
                </c:pt>
                <c:pt idx="12">
                  <c:v>100</c:v>
                </c:pt>
                <c:pt idx="13">
                  <c:v>110</c:v>
                </c:pt>
                <c:pt idx="14">
                  <c:v>110</c:v>
                </c:pt>
                <c:pt idx="15">
                  <c:v>100</c:v>
                </c:pt>
                <c:pt idx="16">
                  <c:v>110.00000000000001</c:v>
                </c:pt>
                <c:pt idx="17">
                  <c:v>110.00000000000001</c:v>
                </c:pt>
                <c:pt idx="18">
                  <c:v>101.95</c:v>
                </c:pt>
                <c:pt idx="19">
                  <c:v>0</c:v>
                </c:pt>
                <c:pt idx="20">
                  <c:v>0</c:v>
                </c:pt>
                <c:pt idx="21">
                  <c:v>108.68055555555556</c:v>
                </c:pt>
                <c:pt idx="22">
                  <c:v>100</c:v>
                </c:pt>
                <c:pt idx="23">
                  <c:v>110</c:v>
                </c:pt>
                <c:pt idx="24">
                  <c:v>110</c:v>
                </c:pt>
                <c:pt idx="25">
                  <c:v>110</c:v>
                </c:pt>
                <c:pt idx="26">
                  <c:v>100</c:v>
                </c:pt>
                <c:pt idx="27">
                  <c:v>110</c:v>
                </c:pt>
                <c:pt idx="28">
                  <c:v>0</c:v>
                </c:pt>
                <c:pt idx="29">
                  <c:v>110</c:v>
                </c:pt>
                <c:pt idx="30">
                  <c:v>0</c:v>
                </c:pt>
                <c:pt idx="31">
                  <c:v>100</c:v>
                </c:pt>
                <c:pt idx="32">
                  <c:v>110</c:v>
                </c:pt>
                <c:pt idx="33">
                  <c:v>100</c:v>
                </c:pt>
                <c:pt idx="34">
                  <c:v>0</c:v>
                </c:pt>
                <c:pt idx="35">
                  <c:v>110.00000000000001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FF-49D2-B30A-6DA960A638B6}"/>
            </c:ext>
          </c:extLst>
        </c:ser>
        <c:ser>
          <c:idx val="1"/>
          <c:order val="1"/>
          <c:tx>
            <c:strRef>
              <c:f>STRG!$BT$3</c:f>
              <c:strCache>
                <c:ptCount val="1"/>
                <c:pt idx="0">
                  <c:v>YELLOW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STRG!$BR$4:$BR$42</c:f>
              <c:strCache>
                <c:ptCount val="39"/>
                <c:pt idx="0">
                  <c:v>Penjualan Tenaga Listrik</c:v>
                </c:pt>
                <c:pt idx="1">
                  <c:v>SAIDI Sesuai Kewenangannya</c:v>
                </c:pt>
                <c:pt idx="2">
                  <c:v>SAIFI Sesuai Kewenangannya</c:v>
                </c:pt>
                <c:pt idx="3">
                  <c:v>ENS</c:v>
                </c:pt>
                <c:pt idx="4">
                  <c:v>Susut Distribusi Tanpa E-min (sesuai kewenangan)</c:v>
                </c:pt>
                <c:pt idx="5">
                  <c:v>Penyelesaian Temuan P2TL</c:v>
                </c:pt>
                <c:pt idx="6">
                  <c:v>Penyelesaian Ganti Meter</c:v>
                </c:pt>
                <c:pt idx="7">
                  <c:v>Gangguan TM &gt; 5 Menit</c:v>
                </c:pt>
                <c:pt idx="8">
                  <c:v>Gangguan TM ≤ 5 Menit</c:v>
                </c:pt>
                <c:pt idx="9">
                  <c:v>Kerusakan Peralatan Distribusi (PHB TM dan Trafo) Sesuai Kewenangan</c:v>
                </c:pt>
                <c:pt idx="10">
                  <c:v>Feedback Rating Negatif pada PLN Mobile - Gangguan</c:v>
                </c:pt>
                <c:pt idx="11">
                  <c:v>Pengaduan Gangguan Berulang pada PLN Mobile</c:v>
                </c:pt>
                <c:pt idx="12">
                  <c:v>Rating PLN Mobile</c:v>
                </c:pt>
                <c:pt idx="13">
                  <c:v>Jumlah Kali Transaksi Keuangan melalui PLN Mobile</c:v>
                </c:pt>
                <c:pt idx="14">
                  <c:v>Response Time atas Gangguan (diluar Clear Tamper)</c:v>
                </c:pt>
                <c:pt idx="15">
                  <c:v>Success Rate Auto Dispatch Gangguan Individual (diluar Clear Tamper)</c:v>
                </c:pt>
                <c:pt idx="16">
                  <c:v>Recovery Time Gangguan Meluas TM</c:v>
                </c:pt>
                <c:pt idx="17">
                  <c:v>Penormalan Siaga 1 Gangguan TM</c:v>
                </c:pt>
                <c:pt idx="18">
                  <c:v>Pengembangan EAM Distribusi</c:v>
                </c:pt>
                <c:pt idx="19">
                  <c:v>Penambahan Daya Tersambung</c:v>
                </c:pt>
                <c:pt idx="20">
                  <c:v>Penambahan Jumlah Pelanggan</c:v>
                </c:pt>
                <c:pt idx="21">
                  <c:v>Jumlah Penambahan Pelanggan Produk Tematik</c:v>
                </c:pt>
                <c:pt idx="22">
                  <c:v>Implementasi Kesesuaian Sektor Bisnis sesuai KBLI 2020</c:v>
                </c:pt>
                <c:pt idx="23">
                  <c:v>Penambahan Jumlah Pelanggan Rumah Tangga Lisdes</c:v>
                </c:pt>
                <c:pt idx="24">
                  <c:v>Peningkatan kWh Penjualan dari Pelanggan Rumah Tangga Lisdes</c:v>
                </c:pt>
                <c:pt idx="25">
                  <c:v>Jumlah Pengguna Swa Cam</c:v>
                </c:pt>
                <c:pt idx="26">
                  <c:v>Tindak Lanjut LBKB (Laporan Bulanan Kelainan Baca Meter)</c:v>
                </c:pt>
                <c:pt idx="27">
                  <c:v>Pencapaian Rata-Rata Saldo Tanggal 20 diluar Konsumen Instansi (Kementerian &amp; Lembaga)</c:v>
                </c:pt>
                <c:pt idx="28">
                  <c:v>Pencapaian Saldo Rata-Rata Akhir Bulan diluar Konsumen Instansi (Kementerian &amp; Lembaga)</c:v>
                </c:pt>
                <c:pt idx="29">
                  <c:v>Pencapaian Pelunasan PRR</c:v>
                </c:pt>
                <c:pt idx="30">
                  <c:v>Pengendalian Penggunaan Anggaran Investasi sesuai RKAP</c:v>
                </c:pt>
                <c:pt idx="31">
                  <c:v>Usulan Penghapusan ATTB</c:v>
                </c:pt>
                <c:pt idx="32">
                  <c:v>Usulan Penghapusan PRR</c:v>
                </c:pt>
                <c:pt idx="33">
                  <c:v>HCR, OCR, dan Produktivitas Pegawai</c:v>
                </c:pt>
                <c:pt idx="34">
                  <c:v>Produktivitas Unit</c:v>
                </c:pt>
                <c:pt idx="35">
                  <c:v>Pengelolaan Komunikasi dan TJSL</c:v>
                </c:pt>
                <c:pt idx="36">
                  <c:v>Peningkatan Layanan dan Budaya K3</c:v>
                </c:pt>
                <c:pt idx="37">
                  <c:v>Implementasi PLN Bisnis Ekselen</c:v>
                </c:pt>
                <c:pt idx="38">
                  <c:v>Maturity Level Gudang</c:v>
                </c:pt>
              </c:strCache>
            </c:strRef>
          </c:cat>
          <c:val>
            <c:numRef>
              <c:f>STRG!$BT$4:$BT$42</c:f>
              <c:numCache>
                <c:formatCode>_(* #,##0_);_(* \(#,##0\);_(* "-"??_);_(@_)</c:formatCode>
                <c:ptCount val="39"/>
                <c:pt idx="0">
                  <c:v>96.926600284191835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98.641414189401601</c:v>
                </c:pt>
                <c:pt idx="29">
                  <c:v>0</c:v>
                </c:pt>
                <c:pt idx="30">
                  <c:v>95.05263157894737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FF-49D2-B30A-6DA960A638B6}"/>
            </c:ext>
          </c:extLst>
        </c:ser>
        <c:ser>
          <c:idx val="2"/>
          <c:order val="2"/>
          <c:tx>
            <c:strRef>
              <c:f>STRG!$BU$3</c:f>
              <c:strCache>
                <c:ptCount val="1"/>
                <c:pt idx="0">
                  <c:v>RED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STRG!$BR$4:$BR$42</c:f>
              <c:strCache>
                <c:ptCount val="39"/>
                <c:pt idx="0">
                  <c:v>Penjualan Tenaga Listrik</c:v>
                </c:pt>
                <c:pt idx="1">
                  <c:v>SAIDI Sesuai Kewenangannya</c:v>
                </c:pt>
                <c:pt idx="2">
                  <c:v>SAIFI Sesuai Kewenangannya</c:v>
                </c:pt>
                <c:pt idx="3">
                  <c:v>ENS</c:v>
                </c:pt>
                <c:pt idx="4">
                  <c:v>Susut Distribusi Tanpa E-min (sesuai kewenangan)</c:v>
                </c:pt>
                <c:pt idx="5">
                  <c:v>Penyelesaian Temuan P2TL</c:v>
                </c:pt>
                <c:pt idx="6">
                  <c:v>Penyelesaian Ganti Meter</c:v>
                </c:pt>
                <c:pt idx="7">
                  <c:v>Gangguan TM &gt; 5 Menit</c:v>
                </c:pt>
                <c:pt idx="8">
                  <c:v>Gangguan TM ≤ 5 Menit</c:v>
                </c:pt>
                <c:pt idx="9">
                  <c:v>Kerusakan Peralatan Distribusi (PHB TM dan Trafo) Sesuai Kewenangan</c:v>
                </c:pt>
                <c:pt idx="10">
                  <c:v>Feedback Rating Negatif pada PLN Mobile - Gangguan</c:v>
                </c:pt>
                <c:pt idx="11">
                  <c:v>Pengaduan Gangguan Berulang pada PLN Mobile</c:v>
                </c:pt>
                <c:pt idx="12">
                  <c:v>Rating PLN Mobile</c:v>
                </c:pt>
                <c:pt idx="13">
                  <c:v>Jumlah Kali Transaksi Keuangan melalui PLN Mobile</c:v>
                </c:pt>
                <c:pt idx="14">
                  <c:v>Response Time atas Gangguan (diluar Clear Tamper)</c:v>
                </c:pt>
                <c:pt idx="15">
                  <c:v>Success Rate Auto Dispatch Gangguan Individual (diluar Clear Tamper)</c:v>
                </c:pt>
                <c:pt idx="16">
                  <c:v>Recovery Time Gangguan Meluas TM</c:v>
                </c:pt>
                <c:pt idx="17">
                  <c:v>Penormalan Siaga 1 Gangguan TM</c:v>
                </c:pt>
                <c:pt idx="18">
                  <c:v>Pengembangan EAM Distribusi</c:v>
                </c:pt>
                <c:pt idx="19">
                  <c:v>Penambahan Daya Tersambung</c:v>
                </c:pt>
                <c:pt idx="20">
                  <c:v>Penambahan Jumlah Pelanggan</c:v>
                </c:pt>
                <c:pt idx="21">
                  <c:v>Jumlah Penambahan Pelanggan Produk Tematik</c:v>
                </c:pt>
                <c:pt idx="22">
                  <c:v>Implementasi Kesesuaian Sektor Bisnis sesuai KBLI 2020</c:v>
                </c:pt>
                <c:pt idx="23">
                  <c:v>Penambahan Jumlah Pelanggan Rumah Tangga Lisdes</c:v>
                </c:pt>
                <c:pt idx="24">
                  <c:v>Peningkatan kWh Penjualan dari Pelanggan Rumah Tangga Lisdes</c:v>
                </c:pt>
                <c:pt idx="25">
                  <c:v>Jumlah Pengguna Swa Cam</c:v>
                </c:pt>
                <c:pt idx="26">
                  <c:v>Tindak Lanjut LBKB (Laporan Bulanan Kelainan Baca Meter)</c:v>
                </c:pt>
                <c:pt idx="27">
                  <c:v>Pencapaian Rata-Rata Saldo Tanggal 20 diluar Konsumen Instansi (Kementerian &amp; Lembaga)</c:v>
                </c:pt>
                <c:pt idx="28">
                  <c:v>Pencapaian Saldo Rata-Rata Akhir Bulan diluar Konsumen Instansi (Kementerian &amp; Lembaga)</c:v>
                </c:pt>
                <c:pt idx="29">
                  <c:v>Pencapaian Pelunasan PRR</c:v>
                </c:pt>
                <c:pt idx="30">
                  <c:v>Pengendalian Penggunaan Anggaran Investasi sesuai RKAP</c:v>
                </c:pt>
                <c:pt idx="31">
                  <c:v>Usulan Penghapusan ATTB</c:v>
                </c:pt>
                <c:pt idx="32">
                  <c:v>Usulan Penghapusan PRR</c:v>
                </c:pt>
                <c:pt idx="33">
                  <c:v>HCR, OCR, dan Produktivitas Pegawai</c:v>
                </c:pt>
                <c:pt idx="34">
                  <c:v>Produktivitas Unit</c:v>
                </c:pt>
                <c:pt idx="35">
                  <c:v>Pengelolaan Komunikasi dan TJSL</c:v>
                </c:pt>
                <c:pt idx="36">
                  <c:v>Peningkatan Layanan dan Budaya K3</c:v>
                </c:pt>
                <c:pt idx="37">
                  <c:v>Implementasi PLN Bisnis Ekselen</c:v>
                </c:pt>
                <c:pt idx="38">
                  <c:v>Maturity Level Gudang</c:v>
                </c:pt>
              </c:strCache>
            </c:strRef>
          </c:cat>
          <c:val>
            <c:numRef>
              <c:f>STRG!$BU$4:$BU$42</c:f>
              <c:numCache>
                <c:formatCode>_(* #,##0_);_(* \(#,##0\);_(* "-"??_);_(@_)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68.3459468550286</c:v>
                </c:pt>
                <c:pt idx="20">
                  <c:v>50.787219263718455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90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FF-49D2-B30A-6DA960A638B6}"/>
            </c:ext>
          </c:extLst>
        </c:ser>
        <c:ser>
          <c:idx val="3"/>
          <c:order val="3"/>
          <c:tx>
            <c:strRef>
              <c:f>STRG!$BV$3</c:f>
              <c:strCache>
                <c:ptCount val="1"/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E8476514-A387-429F-BC03-8622BCFCC3F7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49FF-49D2-B30A-6DA960A638B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20885A4-BCB9-48AC-96AF-0882228C909F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49FF-49D2-B30A-6DA960A638B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544AA28-F4FD-48A2-B03E-F695190AAAFB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49FF-49D2-B30A-6DA960A638B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204C1BB-525C-4E0B-8061-99F2D52CC1E5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49FF-49D2-B30A-6DA960A638B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66100E5-CED0-42C2-8DA5-AA9E1355C234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49FF-49D2-B30A-6DA960A638B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F82320C-1AAE-4F0A-B2D4-A958CEC72503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49FF-49D2-B30A-6DA960A638B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61A83C01-BA86-430D-A052-58E6655AB6E5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49FF-49D2-B30A-6DA960A638B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9E98AC12-5D53-4187-AD52-3B38943ECB62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49FF-49D2-B30A-6DA960A638B6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20708B45-0D60-4984-9DEA-3FDAF03FFC2A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49FF-49D2-B30A-6DA960A638B6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2FA0FBE8-F3AB-41DD-8A6B-84B79D9E1781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49FF-49D2-B30A-6DA960A638B6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596CC503-7439-4E53-8730-377FB3C52879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49FF-49D2-B30A-6DA960A638B6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38E955E7-ED42-4FB2-9E4B-4A840E9BD940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49FF-49D2-B30A-6DA960A638B6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3FE495A3-44D1-414F-AC89-D75C4E06322D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49FF-49D2-B30A-6DA960A638B6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4BCFCDCE-B6EF-4566-A5D1-DD84CCB5D207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49FF-49D2-B30A-6DA960A638B6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2CAD8B08-0B0F-4525-99B4-FA232CB95E5F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49FF-49D2-B30A-6DA960A638B6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832B7538-7DE9-491E-861D-00A92167A743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49FF-49D2-B30A-6DA960A638B6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34707E3F-ADE4-4C5F-95BC-9C424679168D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49FF-49D2-B30A-6DA960A638B6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943BE516-3C2C-4667-B8B6-7521803D8586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49FF-49D2-B30A-6DA960A638B6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D3DDFBAC-6EF2-4A59-B081-00C67AB5716D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49FF-49D2-B30A-6DA960A638B6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EFF7661C-1262-4A9C-AE14-98B0086B7A31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49FF-49D2-B30A-6DA960A638B6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ABA5BCCB-3CE9-4AA7-8AF8-8283BF67B16F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49FF-49D2-B30A-6DA960A638B6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00049201-82D9-4546-842F-01B52949F0D2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49FF-49D2-B30A-6DA960A638B6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CF74522A-CD1A-4451-873C-764164AAB465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49FF-49D2-B30A-6DA960A638B6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75FD816C-09BF-4987-8A8D-48FC06F79431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49FF-49D2-B30A-6DA960A638B6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75D2BBB9-EC4D-4900-BA00-D14FC1D0883A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49FF-49D2-B30A-6DA960A638B6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4EF4BCAD-530F-4F2E-BAC8-78051EE59267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49FF-49D2-B30A-6DA960A638B6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3D4E566E-E244-4B1E-801A-0F54A611D509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49FF-49D2-B30A-6DA960A638B6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195AB712-593A-4616-BE4B-349A91437FD5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49FF-49D2-B30A-6DA960A638B6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D2105766-EDA3-40FD-B78C-A34BC8ED7915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49FF-49D2-B30A-6DA960A638B6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478BE013-3976-474E-80E9-22C457F2E703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49FF-49D2-B30A-6DA960A638B6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38FE8E87-9893-464E-8C9F-C5A992AF9836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49FF-49D2-B30A-6DA960A638B6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CE752671-930B-4F05-A9FA-55904238805F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49FF-49D2-B30A-6DA960A638B6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5C3B000D-1997-4FD3-8B33-1AC0F3D8FCF3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49FF-49D2-B30A-6DA960A638B6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4446214F-7C61-49F7-87BA-ED44A2BC80C5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49FF-49D2-B30A-6DA960A638B6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F1A50BFA-A100-4F6D-9E33-27ED222DFE58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49FF-49D2-B30A-6DA960A638B6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B8498EC7-51D7-4A89-8177-A3740E536528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49FF-49D2-B30A-6DA960A638B6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ABF5BFBB-0C06-4F43-8846-2C6A37EF0754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49FF-49D2-B30A-6DA960A638B6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9780B491-F231-41AD-9A02-34BAA19EF580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49FF-49D2-B30A-6DA960A638B6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B5F3E130-DFF3-458D-8B4D-83B8B330D43A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49FF-49D2-B30A-6DA960A638B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STRG!$BR$4:$BR$42</c:f>
              <c:strCache>
                <c:ptCount val="39"/>
                <c:pt idx="0">
                  <c:v>Penjualan Tenaga Listrik</c:v>
                </c:pt>
                <c:pt idx="1">
                  <c:v>SAIDI Sesuai Kewenangannya</c:v>
                </c:pt>
                <c:pt idx="2">
                  <c:v>SAIFI Sesuai Kewenangannya</c:v>
                </c:pt>
                <c:pt idx="3">
                  <c:v>ENS</c:v>
                </c:pt>
                <c:pt idx="4">
                  <c:v>Susut Distribusi Tanpa E-min (sesuai kewenangan)</c:v>
                </c:pt>
                <c:pt idx="5">
                  <c:v>Penyelesaian Temuan P2TL</c:v>
                </c:pt>
                <c:pt idx="6">
                  <c:v>Penyelesaian Ganti Meter</c:v>
                </c:pt>
                <c:pt idx="7">
                  <c:v>Gangguan TM &gt; 5 Menit</c:v>
                </c:pt>
                <c:pt idx="8">
                  <c:v>Gangguan TM ≤ 5 Menit</c:v>
                </c:pt>
                <c:pt idx="9">
                  <c:v>Kerusakan Peralatan Distribusi (PHB TM dan Trafo) Sesuai Kewenangan</c:v>
                </c:pt>
                <c:pt idx="10">
                  <c:v>Feedback Rating Negatif pada PLN Mobile - Gangguan</c:v>
                </c:pt>
                <c:pt idx="11">
                  <c:v>Pengaduan Gangguan Berulang pada PLN Mobile</c:v>
                </c:pt>
                <c:pt idx="12">
                  <c:v>Rating PLN Mobile</c:v>
                </c:pt>
                <c:pt idx="13">
                  <c:v>Jumlah Kali Transaksi Keuangan melalui PLN Mobile</c:v>
                </c:pt>
                <c:pt idx="14">
                  <c:v>Response Time atas Gangguan (diluar Clear Tamper)</c:v>
                </c:pt>
                <c:pt idx="15">
                  <c:v>Success Rate Auto Dispatch Gangguan Individual (diluar Clear Tamper)</c:v>
                </c:pt>
                <c:pt idx="16">
                  <c:v>Recovery Time Gangguan Meluas TM</c:v>
                </c:pt>
                <c:pt idx="17">
                  <c:v>Penormalan Siaga 1 Gangguan TM</c:v>
                </c:pt>
                <c:pt idx="18">
                  <c:v>Pengembangan EAM Distribusi</c:v>
                </c:pt>
                <c:pt idx="19">
                  <c:v>Penambahan Daya Tersambung</c:v>
                </c:pt>
                <c:pt idx="20">
                  <c:v>Penambahan Jumlah Pelanggan</c:v>
                </c:pt>
                <c:pt idx="21">
                  <c:v>Jumlah Penambahan Pelanggan Produk Tematik</c:v>
                </c:pt>
                <c:pt idx="22">
                  <c:v>Implementasi Kesesuaian Sektor Bisnis sesuai KBLI 2020</c:v>
                </c:pt>
                <c:pt idx="23">
                  <c:v>Penambahan Jumlah Pelanggan Rumah Tangga Lisdes</c:v>
                </c:pt>
                <c:pt idx="24">
                  <c:v>Peningkatan kWh Penjualan dari Pelanggan Rumah Tangga Lisdes</c:v>
                </c:pt>
                <c:pt idx="25">
                  <c:v>Jumlah Pengguna Swa Cam</c:v>
                </c:pt>
                <c:pt idx="26">
                  <c:v>Tindak Lanjut LBKB (Laporan Bulanan Kelainan Baca Meter)</c:v>
                </c:pt>
                <c:pt idx="27">
                  <c:v>Pencapaian Rata-Rata Saldo Tanggal 20 diluar Konsumen Instansi (Kementerian &amp; Lembaga)</c:v>
                </c:pt>
                <c:pt idx="28">
                  <c:v>Pencapaian Saldo Rata-Rata Akhir Bulan diluar Konsumen Instansi (Kementerian &amp; Lembaga)</c:v>
                </c:pt>
                <c:pt idx="29">
                  <c:v>Pencapaian Pelunasan PRR</c:v>
                </c:pt>
                <c:pt idx="30">
                  <c:v>Pengendalian Penggunaan Anggaran Investasi sesuai RKAP</c:v>
                </c:pt>
                <c:pt idx="31">
                  <c:v>Usulan Penghapusan ATTB</c:v>
                </c:pt>
                <c:pt idx="32">
                  <c:v>Usulan Penghapusan PRR</c:v>
                </c:pt>
                <c:pt idx="33">
                  <c:v>HCR, OCR, dan Produktivitas Pegawai</c:v>
                </c:pt>
                <c:pt idx="34">
                  <c:v>Produktivitas Unit</c:v>
                </c:pt>
                <c:pt idx="35">
                  <c:v>Pengelolaan Komunikasi dan TJSL</c:v>
                </c:pt>
                <c:pt idx="36">
                  <c:v>Peningkatan Layanan dan Budaya K3</c:v>
                </c:pt>
                <c:pt idx="37">
                  <c:v>Implementasi PLN Bisnis Ekselen</c:v>
                </c:pt>
                <c:pt idx="38">
                  <c:v>Maturity Level Gudang</c:v>
                </c:pt>
              </c:strCache>
            </c:strRef>
          </c:cat>
          <c:val>
            <c:numRef>
              <c:f>STRG!$BV$4:$BV$42</c:f>
              <c:numCache>
                <c:formatCode>_(* #,##0.00_);_(* \(#,##0.00\);_(* "-"??_);_(@_)</c:formatCode>
                <c:ptCount val="39"/>
                <c:pt idx="0">
                  <c:v>0.96926600284191833</c:v>
                </c:pt>
                <c:pt idx="1">
                  <c:v>1.1000000000000001</c:v>
                </c:pt>
                <c:pt idx="2">
                  <c:v>1.1000000000000001</c:v>
                </c:pt>
                <c:pt idx="3">
                  <c:v>1.1000000000000001</c:v>
                </c:pt>
                <c:pt idx="4">
                  <c:v>1.0983726787129302</c:v>
                </c:pt>
                <c:pt idx="5">
                  <c:v>1.1000000000000001</c:v>
                </c:pt>
                <c:pt idx="6">
                  <c:v>1.0016924053310767</c:v>
                </c:pt>
                <c:pt idx="7">
                  <c:v>1.1000000000000001</c:v>
                </c:pt>
                <c:pt idx="8">
                  <c:v>1.1000000000000001</c:v>
                </c:pt>
                <c:pt idx="9">
                  <c:v>1.1000000000000001</c:v>
                </c:pt>
                <c:pt idx="10">
                  <c:v>1.1000000000000001</c:v>
                </c:pt>
                <c:pt idx="11">
                  <c:v>1.1000000000000001</c:v>
                </c:pt>
                <c:pt idx="12">
                  <c:v>1</c:v>
                </c:pt>
                <c:pt idx="13">
                  <c:v>1.1000000000000001</c:v>
                </c:pt>
                <c:pt idx="14">
                  <c:v>1.1000000000000001</c:v>
                </c:pt>
                <c:pt idx="15">
                  <c:v>1</c:v>
                </c:pt>
                <c:pt idx="16">
                  <c:v>1.1000000000000001</c:v>
                </c:pt>
                <c:pt idx="17">
                  <c:v>1.1000000000000001</c:v>
                </c:pt>
                <c:pt idx="18">
                  <c:v>1.0195000000000001</c:v>
                </c:pt>
                <c:pt idx="19">
                  <c:v>0.68345946855028605</c:v>
                </c:pt>
                <c:pt idx="20">
                  <c:v>0.50787219263718453</c:v>
                </c:pt>
                <c:pt idx="21">
                  <c:v>1.0868055555555556</c:v>
                </c:pt>
                <c:pt idx="22">
                  <c:v>1</c:v>
                </c:pt>
                <c:pt idx="23">
                  <c:v>1.1000000000000001</c:v>
                </c:pt>
                <c:pt idx="24">
                  <c:v>1.1000000000000001</c:v>
                </c:pt>
                <c:pt idx="25">
                  <c:v>1.1000000000000001</c:v>
                </c:pt>
                <c:pt idx="26">
                  <c:v>1</c:v>
                </c:pt>
                <c:pt idx="27">
                  <c:v>1.1000000000000001</c:v>
                </c:pt>
                <c:pt idx="28">
                  <c:v>0.98641414189401599</c:v>
                </c:pt>
                <c:pt idx="29">
                  <c:v>1.1000000000000001</c:v>
                </c:pt>
                <c:pt idx="30">
                  <c:v>0.95052631578947366</c:v>
                </c:pt>
                <c:pt idx="31">
                  <c:v>1</c:v>
                </c:pt>
                <c:pt idx="32">
                  <c:v>1.1000000000000001</c:v>
                </c:pt>
                <c:pt idx="33">
                  <c:v>1</c:v>
                </c:pt>
                <c:pt idx="34">
                  <c:v>0.9</c:v>
                </c:pt>
                <c:pt idx="35">
                  <c:v>1.1000000000000001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STRG!$BQ$4:$BQ$44</c15:f>
                <c15:dlblRangeCache>
                  <c:ptCount val="41"/>
                  <c:pt idx="0">
                    <c:v> 97 </c:v>
                  </c:pt>
                  <c:pt idx="1">
                    <c:v> 110 </c:v>
                  </c:pt>
                  <c:pt idx="2">
                    <c:v> 110 </c:v>
                  </c:pt>
                  <c:pt idx="3">
                    <c:v> 110 </c:v>
                  </c:pt>
                  <c:pt idx="4">
                    <c:v> 110 </c:v>
                  </c:pt>
                  <c:pt idx="5">
                    <c:v> 110 </c:v>
                  </c:pt>
                  <c:pt idx="6">
                    <c:v> 100 </c:v>
                  </c:pt>
                  <c:pt idx="7">
                    <c:v> 110 </c:v>
                  </c:pt>
                  <c:pt idx="8">
                    <c:v> 110 </c:v>
                  </c:pt>
                  <c:pt idx="9">
                    <c:v> 110 </c:v>
                  </c:pt>
                  <c:pt idx="10">
                    <c:v> 110 </c:v>
                  </c:pt>
                  <c:pt idx="11">
                    <c:v> 110 </c:v>
                  </c:pt>
                  <c:pt idx="12">
                    <c:v> 100 </c:v>
                  </c:pt>
                  <c:pt idx="13">
                    <c:v> 110 </c:v>
                  </c:pt>
                  <c:pt idx="14">
                    <c:v> 110 </c:v>
                  </c:pt>
                  <c:pt idx="15">
                    <c:v> 100 </c:v>
                  </c:pt>
                  <c:pt idx="16">
                    <c:v> 110 </c:v>
                  </c:pt>
                  <c:pt idx="17">
                    <c:v> 110 </c:v>
                  </c:pt>
                  <c:pt idx="18">
                    <c:v> 102 </c:v>
                  </c:pt>
                  <c:pt idx="19">
                    <c:v> 68 </c:v>
                  </c:pt>
                  <c:pt idx="20">
                    <c:v> 51 </c:v>
                  </c:pt>
                  <c:pt idx="21">
                    <c:v> 109 </c:v>
                  </c:pt>
                  <c:pt idx="22">
                    <c:v> 100 </c:v>
                  </c:pt>
                  <c:pt idx="23">
                    <c:v> 110 </c:v>
                  </c:pt>
                  <c:pt idx="24">
                    <c:v> 110 </c:v>
                  </c:pt>
                  <c:pt idx="25">
                    <c:v> 110 </c:v>
                  </c:pt>
                  <c:pt idx="26">
                    <c:v> 100 </c:v>
                  </c:pt>
                  <c:pt idx="27">
                    <c:v> 110 </c:v>
                  </c:pt>
                  <c:pt idx="28">
                    <c:v> 99 </c:v>
                  </c:pt>
                  <c:pt idx="29">
                    <c:v> 110 </c:v>
                  </c:pt>
                  <c:pt idx="30">
                    <c:v> 95 </c:v>
                  </c:pt>
                  <c:pt idx="31">
                    <c:v> 100 </c:v>
                  </c:pt>
                  <c:pt idx="32">
                    <c:v> 110 </c:v>
                  </c:pt>
                  <c:pt idx="33">
                    <c:v> 100 </c:v>
                  </c:pt>
                  <c:pt idx="34">
                    <c:v> 90 </c:v>
                  </c:pt>
                  <c:pt idx="35">
                    <c:v> 110 </c:v>
                  </c:pt>
                  <c:pt idx="36">
                    <c:v> 100 </c:v>
                  </c:pt>
                  <c:pt idx="37">
                    <c:v> 100 </c:v>
                  </c:pt>
                  <c:pt idx="38">
                    <c:v> 100 </c:v>
                  </c:pt>
                  <c:pt idx="39">
                    <c:v> 110 </c:v>
                  </c:pt>
                  <c:pt idx="40">
                    <c:v> 100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A-49FF-49D2-B30A-6DA960A638B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974400335"/>
        <c:axId val="1974399375"/>
      </c:barChart>
      <c:catAx>
        <c:axId val="197440033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399375"/>
        <c:crosses val="autoZero"/>
        <c:auto val="1"/>
        <c:lblAlgn val="ctr"/>
        <c:lblOffset val="100"/>
        <c:noMultiLvlLbl val="0"/>
      </c:catAx>
      <c:valAx>
        <c:axId val="1974399375"/>
        <c:scaling>
          <c:orientation val="minMax"/>
        </c:scaling>
        <c:delete val="1"/>
        <c:axPos val="t"/>
        <c:numFmt formatCode="_(* #,##0_);_(* \(#,##0\);_(* &quot;-&quot;??_);_(@_)" sourceLinked="1"/>
        <c:majorTickMark val="none"/>
        <c:minorTickMark val="none"/>
        <c:tickLblPos val="nextTo"/>
        <c:crossAx val="197440033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STRG!$CG$6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alpha val="77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STRG!$CH$5:$CS$5</c:f>
              <c:numCache>
                <c:formatCode>mmm</c:formatCode>
                <c:ptCount val="12"/>
                <c:pt idx="0">
                  <c:v>45688</c:v>
                </c:pt>
                <c:pt idx="1">
                  <c:v>45716</c:v>
                </c:pt>
                <c:pt idx="2">
                  <c:v>45747</c:v>
                </c:pt>
                <c:pt idx="3">
                  <c:v>45777</c:v>
                </c:pt>
                <c:pt idx="4">
                  <c:v>45808</c:v>
                </c:pt>
                <c:pt idx="5">
                  <c:v>45838</c:v>
                </c:pt>
                <c:pt idx="6">
                  <c:v>45869</c:v>
                </c:pt>
                <c:pt idx="7">
                  <c:v>45900</c:v>
                </c:pt>
                <c:pt idx="8">
                  <c:v>45930</c:v>
                </c:pt>
                <c:pt idx="9">
                  <c:v>45961</c:v>
                </c:pt>
                <c:pt idx="10">
                  <c:v>45991</c:v>
                </c:pt>
                <c:pt idx="11">
                  <c:v>46022</c:v>
                </c:pt>
              </c:numCache>
            </c:numRef>
          </c:cat>
          <c:val>
            <c:numRef>
              <c:f>STRG!$CH$6:$CS$6</c:f>
              <c:numCache>
                <c:formatCode>_(* #,##0_);_(* \(#,##0\);_(* "-"??_);_(@_)</c:formatCode>
                <c:ptCount val="12"/>
                <c:pt idx="0">
                  <c:v>1175</c:v>
                </c:pt>
                <c:pt idx="1">
                  <c:v>1175</c:v>
                </c:pt>
                <c:pt idx="2">
                  <c:v>1175</c:v>
                </c:pt>
                <c:pt idx="3">
                  <c:v>1175</c:v>
                </c:pt>
                <c:pt idx="4">
                  <c:v>1175</c:v>
                </c:pt>
                <c:pt idx="5">
                  <c:v>1175</c:v>
                </c:pt>
                <c:pt idx="6">
                  <c:v>1175</c:v>
                </c:pt>
                <c:pt idx="7">
                  <c:v>1175</c:v>
                </c:pt>
                <c:pt idx="8">
                  <c:v>1175</c:v>
                </c:pt>
                <c:pt idx="9">
                  <c:v>1175</c:v>
                </c:pt>
                <c:pt idx="10">
                  <c:v>1175</c:v>
                </c:pt>
                <c:pt idx="11">
                  <c:v>1175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9-4843-9B76-FB9FAC7BCBA4}"/>
            </c:ext>
          </c:extLst>
        </c:ser>
        <c:ser>
          <c:idx val="1"/>
          <c:order val="1"/>
          <c:tx>
            <c:strRef>
              <c:f>STRG!$CG$7</c:f>
              <c:strCache>
                <c:ptCount val="1"/>
                <c:pt idx="0">
                  <c:v>REALISASI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alpha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STRG!$CH$5:$CS$5</c:f>
              <c:numCache>
                <c:formatCode>mmm</c:formatCode>
                <c:ptCount val="12"/>
                <c:pt idx="0">
                  <c:v>45688</c:v>
                </c:pt>
                <c:pt idx="1">
                  <c:v>45716</c:v>
                </c:pt>
                <c:pt idx="2">
                  <c:v>45747</c:v>
                </c:pt>
                <c:pt idx="3">
                  <c:v>45777</c:v>
                </c:pt>
                <c:pt idx="4">
                  <c:v>45808</c:v>
                </c:pt>
                <c:pt idx="5">
                  <c:v>45838</c:v>
                </c:pt>
                <c:pt idx="6">
                  <c:v>45869</c:v>
                </c:pt>
                <c:pt idx="7">
                  <c:v>45900</c:v>
                </c:pt>
                <c:pt idx="8">
                  <c:v>45930</c:v>
                </c:pt>
                <c:pt idx="9">
                  <c:v>45961</c:v>
                </c:pt>
                <c:pt idx="10">
                  <c:v>45991</c:v>
                </c:pt>
                <c:pt idx="11">
                  <c:v>46022</c:v>
                </c:pt>
              </c:numCache>
            </c:numRef>
          </c:cat>
          <c:val>
            <c:numRef>
              <c:f>STRG!$CH$7:$CS$7</c:f>
              <c:numCache>
                <c:formatCode>_(* #,##0_);_(* \(#,##0\);_(* "-"??_);_(@_)</c:formatCode>
                <c:ptCount val="12"/>
                <c:pt idx="0">
                  <c:v>1281.87806</c:v>
                </c:pt>
                <c:pt idx="1">
                  <c:v>1083.2909414999999</c:v>
                </c:pt>
                <c:pt idx="2">
                  <c:v>1022.1397566666666</c:v>
                </c:pt>
                <c:pt idx="3">
                  <c:v>1028.3136465</c:v>
                </c:pt>
                <c:pt idx="4">
                  <c:v>1095.9366248000001</c:v>
                </c:pt>
                <c:pt idx="5">
                  <c:v>1111.3078128333334</c:v>
                </c:pt>
                <c:pt idx="6">
                  <c:v>1088.9630380000001</c:v>
                </c:pt>
                <c:pt idx="7">
                  <c:v>1029.1045273750001</c:v>
                </c:pt>
                <c:pt idx="8">
                  <c:v>1001.4119882222224</c:v>
                </c:pt>
                <c:pt idx="9">
                  <c:v>1001.4119882222224</c:v>
                </c:pt>
                <c:pt idx="10">
                  <c:v>1001.4119882222224</c:v>
                </c:pt>
                <c:pt idx="11">
                  <c:v>1001.4119882222224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9-4843-9B76-FB9FAC7BC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1183088"/>
        <c:axId val="101188368"/>
      </c:barChart>
      <c:dateAx>
        <c:axId val="101183088"/>
        <c:scaling>
          <c:orientation val="minMax"/>
        </c:scaling>
        <c:delete val="0"/>
        <c:axPos val="b"/>
        <c:numFmt formatCode="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88368"/>
        <c:crosses val="autoZero"/>
        <c:auto val="1"/>
        <c:lblOffset val="100"/>
        <c:baseTimeUnit val="months"/>
      </c:dateAx>
      <c:valAx>
        <c:axId val="101188368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83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STRG!$CT$8:$CT$13</c:f>
              <c:strCache>
                <c:ptCount val="6"/>
                <c:pt idx="0">
                  <c:v> UP3 TOLITOLI </c:v>
                </c:pt>
                <c:pt idx="1">
                  <c:v> KC TOLIS </c:v>
                </c:pt>
                <c:pt idx="2">
                  <c:v> ULP BANGKIR </c:v>
                </c:pt>
                <c:pt idx="3">
                  <c:v> ULP KOTARAYA </c:v>
                </c:pt>
                <c:pt idx="4">
                  <c:v> ULP LEOK </c:v>
                </c:pt>
                <c:pt idx="5">
                  <c:v> ULP MOUTONG </c:v>
                </c:pt>
              </c:strCache>
            </c:strRef>
          </c:cat>
          <c:val>
            <c:numRef>
              <c:f>STRG!$CV$8:$CV$13</c:f>
              <c:numCache>
                <c:formatCode>_(* #,##0_);_(* \(#,##0\);_(* "-"??_);_(@_)</c:formatCode>
                <c:ptCount val="6"/>
                <c:pt idx="0">
                  <c:v>105.42061167375887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AF-4ADA-9281-5D270B24C5E0}"/>
            </c:ext>
          </c:extLst>
        </c:ser>
        <c:ser>
          <c:idx val="1"/>
          <c:order val="1"/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STRG!$CT$8:$CT$13</c:f>
              <c:strCache>
                <c:ptCount val="6"/>
                <c:pt idx="0">
                  <c:v> UP3 TOLITOLI </c:v>
                </c:pt>
                <c:pt idx="1">
                  <c:v> KC TOLIS </c:v>
                </c:pt>
                <c:pt idx="2">
                  <c:v> ULP BANGKIR </c:v>
                </c:pt>
                <c:pt idx="3">
                  <c:v> ULP KOTARAYA </c:v>
                </c:pt>
                <c:pt idx="4">
                  <c:v> ULP LEOK </c:v>
                </c:pt>
                <c:pt idx="5">
                  <c:v> ULP MOUTONG </c:v>
                </c:pt>
              </c:strCache>
            </c:strRef>
          </c:cat>
          <c:val>
            <c:numRef>
              <c:f>STRG!$CW$8:$CW$13</c:f>
              <c:numCache>
                <c:formatCode>_(* #,##0.00_);_(* \(#,##0.00\);_(* "-"??_);_(@_)</c:formatCode>
                <c:ptCount val="6"/>
                <c:pt idx="0">
                  <c:v>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AF-4ADA-9281-5D270B24C5E0}"/>
            </c:ext>
          </c:extLst>
        </c:ser>
        <c:ser>
          <c:idx val="2"/>
          <c:order val="2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STRG!$CT$8:$CT$13</c:f>
              <c:strCache>
                <c:ptCount val="6"/>
                <c:pt idx="0">
                  <c:v> UP3 TOLITOLI </c:v>
                </c:pt>
                <c:pt idx="1">
                  <c:v> KC TOLIS </c:v>
                </c:pt>
                <c:pt idx="2">
                  <c:v> ULP BANGKIR </c:v>
                </c:pt>
                <c:pt idx="3">
                  <c:v> ULP KOTARAYA </c:v>
                </c:pt>
                <c:pt idx="4">
                  <c:v> ULP LEOK </c:v>
                </c:pt>
                <c:pt idx="5">
                  <c:v> ULP MOUTONG </c:v>
                </c:pt>
              </c:strCache>
            </c:strRef>
          </c:cat>
          <c:val>
            <c:numRef>
              <c:f>STRG!$CX$8:$CX$13</c:f>
              <c:numCache>
                <c:formatCode>_(* #,##0_);_(* \(#,##0\);_(* "-"??_);_(@_)</c:formatCode>
                <c:ptCount val="6"/>
                <c:pt idx="0">
                  <c:v>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AF-4ADA-9281-5D270B24C5E0}"/>
            </c:ext>
          </c:extLst>
        </c:ser>
        <c:ser>
          <c:idx val="3"/>
          <c:order val="3"/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47C4F4A9-EA6F-4392-854F-E91685C46FB3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55AF-4ADA-9281-5D270B24C5E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ID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5-55AF-4ADA-9281-5D270B24C5E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ID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55AF-4ADA-9281-5D270B24C5E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ID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55AF-4ADA-9281-5D270B24C5E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ID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55AF-4ADA-9281-5D270B24C5E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ID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55AF-4ADA-9281-5D270B24C5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STRG!$CT$8:$CT$13</c:f>
              <c:strCache>
                <c:ptCount val="6"/>
                <c:pt idx="0">
                  <c:v> UP3 TOLITOLI </c:v>
                </c:pt>
                <c:pt idx="1">
                  <c:v> KC TOLIS </c:v>
                </c:pt>
                <c:pt idx="2">
                  <c:v> ULP BANGKIR </c:v>
                </c:pt>
                <c:pt idx="3">
                  <c:v> ULP KOTARAYA </c:v>
                </c:pt>
                <c:pt idx="4">
                  <c:v> ULP LEOK </c:v>
                </c:pt>
                <c:pt idx="5">
                  <c:v> ULP MOUTONG </c:v>
                </c:pt>
              </c:strCache>
            </c:strRef>
          </c:cat>
          <c:val>
            <c:numRef>
              <c:f>STRG!$CY$8:$CY$13</c:f>
              <c:numCache>
                <c:formatCode>_(* #,##0_);_(* \(#,##0\);_(* "-"??_);_(@_)</c:formatCode>
                <c:ptCount val="6"/>
                <c:pt idx="0">
                  <c:v>4.5793883262411299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STRG!$CU$8:$CU$13</c15:f>
                <c15:dlblRangeCache>
                  <c:ptCount val="6"/>
                  <c:pt idx="0">
                    <c:v> 105 </c:v>
                  </c:pt>
                  <c:pt idx="1">
                    <c:v> #N/A </c:v>
                  </c:pt>
                  <c:pt idx="2">
                    <c:v> #N/A </c:v>
                  </c:pt>
                  <c:pt idx="3">
                    <c:v> #N/A </c:v>
                  </c:pt>
                  <c:pt idx="4">
                    <c:v> #N/A </c:v>
                  </c:pt>
                  <c:pt idx="5">
                    <c:v> #N/A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55AF-4ADA-9281-5D270B24C5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515440"/>
        <c:axId val="44530800"/>
      </c:barChart>
      <c:catAx>
        <c:axId val="4451544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30800"/>
        <c:crosses val="autoZero"/>
        <c:auto val="1"/>
        <c:lblAlgn val="ctr"/>
        <c:lblOffset val="100"/>
        <c:noMultiLvlLbl val="0"/>
      </c:catAx>
      <c:valAx>
        <c:axId val="44530800"/>
        <c:scaling>
          <c:orientation val="minMax"/>
          <c:max val="1.1000000000000001"/>
          <c:min val="0"/>
        </c:scaling>
        <c:delete val="1"/>
        <c:axPos val="t"/>
        <c:numFmt formatCode="0%" sourceLinked="1"/>
        <c:majorTickMark val="none"/>
        <c:minorTickMark val="none"/>
        <c:tickLblPos val="nextTo"/>
        <c:crossAx val="44515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F72-49D6-B41F-13980635C42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F72-49D6-B41F-13980635C42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F72-49D6-B41F-13980635C42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F72-49D6-B41F-13980635C42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F72-49D6-B41F-13980635C428}"/>
              </c:ext>
            </c:extLst>
          </c:dPt>
          <c:dLbls>
            <c:spPr>
              <a:solidFill>
                <a:schemeClr val="bg1"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 algn="l"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STRG!$CT$14:$CT$18</c:f>
              <c:strCache>
                <c:ptCount val="5"/>
                <c:pt idx="0">
                  <c:v> KC TOLIS </c:v>
                </c:pt>
                <c:pt idx="1">
                  <c:v> ULP BANGKIR </c:v>
                </c:pt>
                <c:pt idx="2">
                  <c:v> ULP KOTARAYA </c:v>
                </c:pt>
                <c:pt idx="3">
                  <c:v> ULP LEOK </c:v>
                </c:pt>
                <c:pt idx="4">
                  <c:v> ULP MOUTONG </c:v>
                </c:pt>
              </c:strCache>
            </c:strRef>
          </c:cat>
          <c:val>
            <c:numRef>
              <c:f>STRG!$CU$14:$CU$18</c:f>
              <c:numCache>
                <c:formatCode>_(* #,##0.00_);_(* \(#,##0.00\);_(* "-"??_);_(@_)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F72-49D6-B41F-13980635C42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DBRD!$BM$119</c:f>
              <c:strCache>
                <c:ptCount val="1"/>
                <c:pt idx="0">
                  <c:v>GREEN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DBRD!$BL$120:$BL$149</c:f>
              <c:strCache>
                <c:ptCount val="30"/>
                <c:pt idx="0">
                  <c:v> Penjualan Tenaga Listrik </c:v>
                </c:pt>
                <c:pt idx="1">
                  <c:v> SAIDI (sesuai kewenangan) </c:v>
                </c:pt>
                <c:pt idx="2">
                  <c:v> SAIFI (sesuai kewenangan) </c:v>
                </c:pt>
                <c:pt idx="3">
                  <c:v> ENS (sesuai kewenangan) </c:v>
                </c:pt>
                <c:pt idx="4">
                  <c:v> Susut Distribusi Tanpa E-min (sesuai kewenangan) </c:v>
                </c:pt>
                <c:pt idx="5">
                  <c:v> Penyelesaian Temuan P2TL </c:v>
                </c:pt>
                <c:pt idx="6">
                  <c:v> Penyelesaian Ganti Meter </c:v>
                </c:pt>
                <c:pt idx="7">
                  <c:v> Gangguan TM &gt; 5 Menit </c:v>
                </c:pt>
                <c:pt idx="8">
                  <c:v> Gangguan TM ≤ 5 Menit </c:v>
                </c:pt>
                <c:pt idx="9">
                  <c:v> Kerusakan Peralatan Distribusi (PHB TM dan Trafo) Sesuai Kewenangan </c:v>
                </c:pt>
                <c:pt idx="10">
                  <c:v> Feedback Rating Negatif pada PLN Mobile - Gangguan </c:v>
                </c:pt>
                <c:pt idx="11">
                  <c:v> Pengaduan Gangguan Berulang pada PLN Mobile </c:v>
                </c:pt>
                <c:pt idx="12">
                  <c:v> Rating PLN Mobile </c:v>
                </c:pt>
                <c:pt idx="13">
                  <c:v> Jumlah Kali Transaksi Keuangan melalui PLN Mobile </c:v>
                </c:pt>
                <c:pt idx="14">
                  <c:v> Response Time atas Gangguan (diluar Clear Tamper) </c:v>
                </c:pt>
                <c:pt idx="15">
                  <c:v> Success Rate Auto Dispatch Gangguan Individual (diluar Clear Tamper) </c:v>
                </c:pt>
                <c:pt idx="16">
                  <c:v> Recovery Time Gangguan Meluas TM </c:v>
                </c:pt>
                <c:pt idx="17">
                  <c:v> Penormalan Siaga 1 Gangguan TM </c:v>
                </c:pt>
                <c:pt idx="18">
                  <c:v> Penambahan Daya Tersambung </c:v>
                </c:pt>
                <c:pt idx="19">
                  <c:v> Penambahan Jumlah Pelanggan </c:v>
                </c:pt>
                <c:pt idx="20">
                  <c:v> Jumlah Penambahan Pelanggan Produk Tematik </c:v>
                </c:pt>
                <c:pt idx="21">
                  <c:v> Implementasi Kesesuaian Sektor Bisnis sesuai KBLI 2020 </c:v>
                </c:pt>
                <c:pt idx="22">
                  <c:v> Penambahan Jumlah Pelanggan Rumah Tangga Lisdes </c:v>
                </c:pt>
                <c:pt idx="23">
                  <c:v> Peningkatan kWh Penjualan dari Pelanggan Rumah Tangga Lisdes </c:v>
                </c:pt>
                <c:pt idx="24">
                  <c:v> Jumlah Pengguna Swa Cam </c:v>
                </c:pt>
                <c:pt idx="25">
                  <c:v> Tindak Lanjut LBKB (Laporan Bulanan Kelainan Baca Meter) </c:v>
                </c:pt>
                <c:pt idx="26">
                  <c:v> Sisa Stand Bongkar Migrasi </c:v>
                </c:pt>
                <c:pt idx="27">
                  <c:v> Persentase Rata-Rata Saldo Tanggal 20 Non Kogol 1 dan Non Kogol 2 </c:v>
                </c:pt>
                <c:pt idx="28">
                  <c:v> Pencapaian Saldo Rata-Rata Akhir Bulan Non Kogol 1 dan Non Kogol 2 </c:v>
                </c:pt>
                <c:pt idx="29">
                  <c:v> Pencapaian Pelunasan PRR </c:v>
                </c:pt>
              </c:strCache>
            </c:strRef>
          </c:cat>
          <c:val>
            <c:numRef>
              <c:f>DBRD!$BM$120:$BM$149</c:f>
              <c:numCache>
                <c:formatCode>_(* #,##0.0_);_(* \(#,##0.0\);_(* "-"??_);_(@_)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110</c:v>
                </c:pt>
                <c:pt idx="4">
                  <c:v>110</c:v>
                </c:pt>
                <c:pt idx="5">
                  <c:v>110</c:v>
                </c:pt>
                <c:pt idx="6">
                  <c:v>100.06863417982154</c:v>
                </c:pt>
                <c:pt idx="7">
                  <c:v>101.81818181818181</c:v>
                </c:pt>
                <c:pt idx="8">
                  <c:v>109.72222222222223</c:v>
                </c:pt>
                <c:pt idx="9">
                  <c:v>0</c:v>
                </c:pt>
                <c:pt idx="10">
                  <c:v>110</c:v>
                </c:pt>
                <c:pt idx="11">
                  <c:v>110</c:v>
                </c:pt>
                <c:pt idx="12">
                  <c:v>100</c:v>
                </c:pt>
                <c:pt idx="13">
                  <c:v>110</c:v>
                </c:pt>
                <c:pt idx="14">
                  <c:v>110</c:v>
                </c:pt>
                <c:pt idx="15">
                  <c:v>100</c:v>
                </c:pt>
                <c:pt idx="16">
                  <c:v>110.00000000000001</c:v>
                </c:pt>
                <c:pt idx="17">
                  <c:v>110.00000000000001</c:v>
                </c:pt>
                <c:pt idx="18">
                  <c:v>0</c:v>
                </c:pt>
                <c:pt idx="19">
                  <c:v>0</c:v>
                </c:pt>
                <c:pt idx="20">
                  <c:v>110</c:v>
                </c:pt>
                <c:pt idx="21">
                  <c:v>110</c:v>
                </c:pt>
                <c:pt idx="22">
                  <c:v>0</c:v>
                </c:pt>
                <c:pt idx="23">
                  <c:v>0</c:v>
                </c:pt>
                <c:pt idx="24">
                  <c:v>110</c:v>
                </c:pt>
                <c:pt idx="25">
                  <c:v>100</c:v>
                </c:pt>
                <c:pt idx="26">
                  <c:v>100</c:v>
                </c:pt>
                <c:pt idx="27">
                  <c:v>110</c:v>
                </c:pt>
                <c:pt idx="28">
                  <c:v>0</c:v>
                </c:pt>
                <c:pt idx="29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18-4741-B1F8-198C81D3CA65}"/>
            </c:ext>
          </c:extLst>
        </c:ser>
        <c:ser>
          <c:idx val="1"/>
          <c:order val="1"/>
          <c:tx>
            <c:strRef>
              <c:f>DBRD!$BN$119</c:f>
              <c:strCache>
                <c:ptCount val="1"/>
                <c:pt idx="0">
                  <c:v>YELLOW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DBRD!$BL$120:$BL$149</c:f>
              <c:strCache>
                <c:ptCount val="30"/>
                <c:pt idx="0">
                  <c:v> Penjualan Tenaga Listrik </c:v>
                </c:pt>
                <c:pt idx="1">
                  <c:v> SAIDI (sesuai kewenangan) </c:v>
                </c:pt>
                <c:pt idx="2">
                  <c:v> SAIFI (sesuai kewenangan) </c:v>
                </c:pt>
                <c:pt idx="3">
                  <c:v> ENS (sesuai kewenangan) </c:v>
                </c:pt>
                <c:pt idx="4">
                  <c:v> Susut Distribusi Tanpa E-min (sesuai kewenangan) </c:v>
                </c:pt>
                <c:pt idx="5">
                  <c:v> Penyelesaian Temuan P2TL </c:v>
                </c:pt>
                <c:pt idx="6">
                  <c:v> Penyelesaian Ganti Meter </c:v>
                </c:pt>
                <c:pt idx="7">
                  <c:v> Gangguan TM &gt; 5 Menit </c:v>
                </c:pt>
                <c:pt idx="8">
                  <c:v> Gangguan TM ≤ 5 Menit </c:v>
                </c:pt>
                <c:pt idx="9">
                  <c:v> Kerusakan Peralatan Distribusi (PHB TM dan Trafo) Sesuai Kewenangan </c:v>
                </c:pt>
                <c:pt idx="10">
                  <c:v> Feedback Rating Negatif pada PLN Mobile - Gangguan </c:v>
                </c:pt>
                <c:pt idx="11">
                  <c:v> Pengaduan Gangguan Berulang pada PLN Mobile </c:v>
                </c:pt>
                <c:pt idx="12">
                  <c:v> Rating PLN Mobile </c:v>
                </c:pt>
                <c:pt idx="13">
                  <c:v> Jumlah Kali Transaksi Keuangan melalui PLN Mobile </c:v>
                </c:pt>
                <c:pt idx="14">
                  <c:v> Response Time atas Gangguan (diluar Clear Tamper) </c:v>
                </c:pt>
                <c:pt idx="15">
                  <c:v> Success Rate Auto Dispatch Gangguan Individual (diluar Clear Tamper) </c:v>
                </c:pt>
                <c:pt idx="16">
                  <c:v> Recovery Time Gangguan Meluas TM </c:v>
                </c:pt>
                <c:pt idx="17">
                  <c:v> Penormalan Siaga 1 Gangguan TM </c:v>
                </c:pt>
                <c:pt idx="18">
                  <c:v> Penambahan Daya Tersambung </c:v>
                </c:pt>
                <c:pt idx="19">
                  <c:v> Penambahan Jumlah Pelanggan </c:v>
                </c:pt>
                <c:pt idx="20">
                  <c:v> Jumlah Penambahan Pelanggan Produk Tematik </c:v>
                </c:pt>
                <c:pt idx="21">
                  <c:v> Implementasi Kesesuaian Sektor Bisnis sesuai KBLI 2020 </c:v>
                </c:pt>
                <c:pt idx="22">
                  <c:v> Penambahan Jumlah Pelanggan Rumah Tangga Lisdes </c:v>
                </c:pt>
                <c:pt idx="23">
                  <c:v> Peningkatan kWh Penjualan dari Pelanggan Rumah Tangga Lisdes </c:v>
                </c:pt>
                <c:pt idx="24">
                  <c:v> Jumlah Pengguna Swa Cam </c:v>
                </c:pt>
                <c:pt idx="25">
                  <c:v> Tindak Lanjut LBKB (Laporan Bulanan Kelainan Baca Meter) </c:v>
                </c:pt>
                <c:pt idx="26">
                  <c:v> Sisa Stand Bongkar Migrasi </c:v>
                </c:pt>
                <c:pt idx="27">
                  <c:v> Persentase Rata-Rata Saldo Tanggal 20 Non Kogol 1 dan Non Kogol 2 </c:v>
                </c:pt>
                <c:pt idx="28">
                  <c:v> Pencapaian Saldo Rata-Rata Akhir Bulan Non Kogol 1 dan Non Kogol 2 </c:v>
                </c:pt>
                <c:pt idx="29">
                  <c:v> Pencapaian Pelunasan PRR </c:v>
                </c:pt>
              </c:strCache>
            </c:strRef>
          </c:cat>
          <c:val>
            <c:numRef>
              <c:f>DBRD!$BN$120:$BN$149</c:f>
              <c:numCache>
                <c:formatCode>_(* #,##0.00_);_(* \(#,##0.00\);_(* "-"??_);_(@_)</c:formatCode>
                <c:ptCount val="30"/>
                <c:pt idx="0">
                  <c:v>0</c:v>
                </c:pt>
                <c:pt idx="1">
                  <c:v>98.249283474035138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98.470302220208424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18-4741-B1F8-198C81D3CA65}"/>
            </c:ext>
          </c:extLst>
        </c:ser>
        <c:ser>
          <c:idx val="2"/>
          <c:order val="2"/>
          <c:tx>
            <c:strRef>
              <c:f>DBRD!$BO$119</c:f>
              <c:strCache>
                <c:ptCount val="1"/>
                <c:pt idx="0">
                  <c:v>RED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DBRD!$BL$120:$BL$149</c:f>
              <c:strCache>
                <c:ptCount val="30"/>
                <c:pt idx="0">
                  <c:v> Penjualan Tenaga Listrik </c:v>
                </c:pt>
                <c:pt idx="1">
                  <c:v> SAIDI (sesuai kewenangan) </c:v>
                </c:pt>
                <c:pt idx="2">
                  <c:v> SAIFI (sesuai kewenangan) </c:v>
                </c:pt>
                <c:pt idx="3">
                  <c:v> ENS (sesuai kewenangan) </c:v>
                </c:pt>
                <c:pt idx="4">
                  <c:v> Susut Distribusi Tanpa E-min (sesuai kewenangan) </c:v>
                </c:pt>
                <c:pt idx="5">
                  <c:v> Penyelesaian Temuan P2TL </c:v>
                </c:pt>
                <c:pt idx="6">
                  <c:v> Penyelesaian Ganti Meter </c:v>
                </c:pt>
                <c:pt idx="7">
                  <c:v> Gangguan TM &gt; 5 Menit </c:v>
                </c:pt>
                <c:pt idx="8">
                  <c:v> Gangguan TM ≤ 5 Menit </c:v>
                </c:pt>
                <c:pt idx="9">
                  <c:v> Kerusakan Peralatan Distribusi (PHB TM dan Trafo) Sesuai Kewenangan </c:v>
                </c:pt>
                <c:pt idx="10">
                  <c:v> Feedback Rating Negatif pada PLN Mobile - Gangguan </c:v>
                </c:pt>
                <c:pt idx="11">
                  <c:v> Pengaduan Gangguan Berulang pada PLN Mobile </c:v>
                </c:pt>
                <c:pt idx="12">
                  <c:v> Rating PLN Mobile </c:v>
                </c:pt>
                <c:pt idx="13">
                  <c:v> Jumlah Kali Transaksi Keuangan melalui PLN Mobile </c:v>
                </c:pt>
                <c:pt idx="14">
                  <c:v> Response Time atas Gangguan (diluar Clear Tamper) </c:v>
                </c:pt>
                <c:pt idx="15">
                  <c:v> Success Rate Auto Dispatch Gangguan Individual (diluar Clear Tamper) </c:v>
                </c:pt>
                <c:pt idx="16">
                  <c:v> Recovery Time Gangguan Meluas TM </c:v>
                </c:pt>
                <c:pt idx="17">
                  <c:v> Penormalan Siaga 1 Gangguan TM </c:v>
                </c:pt>
                <c:pt idx="18">
                  <c:v> Penambahan Daya Tersambung </c:v>
                </c:pt>
                <c:pt idx="19">
                  <c:v> Penambahan Jumlah Pelanggan </c:v>
                </c:pt>
                <c:pt idx="20">
                  <c:v> Jumlah Penambahan Pelanggan Produk Tematik </c:v>
                </c:pt>
                <c:pt idx="21">
                  <c:v> Implementasi Kesesuaian Sektor Bisnis sesuai KBLI 2020 </c:v>
                </c:pt>
                <c:pt idx="22">
                  <c:v> Penambahan Jumlah Pelanggan Rumah Tangga Lisdes </c:v>
                </c:pt>
                <c:pt idx="23">
                  <c:v> Peningkatan kWh Penjualan dari Pelanggan Rumah Tangga Lisdes </c:v>
                </c:pt>
                <c:pt idx="24">
                  <c:v> Jumlah Pengguna Swa Cam </c:v>
                </c:pt>
                <c:pt idx="25">
                  <c:v> Tindak Lanjut LBKB (Laporan Bulanan Kelainan Baca Meter) </c:v>
                </c:pt>
                <c:pt idx="26">
                  <c:v> Sisa Stand Bongkar Migrasi </c:v>
                </c:pt>
                <c:pt idx="27">
                  <c:v> Persentase Rata-Rata Saldo Tanggal 20 Non Kogol 1 dan Non Kogol 2 </c:v>
                </c:pt>
                <c:pt idx="28">
                  <c:v> Pencapaian Saldo Rata-Rata Akhir Bulan Non Kogol 1 dan Non Kogol 2 </c:v>
                </c:pt>
                <c:pt idx="29">
                  <c:v> Pencapaian Pelunasan PRR </c:v>
                </c:pt>
              </c:strCache>
            </c:strRef>
          </c:cat>
          <c:val>
            <c:numRef>
              <c:f>DBRD!$BO$120:$BO$149</c:f>
              <c:numCache>
                <c:formatCode>_(* #,##0.00_);_(* \(#,##0.00\);_(* "-"??_);_(@_)</c:formatCode>
                <c:ptCount val="30"/>
                <c:pt idx="0">
                  <c:v>93.339852880874005</c:v>
                </c:pt>
                <c:pt idx="1">
                  <c:v>0</c:v>
                </c:pt>
                <c:pt idx="2">
                  <c:v>94.920498062169671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59.007352941176471</c:v>
                </c:pt>
                <c:pt idx="19">
                  <c:v>51.318359375</c:v>
                </c:pt>
                <c:pt idx="20">
                  <c:v>0</c:v>
                </c:pt>
                <c:pt idx="21">
                  <c:v>0</c:v>
                </c:pt>
                <c:pt idx="22">
                  <c:v>21.052631578947366</c:v>
                </c:pt>
                <c:pt idx="23">
                  <c:v>59.695392725732191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18-4741-B1F8-198C81D3CA65}"/>
            </c:ext>
          </c:extLst>
        </c:ser>
        <c:ser>
          <c:idx val="3"/>
          <c:order val="3"/>
          <c:tx>
            <c:strRef>
              <c:f>DBRD!$BP$119</c:f>
              <c:strCache>
                <c:ptCount val="1"/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E152A24B-A37E-4326-A77A-D96AF1006CD0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9118-4741-B1F8-198C81D3CA6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301B58D-B6B4-41B8-B006-F61BB51FE967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9118-4741-B1F8-198C81D3CA6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D474DC9-A7CC-4558-9545-6F17B75990CE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9118-4741-B1F8-198C81D3CA6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D25A047-5DF9-4205-AE17-D491D50A2A69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9118-4741-B1F8-198C81D3CA65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D26F7D0-CC3E-4CAC-A972-C0E3C57E2D8C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9118-4741-B1F8-198C81D3CA65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85272E6-5C8D-41BA-AD14-9B3B09048229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9118-4741-B1F8-198C81D3CA65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D01703CA-CAF6-4680-B8F9-DB3221DD3B43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9118-4741-B1F8-198C81D3CA65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10603264-3385-4C6B-928C-7CE20B256657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9118-4741-B1F8-198C81D3CA65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085F2F0A-BFF4-4ED4-BA90-42D161F224FD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9118-4741-B1F8-198C81D3CA65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B8CCD1B3-7FEE-49B5-AE49-DFCAFC04CADA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9118-4741-B1F8-198C81D3CA65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A6B50553-426C-4118-A050-44CE4D519C25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9118-4741-B1F8-198C81D3CA65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68EBDA81-14D9-4231-9150-8DA7AB0046B4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9118-4741-B1F8-198C81D3CA65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16114DC7-2926-47BB-9237-B0C84A121F9D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9118-4741-B1F8-198C81D3CA65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E34DAAE5-51D9-417B-BF91-D869796D8575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9118-4741-B1F8-198C81D3CA65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692EFD62-3349-4018-9B0E-A577CDC3B6FC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9118-4741-B1F8-198C81D3CA65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7A90ACED-0925-441B-AFFB-D4AB366221A2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9118-4741-B1F8-198C81D3CA65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E17A1417-FD14-4259-ADCE-2718F256315C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9118-4741-B1F8-198C81D3CA65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35D31833-672F-4707-86BE-EE4AE6E5C4AC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9118-4741-B1F8-198C81D3CA65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8F0912E4-E6BE-487D-AF81-BC94FB53F001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9118-4741-B1F8-198C81D3CA65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C8B8D38C-9A80-4097-9412-7867C8F3A1B5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9118-4741-B1F8-198C81D3CA65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68E86150-BD0C-4F4F-B013-595FBAE3A1A4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8-9118-4741-B1F8-198C81D3CA65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87F05C80-E27A-4C04-AF55-4192AEA4DF61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9118-4741-B1F8-198C81D3CA65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87E21618-2CAA-4CF9-BB64-28A12862C3C2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A-9118-4741-B1F8-198C81D3CA65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947D461F-2447-4BAD-8FE8-A044DDB2DB46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B-9118-4741-B1F8-198C81D3CA65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FC3DC330-9398-4228-A5BD-ED24DC304BB2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C-9118-4741-B1F8-198C81D3CA65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8717BD34-443D-496A-B858-51C58CFD10D1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D-9118-4741-B1F8-198C81D3CA65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AB27C586-AFBC-4F86-A113-C87ABC02A555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E-9118-4741-B1F8-198C81D3CA65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5CB3455D-96CC-4CEA-BD33-12486E66E22C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F-9118-4741-B1F8-198C81D3CA65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42EB6066-6C28-4B55-B0CE-951325CC4A1E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0-9118-4741-B1F8-198C81D3CA65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7E5DB65F-9394-4583-8887-FFA2EE406D37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1-9118-4741-B1F8-198C81D3CA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DBRD!$BL$120:$BL$149</c:f>
              <c:strCache>
                <c:ptCount val="30"/>
                <c:pt idx="0">
                  <c:v> Penjualan Tenaga Listrik </c:v>
                </c:pt>
                <c:pt idx="1">
                  <c:v> SAIDI (sesuai kewenangan) </c:v>
                </c:pt>
                <c:pt idx="2">
                  <c:v> SAIFI (sesuai kewenangan) </c:v>
                </c:pt>
                <c:pt idx="3">
                  <c:v> ENS (sesuai kewenangan) </c:v>
                </c:pt>
                <c:pt idx="4">
                  <c:v> Susut Distribusi Tanpa E-min (sesuai kewenangan) </c:v>
                </c:pt>
                <c:pt idx="5">
                  <c:v> Penyelesaian Temuan P2TL </c:v>
                </c:pt>
                <c:pt idx="6">
                  <c:v> Penyelesaian Ganti Meter </c:v>
                </c:pt>
                <c:pt idx="7">
                  <c:v> Gangguan TM &gt; 5 Menit </c:v>
                </c:pt>
                <c:pt idx="8">
                  <c:v> Gangguan TM ≤ 5 Menit </c:v>
                </c:pt>
                <c:pt idx="9">
                  <c:v> Kerusakan Peralatan Distribusi (PHB TM dan Trafo) Sesuai Kewenangan </c:v>
                </c:pt>
                <c:pt idx="10">
                  <c:v> Feedback Rating Negatif pada PLN Mobile - Gangguan </c:v>
                </c:pt>
                <c:pt idx="11">
                  <c:v> Pengaduan Gangguan Berulang pada PLN Mobile </c:v>
                </c:pt>
                <c:pt idx="12">
                  <c:v> Rating PLN Mobile </c:v>
                </c:pt>
                <c:pt idx="13">
                  <c:v> Jumlah Kali Transaksi Keuangan melalui PLN Mobile </c:v>
                </c:pt>
                <c:pt idx="14">
                  <c:v> Response Time atas Gangguan (diluar Clear Tamper) </c:v>
                </c:pt>
                <c:pt idx="15">
                  <c:v> Success Rate Auto Dispatch Gangguan Individual (diluar Clear Tamper) </c:v>
                </c:pt>
                <c:pt idx="16">
                  <c:v> Recovery Time Gangguan Meluas TM </c:v>
                </c:pt>
                <c:pt idx="17">
                  <c:v> Penormalan Siaga 1 Gangguan TM </c:v>
                </c:pt>
                <c:pt idx="18">
                  <c:v> Penambahan Daya Tersambung </c:v>
                </c:pt>
                <c:pt idx="19">
                  <c:v> Penambahan Jumlah Pelanggan </c:v>
                </c:pt>
                <c:pt idx="20">
                  <c:v> Jumlah Penambahan Pelanggan Produk Tematik </c:v>
                </c:pt>
                <c:pt idx="21">
                  <c:v> Implementasi Kesesuaian Sektor Bisnis sesuai KBLI 2020 </c:v>
                </c:pt>
                <c:pt idx="22">
                  <c:v> Penambahan Jumlah Pelanggan Rumah Tangga Lisdes </c:v>
                </c:pt>
                <c:pt idx="23">
                  <c:v> Peningkatan kWh Penjualan dari Pelanggan Rumah Tangga Lisdes </c:v>
                </c:pt>
                <c:pt idx="24">
                  <c:v> Jumlah Pengguna Swa Cam </c:v>
                </c:pt>
                <c:pt idx="25">
                  <c:v> Tindak Lanjut LBKB (Laporan Bulanan Kelainan Baca Meter) </c:v>
                </c:pt>
                <c:pt idx="26">
                  <c:v> Sisa Stand Bongkar Migrasi </c:v>
                </c:pt>
                <c:pt idx="27">
                  <c:v> Persentase Rata-Rata Saldo Tanggal 20 Non Kogol 1 dan Non Kogol 2 </c:v>
                </c:pt>
                <c:pt idx="28">
                  <c:v> Pencapaian Saldo Rata-Rata Akhir Bulan Non Kogol 1 dan Non Kogol 2 </c:v>
                </c:pt>
                <c:pt idx="29">
                  <c:v> Pencapaian Pelunasan PRR </c:v>
                </c:pt>
              </c:strCache>
            </c:strRef>
          </c:cat>
          <c:val>
            <c:numRef>
              <c:f>DBRD!$BP$120:$BP$149</c:f>
              <c:numCache>
                <c:formatCode>_-* #,##0.0_-;\-* #,##0.0_-;_-* "-"?_-;_-@_-</c:formatCode>
                <c:ptCount val="30"/>
                <c:pt idx="0">
                  <c:v>6.6601471191259947</c:v>
                </c:pt>
                <c:pt idx="1">
                  <c:v>1.7507165259648616</c:v>
                </c:pt>
                <c:pt idx="2">
                  <c:v>5.0795019378303294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40.992647058823529</c:v>
                </c:pt>
                <c:pt idx="19">
                  <c:v>48.681640625</c:v>
                </c:pt>
                <c:pt idx="20">
                  <c:v>0</c:v>
                </c:pt>
                <c:pt idx="21">
                  <c:v>0</c:v>
                </c:pt>
                <c:pt idx="22">
                  <c:v>78.94736842105263</c:v>
                </c:pt>
                <c:pt idx="23">
                  <c:v>40.304607274267809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1.5296977797915758</c:v>
                </c:pt>
                <c:pt idx="29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DBRD!$BK$120:$BK$149</c15:f>
                <c15:dlblRangeCache>
                  <c:ptCount val="30"/>
                  <c:pt idx="0">
                    <c:v> 93,3 </c:v>
                  </c:pt>
                  <c:pt idx="1">
                    <c:v> 98,2 </c:v>
                  </c:pt>
                  <c:pt idx="2">
                    <c:v> 94,9 </c:v>
                  </c:pt>
                  <c:pt idx="3">
                    <c:v> 110,0 </c:v>
                  </c:pt>
                  <c:pt idx="4">
                    <c:v> 110,0 </c:v>
                  </c:pt>
                  <c:pt idx="5">
                    <c:v> 110,0 </c:v>
                  </c:pt>
                  <c:pt idx="6">
                    <c:v> 100,1 </c:v>
                  </c:pt>
                  <c:pt idx="7">
                    <c:v> 101,8 </c:v>
                  </c:pt>
                  <c:pt idx="8">
                    <c:v> 109,7 </c:v>
                  </c:pt>
                  <c:pt idx="9">
                    <c:v> 50,0 </c:v>
                  </c:pt>
                  <c:pt idx="10">
                    <c:v> 110,0 </c:v>
                  </c:pt>
                  <c:pt idx="11">
                    <c:v> 110,0 </c:v>
                  </c:pt>
                  <c:pt idx="12">
                    <c:v> 100,0 </c:v>
                  </c:pt>
                  <c:pt idx="13">
                    <c:v> 110,0 </c:v>
                  </c:pt>
                  <c:pt idx="14">
                    <c:v> 110,0 </c:v>
                  </c:pt>
                  <c:pt idx="15">
                    <c:v> 100,0 </c:v>
                  </c:pt>
                  <c:pt idx="16">
                    <c:v> 110,0 </c:v>
                  </c:pt>
                  <c:pt idx="17">
                    <c:v> 110,0 </c:v>
                  </c:pt>
                  <c:pt idx="18">
                    <c:v> 59,0 </c:v>
                  </c:pt>
                  <c:pt idx="19">
                    <c:v> 51,3 </c:v>
                  </c:pt>
                  <c:pt idx="20">
                    <c:v> 110,0 </c:v>
                  </c:pt>
                  <c:pt idx="21">
                    <c:v> 110,0 </c:v>
                  </c:pt>
                  <c:pt idx="22">
                    <c:v> 21,1 </c:v>
                  </c:pt>
                  <c:pt idx="23">
                    <c:v> 59,7 </c:v>
                  </c:pt>
                  <c:pt idx="24">
                    <c:v> 110,0 </c:v>
                  </c:pt>
                  <c:pt idx="25">
                    <c:v> 100,0 </c:v>
                  </c:pt>
                  <c:pt idx="26">
                    <c:v> 100,0 </c:v>
                  </c:pt>
                  <c:pt idx="27">
                    <c:v> 110,0 </c:v>
                  </c:pt>
                  <c:pt idx="28">
                    <c:v> 98,5 </c:v>
                  </c:pt>
                  <c:pt idx="29">
                    <c:v> 110,0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9118-4741-B1F8-198C81D3C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81607728"/>
        <c:axId val="1481601968"/>
      </c:barChart>
      <c:catAx>
        <c:axId val="148160772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601968"/>
        <c:crosses val="autoZero"/>
        <c:auto val="1"/>
        <c:lblAlgn val="ctr"/>
        <c:lblOffset val="100"/>
        <c:noMultiLvlLbl val="0"/>
      </c:catAx>
      <c:valAx>
        <c:axId val="1481601968"/>
        <c:scaling>
          <c:orientation val="minMax"/>
          <c:max val="1.1000000000000001"/>
          <c:min val="0"/>
        </c:scaling>
        <c:delete val="1"/>
        <c:axPos val="t"/>
        <c:numFmt formatCode="0%" sourceLinked="1"/>
        <c:majorTickMark val="none"/>
        <c:minorTickMark val="none"/>
        <c:tickLblPos val="nextTo"/>
        <c:crossAx val="1481607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F23-470D-9D1A-67B562304859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F23-470D-9D1A-67B562304859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F23-470D-9D1A-67B562304859}"/>
              </c:ext>
            </c:extLst>
          </c:dPt>
          <c:cat>
            <c:strRef>
              <c:f>DBRD!$BU$119:$BU$121</c:f>
              <c:strCache>
                <c:ptCount val="3"/>
                <c:pt idx="0">
                  <c:v>GREEN</c:v>
                </c:pt>
                <c:pt idx="1">
                  <c:v>YELLOW</c:v>
                </c:pt>
                <c:pt idx="2">
                  <c:v>RED</c:v>
                </c:pt>
              </c:strCache>
            </c:strRef>
          </c:cat>
          <c:val>
            <c:numRef>
              <c:f>DBRD!$BV$119:$BV$121</c:f>
              <c:numCache>
                <c:formatCode>General</c:formatCode>
                <c:ptCount val="3"/>
                <c:pt idx="0">
                  <c:v>21</c:v>
                </c:pt>
                <c:pt idx="1">
                  <c:v>2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F23-470D-9D1A-67B562304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DBRD!$BY$119</c:f>
              <c:strCache>
                <c:ptCount val="1"/>
                <c:pt idx="0">
                  <c:v>YELLOW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DBRD!$BX$120:$BX$137</c:f>
              <c:strCache>
                <c:ptCount val="9"/>
                <c:pt idx="0">
                  <c:v>Penjualan Tenaga Listrik</c:v>
                </c:pt>
                <c:pt idx="1">
                  <c:v>SAIDI (sesuai kewenangan)</c:v>
                </c:pt>
                <c:pt idx="2">
                  <c:v>SAIFI (sesuai kewenangan)</c:v>
                </c:pt>
                <c:pt idx="3">
                  <c:v>Kerusakan Peralatan Distribusi (PHB TM dan Trafo) Sesuai Kewenangan</c:v>
                </c:pt>
                <c:pt idx="4">
                  <c:v>Penambahan Daya Tersambung</c:v>
                </c:pt>
                <c:pt idx="5">
                  <c:v>Penambahan Jumlah Pelanggan</c:v>
                </c:pt>
                <c:pt idx="6">
                  <c:v>Penambahan Jumlah Pelanggan Rumah Tangga Lisdes</c:v>
                </c:pt>
                <c:pt idx="7">
                  <c:v>Peningkatan kWh Penjualan dari Pelanggan Rumah Tangga Lisdes</c:v>
                </c:pt>
                <c:pt idx="8">
                  <c:v>Pencapaian Saldo Rata-Rata Akhir Bulan Non Kogol 1 dan Non Kogol 2</c:v>
                </c:pt>
              </c:strCache>
            </c:strRef>
          </c:cat>
          <c:val>
            <c:numRef>
              <c:f>DBRD!$BY$120:$BY$137</c:f>
              <c:numCache>
                <c:formatCode>_(* #,##0.00_);_(* \(#,##0.00\);_(* "-"??_);_(@_)</c:formatCode>
                <c:ptCount val="18"/>
                <c:pt idx="0">
                  <c:v>0</c:v>
                </c:pt>
                <c:pt idx="1">
                  <c:v>98.249283474035138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98.470302220208424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9E-4A52-B1BC-BE6DBE9C0E25}"/>
            </c:ext>
          </c:extLst>
        </c:ser>
        <c:ser>
          <c:idx val="1"/>
          <c:order val="1"/>
          <c:tx>
            <c:strRef>
              <c:f>DBRD!$BZ$119</c:f>
              <c:strCache>
                <c:ptCount val="1"/>
                <c:pt idx="0">
                  <c:v>RED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DBRD!$BX$120:$BX$137</c:f>
              <c:strCache>
                <c:ptCount val="9"/>
                <c:pt idx="0">
                  <c:v>Penjualan Tenaga Listrik</c:v>
                </c:pt>
                <c:pt idx="1">
                  <c:v>SAIDI (sesuai kewenangan)</c:v>
                </c:pt>
                <c:pt idx="2">
                  <c:v>SAIFI (sesuai kewenangan)</c:v>
                </c:pt>
                <c:pt idx="3">
                  <c:v>Kerusakan Peralatan Distribusi (PHB TM dan Trafo) Sesuai Kewenangan</c:v>
                </c:pt>
                <c:pt idx="4">
                  <c:v>Penambahan Daya Tersambung</c:v>
                </c:pt>
                <c:pt idx="5">
                  <c:v>Penambahan Jumlah Pelanggan</c:v>
                </c:pt>
                <c:pt idx="6">
                  <c:v>Penambahan Jumlah Pelanggan Rumah Tangga Lisdes</c:v>
                </c:pt>
                <c:pt idx="7">
                  <c:v>Peningkatan kWh Penjualan dari Pelanggan Rumah Tangga Lisdes</c:v>
                </c:pt>
                <c:pt idx="8">
                  <c:v>Pencapaian Saldo Rata-Rata Akhir Bulan Non Kogol 1 dan Non Kogol 2</c:v>
                </c:pt>
              </c:strCache>
            </c:strRef>
          </c:cat>
          <c:val>
            <c:numRef>
              <c:f>DBRD!$BZ$120:$BZ$137</c:f>
              <c:numCache>
                <c:formatCode>_(* #,##0.00_);_(* \(#,##0.00\);_(* "-"??_);_(@_)</c:formatCode>
                <c:ptCount val="18"/>
                <c:pt idx="0">
                  <c:v>93.339852880874005</c:v>
                </c:pt>
                <c:pt idx="1">
                  <c:v>0</c:v>
                </c:pt>
                <c:pt idx="2">
                  <c:v>94.920498062169671</c:v>
                </c:pt>
                <c:pt idx="3">
                  <c:v>50</c:v>
                </c:pt>
                <c:pt idx="4">
                  <c:v>59.007352941176471</c:v>
                </c:pt>
                <c:pt idx="5">
                  <c:v>51.318359375</c:v>
                </c:pt>
                <c:pt idx="6">
                  <c:v>21.052631578947366</c:v>
                </c:pt>
                <c:pt idx="7">
                  <c:v>59.695392725732191</c:v>
                </c:pt>
                <c:pt idx="8">
                  <c:v>0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9E-4A52-B1BC-BE6DBE9C0E25}"/>
            </c:ext>
          </c:extLst>
        </c:ser>
        <c:ser>
          <c:idx val="2"/>
          <c:order val="2"/>
          <c:tx>
            <c:strRef>
              <c:f>DBRD!$CA$119</c:f>
              <c:strCache>
                <c:ptCount val="1"/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DBRD!$BX$120:$BX$137</c:f>
              <c:strCache>
                <c:ptCount val="9"/>
                <c:pt idx="0">
                  <c:v>Penjualan Tenaga Listrik</c:v>
                </c:pt>
                <c:pt idx="1">
                  <c:v>SAIDI (sesuai kewenangan)</c:v>
                </c:pt>
                <c:pt idx="2">
                  <c:v>SAIFI (sesuai kewenangan)</c:v>
                </c:pt>
                <c:pt idx="3">
                  <c:v>Kerusakan Peralatan Distribusi (PHB TM dan Trafo) Sesuai Kewenangan</c:v>
                </c:pt>
                <c:pt idx="4">
                  <c:v>Penambahan Daya Tersambung</c:v>
                </c:pt>
                <c:pt idx="5">
                  <c:v>Penambahan Jumlah Pelanggan</c:v>
                </c:pt>
                <c:pt idx="6">
                  <c:v>Penambahan Jumlah Pelanggan Rumah Tangga Lisdes</c:v>
                </c:pt>
                <c:pt idx="7">
                  <c:v>Peningkatan kWh Penjualan dari Pelanggan Rumah Tangga Lisdes</c:v>
                </c:pt>
                <c:pt idx="8">
                  <c:v>Pencapaian Saldo Rata-Rata Akhir Bulan Non Kogol 1 dan Non Kogol 2</c:v>
                </c:pt>
              </c:strCache>
            </c:strRef>
          </c:cat>
          <c:val>
            <c:numRef>
              <c:f>DBRD!$CA$120:$CA$137</c:f>
              <c:numCache>
                <c:formatCode>_(* #,##0.00_);_(* \(#,##0.00\);_(* "-"??_);_(@_)</c:formatCode>
                <c:ptCount val="18"/>
                <c:pt idx="0">
                  <c:v>6.6601471191259947</c:v>
                </c:pt>
                <c:pt idx="1">
                  <c:v>1.7507165259648616</c:v>
                </c:pt>
                <c:pt idx="2">
                  <c:v>5.0795019378303294</c:v>
                </c:pt>
                <c:pt idx="3">
                  <c:v>50</c:v>
                </c:pt>
                <c:pt idx="4">
                  <c:v>40.992647058823529</c:v>
                </c:pt>
                <c:pt idx="5">
                  <c:v>48.681640625</c:v>
                </c:pt>
                <c:pt idx="6">
                  <c:v>78.94736842105263</c:v>
                </c:pt>
                <c:pt idx="7">
                  <c:v>40.304607274267809</c:v>
                </c:pt>
                <c:pt idx="8">
                  <c:v>1.5296977797915758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9E-4A52-B1BC-BE6DBE9C0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98874432"/>
        <c:axId val="1498881632"/>
      </c:barChart>
      <c:catAx>
        <c:axId val="149887443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881632"/>
        <c:crosses val="autoZero"/>
        <c:auto val="1"/>
        <c:lblAlgn val="ctr"/>
        <c:lblOffset val="100"/>
        <c:noMultiLvlLbl val="0"/>
      </c:catAx>
      <c:valAx>
        <c:axId val="1498881632"/>
        <c:scaling>
          <c:orientation val="minMax"/>
        </c:scaling>
        <c:delete val="1"/>
        <c:axPos val="t"/>
        <c:numFmt formatCode="0%" sourceLinked="1"/>
        <c:majorTickMark val="none"/>
        <c:minorTickMark val="none"/>
        <c:tickLblPos val="nextTo"/>
        <c:crossAx val="1498874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6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13" Type="http://schemas.openxmlformats.org/officeDocument/2006/relationships/chart" Target="../charts/chart22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12" Type="http://schemas.openxmlformats.org/officeDocument/2006/relationships/chart" Target="../charts/chart21.xml"/><Relationship Id="rId2" Type="http://schemas.openxmlformats.org/officeDocument/2006/relationships/chart" Target="../charts/chart11.xml"/><Relationship Id="rId16" Type="http://schemas.openxmlformats.org/officeDocument/2006/relationships/chart" Target="../charts/chart25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11" Type="http://schemas.openxmlformats.org/officeDocument/2006/relationships/chart" Target="../charts/chart20.xml"/><Relationship Id="rId5" Type="http://schemas.openxmlformats.org/officeDocument/2006/relationships/chart" Target="../charts/chart14.xml"/><Relationship Id="rId15" Type="http://schemas.openxmlformats.org/officeDocument/2006/relationships/chart" Target="../charts/chart24.xml"/><Relationship Id="rId10" Type="http://schemas.openxmlformats.org/officeDocument/2006/relationships/chart" Target="../charts/chart19.xml"/><Relationship Id="rId4" Type="http://schemas.openxmlformats.org/officeDocument/2006/relationships/chart" Target="../charts/chart13.xml"/><Relationship Id="rId9" Type="http://schemas.openxmlformats.org/officeDocument/2006/relationships/chart" Target="../charts/chart18.xml"/><Relationship Id="rId14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130735</xdr:colOff>
      <xdr:row>0</xdr:row>
      <xdr:rowOff>0</xdr:rowOff>
    </xdr:from>
    <xdr:ext cx="399148" cy="264560"/>
    <xdr:sp macro="" textlink="">
      <xdr:nvSpPr>
        <xdr:cNvPr id="52" name="TextBox 5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SpPr txBox="1"/>
      </xdr:nvSpPr>
      <xdr:spPr>
        <a:xfrm>
          <a:off x="3628315" y="8881147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100</a:t>
          </a:r>
          <a:endParaRPr lang="id-ID" sz="1100">
            <a:solidFill>
              <a:schemeClr val="bg1"/>
            </a:solidFill>
          </a:endParaRPr>
        </a:p>
      </xdr:txBody>
    </xdr:sp>
    <xdr:clientData/>
  </xdr:oneCellAnchor>
  <xdr:oneCellAnchor>
    <xdr:from>
      <xdr:col>3</xdr:col>
      <xdr:colOff>420463</xdr:colOff>
      <xdr:row>0</xdr:row>
      <xdr:rowOff>0</xdr:rowOff>
    </xdr:from>
    <xdr:ext cx="327654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SpPr txBox="1"/>
      </xdr:nvSpPr>
      <xdr:spPr>
        <a:xfrm>
          <a:off x="3003643" y="7841017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50</a:t>
          </a:r>
          <a:endParaRPr lang="id-ID" sz="1100">
            <a:solidFill>
              <a:schemeClr val="bg1"/>
            </a:solidFill>
          </a:endParaRPr>
        </a:p>
      </xdr:txBody>
    </xdr:sp>
    <xdr:clientData/>
  </xdr:oneCellAnchor>
  <xdr:oneCellAnchor>
    <xdr:from>
      <xdr:col>4</xdr:col>
      <xdr:colOff>178360</xdr:colOff>
      <xdr:row>0</xdr:row>
      <xdr:rowOff>0</xdr:rowOff>
    </xdr:from>
    <xdr:ext cx="327654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SpPr txBox="1"/>
      </xdr:nvSpPr>
      <xdr:spPr>
        <a:xfrm>
          <a:off x="3675940" y="8168677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75</a:t>
          </a:r>
          <a:endParaRPr lang="id-ID" sz="1100">
            <a:solidFill>
              <a:schemeClr val="bg1"/>
            </a:solidFill>
          </a:endParaRPr>
        </a:p>
      </xdr:txBody>
    </xdr:sp>
    <xdr:clientData/>
  </xdr:oneCellAnchor>
  <xdr:oneCellAnchor>
    <xdr:from>
      <xdr:col>12</xdr:col>
      <xdr:colOff>145494</xdr:colOff>
      <xdr:row>0</xdr:row>
      <xdr:rowOff>0</xdr:rowOff>
    </xdr:from>
    <xdr:ext cx="256160" cy="264560"/>
    <xdr:sp macro="" textlink="">
      <xdr:nvSpPr>
        <xdr:cNvPr id="108" name="TextBox 4">
          <a:extLst>
            <a:ext uri="{FF2B5EF4-FFF2-40B4-BE49-F238E27FC236}">
              <a16:creationId xmlns:a16="http://schemas.microsoft.com/office/drawing/2014/main" id="{00000000-0008-0000-0400-00006C000000}"/>
            </a:ext>
          </a:extLst>
        </xdr:cNvPr>
        <xdr:cNvSpPr txBox="1"/>
      </xdr:nvSpPr>
      <xdr:spPr>
        <a:xfrm>
          <a:off x="8862774" y="8894754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0</a:t>
          </a:r>
          <a:endParaRPr lang="id-ID" sz="1100">
            <a:solidFill>
              <a:schemeClr val="bg1"/>
            </a:solidFill>
          </a:endParaRPr>
        </a:p>
      </xdr:txBody>
    </xdr:sp>
    <xdr:clientData/>
  </xdr:oneCellAnchor>
  <xdr:oneCellAnchor>
    <xdr:from>
      <xdr:col>14</xdr:col>
      <xdr:colOff>76306</xdr:colOff>
      <xdr:row>0</xdr:row>
      <xdr:rowOff>0</xdr:rowOff>
    </xdr:from>
    <xdr:ext cx="399148" cy="264560"/>
    <xdr:sp macro="" textlink="">
      <xdr:nvSpPr>
        <xdr:cNvPr id="109" name="TextBox 5">
          <a:extLst>
            <a:ext uri="{FF2B5EF4-FFF2-40B4-BE49-F238E27FC236}">
              <a16:creationId xmlns:a16="http://schemas.microsoft.com/office/drawing/2014/main" id="{00000000-0008-0000-0400-00006D000000}"/>
            </a:ext>
          </a:extLst>
        </xdr:cNvPr>
        <xdr:cNvSpPr txBox="1"/>
      </xdr:nvSpPr>
      <xdr:spPr>
        <a:xfrm>
          <a:off x="10043266" y="8894754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100</a:t>
          </a:r>
          <a:endParaRPr lang="id-ID" sz="1100">
            <a:solidFill>
              <a:schemeClr val="bg1"/>
            </a:solidFill>
          </a:endParaRPr>
        </a:p>
      </xdr:txBody>
    </xdr:sp>
    <xdr:clientData/>
  </xdr:oneCellAnchor>
  <xdr:oneCellAnchor>
    <xdr:from>
      <xdr:col>12</xdr:col>
      <xdr:colOff>145494</xdr:colOff>
      <xdr:row>0</xdr:row>
      <xdr:rowOff>0</xdr:rowOff>
    </xdr:from>
    <xdr:ext cx="327654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00000000-0008-0000-0400-00006F000000}"/>
            </a:ext>
          </a:extLst>
        </xdr:cNvPr>
        <xdr:cNvSpPr txBox="1"/>
      </xdr:nvSpPr>
      <xdr:spPr>
        <a:xfrm>
          <a:off x="8862774" y="8229909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25</a:t>
          </a:r>
          <a:endParaRPr lang="id-ID" sz="1100">
            <a:solidFill>
              <a:schemeClr val="bg1"/>
            </a:solidFill>
          </a:endParaRPr>
        </a:p>
      </xdr:txBody>
    </xdr:sp>
    <xdr:clientData/>
  </xdr:oneCellAnchor>
  <xdr:oneCellAnchor>
    <xdr:from>
      <xdr:col>13</xdr:col>
      <xdr:colOff>134713</xdr:colOff>
      <xdr:row>0</xdr:row>
      <xdr:rowOff>0</xdr:rowOff>
    </xdr:from>
    <xdr:ext cx="327654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00000000-0008-0000-0400-000070000000}"/>
            </a:ext>
          </a:extLst>
        </xdr:cNvPr>
        <xdr:cNvSpPr txBox="1"/>
      </xdr:nvSpPr>
      <xdr:spPr>
        <a:xfrm>
          <a:off x="9476833" y="7854624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50</a:t>
          </a:r>
          <a:endParaRPr lang="id-ID" sz="1100">
            <a:solidFill>
              <a:schemeClr val="bg1"/>
            </a:solidFill>
          </a:endParaRPr>
        </a:p>
      </xdr:txBody>
    </xdr:sp>
    <xdr:clientData/>
  </xdr:oneCellAnchor>
  <xdr:oneCellAnchor>
    <xdr:from>
      <xdr:col>14</xdr:col>
      <xdr:colOff>123931</xdr:colOff>
      <xdr:row>0</xdr:row>
      <xdr:rowOff>0</xdr:rowOff>
    </xdr:from>
    <xdr:ext cx="327654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00000000-0008-0000-0400-000071000000}"/>
            </a:ext>
          </a:extLst>
        </xdr:cNvPr>
        <xdr:cNvSpPr txBox="1"/>
      </xdr:nvSpPr>
      <xdr:spPr>
        <a:xfrm>
          <a:off x="10090891" y="8182284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75</a:t>
          </a:r>
          <a:endParaRPr lang="id-ID" sz="1100">
            <a:solidFill>
              <a:schemeClr val="bg1"/>
            </a:solidFill>
          </a:endParaRPr>
        </a:p>
      </xdr:txBody>
    </xdr:sp>
    <xdr:clientData/>
  </xdr:oneCellAnchor>
  <xdr:oneCellAnchor>
    <xdr:from>
      <xdr:col>11</xdr:col>
      <xdr:colOff>289036</xdr:colOff>
      <xdr:row>0</xdr:row>
      <xdr:rowOff>0</xdr:rowOff>
    </xdr:from>
    <xdr:ext cx="2438400" cy="790574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00000000-0008-0000-0400-000073000000}"/>
            </a:ext>
          </a:extLst>
        </xdr:cNvPr>
        <xdr:cNvSpPr txBox="1"/>
      </xdr:nvSpPr>
      <xdr:spPr>
        <a:xfrm>
          <a:off x="8381476" y="8272946"/>
          <a:ext cx="2438400" cy="7905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5A9026A1-FAF8-4926-80D1-35009DB2F15F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 </a:t>
          </a:fld>
          <a:endParaRPr lang="en-GB" sz="2800" b="1">
            <a:solidFill>
              <a:srgbClr val="FFFF00"/>
            </a:solidFill>
          </a:endParaRPr>
        </a:p>
      </xdr:txBody>
    </xdr:sp>
    <xdr:clientData/>
  </xdr:oneCellAnchor>
  <xdr:oneCellAnchor>
    <xdr:from>
      <xdr:col>28</xdr:col>
      <xdr:colOff>353312</xdr:colOff>
      <xdr:row>0</xdr:row>
      <xdr:rowOff>0</xdr:rowOff>
    </xdr:from>
    <xdr:ext cx="256160" cy="264560"/>
    <xdr:sp macro="" textlink="">
      <xdr:nvSpPr>
        <xdr:cNvPr id="223" name="TextBox 4">
          <a:extLst>
            <a:ext uri="{FF2B5EF4-FFF2-40B4-BE49-F238E27FC236}">
              <a16:creationId xmlns:a16="http://schemas.microsoft.com/office/drawing/2014/main" id="{00000000-0008-0000-0400-0000DF000000}"/>
            </a:ext>
          </a:extLst>
        </xdr:cNvPr>
        <xdr:cNvSpPr txBox="1"/>
      </xdr:nvSpPr>
      <xdr:spPr>
        <a:xfrm>
          <a:off x="19060412" y="8894754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0</a:t>
          </a:r>
          <a:endParaRPr lang="id-ID" sz="1100">
            <a:solidFill>
              <a:schemeClr val="bg1"/>
            </a:solidFill>
          </a:endParaRPr>
        </a:p>
      </xdr:txBody>
    </xdr:sp>
    <xdr:clientData/>
  </xdr:oneCellAnchor>
  <xdr:oneCellAnchor>
    <xdr:from>
      <xdr:col>30</xdr:col>
      <xdr:colOff>284124</xdr:colOff>
      <xdr:row>0</xdr:row>
      <xdr:rowOff>0</xdr:rowOff>
    </xdr:from>
    <xdr:ext cx="399148" cy="264560"/>
    <xdr:sp macro="" textlink="">
      <xdr:nvSpPr>
        <xdr:cNvPr id="224" name="TextBox 5">
          <a:extLst>
            <a:ext uri="{FF2B5EF4-FFF2-40B4-BE49-F238E27FC236}">
              <a16:creationId xmlns:a16="http://schemas.microsoft.com/office/drawing/2014/main" id="{00000000-0008-0000-0400-0000E0000000}"/>
            </a:ext>
          </a:extLst>
        </xdr:cNvPr>
        <xdr:cNvSpPr txBox="1"/>
      </xdr:nvSpPr>
      <xdr:spPr>
        <a:xfrm>
          <a:off x="20240904" y="8894754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100</a:t>
          </a:r>
          <a:endParaRPr lang="id-ID" sz="1100">
            <a:solidFill>
              <a:schemeClr val="bg1"/>
            </a:solidFill>
          </a:endParaRPr>
        </a:p>
      </xdr:txBody>
    </xdr:sp>
    <xdr:clientData/>
  </xdr:oneCellAnchor>
  <xdr:oneCellAnchor>
    <xdr:from>
      <xdr:col>28</xdr:col>
      <xdr:colOff>353312</xdr:colOff>
      <xdr:row>0</xdr:row>
      <xdr:rowOff>0</xdr:rowOff>
    </xdr:from>
    <xdr:ext cx="327654" cy="264560"/>
    <xdr:sp macro="" textlink="">
      <xdr:nvSpPr>
        <xdr:cNvPr id="226" name="TextBox 225">
          <a:extLst>
            <a:ext uri="{FF2B5EF4-FFF2-40B4-BE49-F238E27FC236}">
              <a16:creationId xmlns:a16="http://schemas.microsoft.com/office/drawing/2014/main" id="{00000000-0008-0000-0400-0000E2000000}"/>
            </a:ext>
          </a:extLst>
        </xdr:cNvPr>
        <xdr:cNvSpPr txBox="1"/>
      </xdr:nvSpPr>
      <xdr:spPr>
        <a:xfrm>
          <a:off x="19060412" y="8229909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25</a:t>
          </a:r>
          <a:endParaRPr lang="id-ID" sz="1100">
            <a:solidFill>
              <a:schemeClr val="bg1"/>
            </a:solidFill>
          </a:endParaRPr>
        </a:p>
      </xdr:txBody>
    </xdr:sp>
    <xdr:clientData/>
  </xdr:oneCellAnchor>
  <xdr:oneCellAnchor>
    <xdr:from>
      <xdr:col>29</xdr:col>
      <xdr:colOff>342532</xdr:colOff>
      <xdr:row>0</xdr:row>
      <xdr:rowOff>0</xdr:rowOff>
    </xdr:from>
    <xdr:ext cx="327654" cy="264560"/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id="{00000000-0008-0000-0400-0000E3000000}"/>
            </a:ext>
          </a:extLst>
        </xdr:cNvPr>
        <xdr:cNvSpPr txBox="1"/>
      </xdr:nvSpPr>
      <xdr:spPr>
        <a:xfrm>
          <a:off x="19674472" y="7854624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50</a:t>
          </a:r>
          <a:endParaRPr lang="id-ID" sz="1100">
            <a:solidFill>
              <a:schemeClr val="bg1"/>
            </a:solidFill>
          </a:endParaRPr>
        </a:p>
      </xdr:txBody>
    </xdr:sp>
    <xdr:clientData/>
  </xdr:oneCellAnchor>
  <xdr:oneCellAnchor>
    <xdr:from>
      <xdr:col>30</xdr:col>
      <xdr:colOff>331749</xdr:colOff>
      <xdr:row>0</xdr:row>
      <xdr:rowOff>0</xdr:rowOff>
    </xdr:from>
    <xdr:ext cx="327654" cy="264560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00000000-0008-0000-0400-0000E4000000}"/>
            </a:ext>
          </a:extLst>
        </xdr:cNvPr>
        <xdr:cNvSpPr txBox="1"/>
      </xdr:nvSpPr>
      <xdr:spPr>
        <a:xfrm>
          <a:off x="20288529" y="8182284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75</a:t>
          </a:r>
          <a:endParaRPr lang="id-ID" sz="1100">
            <a:solidFill>
              <a:schemeClr val="bg1"/>
            </a:solidFill>
          </a:endParaRPr>
        </a:p>
      </xdr:txBody>
    </xdr:sp>
    <xdr:clientData/>
  </xdr:oneCellAnchor>
  <xdr:oneCellAnchor>
    <xdr:from>
      <xdr:col>27</xdr:col>
      <xdr:colOff>514172</xdr:colOff>
      <xdr:row>0</xdr:row>
      <xdr:rowOff>0</xdr:rowOff>
    </xdr:from>
    <xdr:ext cx="2438400" cy="790574"/>
    <xdr:sp macro="" textlink="">
      <xdr:nvSpPr>
        <xdr:cNvPr id="230" name="TextBox 229">
          <a:extLst>
            <a:ext uri="{FF2B5EF4-FFF2-40B4-BE49-F238E27FC236}">
              <a16:creationId xmlns:a16="http://schemas.microsoft.com/office/drawing/2014/main" id="{00000000-0008-0000-0400-0000E6000000}"/>
            </a:ext>
          </a:extLst>
        </xdr:cNvPr>
        <xdr:cNvSpPr txBox="1"/>
      </xdr:nvSpPr>
      <xdr:spPr>
        <a:xfrm>
          <a:off x="18596432" y="8263248"/>
          <a:ext cx="2438400" cy="7905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5A9026A1-FAF8-4926-80D1-35009DB2F15F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 </a:t>
          </a:fld>
          <a:endParaRPr lang="en-GB" sz="2800" b="1">
            <a:solidFill>
              <a:srgbClr val="FFFF00"/>
            </a:solidFill>
          </a:endParaRPr>
        </a:p>
      </xdr:txBody>
    </xdr:sp>
    <xdr:clientData/>
  </xdr:oneCellAnchor>
  <xdr:oneCellAnchor>
    <xdr:from>
      <xdr:col>4</xdr:col>
      <xdr:colOff>130735</xdr:colOff>
      <xdr:row>0</xdr:row>
      <xdr:rowOff>0</xdr:rowOff>
    </xdr:from>
    <xdr:ext cx="399148" cy="264560"/>
    <xdr:sp macro="" textlink="">
      <xdr:nvSpPr>
        <xdr:cNvPr id="281" name="TextBox 5">
          <a:extLst>
            <a:ext uri="{FF2B5EF4-FFF2-40B4-BE49-F238E27FC236}">
              <a16:creationId xmlns:a16="http://schemas.microsoft.com/office/drawing/2014/main" id="{00000000-0008-0000-0400-000019010000}"/>
            </a:ext>
          </a:extLst>
        </xdr:cNvPr>
        <xdr:cNvSpPr txBox="1"/>
      </xdr:nvSpPr>
      <xdr:spPr>
        <a:xfrm>
          <a:off x="3628315" y="12024743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100</a:t>
          </a:r>
          <a:endParaRPr lang="id-ID" sz="1100">
            <a:solidFill>
              <a:schemeClr val="bg1"/>
            </a:solidFill>
          </a:endParaRPr>
        </a:p>
      </xdr:txBody>
    </xdr:sp>
    <xdr:clientData/>
  </xdr:oneCellAnchor>
  <xdr:oneCellAnchor>
    <xdr:from>
      <xdr:col>3</xdr:col>
      <xdr:colOff>420463</xdr:colOff>
      <xdr:row>0</xdr:row>
      <xdr:rowOff>0</xdr:rowOff>
    </xdr:from>
    <xdr:ext cx="327654" cy="264560"/>
    <xdr:sp macro="" textlink="">
      <xdr:nvSpPr>
        <xdr:cNvPr id="284" name="TextBox 283">
          <a:extLst>
            <a:ext uri="{FF2B5EF4-FFF2-40B4-BE49-F238E27FC236}">
              <a16:creationId xmlns:a16="http://schemas.microsoft.com/office/drawing/2014/main" id="{00000000-0008-0000-0400-00001C010000}"/>
            </a:ext>
          </a:extLst>
        </xdr:cNvPr>
        <xdr:cNvSpPr txBox="1"/>
      </xdr:nvSpPr>
      <xdr:spPr>
        <a:xfrm>
          <a:off x="3003643" y="10984613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50</a:t>
          </a:r>
          <a:endParaRPr lang="id-ID" sz="1100">
            <a:solidFill>
              <a:schemeClr val="bg1"/>
            </a:solidFill>
          </a:endParaRPr>
        </a:p>
      </xdr:txBody>
    </xdr:sp>
    <xdr:clientData/>
  </xdr:oneCellAnchor>
  <xdr:oneCellAnchor>
    <xdr:from>
      <xdr:col>4</xdr:col>
      <xdr:colOff>178360</xdr:colOff>
      <xdr:row>0</xdr:row>
      <xdr:rowOff>0</xdr:rowOff>
    </xdr:from>
    <xdr:ext cx="327654" cy="264560"/>
    <xdr:sp macro="" textlink="">
      <xdr:nvSpPr>
        <xdr:cNvPr id="285" name="TextBox 284">
          <a:extLst>
            <a:ext uri="{FF2B5EF4-FFF2-40B4-BE49-F238E27FC236}">
              <a16:creationId xmlns:a16="http://schemas.microsoft.com/office/drawing/2014/main" id="{00000000-0008-0000-0400-00001D010000}"/>
            </a:ext>
          </a:extLst>
        </xdr:cNvPr>
        <xdr:cNvSpPr txBox="1"/>
      </xdr:nvSpPr>
      <xdr:spPr>
        <a:xfrm>
          <a:off x="3675940" y="11312273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75</a:t>
          </a:r>
          <a:endParaRPr lang="id-ID" sz="1100">
            <a:solidFill>
              <a:schemeClr val="bg1"/>
            </a:solidFill>
          </a:endParaRPr>
        </a:p>
      </xdr:txBody>
    </xdr:sp>
    <xdr:clientData/>
  </xdr:oneCellAnchor>
  <xdr:oneCellAnchor>
    <xdr:from>
      <xdr:col>12</xdr:col>
      <xdr:colOff>145494</xdr:colOff>
      <xdr:row>0</xdr:row>
      <xdr:rowOff>0</xdr:rowOff>
    </xdr:from>
    <xdr:ext cx="256160" cy="264560"/>
    <xdr:sp macro="" textlink="">
      <xdr:nvSpPr>
        <xdr:cNvPr id="337" name="TextBox 4">
          <a:extLst>
            <a:ext uri="{FF2B5EF4-FFF2-40B4-BE49-F238E27FC236}">
              <a16:creationId xmlns:a16="http://schemas.microsoft.com/office/drawing/2014/main" id="{00000000-0008-0000-0400-000051010000}"/>
            </a:ext>
          </a:extLst>
        </xdr:cNvPr>
        <xdr:cNvSpPr txBox="1"/>
      </xdr:nvSpPr>
      <xdr:spPr>
        <a:xfrm>
          <a:off x="8862774" y="12038350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0</a:t>
          </a:r>
          <a:endParaRPr lang="id-ID" sz="1100">
            <a:solidFill>
              <a:schemeClr val="bg1"/>
            </a:solidFill>
          </a:endParaRPr>
        </a:p>
      </xdr:txBody>
    </xdr:sp>
    <xdr:clientData/>
  </xdr:oneCellAnchor>
  <xdr:oneCellAnchor>
    <xdr:from>
      <xdr:col>14</xdr:col>
      <xdr:colOff>76306</xdr:colOff>
      <xdr:row>0</xdr:row>
      <xdr:rowOff>0</xdr:rowOff>
    </xdr:from>
    <xdr:ext cx="399148" cy="264560"/>
    <xdr:sp macro="" textlink="">
      <xdr:nvSpPr>
        <xdr:cNvPr id="338" name="TextBox 5">
          <a:extLst>
            <a:ext uri="{FF2B5EF4-FFF2-40B4-BE49-F238E27FC236}">
              <a16:creationId xmlns:a16="http://schemas.microsoft.com/office/drawing/2014/main" id="{00000000-0008-0000-0400-000052010000}"/>
            </a:ext>
          </a:extLst>
        </xdr:cNvPr>
        <xdr:cNvSpPr txBox="1"/>
      </xdr:nvSpPr>
      <xdr:spPr>
        <a:xfrm>
          <a:off x="10043266" y="12038350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100</a:t>
          </a:r>
          <a:endParaRPr lang="id-ID" sz="1100">
            <a:solidFill>
              <a:schemeClr val="bg1"/>
            </a:solidFill>
          </a:endParaRPr>
        </a:p>
      </xdr:txBody>
    </xdr:sp>
    <xdr:clientData/>
  </xdr:oneCellAnchor>
  <xdr:oneCellAnchor>
    <xdr:from>
      <xdr:col>12</xdr:col>
      <xdr:colOff>145494</xdr:colOff>
      <xdr:row>0</xdr:row>
      <xdr:rowOff>0</xdr:rowOff>
    </xdr:from>
    <xdr:ext cx="327654" cy="264560"/>
    <xdr:sp macro="" textlink="">
      <xdr:nvSpPr>
        <xdr:cNvPr id="340" name="TextBox 339">
          <a:extLst>
            <a:ext uri="{FF2B5EF4-FFF2-40B4-BE49-F238E27FC236}">
              <a16:creationId xmlns:a16="http://schemas.microsoft.com/office/drawing/2014/main" id="{00000000-0008-0000-0400-000054010000}"/>
            </a:ext>
          </a:extLst>
        </xdr:cNvPr>
        <xdr:cNvSpPr txBox="1"/>
      </xdr:nvSpPr>
      <xdr:spPr>
        <a:xfrm>
          <a:off x="8862774" y="11365885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25</a:t>
          </a:r>
          <a:endParaRPr lang="id-ID" sz="1100">
            <a:solidFill>
              <a:schemeClr val="bg1"/>
            </a:solidFill>
          </a:endParaRPr>
        </a:p>
      </xdr:txBody>
    </xdr:sp>
    <xdr:clientData/>
  </xdr:oneCellAnchor>
  <xdr:oneCellAnchor>
    <xdr:from>
      <xdr:col>13</xdr:col>
      <xdr:colOff>134713</xdr:colOff>
      <xdr:row>0</xdr:row>
      <xdr:rowOff>0</xdr:rowOff>
    </xdr:from>
    <xdr:ext cx="327654" cy="264560"/>
    <xdr:sp macro="" textlink="">
      <xdr:nvSpPr>
        <xdr:cNvPr id="341" name="TextBox 340">
          <a:extLst>
            <a:ext uri="{FF2B5EF4-FFF2-40B4-BE49-F238E27FC236}">
              <a16:creationId xmlns:a16="http://schemas.microsoft.com/office/drawing/2014/main" id="{00000000-0008-0000-0400-000055010000}"/>
            </a:ext>
          </a:extLst>
        </xdr:cNvPr>
        <xdr:cNvSpPr txBox="1"/>
      </xdr:nvSpPr>
      <xdr:spPr>
        <a:xfrm>
          <a:off x="9476833" y="10998220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50</a:t>
          </a:r>
          <a:endParaRPr lang="id-ID" sz="1100">
            <a:solidFill>
              <a:schemeClr val="bg1"/>
            </a:solidFill>
          </a:endParaRPr>
        </a:p>
      </xdr:txBody>
    </xdr:sp>
    <xdr:clientData/>
  </xdr:oneCellAnchor>
  <xdr:oneCellAnchor>
    <xdr:from>
      <xdr:col>14</xdr:col>
      <xdr:colOff>123931</xdr:colOff>
      <xdr:row>0</xdr:row>
      <xdr:rowOff>0</xdr:rowOff>
    </xdr:from>
    <xdr:ext cx="327654" cy="264560"/>
    <xdr:sp macro="" textlink="">
      <xdr:nvSpPr>
        <xdr:cNvPr id="342" name="TextBox 341">
          <a:extLst>
            <a:ext uri="{FF2B5EF4-FFF2-40B4-BE49-F238E27FC236}">
              <a16:creationId xmlns:a16="http://schemas.microsoft.com/office/drawing/2014/main" id="{00000000-0008-0000-0400-000056010000}"/>
            </a:ext>
          </a:extLst>
        </xdr:cNvPr>
        <xdr:cNvSpPr txBox="1"/>
      </xdr:nvSpPr>
      <xdr:spPr>
        <a:xfrm>
          <a:off x="10090891" y="11325880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75</a:t>
          </a:r>
          <a:endParaRPr lang="id-ID" sz="1100">
            <a:solidFill>
              <a:schemeClr val="bg1"/>
            </a:solidFill>
          </a:endParaRPr>
        </a:p>
      </xdr:txBody>
    </xdr:sp>
    <xdr:clientData/>
  </xdr:oneCellAnchor>
  <xdr:oneCellAnchor>
    <xdr:from>
      <xdr:col>11</xdr:col>
      <xdr:colOff>306354</xdr:colOff>
      <xdr:row>0</xdr:row>
      <xdr:rowOff>0</xdr:rowOff>
    </xdr:from>
    <xdr:ext cx="2438400" cy="790574"/>
    <xdr:sp macro="" textlink="">
      <xdr:nvSpPr>
        <xdr:cNvPr id="344" name="TextBox 343">
          <a:extLst>
            <a:ext uri="{FF2B5EF4-FFF2-40B4-BE49-F238E27FC236}">
              <a16:creationId xmlns:a16="http://schemas.microsoft.com/office/drawing/2014/main" id="{00000000-0008-0000-0400-000058010000}"/>
            </a:ext>
          </a:extLst>
        </xdr:cNvPr>
        <xdr:cNvSpPr txBox="1"/>
      </xdr:nvSpPr>
      <xdr:spPr>
        <a:xfrm>
          <a:off x="8398794" y="11399224"/>
          <a:ext cx="2438400" cy="7905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5A9026A1-FAF8-4926-80D1-35009DB2F15F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 </a:t>
          </a:fld>
          <a:endParaRPr lang="en-GB" sz="2800" b="1">
            <a:solidFill>
              <a:srgbClr val="FFFF00"/>
            </a:solidFill>
          </a:endParaRPr>
        </a:p>
      </xdr:txBody>
    </xdr:sp>
    <xdr:clientData/>
  </xdr:oneCellAnchor>
  <xdr:oneCellAnchor>
    <xdr:from>
      <xdr:col>20</xdr:col>
      <xdr:colOff>682357</xdr:colOff>
      <xdr:row>0</xdr:row>
      <xdr:rowOff>0</xdr:rowOff>
    </xdr:from>
    <xdr:ext cx="256160" cy="264560"/>
    <xdr:sp macro="" textlink="">
      <xdr:nvSpPr>
        <xdr:cNvPr id="394" name="TextBox 4">
          <a:extLst>
            <a:ext uri="{FF2B5EF4-FFF2-40B4-BE49-F238E27FC236}">
              <a16:creationId xmlns:a16="http://schemas.microsoft.com/office/drawing/2014/main" id="{00000000-0008-0000-0400-00008A010000}"/>
            </a:ext>
          </a:extLst>
        </xdr:cNvPr>
        <xdr:cNvSpPr txBox="1"/>
      </xdr:nvSpPr>
      <xdr:spPr>
        <a:xfrm>
          <a:off x="14146897" y="12038350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0</a:t>
          </a:r>
          <a:endParaRPr lang="id-ID" sz="1100">
            <a:solidFill>
              <a:schemeClr val="bg1"/>
            </a:solidFill>
          </a:endParaRPr>
        </a:p>
      </xdr:txBody>
    </xdr:sp>
    <xdr:clientData/>
  </xdr:oneCellAnchor>
  <xdr:oneCellAnchor>
    <xdr:from>
      <xdr:col>22</xdr:col>
      <xdr:colOff>370715</xdr:colOff>
      <xdr:row>0</xdr:row>
      <xdr:rowOff>0</xdr:rowOff>
    </xdr:from>
    <xdr:ext cx="399148" cy="264560"/>
    <xdr:sp macro="" textlink="">
      <xdr:nvSpPr>
        <xdr:cNvPr id="395" name="TextBox 5">
          <a:extLst>
            <a:ext uri="{FF2B5EF4-FFF2-40B4-BE49-F238E27FC236}">
              <a16:creationId xmlns:a16="http://schemas.microsoft.com/office/drawing/2014/main" id="{00000000-0008-0000-0400-00008B010000}"/>
            </a:ext>
          </a:extLst>
        </xdr:cNvPr>
        <xdr:cNvSpPr txBox="1"/>
      </xdr:nvSpPr>
      <xdr:spPr>
        <a:xfrm>
          <a:off x="15328775" y="12038350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100</a:t>
          </a:r>
          <a:endParaRPr lang="id-ID" sz="1100">
            <a:solidFill>
              <a:schemeClr val="bg1"/>
            </a:solidFill>
          </a:endParaRPr>
        </a:p>
      </xdr:txBody>
    </xdr:sp>
    <xdr:clientData/>
  </xdr:oneCellAnchor>
  <xdr:oneCellAnchor>
    <xdr:from>
      <xdr:col>20</xdr:col>
      <xdr:colOff>682357</xdr:colOff>
      <xdr:row>0</xdr:row>
      <xdr:rowOff>0</xdr:rowOff>
    </xdr:from>
    <xdr:ext cx="327654" cy="264560"/>
    <xdr:sp macro="" textlink="">
      <xdr:nvSpPr>
        <xdr:cNvPr id="397" name="TextBox 396">
          <a:extLst>
            <a:ext uri="{FF2B5EF4-FFF2-40B4-BE49-F238E27FC236}">
              <a16:creationId xmlns:a16="http://schemas.microsoft.com/office/drawing/2014/main" id="{00000000-0008-0000-0400-00008D010000}"/>
            </a:ext>
          </a:extLst>
        </xdr:cNvPr>
        <xdr:cNvSpPr txBox="1"/>
      </xdr:nvSpPr>
      <xdr:spPr>
        <a:xfrm>
          <a:off x="14146897" y="11365885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25</a:t>
          </a:r>
          <a:endParaRPr lang="id-ID" sz="1100">
            <a:solidFill>
              <a:schemeClr val="bg1"/>
            </a:solidFill>
          </a:endParaRPr>
        </a:p>
      </xdr:txBody>
    </xdr:sp>
    <xdr:clientData/>
  </xdr:oneCellAnchor>
  <xdr:oneCellAnchor>
    <xdr:from>
      <xdr:col>21</xdr:col>
      <xdr:colOff>429123</xdr:colOff>
      <xdr:row>0</xdr:row>
      <xdr:rowOff>0</xdr:rowOff>
    </xdr:from>
    <xdr:ext cx="327654" cy="264560"/>
    <xdr:sp macro="" textlink="">
      <xdr:nvSpPr>
        <xdr:cNvPr id="398" name="TextBox 397">
          <a:extLst>
            <a:ext uri="{FF2B5EF4-FFF2-40B4-BE49-F238E27FC236}">
              <a16:creationId xmlns:a16="http://schemas.microsoft.com/office/drawing/2014/main" id="{00000000-0008-0000-0400-00008E010000}"/>
            </a:ext>
          </a:extLst>
        </xdr:cNvPr>
        <xdr:cNvSpPr txBox="1"/>
      </xdr:nvSpPr>
      <xdr:spPr>
        <a:xfrm>
          <a:off x="14762343" y="10998220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50</a:t>
          </a:r>
          <a:endParaRPr lang="id-ID" sz="1100">
            <a:solidFill>
              <a:schemeClr val="bg1"/>
            </a:solidFill>
          </a:endParaRPr>
        </a:p>
      </xdr:txBody>
    </xdr:sp>
    <xdr:clientData/>
  </xdr:oneCellAnchor>
  <xdr:oneCellAnchor>
    <xdr:from>
      <xdr:col>22</xdr:col>
      <xdr:colOff>418340</xdr:colOff>
      <xdr:row>0</xdr:row>
      <xdr:rowOff>0</xdr:rowOff>
    </xdr:from>
    <xdr:ext cx="327654" cy="264560"/>
    <xdr:sp macro="" textlink="">
      <xdr:nvSpPr>
        <xdr:cNvPr id="399" name="TextBox 398">
          <a:extLst>
            <a:ext uri="{FF2B5EF4-FFF2-40B4-BE49-F238E27FC236}">
              <a16:creationId xmlns:a16="http://schemas.microsoft.com/office/drawing/2014/main" id="{00000000-0008-0000-0400-00008F010000}"/>
            </a:ext>
          </a:extLst>
        </xdr:cNvPr>
        <xdr:cNvSpPr txBox="1"/>
      </xdr:nvSpPr>
      <xdr:spPr>
        <a:xfrm>
          <a:off x="15376400" y="11325880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75</a:t>
          </a:r>
          <a:endParaRPr lang="id-ID" sz="1100">
            <a:solidFill>
              <a:schemeClr val="bg1"/>
            </a:solidFill>
          </a:endParaRPr>
        </a:p>
      </xdr:txBody>
    </xdr:sp>
    <xdr:clientData/>
  </xdr:oneCellAnchor>
  <xdr:oneCellAnchor>
    <xdr:from>
      <xdr:col>20</xdr:col>
      <xdr:colOff>237081</xdr:colOff>
      <xdr:row>0</xdr:row>
      <xdr:rowOff>0</xdr:rowOff>
    </xdr:from>
    <xdr:ext cx="2438400" cy="790574"/>
    <xdr:sp macro="" textlink="">
      <xdr:nvSpPr>
        <xdr:cNvPr id="401" name="TextBox 400">
          <a:extLst>
            <a:ext uri="{FF2B5EF4-FFF2-40B4-BE49-F238E27FC236}">
              <a16:creationId xmlns:a16="http://schemas.microsoft.com/office/drawing/2014/main" id="{00000000-0008-0000-0400-000091010000}"/>
            </a:ext>
          </a:extLst>
        </xdr:cNvPr>
        <xdr:cNvSpPr txBox="1"/>
      </xdr:nvSpPr>
      <xdr:spPr>
        <a:xfrm>
          <a:off x="13701621" y="11399224"/>
          <a:ext cx="2438400" cy="7905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5A9026A1-FAF8-4926-80D1-35009DB2F15F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 </a:t>
          </a:fld>
          <a:endParaRPr lang="en-GB" sz="2800" b="1">
            <a:solidFill>
              <a:srgbClr val="FFFF00"/>
            </a:solidFill>
          </a:endParaRPr>
        </a:p>
      </xdr:txBody>
    </xdr:sp>
    <xdr:clientData/>
  </xdr:oneCellAnchor>
  <xdr:oneCellAnchor>
    <xdr:from>
      <xdr:col>28</xdr:col>
      <xdr:colOff>353312</xdr:colOff>
      <xdr:row>0</xdr:row>
      <xdr:rowOff>0</xdr:rowOff>
    </xdr:from>
    <xdr:ext cx="256160" cy="264560"/>
    <xdr:sp macro="" textlink="">
      <xdr:nvSpPr>
        <xdr:cNvPr id="451" name="TextBox 4">
          <a:extLst>
            <a:ext uri="{FF2B5EF4-FFF2-40B4-BE49-F238E27FC236}">
              <a16:creationId xmlns:a16="http://schemas.microsoft.com/office/drawing/2014/main" id="{00000000-0008-0000-0400-0000C3010000}"/>
            </a:ext>
          </a:extLst>
        </xdr:cNvPr>
        <xdr:cNvSpPr txBox="1"/>
      </xdr:nvSpPr>
      <xdr:spPr>
        <a:xfrm>
          <a:off x="19060412" y="12038350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0</a:t>
          </a:r>
          <a:endParaRPr lang="id-ID" sz="1100">
            <a:solidFill>
              <a:schemeClr val="bg1"/>
            </a:solidFill>
          </a:endParaRPr>
        </a:p>
      </xdr:txBody>
    </xdr:sp>
    <xdr:clientData/>
  </xdr:oneCellAnchor>
  <xdr:oneCellAnchor>
    <xdr:from>
      <xdr:col>30</xdr:col>
      <xdr:colOff>284124</xdr:colOff>
      <xdr:row>0</xdr:row>
      <xdr:rowOff>0</xdr:rowOff>
    </xdr:from>
    <xdr:ext cx="399148" cy="264560"/>
    <xdr:sp macro="" textlink="">
      <xdr:nvSpPr>
        <xdr:cNvPr id="452" name="TextBox 5">
          <a:extLst>
            <a:ext uri="{FF2B5EF4-FFF2-40B4-BE49-F238E27FC236}">
              <a16:creationId xmlns:a16="http://schemas.microsoft.com/office/drawing/2014/main" id="{00000000-0008-0000-0400-0000C4010000}"/>
            </a:ext>
          </a:extLst>
        </xdr:cNvPr>
        <xdr:cNvSpPr txBox="1"/>
      </xdr:nvSpPr>
      <xdr:spPr>
        <a:xfrm>
          <a:off x="20240904" y="12038350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100</a:t>
          </a:r>
          <a:endParaRPr lang="id-ID" sz="1100">
            <a:solidFill>
              <a:schemeClr val="bg1"/>
            </a:solidFill>
          </a:endParaRPr>
        </a:p>
      </xdr:txBody>
    </xdr:sp>
    <xdr:clientData/>
  </xdr:oneCellAnchor>
  <xdr:oneCellAnchor>
    <xdr:from>
      <xdr:col>28</xdr:col>
      <xdr:colOff>353312</xdr:colOff>
      <xdr:row>0</xdr:row>
      <xdr:rowOff>0</xdr:rowOff>
    </xdr:from>
    <xdr:ext cx="327654" cy="264560"/>
    <xdr:sp macro="" textlink="">
      <xdr:nvSpPr>
        <xdr:cNvPr id="454" name="TextBox 453">
          <a:extLst>
            <a:ext uri="{FF2B5EF4-FFF2-40B4-BE49-F238E27FC236}">
              <a16:creationId xmlns:a16="http://schemas.microsoft.com/office/drawing/2014/main" id="{00000000-0008-0000-0400-0000C6010000}"/>
            </a:ext>
          </a:extLst>
        </xdr:cNvPr>
        <xdr:cNvSpPr txBox="1"/>
      </xdr:nvSpPr>
      <xdr:spPr>
        <a:xfrm>
          <a:off x="19060412" y="11365885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25</a:t>
          </a:r>
          <a:endParaRPr lang="id-ID" sz="1100">
            <a:solidFill>
              <a:schemeClr val="bg1"/>
            </a:solidFill>
          </a:endParaRPr>
        </a:p>
      </xdr:txBody>
    </xdr:sp>
    <xdr:clientData/>
  </xdr:oneCellAnchor>
  <xdr:oneCellAnchor>
    <xdr:from>
      <xdr:col>29</xdr:col>
      <xdr:colOff>342532</xdr:colOff>
      <xdr:row>0</xdr:row>
      <xdr:rowOff>0</xdr:rowOff>
    </xdr:from>
    <xdr:ext cx="327654" cy="264560"/>
    <xdr:sp macro="" textlink="">
      <xdr:nvSpPr>
        <xdr:cNvPr id="455" name="TextBox 454">
          <a:extLst>
            <a:ext uri="{FF2B5EF4-FFF2-40B4-BE49-F238E27FC236}">
              <a16:creationId xmlns:a16="http://schemas.microsoft.com/office/drawing/2014/main" id="{00000000-0008-0000-0400-0000C7010000}"/>
            </a:ext>
          </a:extLst>
        </xdr:cNvPr>
        <xdr:cNvSpPr txBox="1"/>
      </xdr:nvSpPr>
      <xdr:spPr>
        <a:xfrm>
          <a:off x="19674472" y="10998220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50</a:t>
          </a:r>
          <a:endParaRPr lang="id-ID" sz="1100">
            <a:solidFill>
              <a:schemeClr val="bg1"/>
            </a:solidFill>
          </a:endParaRPr>
        </a:p>
      </xdr:txBody>
    </xdr:sp>
    <xdr:clientData/>
  </xdr:oneCellAnchor>
  <xdr:oneCellAnchor>
    <xdr:from>
      <xdr:col>30</xdr:col>
      <xdr:colOff>331749</xdr:colOff>
      <xdr:row>0</xdr:row>
      <xdr:rowOff>0</xdr:rowOff>
    </xdr:from>
    <xdr:ext cx="327654" cy="264560"/>
    <xdr:sp macro="" textlink="">
      <xdr:nvSpPr>
        <xdr:cNvPr id="456" name="TextBox 455">
          <a:extLst>
            <a:ext uri="{FF2B5EF4-FFF2-40B4-BE49-F238E27FC236}">
              <a16:creationId xmlns:a16="http://schemas.microsoft.com/office/drawing/2014/main" id="{00000000-0008-0000-0400-0000C8010000}"/>
            </a:ext>
          </a:extLst>
        </xdr:cNvPr>
        <xdr:cNvSpPr txBox="1"/>
      </xdr:nvSpPr>
      <xdr:spPr>
        <a:xfrm>
          <a:off x="20288529" y="11325880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75</a:t>
          </a:r>
          <a:endParaRPr lang="id-ID" sz="1100">
            <a:solidFill>
              <a:schemeClr val="bg1"/>
            </a:solidFill>
          </a:endParaRPr>
        </a:p>
      </xdr:txBody>
    </xdr:sp>
    <xdr:clientData/>
  </xdr:oneCellAnchor>
  <xdr:oneCellAnchor>
    <xdr:from>
      <xdr:col>27</xdr:col>
      <xdr:colOff>514172</xdr:colOff>
      <xdr:row>0</xdr:row>
      <xdr:rowOff>0</xdr:rowOff>
    </xdr:from>
    <xdr:ext cx="2438400" cy="790574"/>
    <xdr:sp macro="" textlink="">
      <xdr:nvSpPr>
        <xdr:cNvPr id="458" name="TextBox 457">
          <a:extLst>
            <a:ext uri="{FF2B5EF4-FFF2-40B4-BE49-F238E27FC236}">
              <a16:creationId xmlns:a16="http://schemas.microsoft.com/office/drawing/2014/main" id="{00000000-0008-0000-0400-0000CA010000}"/>
            </a:ext>
          </a:extLst>
        </xdr:cNvPr>
        <xdr:cNvSpPr txBox="1"/>
      </xdr:nvSpPr>
      <xdr:spPr>
        <a:xfrm>
          <a:off x="18596432" y="11399224"/>
          <a:ext cx="2438400" cy="7905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5A9026A1-FAF8-4926-80D1-35009DB2F15F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 </a:t>
          </a:fld>
          <a:endParaRPr lang="en-GB" sz="2800" b="1">
            <a:solidFill>
              <a:srgbClr val="FFFF00"/>
            </a:solidFill>
          </a:endParaRPr>
        </a:p>
      </xdr:txBody>
    </xdr:sp>
    <xdr:clientData/>
  </xdr:oneCellAnchor>
  <xdr:oneCellAnchor>
    <xdr:from>
      <xdr:col>4</xdr:col>
      <xdr:colOff>130735</xdr:colOff>
      <xdr:row>0</xdr:row>
      <xdr:rowOff>0</xdr:rowOff>
    </xdr:from>
    <xdr:ext cx="399148" cy="264560"/>
    <xdr:sp macro="" textlink="">
      <xdr:nvSpPr>
        <xdr:cNvPr id="509" name="TextBox 5">
          <a:extLst>
            <a:ext uri="{FF2B5EF4-FFF2-40B4-BE49-F238E27FC236}">
              <a16:creationId xmlns:a16="http://schemas.microsoft.com/office/drawing/2014/main" id="{00000000-0008-0000-0400-0000FD010000}"/>
            </a:ext>
          </a:extLst>
        </xdr:cNvPr>
        <xdr:cNvSpPr txBox="1"/>
      </xdr:nvSpPr>
      <xdr:spPr>
        <a:xfrm>
          <a:off x="3628315" y="15047113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100</a:t>
          </a:r>
          <a:endParaRPr lang="id-ID" sz="1100">
            <a:solidFill>
              <a:schemeClr val="bg1"/>
            </a:solidFill>
          </a:endParaRPr>
        </a:p>
      </xdr:txBody>
    </xdr:sp>
    <xdr:clientData/>
  </xdr:oneCellAnchor>
  <xdr:oneCellAnchor>
    <xdr:from>
      <xdr:col>3</xdr:col>
      <xdr:colOff>420463</xdr:colOff>
      <xdr:row>0</xdr:row>
      <xdr:rowOff>0</xdr:rowOff>
    </xdr:from>
    <xdr:ext cx="327654" cy="264560"/>
    <xdr:sp macro="" textlink="">
      <xdr:nvSpPr>
        <xdr:cNvPr id="512" name="TextBox 511">
          <a:extLst>
            <a:ext uri="{FF2B5EF4-FFF2-40B4-BE49-F238E27FC236}">
              <a16:creationId xmlns:a16="http://schemas.microsoft.com/office/drawing/2014/main" id="{00000000-0008-0000-0400-000000020000}"/>
            </a:ext>
          </a:extLst>
        </xdr:cNvPr>
        <xdr:cNvSpPr txBox="1"/>
      </xdr:nvSpPr>
      <xdr:spPr>
        <a:xfrm>
          <a:off x="3003643" y="14006983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50</a:t>
          </a:r>
          <a:endParaRPr lang="id-ID" sz="1100">
            <a:solidFill>
              <a:schemeClr val="bg1"/>
            </a:solidFill>
          </a:endParaRPr>
        </a:p>
      </xdr:txBody>
    </xdr:sp>
    <xdr:clientData/>
  </xdr:oneCellAnchor>
  <xdr:oneCellAnchor>
    <xdr:from>
      <xdr:col>4</xdr:col>
      <xdr:colOff>178360</xdr:colOff>
      <xdr:row>0</xdr:row>
      <xdr:rowOff>0</xdr:rowOff>
    </xdr:from>
    <xdr:ext cx="327654" cy="264560"/>
    <xdr:sp macro="" textlink="">
      <xdr:nvSpPr>
        <xdr:cNvPr id="513" name="TextBox 512">
          <a:extLst>
            <a:ext uri="{FF2B5EF4-FFF2-40B4-BE49-F238E27FC236}">
              <a16:creationId xmlns:a16="http://schemas.microsoft.com/office/drawing/2014/main" id="{00000000-0008-0000-0400-000001020000}"/>
            </a:ext>
          </a:extLst>
        </xdr:cNvPr>
        <xdr:cNvSpPr txBox="1"/>
      </xdr:nvSpPr>
      <xdr:spPr>
        <a:xfrm>
          <a:off x="3675940" y="14334643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75</a:t>
          </a:r>
          <a:endParaRPr lang="id-ID" sz="1100">
            <a:solidFill>
              <a:schemeClr val="bg1"/>
            </a:solidFill>
          </a:endParaRPr>
        </a:p>
      </xdr:txBody>
    </xdr:sp>
    <xdr:clientData/>
  </xdr:oneCellAnchor>
  <xdr:oneCellAnchor>
    <xdr:from>
      <xdr:col>20</xdr:col>
      <xdr:colOff>682357</xdr:colOff>
      <xdr:row>0</xdr:row>
      <xdr:rowOff>0</xdr:rowOff>
    </xdr:from>
    <xdr:ext cx="256160" cy="264560"/>
    <xdr:sp macro="" textlink="">
      <xdr:nvSpPr>
        <xdr:cNvPr id="623" name="TextBox 4">
          <a:extLst>
            <a:ext uri="{FF2B5EF4-FFF2-40B4-BE49-F238E27FC236}">
              <a16:creationId xmlns:a16="http://schemas.microsoft.com/office/drawing/2014/main" id="{00000000-0008-0000-0400-00006F020000}"/>
            </a:ext>
          </a:extLst>
        </xdr:cNvPr>
        <xdr:cNvSpPr txBox="1"/>
      </xdr:nvSpPr>
      <xdr:spPr>
        <a:xfrm>
          <a:off x="14146897" y="15060720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0</a:t>
          </a:r>
          <a:endParaRPr lang="id-ID" sz="1100">
            <a:solidFill>
              <a:schemeClr val="bg1"/>
            </a:solidFill>
          </a:endParaRPr>
        </a:p>
      </xdr:txBody>
    </xdr:sp>
    <xdr:clientData/>
  </xdr:oneCellAnchor>
  <xdr:oneCellAnchor>
    <xdr:from>
      <xdr:col>22</xdr:col>
      <xdr:colOff>370715</xdr:colOff>
      <xdr:row>0</xdr:row>
      <xdr:rowOff>0</xdr:rowOff>
    </xdr:from>
    <xdr:ext cx="399148" cy="264560"/>
    <xdr:sp macro="" textlink="">
      <xdr:nvSpPr>
        <xdr:cNvPr id="624" name="TextBox 5">
          <a:extLst>
            <a:ext uri="{FF2B5EF4-FFF2-40B4-BE49-F238E27FC236}">
              <a16:creationId xmlns:a16="http://schemas.microsoft.com/office/drawing/2014/main" id="{00000000-0008-0000-0400-000070020000}"/>
            </a:ext>
          </a:extLst>
        </xdr:cNvPr>
        <xdr:cNvSpPr txBox="1"/>
      </xdr:nvSpPr>
      <xdr:spPr>
        <a:xfrm>
          <a:off x="15328775" y="15060720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100</a:t>
          </a:r>
          <a:endParaRPr lang="id-ID" sz="1100">
            <a:solidFill>
              <a:schemeClr val="bg1"/>
            </a:solidFill>
          </a:endParaRPr>
        </a:p>
      </xdr:txBody>
    </xdr:sp>
    <xdr:clientData/>
  </xdr:oneCellAnchor>
  <xdr:oneCellAnchor>
    <xdr:from>
      <xdr:col>20</xdr:col>
      <xdr:colOff>682357</xdr:colOff>
      <xdr:row>0</xdr:row>
      <xdr:rowOff>0</xdr:rowOff>
    </xdr:from>
    <xdr:ext cx="327654" cy="264560"/>
    <xdr:sp macro="" textlink="">
      <xdr:nvSpPr>
        <xdr:cNvPr id="626" name="TextBox 625">
          <a:extLst>
            <a:ext uri="{FF2B5EF4-FFF2-40B4-BE49-F238E27FC236}">
              <a16:creationId xmlns:a16="http://schemas.microsoft.com/office/drawing/2014/main" id="{00000000-0008-0000-0400-000072020000}"/>
            </a:ext>
          </a:extLst>
        </xdr:cNvPr>
        <xdr:cNvSpPr txBox="1"/>
      </xdr:nvSpPr>
      <xdr:spPr>
        <a:xfrm>
          <a:off x="14146897" y="14395875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25</a:t>
          </a:r>
          <a:endParaRPr lang="id-ID" sz="1100">
            <a:solidFill>
              <a:schemeClr val="bg1"/>
            </a:solidFill>
          </a:endParaRPr>
        </a:p>
      </xdr:txBody>
    </xdr:sp>
    <xdr:clientData/>
  </xdr:oneCellAnchor>
  <xdr:oneCellAnchor>
    <xdr:from>
      <xdr:col>21</xdr:col>
      <xdr:colOff>429123</xdr:colOff>
      <xdr:row>0</xdr:row>
      <xdr:rowOff>0</xdr:rowOff>
    </xdr:from>
    <xdr:ext cx="327654" cy="264560"/>
    <xdr:sp macro="" textlink="">
      <xdr:nvSpPr>
        <xdr:cNvPr id="627" name="TextBox 626">
          <a:extLst>
            <a:ext uri="{FF2B5EF4-FFF2-40B4-BE49-F238E27FC236}">
              <a16:creationId xmlns:a16="http://schemas.microsoft.com/office/drawing/2014/main" id="{00000000-0008-0000-0400-000073020000}"/>
            </a:ext>
          </a:extLst>
        </xdr:cNvPr>
        <xdr:cNvSpPr txBox="1"/>
      </xdr:nvSpPr>
      <xdr:spPr>
        <a:xfrm>
          <a:off x="14762343" y="14020590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50</a:t>
          </a:r>
          <a:endParaRPr lang="id-ID" sz="1100">
            <a:solidFill>
              <a:schemeClr val="bg1"/>
            </a:solidFill>
          </a:endParaRPr>
        </a:p>
      </xdr:txBody>
    </xdr:sp>
    <xdr:clientData/>
  </xdr:oneCellAnchor>
  <xdr:oneCellAnchor>
    <xdr:from>
      <xdr:col>22</xdr:col>
      <xdr:colOff>418340</xdr:colOff>
      <xdr:row>0</xdr:row>
      <xdr:rowOff>0</xdr:rowOff>
    </xdr:from>
    <xdr:ext cx="327654" cy="264560"/>
    <xdr:sp macro="" textlink="">
      <xdr:nvSpPr>
        <xdr:cNvPr id="628" name="TextBox 627">
          <a:extLst>
            <a:ext uri="{FF2B5EF4-FFF2-40B4-BE49-F238E27FC236}">
              <a16:creationId xmlns:a16="http://schemas.microsoft.com/office/drawing/2014/main" id="{00000000-0008-0000-0400-000074020000}"/>
            </a:ext>
          </a:extLst>
        </xdr:cNvPr>
        <xdr:cNvSpPr txBox="1"/>
      </xdr:nvSpPr>
      <xdr:spPr>
        <a:xfrm>
          <a:off x="15376400" y="14348250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75</a:t>
          </a:r>
          <a:endParaRPr lang="id-ID" sz="1100">
            <a:solidFill>
              <a:schemeClr val="bg1"/>
            </a:solidFill>
          </a:endParaRPr>
        </a:p>
      </xdr:txBody>
    </xdr:sp>
    <xdr:clientData/>
  </xdr:oneCellAnchor>
  <xdr:oneCellAnchor>
    <xdr:from>
      <xdr:col>20</xdr:col>
      <xdr:colOff>237081</xdr:colOff>
      <xdr:row>0</xdr:row>
      <xdr:rowOff>0</xdr:rowOff>
    </xdr:from>
    <xdr:ext cx="2438400" cy="790574"/>
    <xdr:sp macro="" textlink="">
      <xdr:nvSpPr>
        <xdr:cNvPr id="630" name="TextBox 629">
          <a:extLst>
            <a:ext uri="{FF2B5EF4-FFF2-40B4-BE49-F238E27FC236}">
              <a16:creationId xmlns:a16="http://schemas.microsoft.com/office/drawing/2014/main" id="{00000000-0008-0000-0400-000076020000}"/>
            </a:ext>
          </a:extLst>
        </xdr:cNvPr>
        <xdr:cNvSpPr txBox="1"/>
      </xdr:nvSpPr>
      <xdr:spPr>
        <a:xfrm>
          <a:off x="13701621" y="14429214"/>
          <a:ext cx="2438400" cy="7905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5A9026A1-FAF8-4926-80D1-35009DB2F15F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 </a:t>
          </a:fld>
          <a:endParaRPr lang="en-GB" sz="2800" b="1">
            <a:solidFill>
              <a:srgbClr val="FFFF00"/>
            </a:solidFill>
          </a:endParaRPr>
        </a:p>
      </xdr:txBody>
    </xdr:sp>
    <xdr:clientData/>
  </xdr:oneCellAnchor>
  <xdr:twoCellAnchor>
    <xdr:from>
      <xdr:col>12</xdr:col>
      <xdr:colOff>103909</xdr:colOff>
      <xdr:row>3</xdr:row>
      <xdr:rowOff>69273</xdr:rowOff>
    </xdr:from>
    <xdr:to>
      <xdr:col>25</xdr:col>
      <xdr:colOff>34636</xdr:colOff>
      <xdr:row>31</xdr:row>
      <xdr:rowOff>51955</xdr:rowOff>
    </xdr:to>
    <xdr:graphicFrame macro="">
      <xdr:nvGraphicFramePr>
        <xdr:cNvPr id="632" name="Chart 631">
          <a:extLst>
            <a:ext uri="{FF2B5EF4-FFF2-40B4-BE49-F238E27FC236}">
              <a16:creationId xmlns:a16="http://schemas.microsoft.com/office/drawing/2014/main" id="{00000000-0008-0000-0400-00007802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36</xdr:col>
      <xdr:colOff>432687</xdr:colOff>
      <xdr:row>0</xdr:row>
      <xdr:rowOff>0</xdr:rowOff>
    </xdr:from>
    <xdr:ext cx="256160" cy="264560"/>
    <xdr:sp macro="" textlink="">
      <xdr:nvSpPr>
        <xdr:cNvPr id="681" name="TextBox 4">
          <a:extLst>
            <a:ext uri="{FF2B5EF4-FFF2-40B4-BE49-F238E27FC236}">
              <a16:creationId xmlns:a16="http://schemas.microsoft.com/office/drawing/2014/main" id="{00000000-0008-0000-0400-0000A9020000}"/>
            </a:ext>
          </a:extLst>
        </xdr:cNvPr>
        <xdr:cNvSpPr txBox="1"/>
      </xdr:nvSpPr>
      <xdr:spPr>
        <a:xfrm>
          <a:off x="24138507" y="8894754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0</a:t>
          </a:r>
          <a:endParaRPr lang="id-ID" sz="1100">
            <a:solidFill>
              <a:schemeClr val="bg1"/>
            </a:solidFill>
          </a:endParaRPr>
        </a:p>
      </xdr:txBody>
    </xdr:sp>
    <xdr:clientData/>
  </xdr:oneCellAnchor>
  <xdr:oneCellAnchor>
    <xdr:from>
      <xdr:col>38</xdr:col>
      <xdr:colOff>363499</xdr:colOff>
      <xdr:row>0</xdr:row>
      <xdr:rowOff>0</xdr:rowOff>
    </xdr:from>
    <xdr:ext cx="399148" cy="264560"/>
    <xdr:sp macro="" textlink="">
      <xdr:nvSpPr>
        <xdr:cNvPr id="682" name="TextBox 5">
          <a:extLst>
            <a:ext uri="{FF2B5EF4-FFF2-40B4-BE49-F238E27FC236}">
              <a16:creationId xmlns:a16="http://schemas.microsoft.com/office/drawing/2014/main" id="{00000000-0008-0000-0400-0000AA020000}"/>
            </a:ext>
          </a:extLst>
        </xdr:cNvPr>
        <xdr:cNvSpPr txBox="1"/>
      </xdr:nvSpPr>
      <xdr:spPr>
        <a:xfrm>
          <a:off x="25318999" y="8894754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100</a:t>
          </a:r>
          <a:endParaRPr lang="id-ID" sz="1100">
            <a:solidFill>
              <a:schemeClr val="bg1"/>
            </a:solidFill>
          </a:endParaRPr>
        </a:p>
      </xdr:txBody>
    </xdr:sp>
    <xdr:clientData/>
  </xdr:oneCellAnchor>
  <xdr:oneCellAnchor>
    <xdr:from>
      <xdr:col>36</xdr:col>
      <xdr:colOff>432687</xdr:colOff>
      <xdr:row>0</xdr:row>
      <xdr:rowOff>0</xdr:rowOff>
    </xdr:from>
    <xdr:ext cx="327654" cy="264560"/>
    <xdr:sp macro="" textlink="">
      <xdr:nvSpPr>
        <xdr:cNvPr id="684" name="TextBox 683">
          <a:extLst>
            <a:ext uri="{FF2B5EF4-FFF2-40B4-BE49-F238E27FC236}">
              <a16:creationId xmlns:a16="http://schemas.microsoft.com/office/drawing/2014/main" id="{00000000-0008-0000-0400-0000AC020000}"/>
            </a:ext>
          </a:extLst>
        </xdr:cNvPr>
        <xdr:cNvSpPr txBox="1"/>
      </xdr:nvSpPr>
      <xdr:spPr>
        <a:xfrm>
          <a:off x="24138507" y="8229909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25</a:t>
          </a:r>
          <a:endParaRPr lang="id-ID" sz="1100">
            <a:solidFill>
              <a:schemeClr val="bg1"/>
            </a:solidFill>
          </a:endParaRPr>
        </a:p>
      </xdr:txBody>
    </xdr:sp>
    <xdr:clientData/>
  </xdr:oneCellAnchor>
  <xdr:oneCellAnchor>
    <xdr:from>
      <xdr:col>37</xdr:col>
      <xdr:colOff>421907</xdr:colOff>
      <xdr:row>0</xdr:row>
      <xdr:rowOff>0</xdr:rowOff>
    </xdr:from>
    <xdr:ext cx="327654" cy="264560"/>
    <xdr:sp macro="" textlink="">
      <xdr:nvSpPr>
        <xdr:cNvPr id="685" name="TextBox 684">
          <a:extLst>
            <a:ext uri="{FF2B5EF4-FFF2-40B4-BE49-F238E27FC236}">
              <a16:creationId xmlns:a16="http://schemas.microsoft.com/office/drawing/2014/main" id="{00000000-0008-0000-0400-0000AD020000}"/>
            </a:ext>
          </a:extLst>
        </xdr:cNvPr>
        <xdr:cNvSpPr txBox="1"/>
      </xdr:nvSpPr>
      <xdr:spPr>
        <a:xfrm>
          <a:off x="24752567" y="7854624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50</a:t>
          </a:r>
          <a:endParaRPr lang="id-ID" sz="1100">
            <a:solidFill>
              <a:schemeClr val="bg1"/>
            </a:solidFill>
          </a:endParaRPr>
        </a:p>
      </xdr:txBody>
    </xdr:sp>
    <xdr:clientData/>
  </xdr:oneCellAnchor>
  <xdr:oneCellAnchor>
    <xdr:from>
      <xdr:col>38</xdr:col>
      <xdr:colOff>411124</xdr:colOff>
      <xdr:row>0</xdr:row>
      <xdr:rowOff>0</xdr:rowOff>
    </xdr:from>
    <xdr:ext cx="327654" cy="264560"/>
    <xdr:sp macro="" textlink="">
      <xdr:nvSpPr>
        <xdr:cNvPr id="686" name="TextBox 685">
          <a:extLst>
            <a:ext uri="{FF2B5EF4-FFF2-40B4-BE49-F238E27FC236}">
              <a16:creationId xmlns:a16="http://schemas.microsoft.com/office/drawing/2014/main" id="{00000000-0008-0000-0400-0000AE020000}"/>
            </a:ext>
          </a:extLst>
        </xdr:cNvPr>
        <xdr:cNvSpPr txBox="1"/>
      </xdr:nvSpPr>
      <xdr:spPr>
        <a:xfrm>
          <a:off x="25366624" y="8182284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75</a:t>
          </a:r>
          <a:endParaRPr lang="id-ID" sz="1100">
            <a:solidFill>
              <a:schemeClr val="bg1"/>
            </a:solidFill>
          </a:endParaRPr>
        </a:p>
      </xdr:txBody>
    </xdr:sp>
    <xdr:clientData/>
  </xdr:oneCellAnchor>
  <xdr:oneCellAnchor>
    <xdr:from>
      <xdr:col>35</xdr:col>
      <xdr:colOff>593547</xdr:colOff>
      <xdr:row>0</xdr:row>
      <xdr:rowOff>0</xdr:rowOff>
    </xdr:from>
    <xdr:ext cx="2438400" cy="790574"/>
    <xdr:sp macro="" textlink="">
      <xdr:nvSpPr>
        <xdr:cNvPr id="688" name="TextBox 687">
          <a:extLst>
            <a:ext uri="{FF2B5EF4-FFF2-40B4-BE49-F238E27FC236}">
              <a16:creationId xmlns:a16="http://schemas.microsoft.com/office/drawing/2014/main" id="{00000000-0008-0000-0400-0000B0020000}"/>
            </a:ext>
          </a:extLst>
        </xdr:cNvPr>
        <xdr:cNvSpPr txBox="1"/>
      </xdr:nvSpPr>
      <xdr:spPr>
        <a:xfrm>
          <a:off x="23674527" y="8263248"/>
          <a:ext cx="2438400" cy="7905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5A9026A1-FAF8-4926-80D1-35009DB2F15F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 </a:t>
          </a:fld>
          <a:endParaRPr lang="en-GB" sz="2800" b="1">
            <a:solidFill>
              <a:srgbClr val="FFFF00"/>
            </a:solidFill>
          </a:endParaRPr>
        </a:p>
      </xdr:txBody>
    </xdr:sp>
    <xdr:clientData/>
  </xdr:oneCellAnchor>
  <xdr:twoCellAnchor>
    <xdr:from>
      <xdr:col>25</xdr:col>
      <xdr:colOff>607373</xdr:colOff>
      <xdr:row>3</xdr:row>
      <xdr:rowOff>110094</xdr:rowOff>
    </xdr:from>
    <xdr:to>
      <xdr:col>38</xdr:col>
      <xdr:colOff>510885</xdr:colOff>
      <xdr:row>31</xdr:row>
      <xdr:rowOff>92776</xdr:rowOff>
    </xdr:to>
    <xdr:graphicFrame macro="">
      <xdr:nvGraphicFramePr>
        <xdr:cNvPr id="806" name="Chart 805">
          <a:extLst>
            <a:ext uri="{FF2B5EF4-FFF2-40B4-BE49-F238E27FC236}">
              <a16:creationId xmlns:a16="http://schemas.microsoft.com/office/drawing/2014/main" id="{00000000-0008-0000-0400-0000260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609601</xdr:colOff>
      <xdr:row>50</xdr:row>
      <xdr:rowOff>87086</xdr:rowOff>
    </xdr:from>
    <xdr:to>
      <xdr:col>22</xdr:col>
      <xdr:colOff>348343</xdr:colOff>
      <xdr:row>62</xdr:row>
      <xdr:rowOff>102425</xdr:rowOff>
    </xdr:to>
    <xdr:graphicFrame macro="">
      <xdr:nvGraphicFramePr>
        <xdr:cNvPr id="57" name="Chart 56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7924</xdr:colOff>
      <xdr:row>0</xdr:row>
      <xdr:rowOff>7620</xdr:rowOff>
    </xdr:from>
    <xdr:to>
      <xdr:col>1</xdr:col>
      <xdr:colOff>15240</xdr:colOff>
      <xdr:row>3</xdr:row>
      <xdr:rowOff>1601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E218C4-FE2A-45B6-8E53-571AF4E94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" y="7620"/>
          <a:ext cx="395936" cy="57419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9</xdr:row>
      <xdr:rowOff>114300</xdr:rowOff>
    </xdr:from>
    <xdr:to>
      <xdr:col>5</xdr:col>
      <xdr:colOff>381000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8A46DA-C08D-461E-B213-7238F8AC4C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514350</xdr:colOff>
      <xdr:row>9</xdr:row>
      <xdr:rowOff>133350</xdr:rowOff>
    </xdr:from>
    <xdr:to>
      <xdr:col>12</xdr:col>
      <xdr:colOff>19050</xdr:colOff>
      <xdr:row>24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1BDC5A-09B7-49EC-BCA0-6F935D0754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114300</xdr:colOff>
      <xdr:row>9</xdr:row>
      <xdr:rowOff>123825</xdr:rowOff>
    </xdr:from>
    <xdr:to>
      <xdr:col>19</xdr:col>
      <xdr:colOff>190500</xdr:colOff>
      <xdr:row>24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C21B62F-137F-4AE1-9A2D-39BA395842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24</xdr:row>
      <xdr:rowOff>104775</xdr:rowOff>
    </xdr:from>
    <xdr:to>
      <xdr:col>5</xdr:col>
      <xdr:colOff>361950</xdr:colOff>
      <xdr:row>38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00418CD-9EF1-469F-A7C2-D2CB92E790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504825</xdr:colOff>
      <xdr:row>24</xdr:row>
      <xdr:rowOff>123825</xdr:rowOff>
    </xdr:from>
    <xdr:to>
      <xdr:col>12</xdr:col>
      <xdr:colOff>9525</xdr:colOff>
      <xdr:row>39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F76EE77-1A5B-4CD4-8F60-E734C0FD7A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104775</xdr:colOff>
      <xdr:row>24</xdr:row>
      <xdr:rowOff>114300</xdr:rowOff>
    </xdr:from>
    <xdr:to>
      <xdr:col>19</xdr:col>
      <xdr:colOff>180975</xdr:colOff>
      <xdr:row>39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12A154A-23AF-49AA-8A4C-2B55A75679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392105</xdr:colOff>
      <xdr:row>3</xdr:row>
      <xdr:rowOff>22860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92798" cy="6172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7924</xdr:colOff>
      <xdr:row>0</xdr:row>
      <xdr:rowOff>7620</xdr:rowOff>
    </xdr:from>
    <xdr:to>
      <xdr:col>1</xdr:col>
      <xdr:colOff>15240</xdr:colOff>
      <xdr:row>2</xdr:row>
      <xdr:rowOff>170330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F5BED0-99B4-4535-952D-413DC8CF2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" y="7620"/>
          <a:ext cx="395936" cy="574190"/>
        </a:xfrm>
        <a:prstGeom prst="rect">
          <a:avLst/>
        </a:prstGeom>
      </xdr:spPr>
    </xdr:pic>
    <xdr:clientData/>
  </xdr:twoCellAnchor>
  <xdr:twoCellAnchor>
    <xdr:from>
      <xdr:col>1</xdr:col>
      <xdr:colOff>2832848</xdr:colOff>
      <xdr:row>45</xdr:row>
      <xdr:rowOff>179286</xdr:rowOff>
    </xdr:from>
    <xdr:to>
      <xdr:col>6</xdr:col>
      <xdr:colOff>403412</xdr:colOff>
      <xdr:row>56</xdr:row>
      <xdr:rowOff>98621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CDB846E-5440-46B9-B815-1C33647514E9}"/>
            </a:ext>
          </a:extLst>
        </xdr:cNvPr>
        <xdr:cNvSpPr txBox="1"/>
      </xdr:nvSpPr>
      <xdr:spPr>
        <a:xfrm>
          <a:off x="3221468" y="11258766"/>
          <a:ext cx="3361764" cy="193101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PT PLN (PERSERO) UP3 TOLITOLI</a:t>
          </a:r>
        </a:p>
        <a:p>
          <a:pPr algn="ctr"/>
          <a:r>
            <a:rPr lang="en-US" sz="1400" b="1"/>
            <a:t>MANAGER</a:t>
          </a:r>
          <a:endParaRPr lang="en-US" sz="1400" b="1" baseline="0"/>
        </a:p>
        <a:p>
          <a:pPr algn="ctr"/>
          <a:endParaRPr lang="en-US" sz="1400" b="1" baseline="0"/>
        </a:p>
        <a:p>
          <a:pPr algn="ctr"/>
          <a:endParaRPr lang="en-US" sz="1400" b="1" baseline="0"/>
        </a:p>
        <a:p>
          <a:pPr algn="ctr"/>
          <a:endParaRPr lang="en-US" sz="1400" b="1" baseline="0"/>
        </a:p>
        <a:p>
          <a:pPr algn="ctr"/>
          <a:endParaRPr lang="en-US" sz="1400" b="1" baseline="0"/>
        </a:p>
        <a:p>
          <a:pPr algn="ctr"/>
          <a:endParaRPr lang="en-US" sz="1400" b="1" baseline="0"/>
        </a:p>
        <a:p>
          <a:pPr algn="ctr"/>
          <a:r>
            <a:rPr lang="en-US" sz="1400" b="1" baseline="0"/>
            <a:t>RUDIYANTO LOLEH</a:t>
          </a:r>
          <a:endParaRPr lang="en-US" sz="1400" b="1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3</xdr:row>
      <xdr:rowOff>19018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92798" cy="6172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3</xdr:row>
      <xdr:rowOff>22860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167D6E-8388-49F4-BA2A-94DFBA9C0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92798" cy="6172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7924</xdr:colOff>
      <xdr:row>0</xdr:row>
      <xdr:rowOff>7620</xdr:rowOff>
    </xdr:from>
    <xdr:to>
      <xdr:col>1</xdr:col>
      <xdr:colOff>15240</xdr:colOff>
      <xdr:row>2</xdr:row>
      <xdr:rowOff>170330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" y="7620"/>
          <a:ext cx="392798" cy="575086"/>
        </a:xfrm>
        <a:prstGeom prst="rect">
          <a:avLst/>
        </a:prstGeom>
      </xdr:spPr>
    </xdr:pic>
    <xdr:clientData/>
  </xdr:twoCellAnchor>
  <xdr:twoCellAnchor>
    <xdr:from>
      <xdr:col>1</xdr:col>
      <xdr:colOff>3082230</xdr:colOff>
      <xdr:row>71</xdr:row>
      <xdr:rowOff>179286</xdr:rowOff>
    </xdr:from>
    <xdr:to>
      <xdr:col>6</xdr:col>
      <xdr:colOff>652794</xdr:colOff>
      <xdr:row>82</xdr:row>
      <xdr:rowOff>98621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3470157" y="18065504"/>
          <a:ext cx="3971364" cy="190053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PT PLN (PERSERO) UP3 TOLITOLI</a:t>
          </a:r>
        </a:p>
        <a:p>
          <a:pPr algn="ctr"/>
          <a:r>
            <a:rPr lang="en-US" sz="1400" b="1"/>
            <a:t>MANAGER UP3</a:t>
          </a:r>
          <a:endParaRPr lang="en-US" sz="1400" b="1" baseline="0"/>
        </a:p>
        <a:p>
          <a:pPr algn="ctr"/>
          <a:endParaRPr lang="en-US" sz="1400" b="1" baseline="0"/>
        </a:p>
        <a:p>
          <a:pPr algn="ctr"/>
          <a:endParaRPr lang="en-US" sz="1400" b="1" baseline="0"/>
        </a:p>
        <a:p>
          <a:pPr algn="ctr"/>
          <a:endParaRPr lang="en-US" sz="1400" b="1" baseline="0"/>
        </a:p>
        <a:p>
          <a:pPr algn="ctr"/>
          <a:endParaRPr lang="en-US" sz="1400" b="1" baseline="0"/>
        </a:p>
        <a:p>
          <a:pPr algn="ctr"/>
          <a:endParaRPr lang="en-US" sz="1400" b="1" baseline="0"/>
        </a:p>
        <a:p>
          <a:pPr algn="ctr"/>
          <a:r>
            <a:rPr lang="en-US" sz="1400" b="1" baseline="0"/>
            <a:t>ICUK SULISTIANTO</a:t>
          </a:r>
          <a:endParaRPr lang="en-US" sz="1400" b="1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7924</xdr:colOff>
      <xdr:row>0</xdr:row>
      <xdr:rowOff>7620</xdr:rowOff>
    </xdr:from>
    <xdr:to>
      <xdr:col>1</xdr:col>
      <xdr:colOff>15240</xdr:colOff>
      <xdr:row>2</xdr:row>
      <xdr:rowOff>170330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35691B-E7BA-4CB4-BA9B-FEE4FBD73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" y="7620"/>
          <a:ext cx="395936" cy="574190"/>
        </a:xfrm>
        <a:prstGeom prst="rect">
          <a:avLst/>
        </a:prstGeom>
      </xdr:spPr>
    </xdr:pic>
    <xdr:clientData/>
  </xdr:twoCellAnchor>
  <xdr:twoCellAnchor>
    <xdr:from>
      <xdr:col>1</xdr:col>
      <xdr:colOff>2832848</xdr:colOff>
      <xdr:row>52</xdr:row>
      <xdr:rowOff>179286</xdr:rowOff>
    </xdr:from>
    <xdr:to>
      <xdr:col>6</xdr:col>
      <xdr:colOff>403412</xdr:colOff>
      <xdr:row>63</xdr:row>
      <xdr:rowOff>98621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B72823B-E85F-466E-BB9F-57052473F372}"/>
            </a:ext>
          </a:extLst>
        </xdr:cNvPr>
        <xdr:cNvSpPr txBox="1"/>
      </xdr:nvSpPr>
      <xdr:spPr>
        <a:xfrm>
          <a:off x="3221468" y="13681926"/>
          <a:ext cx="3224604" cy="193101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PT PLN (PERSERO) UP3 TOLITOLI</a:t>
          </a:r>
        </a:p>
        <a:p>
          <a:pPr algn="ctr"/>
          <a:r>
            <a:rPr lang="en-US" sz="1400" b="1"/>
            <a:t>MANAGER UP3</a:t>
          </a:r>
          <a:endParaRPr lang="en-US" sz="1400" b="1" baseline="0"/>
        </a:p>
        <a:p>
          <a:pPr algn="ctr"/>
          <a:endParaRPr lang="en-US" sz="1400" b="1" baseline="0"/>
        </a:p>
        <a:p>
          <a:pPr algn="ctr"/>
          <a:endParaRPr lang="en-US" sz="1400" b="1" baseline="0"/>
        </a:p>
        <a:p>
          <a:pPr algn="ctr"/>
          <a:endParaRPr lang="en-US" sz="1400" b="1" baseline="0"/>
        </a:p>
        <a:p>
          <a:pPr algn="ctr"/>
          <a:endParaRPr lang="en-US" sz="1400" b="1" baseline="0"/>
        </a:p>
        <a:p>
          <a:pPr algn="ctr"/>
          <a:endParaRPr lang="en-US" sz="1400" b="1" baseline="0"/>
        </a:p>
        <a:p>
          <a:pPr algn="ctr"/>
          <a:r>
            <a:rPr lang="en-US" sz="1400" b="1" baseline="0"/>
            <a:t>RUDIYANTO LOLEH</a:t>
          </a:r>
          <a:endParaRPr lang="en-US" sz="1400" b="1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90616</xdr:colOff>
      <xdr:row>1</xdr:row>
      <xdr:rowOff>75557</xdr:rowOff>
    </xdr:from>
    <xdr:to>
      <xdr:col>0</xdr:col>
      <xdr:colOff>402016</xdr:colOff>
      <xdr:row>3</xdr:row>
      <xdr:rowOff>82364</xdr:rowOff>
    </xdr:to>
    <xdr:sp macro="" textlink="">
      <xdr:nvSpPr>
        <xdr:cNvPr id="9" name="Right Arrow 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SpPr/>
      </xdr:nvSpPr>
      <xdr:spPr>
        <a:xfrm rot="16365972">
          <a:off x="47650" y="328073"/>
          <a:ext cx="397332" cy="311400"/>
        </a:xfrm>
        <a:prstGeom prst="rightArrow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id-ID" sz="1100"/>
        </a:p>
      </xdr:txBody>
    </xdr:sp>
    <xdr:clientData/>
  </xdr:twoCellAnchor>
  <xdr:twoCellAnchor editAs="oneCell">
    <xdr:from>
      <xdr:col>13</xdr:col>
      <xdr:colOff>26895</xdr:colOff>
      <xdr:row>1</xdr:row>
      <xdr:rowOff>179293</xdr:rowOff>
    </xdr:from>
    <xdr:to>
      <xdr:col>14</xdr:col>
      <xdr:colOff>2565</xdr:colOff>
      <xdr:row>4</xdr:row>
      <xdr:rowOff>90940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507" y="385481"/>
          <a:ext cx="356671" cy="488589"/>
        </a:xfrm>
        <a:prstGeom prst="rect">
          <a:avLst/>
        </a:prstGeom>
      </xdr:spPr>
    </xdr:pic>
    <xdr:clientData/>
  </xdr:twoCellAnchor>
  <xdr:twoCellAnchor editAs="oneCell">
    <xdr:from>
      <xdr:col>24</xdr:col>
      <xdr:colOff>26894</xdr:colOff>
      <xdr:row>2</xdr:row>
      <xdr:rowOff>8965</xdr:rowOff>
    </xdr:from>
    <xdr:to>
      <xdr:col>25</xdr:col>
      <xdr:colOff>2565</xdr:colOff>
      <xdr:row>4</xdr:row>
      <xdr:rowOff>105669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06518" y="394447"/>
          <a:ext cx="356671" cy="488589"/>
        </a:xfrm>
        <a:prstGeom prst="rect">
          <a:avLst/>
        </a:prstGeom>
      </xdr:spPr>
    </xdr:pic>
    <xdr:clientData/>
  </xdr:twoCellAnchor>
  <xdr:twoCellAnchor editAs="oneCell">
    <xdr:from>
      <xdr:col>35</xdr:col>
      <xdr:colOff>26894</xdr:colOff>
      <xdr:row>2</xdr:row>
      <xdr:rowOff>8964</xdr:rowOff>
    </xdr:from>
    <xdr:to>
      <xdr:col>36</xdr:col>
      <xdr:colOff>2565</xdr:colOff>
      <xdr:row>4</xdr:row>
      <xdr:rowOff>105668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88282" y="394446"/>
          <a:ext cx="356671" cy="488589"/>
        </a:xfrm>
        <a:prstGeom prst="rect">
          <a:avLst/>
        </a:prstGeom>
      </xdr:spPr>
    </xdr:pic>
    <xdr:clientData/>
  </xdr:twoCellAnchor>
  <xdr:twoCellAnchor editAs="oneCell">
    <xdr:from>
      <xdr:col>46</xdr:col>
      <xdr:colOff>26894</xdr:colOff>
      <xdr:row>2</xdr:row>
      <xdr:rowOff>8965</xdr:rowOff>
    </xdr:from>
    <xdr:to>
      <xdr:col>47</xdr:col>
      <xdr:colOff>2567</xdr:colOff>
      <xdr:row>4</xdr:row>
      <xdr:rowOff>105669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74847" y="394447"/>
          <a:ext cx="356671" cy="488589"/>
        </a:xfrm>
        <a:prstGeom prst="rect">
          <a:avLst/>
        </a:prstGeom>
      </xdr:spPr>
    </xdr:pic>
    <xdr:clientData/>
  </xdr:twoCellAnchor>
  <xdr:twoCellAnchor editAs="oneCell">
    <xdr:from>
      <xdr:col>2</xdr:col>
      <xdr:colOff>26895</xdr:colOff>
      <xdr:row>1</xdr:row>
      <xdr:rowOff>179293</xdr:rowOff>
    </xdr:from>
    <xdr:to>
      <xdr:col>3</xdr:col>
      <xdr:colOff>2566</xdr:colOff>
      <xdr:row>4</xdr:row>
      <xdr:rowOff>90940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6919" y="385481"/>
          <a:ext cx="356671" cy="488589"/>
        </a:xfrm>
        <a:prstGeom prst="rect">
          <a:avLst/>
        </a:prstGeom>
      </xdr:spPr>
    </xdr:pic>
    <xdr:clientData/>
  </xdr:twoCellAnchor>
  <xdr:twoCellAnchor>
    <xdr:from>
      <xdr:col>3</xdr:col>
      <xdr:colOff>2649976</xdr:colOff>
      <xdr:row>60</xdr:row>
      <xdr:rowOff>105674</xdr:rowOff>
    </xdr:from>
    <xdr:to>
      <xdr:col>9</xdr:col>
      <xdr:colOff>138546</xdr:colOff>
      <xdr:row>72</xdr:row>
      <xdr:rowOff>124692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SpPr txBox="1"/>
      </xdr:nvSpPr>
      <xdr:spPr>
        <a:xfrm>
          <a:off x="3896885" y="11618801"/>
          <a:ext cx="5607334" cy="218032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PT PLN (PERSERO) UP3 TOLITOLI</a:t>
          </a:r>
        </a:p>
        <a:p>
          <a:pPr algn="ctr"/>
          <a:r>
            <a:rPr lang="en-US" sz="1400" b="1"/>
            <a:t>MANAGER UP3</a:t>
          </a:r>
          <a:endParaRPr lang="en-US" sz="1400" b="1" baseline="0"/>
        </a:p>
        <a:p>
          <a:pPr algn="ctr"/>
          <a:endParaRPr lang="en-US" sz="1400" b="1" baseline="0"/>
        </a:p>
        <a:p>
          <a:pPr algn="ctr"/>
          <a:endParaRPr lang="en-US" sz="1400" b="1" baseline="0"/>
        </a:p>
        <a:p>
          <a:pPr algn="ctr"/>
          <a:endParaRPr lang="en-US" sz="1400" b="1" baseline="0"/>
        </a:p>
        <a:p>
          <a:pPr algn="ctr"/>
          <a:endParaRPr lang="en-US" sz="1400" b="1" baseline="0"/>
        </a:p>
        <a:p>
          <a:pPr algn="ctr"/>
          <a:endParaRPr lang="en-US" sz="1400" b="1" baseline="0"/>
        </a:p>
        <a:p>
          <a:pPr algn="ctr"/>
          <a:r>
            <a:rPr lang="en-US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ICUK SULISTIANTO</a:t>
          </a:r>
          <a:endParaRPr lang="en-ID" sz="1800">
            <a:effectLst/>
          </a:endParaRPr>
        </a:p>
      </xdr:txBody>
    </xdr:sp>
    <xdr:clientData/>
  </xdr:twoCellAnchor>
  <xdr:twoCellAnchor>
    <xdr:from>
      <xdr:col>14</xdr:col>
      <xdr:colOff>2396838</xdr:colOff>
      <xdr:row>60</xdr:row>
      <xdr:rowOff>63439</xdr:rowOff>
    </xdr:from>
    <xdr:to>
      <xdr:col>19</xdr:col>
      <xdr:colOff>455028</xdr:colOff>
      <xdr:row>70</xdr:row>
      <xdr:rowOff>138546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B6AF48CD-088E-4379-B297-3D7773FBF461}"/>
            </a:ext>
          </a:extLst>
        </xdr:cNvPr>
        <xdr:cNvSpPr txBox="1"/>
      </xdr:nvSpPr>
      <xdr:spPr>
        <a:xfrm>
          <a:off x="15863456" y="11576566"/>
          <a:ext cx="4666808" cy="187619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PT PLN (PERSERO) UP3 TOLITOLI</a:t>
          </a:r>
        </a:p>
        <a:p>
          <a:pPr algn="ctr"/>
          <a:r>
            <a:rPr lang="en-US" sz="1400" b="1"/>
            <a:t>MANAGER UP3</a:t>
          </a:r>
          <a:endParaRPr lang="en-US" sz="1400" b="1" baseline="0"/>
        </a:p>
        <a:p>
          <a:pPr algn="ctr"/>
          <a:endParaRPr lang="en-US" sz="1400" b="1" baseline="0"/>
        </a:p>
        <a:p>
          <a:pPr algn="ctr"/>
          <a:endParaRPr lang="en-US" sz="1400" b="1" baseline="0"/>
        </a:p>
        <a:p>
          <a:pPr algn="ctr"/>
          <a:endParaRPr lang="en-US" sz="1400" b="1" baseline="0"/>
        </a:p>
        <a:p>
          <a:pPr algn="ctr"/>
          <a:endParaRPr lang="en-US" sz="1400" b="1" baseline="0"/>
        </a:p>
        <a:p>
          <a:pPr algn="ctr"/>
          <a:endParaRPr lang="en-US" sz="1400" b="1" baseline="0"/>
        </a:p>
        <a:p>
          <a:pPr algn="ctr"/>
          <a:r>
            <a:rPr lang="en-US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ICUK SULISTIANTO</a:t>
          </a:r>
          <a:endParaRPr lang="en-ID" sz="1800">
            <a:effectLst/>
          </a:endParaRPr>
        </a:p>
      </xdr:txBody>
    </xdr:sp>
    <xdr:clientData/>
  </xdr:twoCellAnchor>
  <xdr:twoCellAnchor>
    <xdr:from>
      <xdr:col>25</xdr:col>
      <xdr:colOff>2078182</xdr:colOff>
      <xdr:row>60</xdr:row>
      <xdr:rowOff>66842</xdr:rowOff>
    </xdr:from>
    <xdr:to>
      <xdr:col>30</xdr:col>
      <xdr:colOff>554926</xdr:colOff>
      <xdr:row>73</xdr:row>
      <xdr:rowOff>138546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324A62F7-D89C-4A82-89BD-E9938247B3C8}"/>
            </a:ext>
          </a:extLst>
        </xdr:cNvPr>
        <xdr:cNvSpPr txBox="1"/>
      </xdr:nvSpPr>
      <xdr:spPr>
        <a:xfrm>
          <a:off x="26282073" y="11579969"/>
          <a:ext cx="4794417" cy="241312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PT PLN (PERSERO) UP3 TOLITOLI</a:t>
          </a:r>
        </a:p>
        <a:p>
          <a:pPr algn="ctr"/>
          <a:r>
            <a:rPr lang="en-US" sz="1400" b="1"/>
            <a:t>MANAGER UP3</a:t>
          </a:r>
          <a:endParaRPr lang="en-US" sz="1400" b="1" baseline="0"/>
        </a:p>
        <a:p>
          <a:pPr algn="ctr"/>
          <a:endParaRPr lang="en-US" sz="1400" b="1" baseline="0"/>
        </a:p>
        <a:p>
          <a:pPr algn="ctr"/>
          <a:endParaRPr lang="en-US" sz="1400" b="1" baseline="0"/>
        </a:p>
        <a:p>
          <a:pPr algn="ctr"/>
          <a:endParaRPr lang="en-US" sz="1400" b="1" baseline="0"/>
        </a:p>
        <a:p>
          <a:pPr algn="ctr"/>
          <a:endParaRPr lang="en-US" sz="1400" b="1" baseline="0"/>
        </a:p>
        <a:p>
          <a:pPr algn="ctr"/>
          <a:endParaRPr lang="en-US" sz="1400" b="1" baseline="0"/>
        </a:p>
        <a:p>
          <a:pPr algn="ctr"/>
          <a:r>
            <a:rPr lang="en-US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ICUK SULISTIANTO</a:t>
          </a:r>
          <a:endParaRPr lang="en-ID" sz="1800">
            <a:effectLst/>
          </a:endParaRPr>
        </a:p>
      </xdr:txBody>
    </xdr:sp>
    <xdr:clientData/>
  </xdr:twoCellAnchor>
  <xdr:twoCellAnchor>
    <xdr:from>
      <xdr:col>36</xdr:col>
      <xdr:colOff>2382982</xdr:colOff>
      <xdr:row>60</xdr:row>
      <xdr:rowOff>106948</xdr:rowOff>
    </xdr:from>
    <xdr:to>
      <xdr:col>41</xdr:col>
      <xdr:colOff>486139</xdr:colOff>
      <xdr:row>70</xdr:row>
      <xdr:rowOff>166255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61BB4456-AFB4-4C5A-BDB8-13A8077EA508}"/>
            </a:ext>
          </a:extLst>
        </xdr:cNvPr>
        <xdr:cNvSpPr txBox="1"/>
      </xdr:nvSpPr>
      <xdr:spPr>
        <a:xfrm>
          <a:off x="37047055" y="11620075"/>
          <a:ext cx="4628648" cy="186039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PT PLN (PERSERO) UP3 TOLITOLI</a:t>
          </a:r>
        </a:p>
        <a:p>
          <a:pPr algn="ctr"/>
          <a:r>
            <a:rPr lang="en-US" sz="1400" b="1"/>
            <a:t>MANAGER UP3</a:t>
          </a:r>
          <a:endParaRPr lang="en-US" sz="1400" b="1" baseline="0"/>
        </a:p>
        <a:p>
          <a:pPr algn="ctr"/>
          <a:endParaRPr lang="en-US" sz="1400" b="1" baseline="0"/>
        </a:p>
        <a:p>
          <a:pPr algn="ctr"/>
          <a:endParaRPr lang="en-US" sz="1400" b="1" baseline="0"/>
        </a:p>
        <a:p>
          <a:pPr algn="ctr"/>
          <a:endParaRPr lang="en-US" sz="1400" b="1" baseline="0"/>
        </a:p>
        <a:p>
          <a:pPr algn="ctr"/>
          <a:endParaRPr lang="en-US" sz="1400" b="1" baseline="0"/>
        </a:p>
        <a:p>
          <a:pPr algn="ctr"/>
          <a:endParaRPr lang="en-US" sz="1400" b="1" baseline="0"/>
        </a:p>
        <a:p>
          <a:pPr algn="ctr"/>
          <a:r>
            <a:rPr lang="en-US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ICUK SULISTIANTO</a:t>
          </a:r>
          <a:endParaRPr lang="en-ID" sz="1800">
            <a:effectLst/>
          </a:endParaRPr>
        </a:p>
      </xdr:txBody>
    </xdr:sp>
    <xdr:clientData/>
  </xdr:twoCellAnchor>
  <xdr:twoCellAnchor>
    <xdr:from>
      <xdr:col>47</xdr:col>
      <xdr:colOff>2050472</xdr:colOff>
      <xdr:row>60</xdr:row>
      <xdr:rowOff>93579</xdr:rowOff>
    </xdr:from>
    <xdr:to>
      <xdr:col>53</xdr:col>
      <xdr:colOff>81439</xdr:colOff>
      <xdr:row>71</xdr:row>
      <xdr:rowOff>152400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BAE43062-7715-48E7-A2FE-36925EA90B24}"/>
            </a:ext>
          </a:extLst>
        </xdr:cNvPr>
        <xdr:cNvSpPr txBox="1"/>
      </xdr:nvSpPr>
      <xdr:spPr>
        <a:xfrm>
          <a:off x="47631927" y="11606706"/>
          <a:ext cx="4902821" cy="204002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PT PLN (PERSERO) UP3 TOLITOLI</a:t>
          </a:r>
        </a:p>
        <a:p>
          <a:pPr algn="ctr"/>
          <a:r>
            <a:rPr lang="en-US" sz="1400" b="1"/>
            <a:t>MANAGER UP3</a:t>
          </a:r>
          <a:endParaRPr lang="en-US" sz="1400" b="1" baseline="0"/>
        </a:p>
        <a:p>
          <a:pPr algn="ctr"/>
          <a:endParaRPr lang="en-US" sz="1400" b="1" baseline="0"/>
        </a:p>
        <a:p>
          <a:pPr algn="ctr"/>
          <a:endParaRPr lang="en-US" sz="1400" b="1" baseline="0"/>
        </a:p>
        <a:p>
          <a:pPr algn="ctr"/>
          <a:endParaRPr lang="en-US" sz="1400" b="1" baseline="0"/>
        </a:p>
        <a:p>
          <a:pPr algn="ctr"/>
          <a:endParaRPr lang="en-US" sz="1400" b="1" baseline="0"/>
        </a:p>
        <a:p>
          <a:pPr algn="ctr"/>
          <a:endParaRPr lang="en-US" sz="1400" b="1" baseline="0"/>
        </a:p>
        <a:p>
          <a:pPr algn="ctr"/>
          <a:r>
            <a:rPr lang="en-US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ICUK SULISTIANTO</a:t>
          </a:r>
          <a:endParaRPr lang="en-ID" sz="1800">
            <a:effectLst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10582</xdr:colOff>
      <xdr:row>3</xdr:row>
      <xdr:rowOff>19018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91582" cy="61337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4178</xdr:colOff>
      <xdr:row>3</xdr:row>
      <xdr:rowOff>22860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1D7080-DF32-40F3-8051-B8408931D3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92798" cy="6172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10582</xdr:colOff>
      <xdr:row>3</xdr:row>
      <xdr:rowOff>19018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96064" cy="610689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10582</xdr:colOff>
      <xdr:row>3</xdr:row>
      <xdr:rowOff>19018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780ED6-AEDA-429E-8140-4DA4C4DCD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91582" cy="613378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10582</xdr:colOff>
      <xdr:row>3</xdr:row>
      <xdr:rowOff>19018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6D59B4-5F9A-4F82-A3EA-743853A80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91582" cy="613378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10582</xdr:colOff>
      <xdr:row>3</xdr:row>
      <xdr:rowOff>19018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DFF98B-6149-4735-978F-3A88459025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91582" cy="613378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10582</xdr:colOff>
      <xdr:row>3</xdr:row>
      <xdr:rowOff>19018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D9FBB7-22B6-4325-A769-E50FABC81A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91582" cy="613378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4178</xdr:colOff>
      <xdr:row>2</xdr:row>
      <xdr:rowOff>145676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5178" cy="549088"/>
        </a:xfrm>
        <a:prstGeom prst="rect">
          <a:avLst/>
        </a:prstGeom>
      </xdr:spPr>
    </xdr:pic>
    <xdr:clientData/>
  </xdr:twoCellAnchor>
  <xdr:oneCellAnchor>
    <xdr:from>
      <xdr:col>22</xdr:col>
      <xdr:colOff>100854</xdr:colOff>
      <xdr:row>0</xdr:row>
      <xdr:rowOff>0</xdr:rowOff>
    </xdr:from>
    <xdr:ext cx="385178" cy="549088"/>
    <xdr:pic>
      <xdr:nvPicPr>
        <xdr:cNvPr id="4" name="Picture 3">
          <a:extLst>
            <a:ext uri="{FF2B5EF4-FFF2-40B4-BE49-F238E27FC236}">
              <a16:creationId xmlns:a16="http://schemas.microsoft.com/office/drawing/2014/main" id="{55776C4E-1E50-4F66-AE50-51FF7B09B8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65472" y="0"/>
          <a:ext cx="385178" cy="549088"/>
        </a:xfrm>
        <a:prstGeom prst="rect">
          <a:avLst/>
        </a:prstGeom>
      </xdr:spPr>
    </xdr:pic>
    <xdr:clientData/>
  </xdr:oneCellAnchor>
  <xdr:oneCellAnchor>
    <xdr:from>
      <xdr:col>44</xdr:col>
      <xdr:colOff>100854</xdr:colOff>
      <xdr:row>0</xdr:row>
      <xdr:rowOff>0</xdr:rowOff>
    </xdr:from>
    <xdr:ext cx="385178" cy="549088"/>
    <xdr:pic>
      <xdr:nvPicPr>
        <xdr:cNvPr id="5" name="Picture 4">
          <a:extLst>
            <a:ext uri="{FF2B5EF4-FFF2-40B4-BE49-F238E27FC236}">
              <a16:creationId xmlns:a16="http://schemas.microsoft.com/office/drawing/2014/main" id="{7C7470EF-9BA5-47EF-B7AD-0272FD2F7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09560" y="0"/>
          <a:ext cx="385178" cy="549088"/>
        </a:xfrm>
        <a:prstGeom prst="rect">
          <a:avLst/>
        </a:prstGeom>
      </xdr:spPr>
    </xdr:pic>
    <xdr:clientData/>
  </xdr:oneCellAnchor>
  <xdr:oneCellAnchor>
    <xdr:from>
      <xdr:col>66</xdr:col>
      <xdr:colOff>100854</xdr:colOff>
      <xdr:row>0</xdr:row>
      <xdr:rowOff>0</xdr:rowOff>
    </xdr:from>
    <xdr:ext cx="385178" cy="549088"/>
    <xdr:pic>
      <xdr:nvPicPr>
        <xdr:cNvPr id="6" name="Picture 5">
          <a:extLst>
            <a:ext uri="{FF2B5EF4-FFF2-40B4-BE49-F238E27FC236}">
              <a16:creationId xmlns:a16="http://schemas.microsoft.com/office/drawing/2014/main" id="{6B9E79F6-AA83-44C7-843C-B1079588A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80368" y="0"/>
          <a:ext cx="385178" cy="549088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4178</xdr:colOff>
      <xdr:row>3</xdr:row>
      <xdr:rowOff>22860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92798" cy="61722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19878</xdr:colOff>
      <xdr:row>0</xdr:row>
      <xdr:rowOff>0</xdr:rowOff>
    </xdr:from>
    <xdr:to>
      <xdr:col>0</xdr:col>
      <xdr:colOff>364435</xdr:colOff>
      <xdr:row>3</xdr:row>
      <xdr:rowOff>608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D9CF08-468D-491D-B5D3-63471EFE0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78" y="0"/>
          <a:ext cx="344557" cy="557199"/>
        </a:xfrm>
        <a:prstGeom prst="rect">
          <a:avLst/>
        </a:prstGeom>
      </xdr:spPr>
    </xdr:pic>
    <xdr:clientData/>
  </xdr:twoCellAnchor>
  <xdr:oneCellAnchor>
    <xdr:from>
      <xdr:col>22</xdr:col>
      <xdr:colOff>39756</xdr:colOff>
      <xdr:row>0</xdr:row>
      <xdr:rowOff>0</xdr:rowOff>
    </xdr:from>
    <xdr:ext cx="329326" cy="530087"/>
    <xdr:pic>
      <xdr:nvPicPr>
        <xdr:cNvPr id="3" name="Picture 2">
          <a:extLst>
            <a:ext uri="{FF2B5EF4-FFF2-40B4-BE49-F238E27FC236}">
              <a16:creationId xmlns:a16="http://schemas.microsoft.com/office/drawing/2014/main" id="{44425568-C531-44F6-8BAE-79DD9F22A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65617" y="0"/>
          <a:ext cx="329326" cy="530087"/>
        </a:xfrm>
        <a:prstGeom prst="rect">
          <a:avLst/>
        </a:prstGeom>
      </xdr:spPr>
    </xdr:pic>
    <xdr:clientData/>
  </xdr:oneCellAnchor>
  <xdr:oneCellAnchor>
    <xdr:from>
      <xdr:col>44</xdr:col>
      <xdr:colOff>39756</xdr:colOff>
      <xdr:row>0</xdr:row>
      <xdr:rowOff>0</xdr:rowOff>
    </xdr:from>
    <xdr:ext cx="329326" cy="530087"/>
    <xdr:pic>
      <xdr:nvPicPr>
        <xdr:cNvPr id="5" name="Picture 4">
          <a:extLst>
            <a:ext uri="{FF2B5EF4-FFF2-40B4-BE49-F238E27FC236}">
              <a16:creationId xmlns:a16="http://schemas.microsoft.com/office/drawing/2014/main" id="{8029585F-2915-4FC0-BF0A-114D9157D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65617" y="0"/>
          <a:ext cx="329326" cy="530087"/>
        </a:xfrm>
        <a:prstGeom prst="rect">
          <a:avLst/>
        </a:prstGeom>
      </xdr:spPr>
    </xdr:pic>
    <xdr:clientData/>
  </xdr:oneCellAnchor>
  <xdr:oneCellAnchor>
    <xdr:from>
      <xdr:col>66</xdr:col>
      <xdr:colOff>39756</xdr:colOff>
      <xdr:row>0</xdr:row>
      <xdr:rowOff>0</xdr:rowOff>
    </xdr:from>
    <xdr:ext cx="329326" cy="530087"/>
    <xdr:pic>
      <xdr:nvPicPr>
        <xdr:cNvPr id="6" name="Picture 5">
          <a:extLst>
            <a:ext uri="{FF2B5EF4-FFF2-40B4-BE49-F238E27FC236}">
              <a16:creationId xmlns:a16="http://schemas.microsoft.com/office/drawing/2014/main" id="{ADD9D251-5D94-459D-9DA7-836BD044A6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65617" y="0"/>
          <a:ext cx="329326" cy="530087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4178</xdr:colOff>
      <xdr:row>3</xdr:row>
      <xdr:rowOff>22860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70EC17-7B60-431C-AF7A-012C953AE6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92798" cy="617220"/>
        </a:xfrm>
        <a:prstGeom prst="rect">
          <a:avLst/>
        </a:prstGeom>
      </xdr:spPr>
    </xdr:pic>
    <xdr:clientData/>
  </xdr:twoCellAnchor>
  <xdr:oneCellAnchor>
    <xdr:from>
      <xdr:col>22</xdr:col>
      <xdr:colOff>0</xdr:colOff>
      <xdr:row>0</xdr:row>
      <xdr:rowOff>0</xdr:rowOff>
    </xdr:from>
    <xdr:ext cx="395117" cy="619208"/>
    <xdr:pic>
      <xdr:nvPicPr>
        <xdr:cNvPr id="3" name="Picture 2">
          <a:extLst>
            <a:ext uri="{FF2B5EF4-FFF2-40B4-BE49-F238E27FC236}">
              <a16:creationId xmlns:a16="http://schemas.microsoft.com/office/drawing/2014/main" id="{51D839CF-E72B-4BB3-8D5F-BE5136A11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95117" cy="619208"/>
        </a:xfrm>
        <a:prstGeom prst="rect">
          <a:avLst/>
        </a:prstGeom>
      </xdr:spPr>
    </xdr:pic>
    <xdr:clientData/>
  </xdr:oneCellAnchor>
  <xdr:oneCellAnchor>
    <xdr:from>
      <xdr:col>44</xdr:col>
      <xdr:colOff>0</xdr:colOff>
      <xdr:row>0</xdr:row>
      <xdr:rowOff>0</xdr:rowOff>
    </xdr:from>
    <xdr:ext cx="395117" cy="619208"/>
    <xdr:pic>
      <xdr:nvPicPr>
        <xdr:cNvPr id="6" name="Picture 5">
          <a:extLst>
            <a:ext uri="{FF2B5EF4-FFF2-40B4-BE49-F238E27FC236}">
              <a16:creationId xmlns:a16="http://schemas.microsoft.com/office/drawing/2014/main" id="{1E1DE978-DC64-455D-9F95-DEF913C71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95117" cy="619208"/>
        </a:xfrm>
        <a:prstGeom prst="rect">
          <a:avLst/>
        </a:prstGeom>
      </xdr:spPr>
    </xdr:pic>
    <xdr:clientData/>
  </xdr:oneCellAnchor>
  <xdr:oneCellAnchor>
    <xdr:from>
      <xdr:col>66</xdr:col>
      <xdr:colOff>0</xdr:colOff>
      <xdr:row>0</xdr:row>
      <xdr:rowOff>0</xdr:rowOff>
    </xdr:from>
    <xdr:ext cx="395117" cy="619208"/>
    <xdr:pic>
      <xdr:nvPicPr>
        <xdr:cNvPr id="8" name="Picture 7">
          <a:extLst>
            <a:ext uri="{FF2B5EF4-FFF2-40B4-BE49-F238E27FC236}">
              <a16:creationId xmlns:a16="http://schemas.microsoft.com/office/drawing/2014/main" id="{32009DEB-91D9-4C73-9CD7-4EE778C4B7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95117" cy="619208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4178</xdr:colOff>
      <xdr:row>3</xdr:row>
      <xdr:rowOff>22860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5F3F83-0EEA-4165-820F-EDB0C72544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92798" cy="617220"/>
        </a:xfrm>
        <a:prstGeom prst="rect">
          <a:avLst/>
        </a:prstGeom>
      </xdr:spPr>
    </xdr:pic>
    <xdr:clientData/>
  </xdr:twoCellAnchor>
  <xdr:oneCellAnchor>
    <xdr:from>
      <xdr:col>22</xdr:col>
      <xdr:colOff>0</xdr:colOff>
      <xdr:row>0</xdr:row>
      <xdr:rowOff>0</xdr:rowOff>
    </xdr:from>
    <xdr:ext cx="385178" cy="594360"/>
    <xdr:pic>
      <xdr:nvPicPr>
        <xdr:cNvPr id="3" name="Picture 2">
          <a:extLst>
            <a:ext uri="{FF2B5EF4-FFF2-40B4-BE49-F238E27FC236}">
              <a16:creationId xmlns:a16="http://schemas.microsoft.com/office/drawing/2014/main" id="{5CC1FBD6-9526-4502-88D8-887924F9F7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5178" cy="594360"/>
        </a:xfrm>
        <a:prstGeom prst="rect">
          <a:avLst/>
        </a:prstGeom>
      </xdr:spPr>
    </xdr:pic>
    <xdr:clientData/>
  </xdr:oneCellAnchor>
  <xdr:oneCellAnchor>
    <xdr:from>
      <xdr:col>44</xdr:col>
      <xdr:colOff>0</xdr:colOff>
      <xdr:row>0</xdr:row>
      <xdr:rowOff>0</xdr:rowOff>
    </xdr:from>
    <xdr:ext cx="385178" cy="646315"/>
    <xdr:pic>
      <xdr:nvPicPr>
        <xdr:cNvPr id="4" name="Picture 3">
          <a:extLst>
            <a:ext uri="{FF2B5EF4-FFF2-40B4-BE49-F238E27FC236}">
              <a16:creationId xmlns:a16="http://schemas.microsoft.com/office/drawing/2014/main" id="{32F0CBA1-631A-4BCE-8FD8-B84F6DCDC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5178" cy="646315"/>
        </a:xfrm>
        <a:prstGeom prst="rect">
          <a:avLst/>
        </a:prstGeom>
      </xdr:spPr>
    </xdr:pic>
    <xdr:clientData/>
  </xdr:oneCellAnchor>
  <xdr:oneCellAnchor>
    <xdr:from>
      <xdr:col>66</xdr:col>
      <xdr:colOff>0</xdr:colOff>
      <xdr:row>0</xdr:row>
      <xdr:rowOff>0</xdr:rowOff>
    </xdr:from>
    <xdr:ext cx="385178" cy="646315"/>
    <xdr:pic>
      <xdr:nvPicPr>
        <xdr:cNvPr id="5" name="Picture 4">
          <a:extLst>
            <a:ext uri="{FF2B5EF4-FFF2-40B4-BE49-F238E27FC236}">
              <a16:creationId xmlns:a16="http://schemas.microsoft.com/office/drawing/2014/main" id="{828D4AE2-083D-43F4-89CF-3E0684AFE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5178" cy="646315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4178</xdr:colOff>
      <xdr:row>3</xdr:row>
      <xdr:rowOff>22860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B69320-FD78-43A7-B401-367314E292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92798" cy="617220"/>
        </a:xfrm>
        <a:prstGeom prst="rect">
          <a:avLst/>
        </a:prstGeom>
      </xdr:spPr>
    </xdr:pic>
    <xdr:clientData/>
  </xdr:twoCellAnchor>
  <xdr:oneCellAnchor>
    <xdr:from>
      <xdr:col>22</xdr:col>
      <xdr:colOff>0</xdr:colOff>
      <xdr:row>0</xdr:row>
      <xdr:rowOff>0</xdr:rowOff>
    </xdr:from>
    <xdr:ext cx="385178" cy="635181"/>
    <xdr:pic>
      <xdr:nvPicPr>
        <xdr:cNvPr id="3" name="Picture 2">
          <a:extLst>
            <a:ext uri="{FF2B5EF4-FFF2-40B4-BE49-F238E27FC236}">
              <a16:creationId xmlns:a16="http://schemas.microsoft.com/office/drawing/2014/main" id="{7AADFD38-A586-462E-BD3A-8BEC9ABBC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5178" cy="635181"/>
        </a:xfrm>
        <a:prstGeom prst="rect">
          <a:avLst/>
        </a:prstGeom>
      </xdr:spPr>
    </xdr:pic>
    <xdr:clientData/>
  </xdr:oneCellAnchor>
  <xdr:oneCellAnchor>
    <xdr:from>
      <xdr:col>22</xdr:col>
      <xdr:colOff>0</xdr:colOff>
      <xdr:row>0</xdr:row>
      <xdr:rowOff>0</xdr:rowOff>
    </xdr:from>
    <xdr:ext cx="385178" cy="635181"/>
    <xdr:pic>
      <xdr:nvPicPr>
        <xdr:cNvPr id="4" name="Picture 3">
          <a:extLst>
            <a:ext uri="{FF2B5EF4-FFF2-40B4-BE49-F238E27FC236}">
              <a16:creationId xmlns:a16="http://schemas.microsoft.com/office/drawing/2014/main" id="{FEED5A63-FBCD-4DC3-9F3E-8D903E4AD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5178" cy="635181"/>
        </a:xfrm>
        <a:prstGeom prst="rect">
          <a:avLst/>
        </a:prstGeom>
      </xdr:spPr>
    </xdr:pic>
    <xdr:clientData/>
  </xdr:oneCellAnchor>
  <xdr:oneCellAnchor>
    <xdr:from>
      <xdr:col>44</xdr:col>
      <xdr:colOff>0</xdr:colOff>
      <xdr:row>0</xdr:row>
      <xdr:rowOff>0</xdr:rowOff>
    </xdr:from>
    <xdr:ext cx="385178" cy="635181"/>
    <xdr:pic>
      <xdr:nvPicPr>
        <xdr:cNvPr id="5" name="Picture 4">
          <a:extLst>
            <a:ext uri="{FF2B5EF4-FFF2-40B4-BE49-F238E27FC236}">
              <a16:creationId xmlns:a16="http://schemas.microsoft.com/office/drawing/2014/main" id="{A3E0163B-7C18-4D9F-A534-031D75321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21438" y="0"/>
          <a:ext cx="385178" cy="635181"/>
        </a:xfrm>
        <a:prstGeom prst="rect">
          <a:avLst/>
        </a:prstGeom>
      </xdr:spPr>
    </xdr:pic>
    <xdr:clientData/>
  </xdr:oneCellAnchor>
  <xdr:oneCellAnchor>
    <xdr:from>
      <xdr:col>44</xdr:col>
      <xdr:colOff>0</xdr:colOff>
      <xdr:row>0</xdr:row>
      <xdr:rowOff>0</xdr:rowOff>
    </xdr:from>
    <xdr:ext cx="385178" cy="635181"/>
    <xdr:pic>
      <xdr:nvPicPr>
        <xdr:cNvPr id="6" name="Picture 5">
          <a:extLst>
            <a:ext uri="{FF2B5EF4-FFF2-40B4-BE49-F238E27FC236}">
              <a16:creationId xmlns:a16="http://schemas.microsoft.com/office/drawing/2014/main" id="{97B4BF7E-52FC-47E4-90C3-7F236D82D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21438" y="0"/>
          <a:ext cx="385178" cy="635181"/>
        </a:xfrm>
        <a:prstGeom prst="rect">
          <a:avLst/>
        </a:prstGeom>
      </xdr:spPr>
    </xdr:pic>
    <xdr:clientData/>
  </xdr:oneCellAnchor>
  <xdr:oneCellAnchor>
    <xdr:from>
      <xdr:col>66</xdr:col>
      <xdr:colOff>0</xdr:colOff>
      <xdr:row>0</xdr:row>
      <xdr:rowOff>0</xdr:rowOff>
    </xdr:from>
    <xdr:ext cx="385178" cy="635181"/>
    <xdr:pic>
      <xdr:nvPicPr>
        <xdr:cNvPr id="7" name="Picture 6">
          <a:extLst>
            <a:ext uri="{FF2B5EF4-FFF2-40B4-BE49-F238E27FC236}">
              <a16:creationId xmlns:a16="http://schemas.microsoft.com/office/drawing/2014/main" id="{2B551920-024C-42F6-ABA7-8DA5419E44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21438" y="0"/>
          <a:ext cx="385178" cy="635181"/>
        </a:xfrm>
        <a:prstGeom prst="rect">
          <a:avLst/>
        </a:prstGeom>
      </xdr:spPr>
    </xdr:pic>
    <xdr:clientData/>
  </xdr:oneCellAnchor>
  <xdr:oneCellAnchor>
    <xdr:from>
      <xdr:col>66</xdr:col>
      <xdr:colOff>0</xdr:colOff>
      <xdr:row>0</xdr:row>
      <xdr:rowOff>0</xdr:rowOff>
    </xdr:from>
    <xdr:ext cx="385178" cy="635181"/>
    <xdr:pic>
      <xdr:nvPicPr>
        <xdr:cNvPr id="8" name="Picture 7">
          <a:extLst>
            <a:ext uri="{FF2B5EF4-FFF2-40B4-BE49-F238E27FC236}">
              <a16:creationId xmlns:a16="http://schemas.microsoft.com/office/drawing/2014/main" id="{6BCFBD3A-A180-4B3E-8432-0849D4F42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21438" y="0"/>
          <a:ext cx="385178" cy="635181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571500</xdr:colOff>
      <xdr:row>11</xdr:row>
      <xdr:rowOff>43295</xdr:rowOff>
    </xdr:from>
    <xdr:to>
      <xdr:col>27</xdr:col>
      <xdr:colOff>307800</xdr:colOff>
      <xdr:row>28</xdr:row>
      <xdr:rowOff>101507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85CE2D3-B2E7-47EB-9E2E-000DEE4F82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15874</xdr:colOff>
      <xdr:row>1</xdr:row>
      <xdr:rowOff>90128</xdr:rowOff>
    </xdr:from>
    <xdr:to>
      <xdr:col>6</xdr:col>
      <xdr:colOff>227289</xdr:colOff>
      <xdr:row>56</xdr:row>
      <xdr:rowOff>23812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95F4E46E-1949-1149-E661-182B1F0EA138}"/>
            </a:ext>
          </a:extLst>
        </xdr:cNvPr>
        <xdr:cNvSpPr/>
      </xdr:nvSpPr>
      <xdr:spPr>
        <a:xfrm>
          <a:off x="3673474" y="283168"/>
          <a:ext cx="211415" cy="10002244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272955</xdr:colOff>
      <xdr:row>0</xdr:row>
      <xdr:rowOff>113731</xdr:rowOff>
    </xdr:from>
    <xdr:to>
      <xdr:col>13</xdr:col>
      <xdr:colOff>216090</xdr:colOff>
      <xdr:row>55</xdr:row>
      <xdr:rowOff>68238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822603F-122E-4835-A7B2-0CECFC665B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312145</xdr:colOff>
      <xdr:row>14</xdr:row>
      <xdr:rowOff>55084</xdr:rowOff>
    </xdr:from>
    <xdr:to>
      <xdr:col>15</xdr:col>
      <xdr:colOff>330507</xdr:colOff>
      <xdr:row>17</xdr:row>
      <xdr:rowOff>119350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432518A1-A242-B8E8-B997-9CB7E6DA04FB}"/>
            </a:ext>
          </a:extLst>
        </xdr:cNvPr>
        <xdr:cNvSpPr/>
      </xdr:nvSpPr>
      <xdr:spPr>
        <a:xfrm>
          <a:off x="8795133" y="2653229"/>
          <a:ext cx="624290" cy="624290"/>
        </a:xfrm>
        <a:prstGeom prst="ellipse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14</xdr:col>
      <xdr:colOff>317654</xdr:colOff>
      <xdr:row>18</xdr:row>
      <xdr:rowOff>46821</xdr:rowOff>
    </xdr:from>
    <xdr:to>
      <xdr:col>15</xdr:col>
      <xdr:colOff>336016</xdr:colOff>
      <xdr:row>21</xdr:row>
      <xdr:rowOff>120268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A9EEA6B5-ADEB-4638-9516-D3570D2CF747}"/>
            </a:ext>
          </a:extLst>
        </xdr:cNvPr>
        <xdr:cNvSpPr/>
      </xdr:nvSpPr>
      <xdr:spPr>
        <a:xfrm>
          <a:off x="8800642" y="3397785"/>
          <a:ext cx="624290" cy="624290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14</xdr:col>
      <xdr:colOff>323163</xdr:colOff>
      <xdr:row>22</xdr:row>
      <xdr:rowOff>47740</xdr:rowOff>
    </xdr:from>
    <xdr:to>
      <xdr:col>15</xdr:col>
      <xdr:colOff>341525</xdr:colOff>
      <xdr:row>25</xdr:row>
      <xdr:rowOff>112005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4A2904BE-21CC-435D-AB81-3419AA56C13C}"/>
            </a:ext>
          </a:extLst>
        </xdr:cNvPr>
        <xdr:cNvSpPr/>
      </xdr:nvSpPr>
      <xdr:spPr>
        <a:xfrm>
          <a:off x="8806151" y="4142342"/>
          <a:ext cx="624290" cy="62429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13</xdr:col>
      <xdr:colOff>587439</xdr:colOff>
      <xdr:row>35</xdr:row>
      <xdr:rowOff>142875</xdr:rowOff>
    </xdr:from>
    <xdr:to>
      <xdr:col>26</xdr:col>
      <xdr:colOff>10026</xdr:colOff>
      <xdr:row>55</xdr:row>
      <xdr:rowOff>15552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410BA46B-9BB8-4015-9FD5-4301899858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562841</xdr:colOff>
      <xdr:row>32</xdr:row>
      <xdr:rowOff>68321</xdr:rowOff>
    </xdr:from>
    <xdr:to>
      <xdr:col>34</xdr:col>
      <xdr:colOff>303070</xdr:colOff>
      <xdr:row>56</xdr:row>
      <xdr:rowOff>138545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917FDDA-C581-439E-AE28-FCE9834BE3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535279</xdr:colOff>
      <xdr:row>14</xdr:row>
      <xdr:rowOff>18124</xdr:rowOff>
    </xdr:from>
    <xdr:to>
      <xdr:col>26</xdr:col>
      <xdr:colOff>329479</xdr:colOff>
      <xdr:row>25</xdr:row>
      <xdr:rowOff>89009</xdr:rowOff>
    </xdr:to>
    <xdr:sp macro="" textlink="STRG!$BR$47">
      <xdr:nvSpPr>
        <xdr:cNvPr id="16" name="Oval 15">
          <a:extLst>
            <a:ext uri="{FF2B5EF4-FFF2-40B4-BE49-F238E27FC236}">
              <a16:creationId xmlns:a16="http://schemas.microsoft.com/office/drawing/2014/main" id="{0A962DBD-8EBE-F73C-255A-37E4D317AB1F}"/>
            </a:ext>
          </a:extLst>
        </xdr:cNvPr>
        <xdr:cNvSpPr/>
      </xdr:nvSpPr>
      <xdr:spPr>
        <a:xfrm>
          <a:off x="13627824" y="2702442"/>
          <a:ext cx="2149473" cy="2149067"/>
        </a:xfrm>
        <a:prstGeom prst="ellipse">
          <a:avLst/>
        </a:prstGeom>
        <a:solidFill>
          <a:srgbClr val="92D050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C7B233AA-7089-418B-A9FC-FC6AE49E978D}" type="TxLink">
            <a:rPr lang="en-US" sz="36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103,02</a:t>
          </a:fld>
          <a:endParaRPr lang="en-ID" sz="3600" b="1">
            <a:solidFill>
              <a:schemeClr val="bg1"/>
            </a:solidFill>
          </a:endParaRPr>
        </a:p>
      </xdr:txBody>
    </xdr:sp>
    <xdr:clientData/>
  </xdr:twoCellAnchor>
  <xdr:twoCellAnchor>
    <xdr:from>
      <xdr:col>29</xdr:col>
      <xdr:colOff>-1</xdr:colOff>
      <xdr:row>7</xdr:row>
      <xdr:rowOff>190498</xdr:rowOff>
    </xdr:from>
    <xdr:to>
      <xdr:col>33</xdr:col>
      <xdr:colOff>0</xdr:colOff>
      <xdr:row>14</xdr:row>
      <xdr:rowOff>200024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423F30-BA2F-4F7B-B409-43EB44E716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571500</xdr:colOff>
      <xdr:row>1</xdr:row>
      <xdr:rowOff>34636</xdr:rowOff>
    </xdr:from>
    <xdr:to>
      <xdr:col>23</xdr:col>
      <xdr:colOff>0</xdr:colOff>
      <xdr:row>8</xdr:row>
      <xdr:rowOff>17319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527F64-0EC4-4149-933B-9D1D411AD0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2</xdr:colOff>
      <xdr:row>0</xdr:row>
      <xdr:rowOff>190500</xdr:rowOff>
    </xdr:from>
    <xdr:to>
      <xdr:col>18</xdr:col>
      <xdr:colOff>17319</xdr:colOff>
      <xdr:row>7</xdr:row>
      <xdr:rowOff>190501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72153CB-FBB4-4B6F-B46A-7467D9425B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28</xdr:col>
      <xdr:colOff>571500</xdr:colOff>
      <xdr:row>1</xdr:row>
      <xdr:rowOff>0</xdr:rowOff>
    </xdr:from>
    <xdr:to>
      <xdr:col>33</xdr:col>
      <xdr:colOff>17320</xdr:colOff>
      <xdr:row>8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2DA03F1-ED8B-44A6-BA85-AAC63B80D8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23</xdr:col>
      <xdr:colOff>581025</xdr:colOff>
      <xdr:row>0</xdr:row>
      <xdr:rowOff>190500</xdr:rowOff>
    </xdr:from>
    <xdr:to>
      <xdr:col>28</xdr:col>
      <xdr:colOff>19050</xdr:colOff>
      <xdr:row>8</xdr:row>
      <xdr:rowOff>9525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C8325EC2-7B0A-438E-B1DE-07BAEEDB5F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298818</xdr:colOff>
      <xdr:row>59</xdr:row>
      <xdr:rowOff>130741</xdr:rowOff>
    </xdr:from>
    <xdr:to>
      <xdr:col>13</xdr:col>
      <xdr:colOff>232428</xdr:colOff>
      <xdr:row>115</xdr:row>
      <xdr:rowOff>10542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9F2C8B3-1EAB-4E81-B7E6-C7B058C792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14</xdr:col>
      <xdr:colOff>0</xdr:colOff>
      <xdr:row>64</xdr:row>
      <xdr:rowOff>0</xdr:rowOff>
    </xdr:from>
    <xdr:to>
      <xdr:col>33</xdr:col>
      <xdr:colOff>560294</xdr:colOff>
      <xdr:row>95</xdr:row>
      <xdr:rowOff>168088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8B1AEBB0-9B7A-4570-AEB7-435F5ED654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14</xdr:col>
      <xdr:colOff>34637</xdr:colOff>
      <xdr:row>98</xdr:row>
      <xdr:rowOff>69273</xdr:rowOff>
    </xdr:from>
    <xdr:to>
      <xdr:col>21</xdr:col>
      <xdr:colOff>484910</xdr:colOff>
      <xdr:row>112</xdr:row>
      <xdr:rowOff>145473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C95B5103-1F6F-4DB3-A15A-9C492EE691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22</xdr:col>
      <xdr:colOff>462644</xdr:colOff>
      <xdr:row>98</xdr:row>
      <xdr:rowOff>54429</xdr:rowOff>
    </xdr:from>
    <xdr:to>
      <xdr:col>30</xdr:col>
      <xdr:colOff>353786</xdr:colOff>
      <xdr:row>112</xdr:row>
      <xdr:rowOff>130629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6825F028-B6A8-4B1E-B5ED-FC35E25F18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119063</xdr:colOff>
      <xdr:row>119</xdr:row>
      <xdr:rowOff>100571</xdr:rowOff>
    </xdr:from>
    <xdr:to>
      <xdr:col>13</xdr:col>
      <xdr:colOff>81643</xdr:colOff>
      <xdr:row>175</xdr:row>
      <xdr:rowOff>142874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F5B4DC43-75D5-0EF9-3A27-B4E3C4BE93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14</xdr:col>
      <xdr:colOff>312144</xdr:colOff>
      <xdr:row>127</xdr:row>
      <xdr:rowOff>55084</xdr:rowOff>
    </xdr:from>
    <xdr:to>
      <xdr:col>15</xdr:col>
      <xdr:colOff>375037</xdr:colOff>
      <xdr:row>130</xdr:row>
      <xdr:rowOff>119350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D21193D8-A72F-494C-A33D-B9C3C4D70321}"/>
            </a:ext>
          </a:extLst>
        </xdr:cNvPr>
        <xdr:cNvSpPr/>
      </xdr:nvSpPr>
      <xdr:spPr>
        <a:xfrm>
          <a:off x="8721358" y="24275798"/>
          <a:ext cx="648000" cy="649373"/>
        </a:xfrm>
        <a:prstGeom prst="ellipse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14</xdr:col>
      <xdr:colOff>317653</xdr:colOff>
      <xdr:row>131</xdr:row>
      <xdr:rowOff>46821</xdr:rowOff>
    </xdr:from>
    <xdr:to>
      <xdr:col>15</xdr:col>
      <xdr:colOff>380546</xdr:colOff>
      <xdr:row>134</xdr:row>
      <xdr:rowOff>120268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72F19303-4A66-43AE-900F-256E5ADF913A}"/>
            </a:ext>
          </a:extLst>
        </xdr:cNvPr>
        <xdr:cNvSpPr/>
      </xdr:nvSpPr>
      <xdr:spPr>
        <a:xfrm>
          <a:off x="8726867" y="25056750"/>
          <a:ext cx="648000" cy="644947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14</xdr:col>
      <xdr:colOff>323162</xdr:colOff>
      <xdr:row>135</xdr:row>
      <xdr:rowOff>47740</xdr:rowOff>
    </xdr:from>
    <xdr:to>
      <xdr:col>15</xdr:col>
      <xdr:colOff>386055</xdr:colOff>
      <xdr:row>138</xdr:row>
      <xdr:rowOff>112005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D6EBCA93-4B5F-44AD-8532-2C29344C2775}"/>
            </a:ext>
          </a:extLst>
        </xdr:cNvPr>
        <xdr:cNvSpPr/>
      </xdr:nvSpPr>
      <xdr:spPr>
        <a:xfrm>
          <a:off x="8732376" y="25833276"/>
          <a:ext cx="648000" cy="649372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21</xdr:col>
      <xdr:colOff>472850</xdr:colOff>
      <xdr:row>126</xdr:row>
      <xdr:rowOff>54429</xdr:rowOff>
    </xdr:from>
    <xdr:to>
      <xdr:col>26</xdr:col>
      <xdr:colOff>135393</xdr:colOff>
      <xdr:row>138</xdr:row>
      <xdr:rowOff>201386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BF146488-E632-493F-8A07-7B2F4184D9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14</xdr:col>
      <xdr:colOff>78440</xdr:colOff>
      <xdr:row>141</xdr:row>
      <xdr:rowOff>179294</xdr:rowOff>
    </xdr:from>
    <xdr:to>
      <xdr:col>26</xdr:col>
      <xdr:colOff>435429</xdr:colOff>
      <xdr:row>174</xdr:row>
      <xdr:rowOff>133351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A70BDB25-EA2E-4108-A93E-781BDEEFF7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B1:M17"/>
  <sheetViews>
    <sheetView workbookViewId="0"/>
  </sheetViews>
  <sheetFormatPr defaultColWidth="9.140625" defaultRowHeight="15"/>
  <cols>
    <col min="1" max="1" width="4.28515625" style="18" customWidth="1"/>
    <col min="2" max="2" width="7.42578125" style="18" customWidth="1"/>
    <col min="3" max="3" width="30.7109375" style="18" customWidth="1"/>
    <col min="4" max="4" width="7.5703125" style="112" customWidth="1"/>
    <col min="5" max="5" width="22.85546875" style="18" customWidth="1"/>
    <col min="6" max="6" width="5.140625" style="174" customWidth="1"/>
    <col min="7" max="7" width="10.42578125" style="175" customWidth="1"/>
    <col min="8" max="8" width="15.42578125" style="174" bestFit="1" customWidth="1"/>
    <col min="9" max="9" width="9.140625" style="174"/>
    <col min="10" max="10" width="9.140625" style="165"/>
    <col min="11" max="16384" width="9.140625" style="18"/>
  </cols>
  <sheetData>
    <row r="1" spans="2:13" ht="11.45" customHeight="1"/>
    <row r="2" spans="2:13" s="17" customFormat="1" ht="21">
      <c r="B2" s="728" t="e">
        <f>"NILAI KINERJA UP3 TOLITOLI S.D "&amp;[0]!A&amp;" 2023"</f>
        <v>#REF!</v>
      </c>
      <c r="C2" s="728"/>
      <c r="D2" s="728"/>
      <c r="E2" s="728"/>
      <c r="F2" s="176"/>
      <c r="G2" s="177"/>
      <c r="H2" s="176"/>
      <c r="I2" s="176"/>
      <c r="J2" s="164"/>
      <c r="K2" s="164"/>
      <c r="L2" s="164"/>
    </row>
    <row r="3" spans="2:13" ht="7.9" customHeight="1">
      <c r="G3" s="184"/>
      <c r="H3" s="165"/>
      <c r="I3" s="165"/>
      <c r="K3" s="165"/>
      <c r="L3" s="165"/>
      <c r="M3" s="165"/>
    </row>
    <row r="4" spans="2:13" s="19" customFormat="1" ht="22.5" customHeight="1">
      <c r="B4" s="450" t="s">
        <v>0</v>
      </c>
      <c r="C4" s="450" t="s">
        <v>1</v>
      </c>
      <c r="D4" s="730" t="e">
        <f>"NKO S.D "&amp;[0]!A</f>
        <v>#REF!</v>
      </c>
      <c r="E4" s="730"/>
      <c r="F4" s="178"/>
      <c r="G4" s="320"/>
      <c r="H4" s="321"/>
      <c r="I4" s="321"/>
      <c r="J4" s="321"/>
      <c r="K4" s="166"/>
      <c r="L4" s="166"/>
      <c r="M4" s="166"/>
    </row>
    <row r="5" spans="2:13" s="19" customFormat="1" ht="24" customHeight="1">
      <c r="B5" s="451">
        <v>1</v>
      </c>
      <c r="C5" s="404" t="str">
        <f>VLOOKUP(B5,$G$5:$I$9,2,FALSE)</f>
        <v>ULP BANGKIR</v>
      </c>
      <c r="D5" s="731">
        <f>VLOOKUP(B5,$G$5:$I$9,3,FALSE)</f>
        <v>105.5</v>
      </c>
      <c r="E5" s="732"/>
      <c r="F5" s="178"/>
      <c r="G5" s="320">
        <f>RANK(I5,$I$5:$I$9)</f>
        <v>5</v>
      </c>
      <c r="H5" s="321" t="s">
        <v>2</v>
      </c>
      <c r="I5" s="322">
        <f>ULP!L58</f>
        <v>98.94</v>
      </c>
      <c r="J5" s="321"/>
      <c r="K5" s="166"/>
      <c r="L5" s="166"/>
      <c r="M5" s="166"/>
    </row>
    <row r="6" spans="2:13" s="19" customFormat="1" ht="24" customHeight="1">
      <c r="B6" s="451">
        <v>2</v>
      </c>
      <c r="C6" s="404" t="str">
        <f>VLOOKUP(B6,$G$5:$I$9,2,FALSE)</f>
        <v>ULP KOTARAYA</v>
      </c>
      <c r="D6" s="731">
        <f>VLOOKUP(B6,$G$5:$I$9,3,FALSE)</f>
        <v>103.42</v>
      </c>
      <c r="E6" s="732"/>
      <c r="F6" s="178"/>
      <c r="G6" s="320">
        <f>RANK(I6,$I$5:$I$9)</f>
        <v>4</v>
      </c>
      <c r="H6" s="322" t="s">
        <v>3</v>
      </c>
      <c r="I6" s="322">
        <f>ULP!W58</f>
        <v>99.73</v>
      </c>
      <c r="J6" s="321"/>
      <c r="K6" s="166"/>
      <c r="L6" s="166"/>
      <c r="M6" s="166"/>
    </row>
    <row r="7" spans="2:13" s="19" customFormat="1" ht="24" customHeight="1">
      <c r="B7" s="451">
        <v>3</v>
      </c>
      <c r="C7" s="404" t="str">
        <f>VLOOKUP(B7,$G$5:$I$9,2,FALSE)</f>
        <v>ULP MOUTONG</v>
      </c>
      <c r="D7" s="731">
        <f>VLOOKUP(B7,$G$5:$I$9,3,FALSE)</f>
        <v>99.85</v>
      </c>
      <c r="E7" s="732"/>
      <c r="F7" s="178"/>
      <c r="G7" s="320">
        <f>RANK(I7,$I$5:$I$9)</f>
        <v>1</v>
      </c>
      <c r="H7" s="322" t="s">
        <v>4</v>
      </c>
      <c r="I7" s="322">
        <f>ULP!AH58</f>
        <v>105.5</v>
      </c>
      <c r="J7" s="321"/>
      <c r="K7" s="166"/>
      <c r="L7" s="166"/>
      <c r="M7" s="166"/>
    </row>
    <row r="8" spans="2:13" s="19" customFormat="1" ht="24" customHeight="1">
      <c r="B8" s="451">
        <v>4</v>
      </c>
      <c r="C8" s="404" t="str">
        <f>VLOOKUP(B8,$G$5:$I$9,2,FALSE)</f>
        <v>ULP LEOK</v>
      </c>
      <c r="D8" s="731">
        <f>VLOOKUP(B8,$G$5:$I$9,3,FALSE)</f>
        <v>99.73</v>
      </c>
      <c r="E8" s="732"/>
      <c r="F8" s="178"/>
      <c r="G8" s="320">
        <f>RANK(I8,$I$5:$I$9)</f>
        <v>3</v>
      </c>
      <c r="H8" s="322" t="s">
        <v>5</v>
      </c>
      <c r="I8" s="322">
        <f>ULP!AS58</f>
        <v>99.85</v>
      </c>
      <c r="J8" s="321"/>
      <c r="K8" s="166"/>
      <c r="L8" s="166"/>
      <c r="M8" s="166"/>
    </row>
    <row r="9" spans="2:13" s="19" customFormat="1" ht="24" customHeight="1">
      <c r="B9" s="451">
        <v>5</v>
      </c>
      <c r="C9" s="404" t="str">
        <f>VLOOKUP(B9,$G$5:$I$9,2,FALSE)</f>
        <v>ULP TOLITOLI</v>
      </c>
      <c r="D9" s="731">
        <f>VLOOKUP(B9,$G$5:$I$9,3,FALSE)</f>
        <v>98.94</v>
      </c>
      <c r="E9" s="732"/>
      <c r="F9" s="178"/>
      <c r="G9" s="320">
        <f>RANK(I9,$I$5:$I$9)</f>
        <v>2</v>
      </c>
      <c r="H9" s="322" t="s">
        <v>6</v>
      </c>
      <c r="I9" s="322">
        <f>ULP!BD58</f>
        <v>103.42</v>
      </c>
      <c r="J9" s="321"/>
      <c r="K9" s="166"/>
      <c r="L9" s="166"/>
      <c r="M9" s="166"/>
    </row>
    <row r="10" spans="2:13" ht="24" customHeight="1">
      <c r="B10" s="450"/>
      <c r="C10" s="405" t="s">
        <v>7</v>
      </c>
      <c r="D10" s="729">
        <f>'UP3'!J70</f>
        <v>102.84</v>
      </c>
      <c r="E10" s="729"/>
      <c r="G10" s="323"/>
      <c r="H10" s="322"/>
      <c r="I10" s="324"/>
      <c r="J10" s="324"/>
      <c r="K10" s="165"/>
      <c r="L10" s="165"/>
      <c r="M10" s="165"/>
    </row>
    <row r="11" spans="2:13" ht="17.45" customHeight="1">
      <c r="F11" s="179"/>
      <c r="G11" s="185"/>
      <c r="H11" s="183"/>
      <c r="I11" s="165"/>
      <c r="K11" s="165"/>
      <c r="L11" s="165"/>
      <c r="M11" s="165"/>
    </row>
    <row r="12" spans="2:13">
      <c r="D12" s="241"/>
      <c r="G12" s="184"/>
      <c r="H12" s="183"/>
      <c r="I12" s="165"/>
      <c r="K12" s="165"/>
      <c r="L12" s="165"/>
      <c r="M12" s="165"/>
    </row>
    <row r="13" spans="2:13">
      <c r="D13" s="241"/>
      <c r="G13" s="184"/>
      <c r="H13" s="165"/>
      <c r="I13" s="165"/>
      <c r="K13" s="165"/>
      <c r="L13" s="165"/>
      <c r="M13" s="165"/>
    </row>
    <row r="14" spans="2:13">
      <c r="D14" s="241"/>
    </row>
    <row r="15" spans="2:13">
      <c r="D15" s="241"/>
    </row>
    <row r="16" spans="2:13">
      <c r="D16" s="241"/>
    </row>
    <row r="17" spans="4:5">
      <c r="D17" s="241"/>
      <c r="E17" s="20"/>
    </row>
  </sheetData>
  <mergeCells count="8">
    <mergeCell ref="B2:E2"/>
    <mergeCell ref="D10:E10"/>
    <mergeCell ref="D4:E4"/>
    <mergeCell ref="D5:E5"/>
    <mergeCell ref="D6:E6"/>
    <mergeCell ref="D7:E7"/>
    <mergeCell ref="D8:E8"/>
    <mergeCell ref="D9:E9"/>
  </mergeCells>
  <conditionalFormatting sqref="D10 D5:E9">
    <cfRule type="iconSet" priority="5">
      <iconSet iconSet="3Flags">
        <cfvo type="percent" val="0"/>
        <cfvo type="num" val="80"/>
        <cfvo type="num" val="90"/>
      </iconSet>
    </cfRule>
  </conditionalFormatting>
  <pageMargins left="0.70866141732283505" right="0.70866141732283505" top="0.74803149606299202" bottom="0.74803149606299202" header="0.31496062992126" footer="0.31496062992126"/>
  <pageSetup paperSize="9" scale="10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H36"/>
  <sheetViews>
    <sheetView workbookViewId="0"/>
  </sheetViews>
  <sheetFormatPr defaultRowHeight="15"/>
  <cols>
    <col min="2" max="2" width="5" style="125" customWidth="1"/>
    <col min="3" max="3" width="60.28515625" style="124" customWidth="1"/>
    <col min="4" max="4" width="13.85546875" style="105" customWidth="1"/>
    <col min="5" max="8" width="14.28515625" style="105" customWidth="1"/>
  </cols>
  <sheetData>
    <row r="3" spans="2:8" s="126" customFormat="1" ht="43.5" customHeight="1">
      <c r="B3" s="406" t="s">
        <v>8</v>
      </c>
      <c r="C3" s="406" t="s">
        <v>9</v>
      </c>
      <c r="D3" s="406" t="s">
        <v>10</v>
      </c>
      <c r="E3" s="406" t="s">
        <v>11</v>
      </c>
      <c r="F3" s="406" t="s">
        <v>12</v>
      </c>
      <c r="G3" s="406" t="s">
        <v>13</v>
      </c>
      <c r="H3" s="406" t="s">
        <v>14</v>
      </c>
    </row>
    <row r="4" spans="2:8" ht="18.75">
      <c r="B4" s="407"/>
      <c r="C4" s="180" t="s">
        <v>15</v>
      </c>
      <c r="D4" s="408"/>
      <c r="E4" s="408"/>
      <c r="F4" s="408"/>
      <c r="G4" s="408"/>
      <c r="H4" s="408"/>
    </row>
    <row r="5" spans="2:8" ht="18.75">
      <c r="B5" s="409">
        <v>1</v>
      </c>
      <c r="C5" s="410" t="s">
        <v>16</v>
      </c>
      <c r="D5" s="411"/>
      <c r="E5" s="412"/>
      <c r="F5" s="412"/>
      <c r="G5" s="412"/>
      <c r="H5" s="412"/>
    </row>
    <row r="6" spans="2:8" ht="18.75">
      <c r="B6" s="409"/>
      <c r="C6" s="410" t="s">
        <v>17</v>
      </c>
      <c r="D6" s="411">
        <f>ULP!K11</f>
        <v>110</v>
      </c>
      <c r="E6" s="411">
        <f>ULP!V11</f>
        <v>110</v>
      </c>
      <c r="F6" s="411">
        <f>ULP!AG11</f>
        <v>110</v>
      </c>
      <c r="G6" s="411">
        <f>ULP!AR11</f>
        <v>110</v>
      </c>
      <c r="H6" s="411">
        <f>ULP!BC11</f>
        <v>110</v>
      </c>
    </row>
    <row r="7" spans="2:8" ht="18.75">
      <c r="B7" s="409"/>
      <c r="C7" s="410" t="s">
        <v>18</v>
      </c>
      <c r="D7" s="411">
        <f>ULP!K12</f>
        <v>110</v>
      </c>
      <c r="E7" s="411">
        <f>ULP!V12</f>
        <v>110</v>
      </c>
      <c r="F7" s="411">
        <f>ULP!AG12</f>
        <v>110</v>
      </c>
      <c r="G7" s="411">
        <f>ULP!AR12</f>
        <v>110</v>
      </c>
      <c r="H7" s="411">
        <f>ULP!BC12</f>
        <v>110</v>
      </c>
    </row>
    <row r="8" spans="2:8" ht="18.75">
      <c r="B8" s="409">
        <v>2</v>
      </c>
      <c r="C8" s="410" t="s">
        <v>19</v>
      </c>
      <c r="D8" s="411" t="e">
        <f>ULP!#REF!</f>
        <v>#REF!</v>
      </c>
      <c r="E8" s="411" t="e">
        <f>ULP!#REF!</f>
        <v>#REF!</v>
      </c>
      <c r="F8" s="411" t="e">
        <f>ULP!#REF!</f>
        <v>#REF!</v>
      </c>
      <c r="G8" s="411" t="e">
        <f>ULP!#REF!</f>
        <v>#REF!</v>
      </c>
      <c r="H8" s="411" t="e">
        <f>ULP!#REF!</f>
        <v>#REF!</v>
      </c>
    </row>
    <row r="9" spans="2:8" ht="18.75">
      <c r="B9" s="409">
        <v>3</v>
      </c>
      <c r="C9" s="410" t="s">
        <v>20</v>
      </c>
      <c r="D9" s="411" t="e">
        <f>ULP!#REF!</f>
        <v>#REF!</v>
      </c>
      <c r="E9" s="411" t="e">
        <f>ULP!#REF!</f>
        <v>#REF!</v>
      </c>
      <c r="F9" s="411" t="e">
        <f>ULP!#REF!</f>
        <v>#REF!</v>
      </c>
      <c r="G9" s="411" t="e">
        <f>ULP!#REF!</f>
        <v>#REF!</v>
      </c>
      <c r="H9" s="411" t="e">
        <f>ULP!#REF!</f>
        <v>#REF!</v>
      </c>
    </row>
    <row r="10" spans="2:8" ht="18.75">
      <c r="B10" s="407"/>
      <c r="C10" s="180" t="s">
        <v>21</v>
      </c>
      <c r="D10" s="413"/>
      <c r="E10" s="413"/>
      <c r="F10" s="413"/>
      <c r="G10" s="413"/>
      <c r="H10" s="413"/>
    </row>
    <row r="11" spans="2:8" ht="18.75">
      <c r="B11" s="409">
        <v>4</v>
      </c>
      <c r="C11" s="410" t="s">
        <v>22</v>
      </c>
      <c r="D11" s="412"/>
      <c r="E11" s="412"/>
      <c r="F11" s="412"/>
      <c r="G11" s="412"/>
      <c r="H11" s="412"/>
    </row>
    <row r="12" spans="2:8" ht="18.75">
      <c r="B12" s="409"/>
      <c r="C12" s="410" t="s">
        <v>23</v>
      </c>
      <c r="D12" s="411">
        <f>ULP!K21</f>
        <v>110</v>
      </c>
      <c r="E12" s="411">
        <f>ULP!V21</f>
        <v>110</v>
      </c>
      <c r="F12" s="411">
        <f>ULP!AG21</f>
        <v>110</v>
      </c>
      <c r="G12" s="411">
        <f>ULP!AR21</f>
        <v>110</v>
      </c>
      <c r="H12" s="411">
        <f>ULP!BC21</f>
        <v>110</v>
      </c>
    </row>
    <row r="13" spans="2:8" ht="18.75">
      <c r="B13" s="409"/>
      <c r="C13" s="410" t="s">
        <v>24</v>
      </c>
      <c r="D13" s="411">
        <f>ULP!K22</f>
        <v>110</v>
      </c>
      <c r="E13" s="411">
        <f>ULP!V22</f>
        <v>110</v>
      </c>
      <c r="F13" s="411">
        <f>ULP!AG22</f>
        <v>110</v>
      </c>
      <c r="G13" s="411">
        <f>ULP!AR22</f>
        <v>110</v>
      </c>
      <c r="H13" s="411">
        <f>ULP!BC22</f>
        <v>110</v>
      </c>
    </row>
    <row r="14" spans="2:8" ht="18.75">
      <c r="B14" s="409"/>
      <c r="C14" s="410" t="s">
        <v>25</v>
      </c>
      <c r="D14" s="411">
        <f>ULP!K23</f>
        <v>50</v>
      </c>
      <c r="E14" s="411">
        <f>ULP!V23</f>
        <v>110</v>
      </c>
      <c r="F14" s="411">
        <f>ULP!AG23</f>
        <v>110</v>
      </c>
      <c r="G14" s="411">
        <f>ULP!AR23</f>
        <v>110</v>
      </c>
      <c r="H14" s="411">
        <f>ULP!BC23</f>
        <v>110</v>
      </c>
    </row>
    <row r="15" spans="2:8" ht="18.75">
      <c r="B15" s="409"/>
      <c r="C15" s="410" t="s">
        <v>26</v>
      </c>
      <c r="D15" s="411">
        <f>ULP!K24</f>
        <v>107.5</v>
      </c>
      <c r="E15" s="411">
        <f>ULP!V24</f>
        <v>107.5</v>
      </c>
      <c r="F15" s="411">
        <f>ULP!AG24</f>
        <v>107.5</v>
      </c>
      <c r="G15" s="411">
        <f>ULP!AR24</f>
        <v>107.5</v>
      </c>
      <c r="H15" s="411">
        <f>ULP!BC24</f>
        <v>107.5</v>
      </c>
    </row>
    <row r="16" spans="2:8" ht="18.75">
      <c r="B16" s="409">
        <v>5</v>
      </c>
      <c r="C16" s="410" t="s">
        <v>27</v>
      </c>
      <c r="D16" s="411">
        <f>ULP!K26</f>
        <v>110</v>
      </c>
      <c r="E16" s="411">
        <f>ULP!V26</f>
        <v>110</v>
      </c>
      <c r="F16" s="411">
        <f>ULP!AG26</f>
        <v>110</v>
      </c>
      <c r="G16" s="411">
        <f>ULP!AR26</f>
        <v>110</v>
      </c>
      <c r="H16" s="411">
        <f>ULP!BC26</f>
        <v>110</v>
      </c>
    </row>
    <row r="17" spans="2:8" ht="18.75">
      <c r="B17" s="409">
        <v>6</v>
      </c>
      <c r="C17" s="410" t="s">
        <v>28</v>
      </c>
      <c r="D17" s="411"/>
      <c r="E17" s="411"/>
      <c r="F17" s="411"/>
      <c r="G17" s="411"/>
      <c r="H17" s="411"/>
    </row>
    <row r="18" spans="2:8" ht="18.75">
      <c r="B18" s="409"/>
      <c r="C18" s="410" t="s">
        <v>29</v>
      </c>
      <c r="D18" s="411">
        <f>ULP!K28</f>
        <v>110</v>
      </c>
      <c r="E18" s="411">
        <f>ULP!V28</f>
        <v>110</v>
      </c>
      <c r="F18" s="411">
        <f>ULP!AG28</f>
        <v>110</v>
      </c>
      <c r="G18" s="411">
        <f>ULP!AR28</f>
        <v>110</v>
      </c>
      <c r="H18" s="411">
        <f>ULP!BC28</f>
        <v>110</v>
      </c>
    </row>
    <row r="19" spans="2:8" ht="18.75">
      <c r="B19" s="409"/>
      <c r="C19" s="410" t="s">
        <v>30</v>
      </c>
      <c r="D19" s="411">
        <f>ULP!K32</f>
        <v>110</v>
      </c>
      <c r="E19" s="411">
        <f>ULP!V32</f>
        <v>110</v>
      </c>
      <c r="F19" s="411">
        <f>ULP!AG32</f>
        <v>110</v>
      </c>
      <c r="G19" s="411">
        <f>ULP!AR32</f>
        <v>110</v>
      </c>
      <c r="H19" s="411">
        <f>ULP!BC32</f>
        <v>110</v>
      </c>
    </row>
    <row r="20" spans="2:8" ht="18.75">
      <c r="B20" s="409">
        <v>7</v>
      </c>
      <c r="C20" s="410" t="s">
        <v>31</v>
      </c>
      <c r="D20" s="411"/>
      <c r="E20" s="411"/>
      <c r="F20" s="411"/>
      <c r="G20" s="411"/>
      <c r="H20" s="411"/>
    </row>
    <row r="21" spans="2:8" ht="18.75">
      <c r="B21" s="409"/>
      <c r="C21" s="410" t="s">
        <v>32</v>
      </c>
      <c r="D21" s="411">
        <f>ULP!K46</f>
        <v>100</v>
      </c>
      <c r="E21" s="411">
        <f>ULP!V46</f>
        <v>100</v>
      </c>
      <c r="F21" s="411">
        <f>ULP!AG46</f>
        <v>100</v>
      </c>
      <c r="G21" s="411">
        <f>ULP!AR46</f>
        <v>100</v>
      </c>
      <c r="H21" s="411">
        <f>ULP!BC46</f>
        <v>100</v>
      </c>
    </row>
    <row r="22" spans="2:8" ht="18.75">
      <c r="B22" s="409">
        <v>8</v>
      </c>
      <c r="C22" s="410" t="s">
        <v>33</v>
      </c>
      <c r="D22" s="411">
        <f>ULP!K48</f>
        <v>110</v>
      </c>
      <c r="E22" s="411">
        <f>ULP!V48</f>
        <v>110</v>
      </c>
      <c r="F22" s="411">
        <f>ULP!AG48</f>
        <v>110</v>
      </c>
      <c r="G22" s="411">
        <f>ULP!AR48</f>
        <v>78.485471537558666</v>
      </c>
      <c r="H22" s="411">
        <f>ULP!BC48</f>
        <v>84.527460683391013</v>
      </c>
    </row>
    <row r="23" spans="2:8" ht="18.75">
      <c r="B23" s="409">
        <v>9</v>
      </c>
      <c r="C23" s="410" t="s">
        <v>34</v>
      </c>
      <c r="D23" s="411" t="e">
        <f>ULP!#REF!</f>
        <v>#REF!</v>
      </c>
      <c r="E23" s="411" t="e">
        <f>ULP!#REF!</f>
        <v>#REF!</v>
      </c>
      <c r="F23" s="411" t="e">
        <f>ULP!#REF!</f>
        <v>#REF!</v>
      </c>
      <c r="G23" s="411" t="e">
        <f>ULP!#REF!</f>
        <v>#REF!</v>
      </c>
      <c r="H23" s="411" t="e">
        <f>ULP!#REF!</f>
        <v>#REF!</v>
      </c>
    </row>
    <row r="24" spans="2:8" ht="18.75">
      <c r="B24" s="409">
        <v>10</v>
      </c>
      <c r="C24" s="410" t="s">
        <v>35</v>
      </c>
      <c r="D24" s="411"/>
      <c r="E24" s="411"/>
      <c r="F24" s="411"/>
      <c r="G24" s="411"/>
      <c r="H24" s="411"/>
    </row>
    <row r="25" spans="2:8" ht="18.75">
      <c r="B25" s="409"/>
      <c r="C25" s="410" t="s">
        <v>36</v>
      </c>
      <c r="D25" s="411" t="e">
        <f>ULP!#REF!</f>
        <v>#REF!</v>
      </c>
      <c r="E25" s="411" t="e">
        <f>ULP!#REF!</f>
        <v>#REF!</v>
      </c>
      <c r="F25" s="411" t="e">
        <f>ULP!#REF!</f>
        <v>#REF!</v>
      </c>
      <c r="G25" s="411" t="e">
        <f>ULP!#REF!</f>
        <v>#REF!</v>
      </c>
      <c r="H25" s="411" t="e">
        <f>ULP!#REF!</f>
        <v>#REF!</v>
      </c>
    </row>
    <row r="26" spans="2:8" ht="18.75">
      <c r="B26" s="409"/>
      <c r="C26" s="410" t="s">
        <v>37</v>
      </c>
      <c r="D26" s="411">
        <f>ULP!K49</f>
        <v>93.472631400090634</v>
      </c>
      <c r="E26" s="411">
        <f>ULP!V49</f>
        <v>110</v>
      </c>
      <c r="F26" s="411">
        <f>ULP!AG49</f>
        <v>110</v>
      </c>
      <c r="G26" s="411">
        <f>ULP!AR49</f>
        <v>76.647386245314465</v>
      </c>
      <c r="H26" s="411">
        <f>ULP!BC49</f>
        <v>68.506644912258949</v>
      </c>
    </row>
    <row r="27" spans="2:8" ht="18.75">
      <c r="B27" s="409">
        <v>11</v>
      </c>
      <c r="C27" s="410" t="s">
        <v>38</v>
      </c>
      <c r="D27" s="411">
        <f>ULP!K53</f>
        <v>0</v>
      </c>
      <c r="E27" s="411">
        <f>ULP!V53</f>
        <v>0</v>
      </c>
      <c r="F27" s="411">
        <f>ULP!AG53</f>
        <v>0</v>
      </c>
      <c r="G27" s="411">
        <f>ULP!AR53</f>
        <v>0</v>
      </c>
      <c r="H27" s="411">
        <f>ULP!BC53</f>
        <v>0</v>
      </c>
    </row>
    <row r="28" spans="2:8" ht="34.5">
      <c r="B28" s="409">
        <v>12</v>
      </c>
      <c r="C28" s="414" t="s">
        <v>39</v>
      </c>
      <c r="D28" s="411"/>
      <c r="E28" s="411"/>
      <c r="F28" s="411"/>
      <c r="G28" s="411"/>
      <c r="H28" s="411"/>
    </row>
    <row r="29" spans="2:8" ht="18.75">
      <c r="B29" s="409"/>
      <c r="C29" s="410" t="s">
        <v>40</v>
      </c>
      <c r="D29" s="411">
        <f>ULP!K56</f>
        <v>0</v>
      </c>
      <c r="E29" s="411">
        <f>ULP!V56</f>
        <v>0</v>
      </c>
      <c r="F29" s="411">
        <f>ULP!AG56</f>
        <v>0</v>
      </c>
      <c r="G29" s="411">
        <f>ULP!AR56</f>
        <v>0</v>
      </c>
      <c r="H29" s="411">
        <f>ULP!BC56</f>
        <v>0</v>
      </c>
    </row>
    <row r="30" spans="2:8" ht="18.75">
      <c r="B30" s="409"/>
      <c r="C30" s="410" t="s">
        <v>41</v>
      </c>
      <c r="D30" s="411" t="e">
        <f>ULP!#REF!</f>
        <v>#REF!</v>
      </c>
      <c r="E30" s="411" t="e">
        <f>ULP!#REF!</f>
        <v>#REF!</v>
      </c>
      <c r="F30" s="411" t="e">
        <f>ULP!#REF!</f>
        <v>#REF!</v>
      </c>
      <c r="G30" s="411" t="e">
        <f>ULP!#REF!</f>
        <v>#REF!</v>
      </c>
      <c r="H30" s="411" t="e">
        <f>ULP!#REF!</f>
        <v>#REF!</v>
      </c>
    </row>
    <row r="31" spans="2:8" ht="18.75">
      <c r="B31" s="409">
        <v>13</v>
      </c>
      <c r="C31" s="410" t="s">
        <v>42</v>
      </c>
      <c r="D31" s="415"/>
      <c r="E31" s="415"/>
      <c r="F31" s="415"/>
      <c r="G31" s="415"/>
      <c r="H31" s="415"/>
    </row>
    <row r="32" spans="2:8" ht="18.75">
      <c r="B32" s="409"/>
      <c r="C32" s="410" t="s">
        <v>43</v>
      </c>
      <c r="D32" s="415"/>
      <c r="E32" s="415"/>
      <c r="F32" s="415"/>
      <c r="G32" s="415"/>
      <c r="H32" s="415"/>
    </row>
    <row r="33" spans="2:8" ht="18.75">
      <c r="B33" s="409"/>
      <c r="C33" s="410" t="s">
        <v>44</v>
      </c>
      <c r="D33" s="415"/>
      <c r="E33" s="415"/>
      <c r="F33" s="415"/>
      <c r="G33" s="415"/>
      <c r="H33" s="415"/>
    </row>
    <row r="34" spans="2:8" ht="18.75">
      <c r="B34" s="409"/>
      <c r="C34" s="410" t="s">
        <v>45</v>
      </c>
      <c r="D34" s="415"/>
      <c r="E34" s="415"/>
      <c r="F34" s="415"/>
      <c r="G34" s="415"/>
      <c r="H34" s="415"/>
    </row>
    <row r="35" spans="2:8" ht="18.75">
      <c r="B35" s="409"/>
      <c r="C35" s="410" t="s">
        <v>46</v>
      </c>
      <c r="D35" s="415"/>
      <c r="E35" s="415"/>
      <c r="F35" s="415"/>
      <c r="G35" s="415"/>
      <c r="H35" s="415"/>
    </row>
    <row r="36" spans="2:8" ht="18.75">
      <c r="B36" s="733" t="s">
        <v>47</v>
      </c>
      <c r="C36" s="733"/>
      <c r="D36" s="416">
        <f>ULP!L58</f>
        <v>98.94</v>
      </c>
      <c r="E36" s="416">
        <f>RANK!D6</f>
        <v>103.42</v>
      </c>
      <c r="F36" s="416">
        <f>ULP!AH58</f>
        <v>105.5</v>
      </c>
      <c r="G36" s="416">
        <f>ULP!AS58</f>
        <v>99.85</v>
      </c>
      <c r="H36" s="416">
        <f>ULP!BD58</f>
        <v>103.42</v>
      </c>
    </row>
  </sheetData>
  <mergeCells count="1">
    <mergeCell ref="B36:C36"/>
  </mergeCells>
  <conditionalFormatting sqref="D5:H35">
    <cfRule type="iconSet" priority="1">
      <iconSet iconSet="3Symbols" showValue="0">
        <cfvo type="percent" val="0"/>
        <cfvo type="num" val="95"/>
        <cfvo type="num" val="100"/>
      </iconSet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O43"/>
  <sheetViews>
    <sheetView workbookViewId="0"/>
  </sheetViews>
  <sheetFormatPr defaultColWidth="9.140625" defaultRowHeight="15"/>
  <cols>
    <col min="1" max="1" width="9.140625" style="131"/>
    <col min="2" max="2" width="16.85546875" style="131" customWidth="1"/>
    <col min="3" max="3" width="11.7109375" style="131" customWidth="1"/>
    <col min="4" max="4" width="13.28515625" style="131" customWidth="1"/>
    <col min="5" max="5" width="11.5703125" style="131" customWidth="1"/>
    <col min="6" max="6" width="9.85546875" style="131" bestFit="1" customWidth="1"/>
    <col min="7" max="11" width="9.140625" style="131"/>
    <col min="12" max="12" width="9.140625" style="131" customWidth="1"/>
    <col min="13" max="16" width="9.140625" style="131"/>
    <col min="17" max="17" width="12.7109375" style="131" customWidth="1"/>
    <col min="18" max="18" width="9.140625" style="131"/>
    <col min="19" max="19" width="1.85546875" style="131" customWidth="1"/>
    <col min="20" max="20" width="9.140625" style="131"/>
    <col min="21" max="21" width="12.7109375" style="131" customWidth="1"/>
    <col min="22" max="16384" width="9.140625" style="131"/>
  </cols>
  <sheetData>
    <row r="2" spans="1:7">
      <c r="B2" s="131" t="s">
        <v>9</v>
      </c>
      <c r="C2" s="131" t="s">
        <v>48</v>
      </c>
      <c r="D2" s="131" t="s">
        <v>49</v>
      </c>
    </row>
    <row r="3" spans="1:7">
      <c r="A3" s="133" t="s">
        <v>15</v>
      </c>
    </row>
    <row r="4" spans="1:7">
      <c r="B4" s="131" t="s">
        <v>50</v>
      </c>
      <c r="C4" s="132">
        <f>'UP3'!G9</f>
        <v>0</v>
      </c>
      <c r="D4" s="132">
        <f>'UP3'!H9</f>
        <v>0</v>
      </c>
      <c r="E4" s="132" t="e">
        <f>D4/C4</f>
        <v>#DIV/0!</v>
      </c>
      <c r="F4" s="134" t="e">
        <f t="shared" ref="F4:F13" si="0">IF(E4&gt;1,1,E4)</f>
        <v>#DIV/0!</v>
      </c>
      <c r="G4" s="134" t="e">
        <f t="shared" ref="G4:G30" si="1">1-F4</f>
        <v>#DIV/0!</v>
      </c>
    </row>
    <row r="5" spans="1:7">
      <c r="B5" s="131" t="s">
        <v>51</v>
      </c>
      <c r="C5" s="132">
        <f>'UP3'!G10</f>
        <v>233.89</v>
      </c>
      <c r="D5" s="132">
        <f>'UP3'!H10</f>
        <v>196.05711720474355</v>
      </c>
      <c r="E5" s="132">
        <f>D5/C5</f>
        <v>0.83824497500852346</v>
      </c>
      <c r="F5" s="134">
        <f t="shared" si="0"/>
        <v>0.83824497500852346</v>
      </c>
      <c r="G5" s="134">
        <f t="shared" si="1"/>
        <v>0.16175502499147654</v>
      </c>
    </row>
    <row r="6" spans="1:7">
      <c r="B6" s="131" t="s">
        <v>52</v>
      </c>
      <c r="C6" s="132">
        <f>'UP3'!G17</f>
        <v>0</v>
      </c>
      <c r="D6" s="132">
        <f>'UP3'!H17</f>
        <v>0</v>
      </c>
      <c r="E6" s="132" t="e">
        <f>D6/C6</f>
        <v>#DIV/0!</v>
      </c>
      <c r="F6" s="134" t="e">
        <f t="shared" si="0"/>
        <v>#DIV/0!</v>
      </c>
      <c r="G6" s="134" t="e">
        <f t="shared" si="1"/>
        <v>#DIV/0!</v>
      </c>
    </row>
    <row r="7" spans="1:7">
      <c r="B7" s="131" t="s">
        <v>53</v>
      </c>
      <c r="C7" s="132" t="e">
        <f>'UP3'!#REF!</f>
        <v>#REF!</v>
      </c>
      <c r="D7" s="132" t="e">
        <f>'UP3'!#REF!</f>
        <v>#REF!</v>
      </c>
      <c r="E7" s="132" t="e">
        <f>D7/C7</f>
        <v>#REF!</v>
      </c>
      <c r="F7" s="134" t="e">
        <f t="shared" si="0"/>
        <v>#REF!</v>
      </c>
      <c r="G7" s="134" t="e">
        <f t="shared" si="1"/>
        <v>#REF!</v>
      </c>
    </row>
    <row r="8" spans="1:7">
      <c r="B8" s="131" t="s">
        <v>54</v>
      </c>
      <c r="C8" s="132">
        <f>'UP3'!G18</f>
        <v>0</v>
      </c>
      <c r="D8" s="132">
        <f>'UP3'!H18</f>
        <v>0</v>
      </c>
      <c r="E8" s="132" t="e">
        <f>D8/C8</f>
        <v>#DIV/0!</v>
      </c>
      <c r="F8" s="134" t="e">
        <f t="shared" si="0"/>
        <v>#DIV/0!</v>
      </c>
      <c r="G8" s="134" t="e">
        <f t="shared" si="1"/>
        <v>#DIV/0!</v>
      </c>
    </row>
    <row r="9" spans="1:7">
      <c r="B9" s="131" t="s">
        <v>20</v>
      </c>
      <c r="C9" s="132">
        <f>'UP3'!G19</f>
        <v>148</v>
      </c>
      <c r="D9" s="132">
        <f>'UP3'!H19</f>
        <v>115</v>
      </c>
      <c r="E9" s="132">
        <f>2-(D9/C9)</f>
        <v>1.222972972972973</v>
      </c>
      <c r="F9" s="134">
        <f t="shared" si="0"/>
        <v>1</v>
      </c>
      <c r="G9" s="134">
        <f t="shared" si="1"/>
        <v>0</v>
      </c>
    </row>
    <row r="10" spans="1:7">
      <c r="A10" s="133"/>
      <c r="B10" s="131" t="s">
        <v>55</v>
      </c>
      <c r="C10" s="132">
        <f>'UP3'!G21</f>
        <v>5</v>
      </c>
      <c r="D10" s="132">
        <f>'UP3'!H21</f>
        <v>3</v>
      </c>
      <c r="E10" s="132">
        <f>2-(D10/C10)</f>
        <v>1.4</v>
      </c>
      <c r="F10" s="134">
        <f t="shared" si="0"/>
        <v>1</v>
      </c>
      <c r="G10" s="134">
        <f t="shared" si="1"/>
        <v>0</v>
      </c>
    </row>
    <row r="11" spans="1:7">
      <c r="B11" s="131" t="s">
        <v>56</v>
      </c>
      <c r="C11" s="132">
        <f>'UP3'!G22</f>
        <v>0</v>
      </c>
      <c r="D11" s="132">
        <f>'UP3'!H22</f>
        <v>0</v>
      </c>
      <c r="E11" s="132" t="e">
        <f>2-(D11/C11)</f>
        <v>#DIV/0!</v>
      </c>
      <c r="F11" s="134" t="e">
        <f t="shared" si="0"/>
        <v>#DIV/0!</v>
      </c>
      <c r="G11" s="134" t="e">
        <f t="shared" si="1"/>
        <v>#DIV/0!</v>
      </c>
    </row>
    <row r="12" spans="1:7">
      <c r="B12" s="131" t="s">
        <v>57</v>
      </c>
      <c r="C12" s="132">
        <f>'UP3'!G24</f>
        <v>0.04</v>
      </c>
      <c r="D12" s="132">
        <f>'UP3'!H24</f>
        <v>0</v>
      </c>
      <c r="E12" s="132">
        <f>2-(D12/C12)</f>
        <v>2</v>
      </c>
      <c r="F12" s="134">
        <f t="shared" si="0"/>
        <v>1</v>
      </c>
      <c r="G12" s="134">
        <f t="shared" si="1"/>
        <v>0</v>
      </c>
    </row>
    <row r="13" spans="1:7">
      <c r="B13" s="131" t="s">
        <v>58</v>
      </c>
      <c r="C13" s="132">
        <f>'UP3'!G25</f>
        <v>4.9000000000000004</v>
      </c>
      <c r="D13" s="132">
        <v>100</v>
      </c>
      <c r="E13" s="132">
        <f>D13/C13</f>
        <v>20.408163265306122</v>
      </c>
      <c r="F13" s="134">
        <f t="shared" si="0"/>
        <v>1</v>
      </c>
      <c r="G13" s="134">
        <f t="shared" si="1"/>
        <v>0</v>
      </c>
    </row>
    <row r="14" spans="1:7">
      <c r="B14" s="131" t="s">
        <v>59</v>
      </c>
      <c r="C14" s="132" t="e">
        <f>'UP3'!#REF!</f>
        <v>#REF!</v>
      </c>
      <c r="D14" s="132" t="e">
        <f>'UP3'!#REF!</f>
        <v>#REF!</v>
      </c>
      <c r="E14" s="132" t="e">
        <f>D14/C14</f>
        <v>#REF!</v>
      </c>
      <c r="F14" s="134">
        <v>0</v>
      </c>
      <c r="G14" s="134">
        <f t="shared" si="1"/>
        <v>1</v>
      </c>
    </row>
    <row r="15" spans="1:7">
      <c r="A15" s="133"/>
      <c r="B15" s="131" t="s">
        <v>60</v>
      </c>
      <c r="C15" s="132">
        <f>'UP3'!G33</f>
        <v>0</v>
      </c>
      <c r="D15" s="132">
        <f>'UP3'!H33</f>
        <v>0</v>
      </c>
      <c r="E15" s="132" t="e">
        <f>2-(D15/C15)</f>
        <v>#DIV/0!</v>
      </c>
      <c r="F15" s="134" t="e">
        <f t="shared" ref="F15:F21" si="2">IF(E15&gt;1,1,E15)</f>
        <v>#DIV/0!</v>
      </c>
      <c r="G15" s="134" t="e">
        <f t="shared" si="1"/>
        <v>#DIV/0!</v>
      </c>
    </row>
    <row r="16" spans="1:7">
      <c r="B16" s="131" t="s">
        <v>61</v>
      </c>
      <c r="C16" s="132">
        <f>'UP3'!G38</f>
        <v>864</v>
      </c>
      <c r="D16" s="132">
        <f>'UP3'!H38</f>
        <v>939</v>
      </c>
      <c r="E16" s="132">
        <f>2-(D16/C16)</f>
        <v>0.91319444444444442</v>
      </c>
      <c r="F16" s="134">
        <f t="shared" si="2"/>
        <v>0.91319444444444442</v>
      </c>
      <c r="G16" s="134">
        <f t="shared" si="1"/>
        <v>8.680555555555558E-2</v>
      </c>
    </row>
    <row r="17" spans="1:41">
      <c r="B17" s="131" t="s">
        <v>62</v>
      </c>
      <c r="C17" s="132">
        <f>'UP3'!G41</f>
        <v>21521.791000000001</v>
      </c>
      <c r="D17" s="132">
        <f>'UP3'!H41</f>
        <v>74417.7</v>
      </c>
      <c r="E17" s="132">
        <f>D17/C17</f>
        <v>3.4577837876039217</v>
      </c>
      <c r="F17" s="134">
        <f t="shared" si="2"/>
        <v>1</v>
      </c>
      <c r="G17" s="134">
        <f t="shared" si="1"/>
        <v>0</v>
      </c>
    </row>
    <row r="18" spans="1:41">
      <c r="A18" s="133"/>
      <c r="B18" s="131" t="s">
        <v>63</v>
      </c>
      <c r="C18" s="132">
        <f>'UP3'!G42</f>
        <v>0</v>
      </c>
      <c r="D18" s="132">
        <f>'UP3'!H42</f>
        <v>0</v>
      </c>
      <c r="E18" s="132" t="e">
        <f>D18/C18</f>
        <v>#DIV/0!</v>
      </c>
      <c r="F18" s="134" t="e">
        <f t="shared" si="2"/>
        <v>#DIV/0!</v>
      </c>
      <c r="G18" s="134" t="e">
        <f t="shared" si="1"/>
        <v>#DIV/0!</v>
      </c>
    </row>
    <row r="19" spans="1:41">
      <c r="B19" s="131" t="s">
        <v>64</v>
      </c>
      <c r="C19" s="132">
        <f>'UP3'!G46</f>
        <v>1175</v>
      </c>
      <c r="D19" s="132">
        <f>'UP3'!H46</f>
        <v>1001.4119882222224</v>
      </c>
      <c r="E19" s="132">
        <f>2-(D19/C19)</f>
        <v>1.1477344781087471</v>
      </c>
      <c r="F19" s="134">
        <f t="shared" si="2"/>
        <v>1</v>
      </c>
      <c r="G19" s="134">
        <f t="shared" si="1"/>
        <v>0</v>
      </c>
    </row>
    <row r="20" spans="1:41">
      <c r="B20" s="131" t="s">
        <v>65</v>
      </c>
      <c r="C20" s="132" t="str">
        <f>'UP3'!G50</f>
        <v>95-100</v>
      </c>
      <c r="D20" s="132">
        <f>'UP3'!H50</f>
        <v>90.3</v>
      </c>
      <c r="E20" s="132" t="e">
        <f>D20/C20</f>
        <v>#VALUE!</v>
      </c>
      <c r="F20" s="134" t="e">
        <f t="shared" si="2"/>
        <v>#VALUE!</v>
      </c>
      <c r="G20" s="134" t="e">
        <f t="shared" si="1"/>
        <v>#VALUE!</v>
      </c>
    </row>
    <row r="21" spans="1:41">
      <c r="B21" s="131" t="s">
        <v>66</v>
      </c>
      <c r="C21" s="132">
        <f>'UP3'!G51</f>
        <v>0</v>
      </c>
      <c r="D21" s="132">
        <f>'UP3'!H51</f>
        <v>0</v>
      </c>
      <c r="E21" s="132" t="e">
        <f>2-(D21/C21)</f>
        <v>#DIV/0!</v>
      </c>
      <c r="F21" s="134" t="e">
        <f t="shared" si="2"/>
        <v>#DIV/0!</v>
      </c>
      <c r="G21" s="134" t="e">
        <f t="shared" si="1"/>
        <v>#DIV/0!</v>
      </c>
    </row>
    <row r="22" spans="1:41">
      <c r="B22" s="131" t="str">
        <f>'UP3'!B53</f>
        <v>Manajemen SDM, Komunikasi, dan TJSL</v>
      </c>
      <c r="C22" s="132">
        <f>'UP3'!G53</f>
        <v>0</v>
      </c>
      <c r="D22" s="132">
        <f>'UP3'!H53</f>
        <v>0</v>
      </c>
      <c r="E22" s="144" t="e">
        <f>D22/C22</f>
        <v>#DIV/0!</v>
      </c>
      <c r="F22" s="145" t="e">
        <f>E22</f>
        <v>#DIV/0!</v>
      </c>
      <c r="G22" s="134" t="e">
        <f t="shared" si="1"/>
        <v>#DIV/0!</v>
      </c>
      <c r="AO22" s="131">
        <v>264116</v>
      </c>
    </row>
    <row r="23" spans="1:41">
      <c r="B23" s="131" t="str">
        <f>'UP3'!B55</f>
        <v>b. Produktivitas Unit</v>
      </c>
      <c r="C23" s="132">
        <f>'UP3'!G55</f>
        <v>100</v>
      </c>
      <c r="D23" s="132">
        <f>'UP3'!H55</f>
        <v>90</v>
      </c>
      <c r="E23" s="132">
        <f>D23/C23</f>
        <v>0.9</v>
      </c>
      <c r="F23" s="134">
        <f t="shared" ref="F23:F30" si="3">IF(E23&gt;1,1,E23)</f>
        <v>0.9</v>
      </c>
      <c r="G23" s="134">
        <f t="shared" si="1"/>
        <v>9.9999999999999978E-2</v>
      </c>
      <c r="AO23" s="131">
        <f>AO22-39</f>
        <v>264077</v>
      </c>
    </row>
    <row r="24" spans="1:41">
      <c r="B24" s="131" t="str">
        <f>'UP3'!B56</f>
        <v>c. Pengelolaan Komunikasi dan TJSL</v>
      </c>
      <c r="C24" s="132">
        <f>'UP3'!G56</f>
        <v>100</v>
      </c>
      <c r="D24" s="132">
        <f>'UP3'!H56</f>
        <v>110</v>
      </c>
      <c r="E24" s="132">
        <v>100</v>
      </c>
      <c r="F24" s="135">
        <f t="shared" si="3"/>
        <v>1</v>
      </c>
      <c r="G24" s="134">
        <f t="shared" si="1"/>
        <v>0</v>
      </c>
    </row>
    <row r="25" spans="1:41">
      <c r="A25" s="133"/>
      <c r="B25" s="131" t="str">
        <f>'UP3'!B60</f>
        <v>b. Maturity Level Gudang</v>
      </c>
      <c r="C25" s="132">
        <f>'UP3'!G60</f>
        <v>3.65</v>
      </c>
      <c r="D25" s="132">
        <f>'UP3'!H60</f>
        <v>3.65</v>
      </c>
      <c r="E25" s="132">
        <v>100</v>
      </c>
      <c r="F25" s="134">
        <f t="shared" si="3"/>
        <v>1</v>
      </c>
      <c r="G25" s="134">
        <f t="shared" si="1"/>
        <v>0</v>
      </c>
    </row>
    <row r="26" spans="1:41">
      <c r="B26" s="131" t="str">
        <f>'UP3'!B61</f>
        <v>c. Maturity Level Sustainbility</v>
      </c>
      <c r="C26" s="132">
        <f>'UP3'!G61</f>
        <v>100</v>
      </c>
      <c r="D26" s="132">
        <f>'UP3'!H61</f>
        <v>110</v>
      </c>
      <c r="E26" s="132">
        <f>D26/C26</f>
        <v>1.1000000000000001</v>
      </c>
      <c r="F26" s="134">
        <f t="shared" si="3"/>
        <v>1</v>
      </c>
      <c r="G26" s="134">
        <f t="shared" si="1"/>
        <v>0</v>
      </c>
    </row>
    <row r="27" spans="1:41">
      <c r="B27" s="131" t="str">
        <f>'UP3'!B62</f>
        <v>d. Implementasi Roadmap Perbaikan Penerapan Manajemen Risiko dan Pencapaian Perlakuan Risiko</v>
      </c>
      <c r="C27" s="132">
        <f>'UP3'!G62</f>
        <v>100</v>
      </c>
      <c r="D27" s="132">
        <f>'UP3'!H62</f>
        <v>100</v>
      </c>
      <c r="E27" s="132">
        <f>D27/C27</f>
        <v>1</v>
      </c>
      <c r="F27" s="134">
        <f t="shared" si="3"/>
        <v>1</v>
      </c>
      <c r="G27" s="134">
        <f t="shared" si="1"/>
        <v>0</v>
      </c>
    </row>
    <row r="28" spans="1:41">
      <c r="B28" s="131" t="str">
        <f>'UP3'!B63</f>
        <v>Kepatuhan :</v>
      </c>
      <c r="C28" s="132">
        <f>'UP3'!G63</f>
        <v>0</v>
      </c>
      <c r="D28" s="132">
        <f>'UP3'!H63</f>
        <v>0</v>
      </c>
      <c r="E28" s="132" t="e">
        <f>D28/C28</f>
        <v>#DIV/0!</v>
      </c>
      <c r="F28" s="134" t="e">
        <f t="shared" si="3"/>
        <v>#DIV/0!</v>
      </c>
      <c r="G28" s="134" t="e">
        <f t="shared" si="1"/>
        <v>#DIV/0!</v>
      </c>
    </row>
    <row r="29" spans="1:41">
      <c r="B29" s="131" t="str">
        <f>'UP3'!B64</f>
        <v>a. Pengelolaan K3, Keamanan dan Lingkungan Hidup</v>
      </c>
      <c r="C29" s="132">
        <f>'UP3'!G64</f>
        <v>0</v>
      </c>
      <c r="D29" s="132">
        <f>'UP3'!H64</f>
        <v>0</v>
      </c>
      <c r="E29" s="132">
        <v>100</v>
      </c>
      <c r="F29" s="134">
        <f t="shared" si="3"/>
        <v>1</v>
      </c>
      <c r="G29" s="134">
        <f t="shared" si="1"/>
        <v>0</v>
      </c>
    </row>
    <row r="30" spans="1:41">
      <c r="B30" s="131" t="str">
        <f>'UP3'!B66</f>
        <v>c. Ketepatan penyampaian pelaporan dan
Akurasi Data Kinerja</v>
      </c>
      <c r="C30" s="132">
        <f>'UP3'!G66</f>
        <v>0</v>
      </c>
      <c r="D30" s="132">
        <f>'UP3'!H66</f>
        <v>0</v>
      </c>
      <c r="E30" s="132">
        <v>100</v>
      </c>
      <c r="F30" s="134">
        <f t="shared" si="3"/>
        <v>1</v>
      </c>
      <c r="G30" s="134">
        <f t="shared" si="1"/>
        <v>0</v>
      </c>
    </row>
    <row r="39" spans="2:7">
      <c r="B39" s="131" t="s">
        <v>67</v>
      </c>
      <c r="C39" s="132">
        <f>'UP3'!G21</f>
        <v>5</v>
      </c>
      <c r="D39" s="132">
        <f>'UP3'!H21</f>
        <v>3</v>
      </c>
      <c r="E39" s="132">
        <f>2-(D39/C39)</f>
        <v>1.4</v>
      </c>
      <c r="F39" s="134">
        <f>IF(E39&gt;1,1,E39)</f>
        <v>1</v>
      </c>
      <c r="G39" s="134">
        <f>1-F39</f>
        <v>0</v>
      </c>
    </row>
    <row r="40" spans="2:7">
      <c r="B40" s="131" t="s">
        <v>68</v>
      </c>
      <c r="C40" s="132">
        <f>'UP3'!G38</f>
        <v>864</v>
      </c>
      <c r="D40" s="132">
        <f>'UP3'!H38</f>
        <v>939</v>
      </c>
      <c r="E40" s="132">
        <f>2-(D40/C40)</f>
        <v>0.91319444444444442</v>
      </c>
      <c r="F40" s="134">
        <f>IF(E40&gt;1,1,E40)</f>
        <v>0.91319444444444442</v>
      </c>
      <c r="G40" s="134">
        <f>1-F40</f>
        <v>8.680555555555558E-2</v>
      </c>
    </row>
    <row r="41" spans="2:7">
      <c r="B41" s="131" t="s">
        <v>69</v>
      </c>
      <c r="C41" s="132">
        <f>'UP3'!G17</f>
        <v>0</v>
      </c>
      <c r="D41" s="132">
        <f>'UP3'!H17</f>
        <v>0</v>
      </c>
      <c r="E41" s="132" t="e">
        <f>D41/C41</f>
        <v>#DIV/0!</v>
      </c>
      <c r="F41" s="134" t="e">
        <f>IF(E41&gt;1,1,E41)</f>
        <v>#DIV/0!</v>
      </c>
      <c r="G41" s="134" t="e">
        <f>1-F41</f>
        <v>#DIV/0!</v>
      </c>
    </row>
    <row r="42" spans="2:7">
      <c r="B42" s="131" t="s">
        <v>70</v>
      </c>
      <c r="C42" s="149">
        <f>'UP3'!G55</f>
        <v>100</v>
      </c>
      <c r="D42" s="149">
        <f>'UP3'!H55</f>
        <v>90</v>
      </c>
      <c r="E42" s="132">
        <f>D42/C42</f>
        <v>0.9</v>
      </c>
      <c r="F42" s="134">
        <f>IF(E42&gt;1,1,E42)</f>
        <v>0.9</v>
      </c>
      <c r="G42" s="134">
        <f>1-F42</f>
        <v>9.9999999999999978E-2</v>
      </c>
    </row>
    <row r="43" spans="2:7">
      <c r="B43" s="131" t="s">
        <v>71</v>
      </c>
      <c r="C43" s="132" t="e">
        <f>'UP3'!#REF!</f>
        <v>#REF!</v>
      </c>
      <c r="D43" s="132" t="e">
        <f>'UP3'!#REF!</f>
        <v>#REF!</v>
      </c>
      <c r="E43" s="132" t="e">
        <f>D43/C43</f>
        <v>#REF!</v>
      </c>
      <c r="F43" s="134">
        <v>0</v>
      </c>
      <c r="G43" s="134">
        <f>1-F43</f>
        <v>1</v>
      </c>
    </row>
  </sheetData>
  <pageMargins left="0.7" right="0.7" top="0.75" bottom="0.75" header="0.3" footer="0.3"/>
  <pageSetup paperSize="162" orientation="portrait" horizont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8"/>
  <sheetViews>
    <sheetView workbookViewId="0"/>
  </sheetViews>
  <sheetFormatPr defaultRowHeight="15"/>
  <cols>
    <col min="2" max="2" width="27.7109375" customWidth="1"/>
    <col min="16" max="16" width="15.7109375" bestFit="1" customWidth="1"/>
  </cols>
  <sheetData>
    <row r="2" spans="2:16">
      <c r="B2" s="737" t="s">
        <v>72</v>
      </c>
      <c r="C2" s="734" t="s">
        <v>73</v>
      </c>
      <c r="D2" s="735"/>
      <c r="E2" s="735"/>
      <c r="F2" s="735"/>
      <c r="G2" s="735"/>
      <c r="H2" s="735"/>
      <c r="I2" s="735"/>
      <c r="J2" s="735"/>
      <c r="K2" s="735"/>
      <c r="L2" s="735"/>
      <c r="M2" s="735"/>
      <c r="N2" s="736"/>
      <c r="P2" s="232"/>
    </row>
    <row r="3" spans="2:16">
      <c r="B3" s="738"/>
      <c r="C3" s="417" t="s">
        <v>74</v>
      </c>
      <c r="D3" s="417" t="s">
        <v>75</v>
      </c>
      <c r="E3" s="417" t="s">
        <v>76</v>
      </c>
      <c r="F3" s="417" t="s">
        <v>77</v>
      </c>
      <c r="G3" s="417" t="s">
        <v>78</v>
      </c>
      <c r="H3" s="417" t="s">
        <v>79</v>
      </c>
      <c r="I3" s="417" t="s">
        <v>80</v>
      </c>
      <c r="J3" s="417" t="s">
        <v>81</v>
      </c>
      <c r="K3" s="417" t="s">
        <v>82</v>
      </c>
      <c r="L3" s="417" t="s">
        <v>83</v>
      </c>
      <c r="M3" s="417" t="s">
        <v>84</v>
      </c>
      <c r="N3" s="417" t="s">
        <v>85</v>
      </c>
    </row>
    <row r="4" spans="2:16">
      <c r="B4" s="402" t="s">
        <v>86</v>
      </c>
      <c r="C4" s="402"/>
      <c r="D4" s="402"/>
      <c r="E4" s="402"/>
      <c r="F4" s="402"/>
      <c r="G4" s="402"/>
      <c r="H4" s="402"/>
      <c r="I4" s="402"/>
      <c r="J4" s="402"/>
      <c r="K4" s="402"/>
      <c r="L4" s="402"/>
      <c r="M4" s="402"/>
      <c r="N4" s="402"/>
    </row>
    <row r="5" spans="2:16">
      <c r="B5" s="402" t="s">
        <v>87</v>
      </c>
      <c r="C5" s="402"/>
      <c r="D5" s="402"/>
      <c r="E5" s="402"/>
      <c r="F5" s="402"/>
      <c r="G5" s="402"/>
      <c r="H5" s="402"/>
      <c r="I5" s="402"/>
      <c r="J5" s="402"/>
      <c r="K5" s="402"/>
      <c r="L5" s="402"/>
      <c r="M5" s="402"/>
      <c r="N5" s="402"/>
    </row>
    <row r="6" spans="2:16">
      <c r="B6" s="402" t="s">
        <v>88</v>
      </c>
      <c r="C6" s="402"/>
      <c r="D6" s="402"/>
      <c r="E6" s="402"/>
      <c r="F6" s="402"/>
      <c r="G6" s="402"/>
      <c r="H6" s="402"/>
      <c r="I6" s="402"/>
      <c r="J6" s="402"/>
      <c r="K6" s="402"/>
      <c r="L6" s="402"/>
      <c r="M6" s="402"/>
      <c r="N6" s="402"/>
    </row>
    <row r="7" spans="2:16">
      <c r="B7" s="402" t="s">
        <v>89</v>
      </c>
      <c r="C7" s="402"/>
      <c r="D7" s="402"/>
      <c r="E7" s="402"/>
      <c r="F7" s="402"/>
      <c r="G7" s="402"/>
      <c r="H7" s="402"/>
      <c r="I7" s="402"/>
      <c r="J7" s="402"/>
      <c r="K7" s="402"/>
      <c r="L7" s="402"/>
      <c r="M7" s="402"/>
      <c r="N7" s="402"/>
    </row>
    <row r="8" spans="2:16">
      <c r="B8" s="403" t="s">
        <v>90</v>
      </c>
      <c r="C8" s="418" t="e">
        <f>DETAIL!J43</f>
        <v>#REF!</v>
      </c>
      <c r="D8" s="418" t="e">
        <f>DETAIL!P43</f>
        <v>#REF!</v>
      </c>
      <c r="E8" s="418" t="e">
        <f>DETAIL!V43</f>
        <v>#REF!</v>
      </c>
      <c r="F8" s="418" t="e">
        <f>DETAIL!AB43</f>
        <v>#N/A</v>
      </c>
      <c r="G8" s="403"/>
      <c r="H8" s="403"/>
      <c r="I8" s="403"/>
      <c r="J8" s="403"/>
      <c r="K8" s="403"/>
      <c r="L8" s="403"/>
      <c r="M8" s="403"/>
      <c r="N8" s="403"/>
    </row>
  </sheetData>
  <mergeCells count="2">
    <mergeCell ref="C2:N2"/>
    <mergeCell ref="B2:B3"/>
  </mergeCells>
  <phoneticPr fontId="138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H45"/>
  <sheetViews>
    <sheetView workbookViewId="0"/>
  </sheetViews>
  <sheetFormatPr defaultRowHeight="15"/>
  <cols>
    <col min="1" max="1" width="5.7109375" customWidth="1"/>
    <col min="2" max="2" width="49.28515625" customWidth="1"/>
    <col min="3" max="3" width="2.85546875" customWidth="1"/>
    <col min="4" max="4" width="9.5703125" customWidth="1"/>
    <col min="5" max="5" width="2.28515625" customWidth="1"/>
    <col min="6" max="6" width="11" customWidth="1"/>
    <col min="7" max="7" width="12.28515625" customWidth="1"/>
    <col min="8" max="8" width="12.7109375" customWidth="1"/>
    <col min="9" max="9" width="16.85546875" style="105" bestFit="1" customWidth="1"/>
    <col min="10" max="10" width="12.7109375" customWidth="1"/>
    <col min="11" max="11" width="2.28515625" customWidth="1"/>
    <col min="12" max="12" width="11" customWidth="1"/>
    <col min="13" max="13" width="12.28515625" customWidth="1"/>
    <col min="14" max="14" width="12.7109375" customWidth="1"/>
    <col min="15" max="15" width="16.7109375" style="105" customWidth="1"/>
    <col min="16" max="16" width="12.7109375" customWidth="1"/>
    <col min="17" max="17" width="2.28515625" customWidth="1"/>
    <col min="18" max="18" width="11" customWidth="1"/>
    <col min="19" max="19" width="12.28515625" customWidth="1"/>
    <col min="20" max="20" width="12.7109375" customWidth="1"/>
    <col min="21" max="21" width="13" style="105" customWidth="1"/>
    <col min="22" max="22" width="12.7109375" customWidth="1"/>
    <col min="23" max="23" width="2.7109375" customWidth="1"/>
    <col min="24" max="24" width="11" customWidth="1"/>
    <col min="25" max="25" width="12.28515625" customWidth="1"/>
    <col min="26" max="26" width="12.7109375" customWidth="1"/>
    <col min="27" max="27" width="16.85546875" style="105" bestFit="1" customWidth="1"/>
    <col min="28" max="28" width="12.7109375" customWidth="1"/>
    <col min="29" max="29" width="3.28515625" customWidth="1"/>
    <col min="30" max="30" width="11" customWidth="1"/>
    <col min="31" max="31" width="12.28515625" customWidth="1"/>
    <col min="32" max="32" width="12.7109375" customWidth="1"/>
    <col min="33" max="33" width="16.85546875" style="105" bestFit="1" customWidth="1"/>
    <col min="34" max="34" width="12.7109375" customWidth="1"/>
  </cols>
  <sheetData>
    <row r="1" spans="1:34" ht="15.75">
      <c r="A1" s="38"/>
      <c r="B1" s="39" t="s">
        <v>91</v>
      </c>
      <c r="C1" s="38"/>
      <c r="D1" s="38"/>
      <c r="F1" s="38"/>
      <c r="L1" s="38"/>
      <c r="R1" s="38"/>
      <c r="X1" s="38"/>
      <c r="AD1" s="38"/>
    </row>
    <row r="2" spans="1:34" ht="15.75">
      <c r="A2" s="38"/>
      <c r="B2" s="39" t="s">
        <v>92</v>
      </c>
      <c r="C2" s="38"/>
      <c r="D2" s="38"/>
      <c r="F2" s="38"/>
      <c r="L2" s="38"/>
      <c r="R2" s="38"/>
      <c r="X2" s="38"/>
      <c r="AD2" s="38"/>
    </row>
    <row r="3" spans="1:34" ht="15.75">
      <c r="A3" s="42"/>
      <c r="B3" s="138" t="s">
        <v>7</v>
      </c>
      <c r="C3" s="40"/>
      <c r="D3" s="38"/>
      <c r="F3" s="38"/>
      <c r="L3" s="38"/>
      <c r="R3" s="38"/>
      <c r="X3" s="38"/>
      <c r="AD3" s="38"/>
    </row>
    <row r="4" spans="1:34" ht="16.5" customHeight="1">
      <c r="A4" s="743" t="s">
        <v>8</v>
      </c>
      <c r="B4" s="745" t="s">
        <v>9</v>
      </c>
      <c r="C4" s="746"/>
      <c r="D4" s="743" t="s">
        <v>93</v>
      </c>
      <c r="F4" s="739" t="s">
        <v>94</v>
      </c>
      <c r="G4" s="740"/>
      <c r="H4" s="740"/>
      <c r="I4" s="740"/>
      <c r="J4" s="741"/>
      <c r="L4" s="739" t="s">
        <v>95</v>
      </c>
      <c r="M4" s="740"/>
      <c r="N4" s="740"/>
      <c r="O4" s="740"/>
      <c r="P4" s="741"/>
      <c r="R4" s="739" t="s">
        <v>96</v>
      </c>
      <c r="S4" s="740"/>
      <c r="T4" s="740"/>
      <c r="U4" s="740"/>
      <c r="V4" s="741"/>
      <c r="X4" s="739" t="s">
        <v>97</v>
      </c>
      <c r="Y4" s="740"/>
      <c r="Z4" s="740"/>
      <c r="AA4" s="740"/>
      <c r="AB4" s="741"/>
      <c r="AD4" s="739" t="s">
        <v>98</v>
      </c>
      <c r="AE4" s="740"/>
      <c r="AF4" s="740"/>
      <c r="AG4" s="740"/>
      <c r="AH4" s="741"/>
    </row>
    <row r="5" spans="1:34" ht="19.149999999999999" customHeight="1">
      <c r="A5" s="744"/>
      <c r="B5" s="747"/>
      <c r="C5" s="748"/>
      <c r="D5" s="744"/>
      <c r="F5" s="419" t="s">
        <v>99</v>
      </c>
      <c r="G5" s="419" t="s">
        <v>100</v>
      </c>
      <c r="H5" s="417" t="s">
        <v>101</v>
      </c>
      <c r="I5" s="417" t="s">
        <v>102</v>
      </c>
      <c r="J5" s="417" t="s">
        <v>103</v>
      </c>
      <c r="L5" s="419" t="s">
        <v>99</v>
      </c>
      <c r="M5" s="419" t="s">
        <v>100</v>
      </c>
      <c r="N5" s="417" t="s">
        <v>101</v>
      </c>
      <c r="O5" s="417" t="s">
        <v>102</v>
      </c>
      <c r="P5" s="417" t="s">
        <v>103</v>
      </c>
      <c r="R5" s="419" t="s">
        <v>99</v>
      </c>
      <c r="S5" s="419" t="s">
        <v>100</v>
      </c>
      <c r="T5" s="417" t="s">
        <v>101</v>
      </c>
      <c r="U5" s="417" t="s">
        <v>102</v>
      </c>
      <c r="V5" s="417" t="s">
        <v>103</v>
      </c>
      <c r="X5" s="419" t="s">
        <v>99</v>
      </c>
      <c r="Y5" s="419" t="s">
        <v>100</v>
      </c>
      <c r="Z5" s="417" t="s">
        <v>101</v>
      </c>
      <c r="AA5" s="417" t="s">
        <v>102</v>
      </c>
      <c r="AB5" s="417" t="s">
        <v>103</v>
      </c>
      <c r="AD5" s="419" t="s">
        <v>99</v>
      </c>
      <c r="AE5" s="419" t="s">
        <v>100</v>
      </c>
      <c r="AF5" s="417" t="s">
        <v>101</v>
      </c>
      <c r="AG5" s="417" t="s">
        <v>102</v>
      </c>
      <c r="AH5" s="417" t="s">
        <v>103</v>
      </c>
    </row>
    <row r="6" spans="1:34" ht="15.75">
      <c r="A6" s="420">
        <v>1</v>
      </c>
      <c r="B6" s="393">
        <v>2</v>
      </c>
      <c r="C6" s="228"/>
      <c r="D6" s="420">
        <v>3</v>
      </c>
      <c r="F6" s="420">
        <v>4</v>
      </c>
      <c r="G6" s="394">
        <v>6</v>
      </c>
      <c r="H6" s="452">
        <v>7</v>
      </c>
      <c r="I6" s="452">
        <v>8</v>
      </c>
      <c r="J6" s="417">
        <v>9</v>
      </c>
      <c r="L6" s="420">
        <v>4</v>
      </c>
      <c r="M6" s="394">
        <v>6</v>
      </c>
      <c r="N6" s="452">
        <v>7</v>
      </c>
      <c r="O6" s="452">
        <v>8</v>
      </c>
      <c r="P6" s="417">
        <v>9</v>
      </c>
      <c r="R6" s="420">
        <v>4</v>
      </c>
      <c r="S6" s="394">
        <v>6</v>
      </c>
      <c r="T6" s="452">
        <v>7</v>
      </c>
      <c r="U6" s="452">
        <v>8</v>
      </c>
      <c r="V6" s="417">
        <v>9</v>
      </c>
      <c r="X6" s="420">
        <v>4</v>
      </c>
      <c r="Y6" s="394">
        <v>6</v>
      </c>
      <c r="Z6" s="452">
        <v>7</v>
      </c>
      <c r="AA6" s="452">
        <v>8</v>
      </c>
      <c r="AB6" s="417">
        <v>9</v>
      </c>
      <c r="AD6" s="420">
        <v>4</v>
      </c>
      <c r="AE6" s="394">
        <v>6</v>
      </c>
      <c r="AF6" s="452">
        <v>7</v>
      </c>
      <c r="AG6" s="452">
        <v>8</v>
      </c>
      <c r="AH6" s="417">
        <v>9</v>
      </c>
    </row>
    <row r="7" spans="1:34" ht="20.100000000000001" customHeight="1">
      <c r="A7" s="72" t="str">
        <f>T.UP3!A7</f>
        <v>I</v>
      </c>
      <c r="B7" s="66" t="str">
        <f>T.UP3!B7</f>
        <v>Key Performance Indikator</v>
      </c>
      <c r="C7" s="67"/>
      <c r="D7" s="49"/>
      <c r="F7" s="68">
        <f>SUM(F8:F10)</f>
        <v>28</v>
      </c>
      <c r="G7" s="68"/>
      <c r="H7" s="68"/>
      <c r="I7" s="68"/>
      <c r="J7" s="102">
        <f>SUM(J8:J10)</f>
        <v>15.4</v>
      </c>
      <c r="L7" s="68">
        <f>SUM(L8:L10)</f>
        <v>28</v>
      </c>
      <c r="M7" s="68"/>
      <c r="N7" s="68"/>
      <c r="O7" s="68"/>
      <c r="P7" s="102">
        <f>SUM(P8:P10)</f>
        <v>15.4</v>
      </c>
      <c r="R7" s="68">
        <f>SUM(R8:R10)</f>
        <v>28</v>
      </c>
      <c r="S7" s="68"/>
      <c r="T7" s="68"/>
      <c r="U7" s="68"/>
      <c r="V7" s="102">
        <f>SUM(V8:V10)</f>
        <v>15.126233650576344</v>
      </c>
      <c r="X7" s="68" t="e">
        <f>SUM(X8:X10)</f>
        <v>#N/A</v>
      </c>
      <c r="Y7" s="68"/>
      <c r="Z7" s="68"/>
      <c r="AA7" s="68"/>
      <c r="AB7" s="102" t="e">
        <f>SUM(AB8:AB10)</f>
        <v>#N/A</v>
      </c>
      <c r="AD7" s="68" t="e">
        <f>SUM(AD8:AD10)</f>
        <v>#N/A</v>
      </c>
      <c r="AE7" s="68"/>
      <c r="AF7" s="68"/>
      <c r="AG7" s="68"/>
      <c r="AH7" s="102" t="e">
        <f>SUM(AH8:AH10)</f>
        <v>#N/A</v>
      </c>
    </row>
    <row r="8" spans="1:34" ht="20.100000000000001" customHeight="1">
      <c r="A8" s="69">
        <f>T.UP3!A8</f>
        <v>1</v>
      </c>
      <c r="B8" s="74" t="str">
        <f>T.UP3!B8</f>
        <v>Penjualan Tenaga Listrik</v>
      </c>
      <c r="C8" s="75" t="str">
        <f>T.UP3!C8</f>
        <v>ñ</v>
      </c>
      <c r="D8" s="229" t="str">
        <f>T.UP3!D8</f>
        <v>GWh</v>
      </c>
      <c r="F8" s="100">
        <f>IF(H8="N/A",0,T.UP3!$F$8)</f>
        <v>14</v>
      </c>
      <c r="G8" s="90">
        <f>VLOOKUP($B$8,T.UP3!$B$4:$T$69,MATCH(DETAIL!$F$4,T.UP3!$B$5:$T$5,0),FALSE)</f>
        <v>18.739999999999998</v>
      </c>
      <c r="H8" s="98">
        <f>VLOOKUP($B$8,'R.UP3'!$B$4:$S$54,MATCH(DETAIL!$F$4,'R.UP3'!$B$5:$S$5,0),FALSE)</f>
        <v>22.980830736000001</v>
      </c>
      <c r="I8" s="157">
        <f>IF(OR(G8="N/A",H8="N/A"),"N/A",IF(AND(G8=0,H8=0),0,H8/G8*100))</f>
        <v>122.62983316969051</v>
      </c>
      <c r="J8" s="103">
        <f>IF(OR(I8="N/A",I8&lt;0),0,IF(I8&gt;110,F8*110/100,F8*I8/100))</f>
        <v>15.4</v>
      </c>
      <c r="L8" s="100">
        <f>IF(N8="N/A",0,T.UP3!$F$8)</f>
        <v>14</v>
      </c>
      <c r="M8" s="90">
        <f>VLOOKUP($B$8,T.UP3!$B$4:$T$69,MATCH(DETAIL!$L$4,T.UP3!$B$5:$T$5,0),FALSE)</f>
        <v>36.549999999999997</v>
      </c>
      <c r="N8" s="98">
        <f>VLOOKUP($B$8,'R.UP3'!$B$4:$S$54,MATCH(DETAIL!$L$4,'R.UP3'!$B$5:$S$5,0),FALSE)</f>
        <v>42.202825991000005</v>
      </c>
      <c r="O8" s="157">
        <f>IF(OR(M8="N/A",N8="N/A"),"N/A",IF(AND(M8=0,N8=0),0,N8/M8*100))</f>
        <v>115.46600818331056</v>
      </c>
      <c r="P8" s="103">
        <f>IF(OR(O8="N/A",O8&lt;0),0,IF(O8&gt;110,L8*110/100,L8*O8/100))</f>
        <v>15.4</v>
      </c>
      <c r="R8" s="100">
        <f>IF(T8="N/A",0,T.UP3!$F$8)</f>
        <v>14</v>
      </c>
      <c r="S8" s="90">
        <f>VLOOKUP($B$8,T.UP3!$B$4:$T$69,MATCH(DETAIL!$R$4,T.UP3!$B$5:$T$5,0),FALSE)</f>
        <v>56.39</v>
      </c>
      <c r="T8" s="98">
        <f>VLOOKUP($B$8,'R.UP3'!$B$4:$S$54,MATCH(DETAIL!$R$4,'R.UP3'!$B$5:$S$5,0),FALSE)</f>
        <v>60.926308253999998</v>
      </c>
      <c r="U8" s="157">
        <f>IF(OR(S8="N/A",T8="N/A"),"N/A",IF(AND(S8=0,T8=0),0,T8/S8*100))</f>
        <v>108.04452607554531</v>
      </c>
      <c r="V8" s="103">
        <f>IF(OR(U8="N/A",U8&lt;0),0,IF(U8&gt;110,R8*110/100,R8*U8/100))</f>
        <v>15.126233650576344</v>
      </c>
      <c r="X8" s="100" t="e">
        <f>IF(Z8="N/A",0,T.UP3!$F$8)</f>
        <v>#N/A</v>
      </c>
      <c r="Y8" s="90" t="e">
        <f>VLOOKUP($B$8,T.UP3!$B$4:$T$69,MATCH(DETAIL!$X$4,T.UP3!$B$5:$T$5,0),FALSE)</f>
        <v>#N/A</v>
      </c>
      <c r="Z8" s="98" t="e">
        <f>VLOOKUP($B$8,'R.UP3'!$B$4:$S$54,MATCH(DETAIL!$X$4,'R.UP3'!$B$5:$S$5,0),FALSE)</f>
        <v>#N/A</v>
      </c>
      <c r="AA8" s="157" t="e">
        <f>IF(OR(Y8="N/A",Z8="N/A"),"N/A",IF(AND(Y8=0,Z8=0),0,Z8/Y8*100))</f>
        <v>#N/A</v>
      </c>
      <c r="AB8" s="103" t="e">
        <f>IF(OR(AA8="N/A",AA8&lt;0),0,IF(AA8&gt;110,X8*110/100,X8*AA8/100))</f>
        <v>#N/A</v>
      </c>
      <c r="AD8" s="100" t="e">
        <f>IF(AF8="N/A",0,T.UP3!$F$8)</f>
        <v>#N/A</v>
      </c>
      <c r="AE8" s="90" t="e">
        <f>VLOOKUP($B$8,T.UP3!$B$4:$T$69,MATCH(DETAIL!$AD$4,T.UP3!$B$5:$T$5,0),FALSE)</f>
        <v>#N/A</v>
      </c>
      <c r="AF8" s="98" t="e">
        <f>VLOOKUP($B$8,'R.UP3'!$B$4:$S$54,MATCH(DETAIL!$AD$4,'R.UP3'!$B$5:$S$5,0),FALSE)</f>
        <v>#N/A</v>
      </c>
      <c r="AG8" s="157" t="e">
        <f>IF(OR(AE8="N/A",AF8="N/A"),"N/A",IF(AND(AE8=0,AF8=0),0,AF8/AE8*100))</f>
        <v>#N/A</v>
      </c>
      <c r="AH8" s="103" t="e">
        <f>IF(OR(AG8="N/A",AG8&lt;0),0,IF(AG8&gt;110,AD8*110/100,AD8*AG8/100))</f>
        <v>#N/A</v>
      </c>
    </row>
    <row r="9" spans="1:34" ht="20.100000000000001" customHeight="1">
      <c r="A9" s="69">
        <f>T.UP3!A9</f>
        <v>2</v>
      </c>
      <c r="B9" s="74" t="str">
        <f>T.UP3!B9</f>
        <v>Keandalan Sistem</v>
      </c>
      <c r="C9" s="75">
        <f>T.UP3!C9</f>
        <v>0</v>
      </c>
      <c r="D9" s="229">
        <f>T.UP3!D9</f>
        <v>0</v>
      </c>
      <c r="F9" s="100">
        <f>IF(H9="N/A",0,T.UP3!$F$9)</f>
        <v>14</v>
      </c>
      <c r="G9" s="90">
        <f>VLOOKUP($B$9,T.UP3!$B$4:$T$69,MATCH(DETAIL!$F$4,T.UP3!$B$5:$T$5,0),FALSE)</f>
        <v>0</v>
      </c>
      <c r="H9" s="98">
        <f>VLOOKUP($B$9,'R.UP3'!$B$4:$S$54,MATCH(DETAIL!$F$4,'R.UP3'!$B$5:$S$5,0),FALSE)</f>
        <v>0</v>
      </c>
      <c r="I9" s="157">
        <f>IF(OR(G9="N/A",H9="N/A"),"N/A",IF(AND(G9=0,H9=0),0,(2-H9/G9)*100))</f>
        <v>0</v>
      </c>
      <c r="J9" s="103">
        <f>IF(OR(I9="N/A",I9&lt;0),0,IF(I9&gt;110,F9*110/100,F9*I9/100))</f>
        <v>0</v>
      </c>
      <c r="L9" s="100">
        <f>IF(N9="N/A",0,T.UP3!$F$9)</f>
        <v>14</v>
      </c>
      <c r="M9" s="90">
        <f>VLOOKUP($B$9,T.UP3!$B$4:$T$69,MATCH(DETAIL!$L$4,T.UP3!$B$5:$T$5,0),FALSE)</f>
        <v>0</v>
      </c>
      <c r="N9" s="98">
        <f>VLOOKUP($B$9,'R.UP3'!$B$4:$S$54,MATCH(DETAIL!$L$4,'R.UP3'!$B$5:$S$5,0),FALSE)</f>
        <v>0</v>
      </c>
      <c r="O9" s="157">
        <f>IF(OR(M9="N/A",N9="N/A"),"N/A",IF(AND(M9=0,N9=0),0,(2-N9/M9)*100))</f>
        <v>0</v>
      </c>
      <c r="P9" s="103">
        <f>IF(OR(O9="N/A",O9&lt;0),0,IF(O9&gt;110,L9*110/100,L9*O9/100))</f>
        <v>0</v>
      </c>
      <c r="R9" s="100">
        <f>IF(T9="N/A",0,T.UP3!$F$9)</f>
        <v>14</v>
      </c>
      <c r="S9" s="90">
        <f>VLOOKUP($B$9,T.UP3!$B$4:$T$69,MATCH(DETAIL!$R$4,T.UP3!$B$5:$T$5,0),FALSE)</f>
        <v>0</v>
      </c>
      <c r="T9" s="98">
        <f>VLOOKUP($B$9,'R.UP3'!$B$4:$S$54,MATCH(DETAIL!$R$4,'R.UP3'!$B$5:$S$5,0),FALSE)</f>
        <v>0</v>
      </c>
      <c r="U9" s="157">
        <f>IF(OR(S9="N/A",T9="N/A"),"N/A",IF(AND(S9=0,T9=0),0,(2-T9/S9)*100))</f>
        <v>0</v>
      </c>
      <c r="V9" s="103">
        <f>IF(OR(U9="N/A",U9&lt;0),0,IF(U9&gt;110,R9*110/100,R9*U9/100))</f>
        <v>0</v>
      </c>
      <c r="X9" s="100" t="e">
        <f>IF(Z9="N/A",0,T.UP3!$F$9)</f>
        <v>#N/A</v>
      </c>
      <c r="Y9" s="90" t="e">
        <f>VLOOKUP($B$9,T.UP3!$B$4:$T$69,MATCH(DETAIL!$X$4,T.UP3!$B$5:$T$5,0),FALSE)</f>
        <v>#N/A</v>
      </c>
      <c r="Z9" s="98" t="e">
        <f>VLOOKUP($B$9,'R.UP3'!$B$4:$S$54,MATCH(DETAIL!$X$4,'R.UP3'!$B$5:$S$5,0),FALSE)</f>
        <v>#N/A</v>
      </c>
      <c r="AA9" s="157" t="e">
        <f>IF(OR(Y9="N/A",Z9="N/A"),"N/A",IF(AND(Y9=0,Z9=0),0,(2-Z9/Y9)*100))</f>
        <v>#N/A</v>
      </c>
      <c r="AB9" s="103" t="e">
        <f>IF(OR(AA9="N/A",AA9&lt;0),0,IF(AA9&gt;110,X9*110/100,X9*AA9/100))</f>
        <v>#N/A</v>
      </c>
      <c r="AD9" s="100" t="e">
        <f>IF(AF9="N/A",0,T.UP3!$F$9)</f>
        <v>#N/A</v>
      </c>
      <c r="AE9" s="90" t="e">
        <f>VLOOKUP($B$9,T.UP3!$B$4:$T$69,MATCH(DETAIL!$AD$4,T.UP3!$B$5:$T$5,0),FALSE)</f>
        <v>#N/A</v>
      </c>
      <c r="AF9" s="98" t="e">
        <f>VLOOKUP($B$9,'R.UP3'!$B$4:$S$54,MATCH(DETAIL!$AD$4,'R.UP3'!$B$5:$S$5,0),FALSE)</f>
        <v>#N/A</v>
      </c>
      <c r="AG9" s="157" t="e">
        <f>IF(OR(AE9="N/A",AF9="N/A"),"N/A",IF(AND(AE9=0,AF9=0),0,(2-AF9/AE9)*100))</f>
        <v>#N/A</v>
      </c>
      <c r="AH9" s="103" t="e">
        <f>IF(OR(AG9="N/A",AG9&lt;0),0,IF(AG9&gt;110,AD9*110/100,AD9*AG9/100))</f>
        <v>#N/A</v>
      </c>
    </row>
    <row r="10" spans="1:34" ht="16.5">
      <c r="A10" s="69">
        <f>T.UP3!A10</f>
        <v>0</v>
      </c>
      <c r="B10" s="153" t="str">
        <f>T.UP3!B10</f>
        <v>a. SAIDI Sesuai Kewenangannya</v>
      </c>
      <c r="C10" s="75" t="str">
        <f>T.UP3!C10</f>
        <v>ò</v>
      </c>
      <c r="D10" s="229" t="str">
        <f>T.UP3!D10</f>
        <v>Menit/Plg</v>
      </c>
      <c r="F10" s="188">
        <f>IF(H10="N/A",0,T.UP3!$F$10)</f>
        <v>0</v>
      </c>
      <c r="G10" s="90">
        <f>VLOOKUP($B$10,T.UP3!$B$4:$T$69,MATCH(DETAIL!$F$4,T.UP3!$B$5:$T$5,0),FALSE)</f>
        <v>23.39</v>
      </c>
      <c r="H10" s="98">
        <f>VLOOKUP($B$10,'R.UP3'!$B$4:$S$54,MATCH(DETAIL!$F$4,'R.UP3'!$B$5:$S$5,0),FALSE)</f>
        <v>12.366708627002435</v>
      </c>
      <c r="I10" s="157">
        <f>IF(OR(G10="N/A",H10="N/A"),"N/A",IF(AND(G10=0,H10=0),0,H10/G10*100))</f>
        <v>52.871776943148504</v>
      </c>
      <c r="J10" s="103">
        <f>IF(OR(I10="N/A",I10&lt;0),0,IF(I10&gt;110,F10*110/100,F10*I10/100))</f>
        <v>0</v>
      </c>
      <c r="L10" s="188">
        <f>IF(N10="N/A",0,T.UP3!$F$10)</f>
        <v>0</v>
      </c>
      <c r="M10" s="90">
        <f>VLOOKUP($B$10,T.UP3!$B$4:$T$69,MATCH(DETAIL!$L$4,T.UP3!$B$5:$T$5,0),FALSE)</f>
        <v>46.78</v>
      </c>
      <c r="N10" s="98">
        <f>VLOOKUP($B$10,'R.UP3'!$B$4:$S$54,MATCH(DETAIL!$L$4,'R.UP3'!$B$5:$S$5,0),FALSE)</f>
        <v>14.217818098417473</v>
      </c>
      <c r="O10" s="157">
        <f>IF(OR(M10="N/A",N10="N/A"),"N/A",IF(AND(M10=0,N10=0),0,N10/M10*100))</f>
        <v>30.392941638344318</v>
      </c>
      <c r="P10" s="103">
        <f>IF(OR(O10="N/A",O10&lt;0),0,IF(O10&gt;110,L10*110/100,L10*O10/100))</f>
        <v>0</v>
      </c>
      <c r="R10" s="188">
        <f>IF(T10="N/A",0,T.UP3!$F$10)</f>
        <v>0</v>
      </c>
      <c r="S10" s="90">
        <f>VLOOKUP($B$10,T.UP3!$B$4:$T$69,MATCH(DETAIL!$R$4,T.UP3!$B$5:$T$5,0),FALSE)</f>
        <v>70.17</v>
      </c>
      <c r="T10" s="98">
        <f>VLOOKUP($B$10,'R.UP3'!$B$4:$S$54,MATCH(DETAIL!$R$4,'R.UP3'!$B$5:$S$5,0),FALSE)</f>
        <v>15.90798980700673</v>
      </c>
      <c r="U10" s="157">
        <f>IF(OR(S10="N/A",T10="N/A"),"N/A",IF(AND(S10=0,T10=0),0,T10/S10*100))</f>
        <v>22.670642449774448</v>
      </c>
      <c r="V10" s="103">
        <f>IF(OR(U10="N/A",U10&lt;0),0,IF(U10&gt;110,R10*110/100,R10*U10/100))</f>
        <v>0</v>
      </c>
      <c r="X10" s="188" t="e">
        <f>IF(Z10="N/A",0,T.UP3!$F$10)</f>
        <v>#N/A</v>
      </c>
      <c r="Y10" s="90" t="e">
        <f>VLOOKUP($B$10,T.UP3!$B$4:$T$69,MATCH(DETAIL!$X$4,T.UP3!$B$5:$T$5,0),FALSE)</f>
        <v>#N/A</v>
      </c>
      <c r="Z10" s="98" t="e">
        <f>VLOOKUP($B$10,'R.UP3'!$B$4:$S$54,MATCH(DETAIL!$X$4,'R.UP3'!$B$5:$S$5,0),FALSE)</f>
        <v>#N/A</v>
      </c>
      <c r="AA10" s="157" t="e">
        <f>IF(OR(Y10="N/A",Z10="N/A"),"N/A",IF(AND(Y10=0,Z10=0),0,Z10/Y10*100))</f>
        <v>#N/A</v>
      </c>
      <c r="AB10" s="103" t="e">
        <f>IF(OR(AA10="N/A",AA10&lt;0),0,IF(AA10&gt;110,X10*110/100,X10*AA10/100))</f>
        <v>#N/A</v>
      </c>
      <c r="AD10" s="188" t="e">
        <f>IF(AF10="N/A",0,T.UP3!$F$10)</f>
        <v>#N/A</v>
      </c>
      <c r="AE10" s="90" t="e">
        <f>VLOOKUP($B$10,T.UP3!$B$4:$T$69,MATCH(DETAIL!$AD$4,T.UP3!$B$5:$T$5,0),FALSE)</f>
        <v>#N/A</v>
      </c>
      <c r="AF10" s="98" t="e">
        <f>VLOOKUP($B$10,'R.UP3'!$B$4:$S$54,MATCH(DETAIL!$AD$4,'R.UP3'!$B$5:$S$5,0),FALSE)</f>
        <v>#N/A</v>
      </c>
      <c r="AG10" s="157" t="e">
        <f>IF(OR(AE10="N/A",AF10="N/A"),"N/A",IF(AND(AE10=0,AF10=0),0,AF10/AE10*100))</f>
        <v>#N/A</v>
      </c>
      <c r="AH10" s="103" t="e">
        <f>IF(OR(AG10="N/A",AG10&lt;0),0,IF(AG10&gt;110,AD10*110/100,AD10*AG10/100))</f>
        <v>#N/A</v>
      </c>
    </row>
    <row r="11" spans="1:34" ht="20.100000000000001" customHeight="1">
      <c r="A11" s="72" t="str">
        <f>T.UP3!A17</f>
        <v>II</v>
      </c>
      <c r="B11" s="71" t="str">
        <f>T.UP3!B17</f>
        <v>Perfomance Indicators</v>
      </c>
      <c r="C11" s="67"/>
      <c r="D11" s="49"/>
      <c r="F11" s="72" t="e">
        <f>SUM(F12:F41)</f>
        <v>#REF!</v>
      </c>
      <c r="G11" s="72"/>
      <c r="H11" s="72"/>
      <c r="I11" s="72"/>
      <c r="J11" s="224" t="e">
        <f>SUM(J12:J41)</f>
        <v>#REF!</v>
      </c>
      <c r="L11" s="72" t="e">
        <f>SUM(L12:L41)</f>
        <v>#REF!</v>
      </c>
      <c r="M11" s="72"/>
      <c r="N11" s="72"/>
      <c r="O11" s="72"/>
      <c r="P11" s="224" t="e">
        <f>SUM(P12:P41)</f>
        <v>#REF!</v>
      </c>
      <c r="R11" s="72" t="e">
        <f>SUM(R12:R41)</f>
        <v>#REF!</v>
      </c>
      <c r="S11" s="72"/>
      <c r="T11" s="72"/>
      <c r="U11" s="72"/>
      <c r="V11" s="224" t="e">
        <f>SUM(V12:V41)</f>
        <v>#REF!</v>
      </c>
      <c r="X11" s="72" t="e">
        <f>SUM(X12:X41)</f>
        <v>#N/A</v>
      </c>
      <c r="Y11" s="72"/>
      <c r="Z11" s="72"/>
      <c r="AA11" s="72"/>
      <c r="AB11" s="224" t="e">
        <f>SUM(AB12:AB41)</f>
        <v>#N/A</v>
      </c>
      <c r="AD11" s="72" t="e">
        <f>SUM(AD12:AD41)</f>
        <v>#N/A</v>
      </c>
      <c r="AE11" s="72"/>
      <c r="AF11" s="72"/>
      <c r="AG11" s="72"/>
      <c r="AH11" s="224" t="e">
        <f>SUM(AH12:AH41)</f>
        <v>#N/A</v>
      </c>
    </row>
    <row r="12" spans="1:34" ht="20.100000000000001" customHeight="1">
      <c r="A12" s="69">
        <f>T.UP3!A18</f>
        <v>4</v>
      </c>
      <c r="B12" s="153" t="str">
        <f>T.UP3!B18</f>
        <v>Keandalan Jaringan Distribusi</v>
      </c>
      <c r="C12" s="75">
        <f>T.UP3!C18</f>
        <v>0</v>
      </c>
      <c r="D12" s="229">
        <f>T.UP3!D18</f>
        <v>0</v>
      </c>
      <c r="F12" s="188">
        <f>IF(H12="N/A",0,T.UP3!$F$18)</f>
        <v>6</v>
      </c>
      <c r="G12" s="173">
        <f>VLOOKUP($B$12,T.UP3!$B$4:$T$69,MATCH(DETAIL!$F$4,T.UP3!$B$5:$T$5,0),FALSE)</f>
        <v>0</v>
      </c>
      <c r="H12" s="143">
        <f>VLOOKUP($B$12,'R.UP3'!$B$4:$S$54,MATCH(DETAIL!$F$4,'R.UP3'!$B$5:$S$5,0),FALSE)</f>
        <v>0</v>
      </c>
      <c r="I12" s="157">
        <f>IF(OR(G12="N/A",H12="N/A"),"N/A",IF(AND(G12=0,H12=0),0,(2-H12/G12)*100))</f>
        <v>0</v>
      </c>
      <c r="J12" s="103">
        <f>IF(I12="N/A",0,IF(I12&gt;110,F12*110/100,F12*I12/100))</f>
        <v>0</v>
      </c>
      <c r="L12" s="188">
        <f>IF(N12="N/A",0,T.UP3!$F$18)</f>
        <v>6</v>
      </c>
      <c r="M12" s="173">
        <f>VLOOKUP($B$12,T.UP3!$B$4:$T$69,MATCH(DETAIL!$L$4,T.UP3!$B$5:$T$5,0),FALSE)</f>
        <v>0</v>
      </c>
      <c r="N12" s="143">
        <f>VLOOKUP($B$12,'R.UP3'!$B$4:$S$54,MATCH(DETAIL!$L$4,'R.UP3'!$B$5:$S$5,0),FALSE)</f>
        <v>0</v>
      </c>
      <c r="O12" s="157">
        <f>IF(OR(M12="N/A",N12="N/A"),"N/A",IF(AND(M12=0,N12=0),0,(2-N12/M12)*100))</f>
        <v>0</v>
      </c>
      <c r="P12" s="103">
        <f>IF(O12="N/A",0,IF(O12&gt;110,L12*110/100,L12*O12/100))</f>
        <v>0</v>
      </c>
      <c r="R12" s="188">
        <f>IF(T12="N/A",0,T.UP3!$F$18)</f>
        <v>6</v>
      </c>
      <c r="S12" s="173">
        <f>VLOOKUP($B$12,T.UP3!$B$4:$T$69,MATCH(DETAIL!$R$4,T.UP3!$B$5:$T$5,0),FALSE)</f>
        <v>0</v>
      </c>
      <c r="T12" s="143">
        <f>VLOOKUP($B$12,'R.UP3'!$B$4:$S$54,MATCH(DETAIL!$R$4,'R.UP3'!$B$5:$S$5,0),FALSE)</f>
        <v>0</v>
      </c>
      <c r="U12" s="157">
        <f>IF(OR(S12="N/A",T12="N/A"),"N/A",IF(AND(S12=0,T12=0),0,(2-T12/S12)*100))</f>
        <v>0</v>
      </c>
      <c r="V12" s="103">
        <f>IF(U12="N/A",0,IF(U12&gt;110,R12*110/100,R12*U12/100))</f>
        <v>0</v>
      </c>
      <c r="X12" s="188" t="e">
        <f>IF(Z12="N/A",0,T.UP3!$F$18)</f>
        <v>#N/A</v>
      </c>
      <c r="Y12" s="173" t="e">
        <f>VLOOKUP($B$12,T.UP3!$B$4:$T$69,MATCH(DETAIL!$X$4,T.UP3!$B$5:$T$5,0),FALSE)</f>
        <v>#N/A</v>
      </c>
      <c r="Z12" s="143" t="e">
        <f>VLOOKUP($B$12,'R.UP3'!$B$4:$S$54,MATCH(DETAIL!$X$4,'R.UP3'!$B$5:$S$5,0),FALSE)</f>
        <v>#N/A</v>
      </c>
      <c r="AA12" s="157" t="e">
        <f>IF(OR(Y12="N/A",Z12="N/A"),"N/A",IF(AND(Y12=0,Z12=0),0,(2-Z12/Y12)*100))</f>
        <v>#N/A</v>
      </c>
      <c r="AB12" s="103" t="e">
        <f>IF(AA12="N/A",0,IF(AA12&gt;110,X12*110/100,X12*AA12/100))</f>
        <v>#N/A</v>
      </c>
      <c r="AD12" s="188" t="e">
        <f>IF(AF12="N/A",0,T.UP3!$F$18)</f>
        <v>#N/A</v>
      </c>
      <c r="AE12" s="173" t="e">
        <f>VLOOKUP($B$12,T.UP3!$B$4:$T$69,MATCH(DETAIL!$AD$4,T.UP3!$B$5:$T$5,0),FALSE)</f>
        <v>#N/A</v>
      </c>
      <c r="AF12" s="143" t="e">
        <f>VLOOKUP($B$12,'R.UP3'!$B$4:$S$54,MATCH(DETAIL!$AD$4,'R.UP3'!$B$5:$S$5,0),FALSE)</f>
        <v>#N/A</v>
      </c>
      <c r="AG12" s="157" t="e">
        <f>IF(OR(AE12="N/A",AF12="N/A"),"N/A",IF(AND(AE12=0,AF12=0),0,(2-AF12/AE12)*100))</f>
        <v>#N/A</v>
      </c>
      <c r="AH12" s="103" t="e">
        <f>IF(AG12="N/A",0,IF(AG12&gt;110,AD12*110/100,AD12*AG12/100))</f>
        <v>#N/A</v>
      </c>
    </row>
    <row r="13" spans="1:34" ht="19.149999999999999" customHeight="1">
      <c r="A13" s="69">
        <f>T.UP3!A19</f>
        <v>0</v>
      </c>
      <c r="B13" s="153" t="str">
        <f>T.UP3!B19</f>
        <v>a. Gangguan TM &gt; 5 Menit</v>
      </c>
      <c r="C13" s="75" t="str">
        <f>T.UP3!C19</f>
        <v>ò</v>
      </c>
      <c r="D13" s="229" t="str">
        <f>T.UP3!D19</f>
        <v>Kali</v>
      </c>
      <c r="F13" s="188">
        <f>IF(H13="N/A",0,T.UP3!$F$19)</f>
        <v>0</v>
      </c>
      <c r="G13" s="173">
        <f>VLOOKUP($B$13,T.UP3!$B$4:$T$69,MATCH(DETAIL!$F$4,T.UP3!$B$5:$T$5,0),FALSE)</f>
        <v>15</v>
      </c>
      <c r="H13" s="143">
        <f>VLOOKUP($B$13,'R.UP3'!$B$4:$S$54,MATCH(DETAIL!$F$4,'R.UP3'!$B$5:$S$5,0),FALSE)</f>
        <v>5</v>
      </c>
      <c r="I13" s="157">
        <f>IF(OR(G13="N/A",H13="N/A"),"N/A",IF(AND(G13=0,H13=0),0,(2-H13/G13)*100))</f>
        <v>166.66666666666669</v>
      </c>
      <c r="J13" s="103">
        <f>IF(I13="N/A",0,IF(I13&gt;110,F13*110/100,F13*I13/100))</f>
        <v>0</v>
      </c>
      <c r="L13" s="188">
        <f>IF(N13="N/A",0,T.UP3!$F$19)</f>
        <v>0</v>
      </c>
      <c r="M13" s="173">
        <f>VLOOKUP($B$13,T.UP3!$B$4:$T$69,MATCH(DETAIL!$L$4,T.UP3!$B$5:$T$5,0),FALSE)</f>
        <v>29</v>
      </c>
      <c r="N13" s="143">
        <f>VLOOKUP($B$13,'R.UP3'!$B$4:$S$54,MATCH(DETAIL!$L$4,'R.UP3'!$B$5:$S$5,0),FALSE)</f>
        <v>10</v>
      </c>
      <c r="O13" s="157">
        <f>IF(OR(M13="N/A",N13="N/A"),"N/A",IF(AND(M13=0,N13=0),0,(2-N13/M13)*100))</f>
        <v>165.51724137931035</v>
      </c>
      <c r="P13" s="103">
        <f>IF(O13="N/A",0,IF(O13&gt;110,L13*110/100,L13*O13/100))</f>
        <v>0</v>
      </c>
      <c r="R13" s="188">
        <f>IF(T13="N/A",0,T.UP3!$F$19)</f>
        <v>0</v>
      </c>
      <c r="S13" s="173">
        <f>VLOOKUP($B$13,T.UP3!$B$4:$T$69,MATCH(DETAIL!$R$4,T.UP3!$B$5:$T$5,0),FALSE)</f>
        <v>45</v>
      </c>
      <c r="T13" s="143">
        <f>VLOOKUP($B$13,'R.UP3'!$B$4:$S$54,MATCH(DETAIL!$R$4,'R.UP3'!$B$5:$S$5,0),FALSE)</f>
        <v>32</v>
      </c>
      <c r="U13" s="157">
        <f>IF(OR(S13="N/A",T13="N/A"),"N/A",IF(AND(S13=0,T13=0),0,(2-T13/S13)*100))</f>
        <v>128.88888888888889</v>
      </c>
      <c r="V13" s="103">
        <f>IF(U13="N/A",0,IF(U13&gt;110,R13*110/100,R13*U13/100))</f>
        <v>0</v>
      </c>
      <c r="X13" s="188" t="e">
        <f>IF(Z13="N/A",0,T.UP3!$F$19)</f>
        <v>#N/A</v>
      </c>
      <c r="Y13" s="173" t="e">
        <f>VLOOKUP($B$13,T.UP3!$B$4:$T$69,MATCH(DETAIL!$X$4,T.UP3!$B$5:$T$5,0),FALSE)</f>
        <v>#N/A</v>
      </c>
      <c r="Z13" s="143" t="e">
        <f>VLOOKUP($B$13,'R.UP3'!$B$4:$S$54,MATCH(DETAIL!$X$4,'R.UP3'!$B$5:$S$5,0),FALSE)</f>
        <v>#N/A</v>
      </c>
      <c r="AA13" s="157" t="e">
        <f>IF(OR(Y13="N/A",Z13="N/A"),"N/A",IF(AND(Y13=0,Z13=0),0,(2-Z13/Y13)*100))</f>
        <v>#N/A</v>
      </c>
      <c r="AB13" s="103" t="e">
        <f>IF(AA13="N/A",0,IF(AA13&gt;110,X13*110/100,X13*AA13/100))</f>
        <v>#N/A</v>
      </c>
      <c r="AD13" s="188" t="e">
        <f>IF(AF13="N/A",0,T.UP3!$F$19)</f>
        <v>#N/A</v>
      </c>
      <c r="AE13" s="173" t="e">
        <f>VLOOKUP($B$13,T.UP3!$B$4:$T$69,MATCH(DETAIL!$AD$4,T.UP3!$B$5:$T$5,0),FALSE)</f>
        <v>#N/A</v>
      </c>
      <c r="AF13" s="143" t="e">
        <f>VLOOKUP($B$13,'R.UP3'!$B$4:$S$54,MATCH(DETAIL!$AD$4,'R.UP3'!$B$5:$S$5,0),FALSE)</f>
        <v>#N/A</v>
      </c>
      <c r="AG13" s="157" t="e">
        <f>IF(OR(AE13="N/A",AF13="N/A"),"N/A",IF(AND(AE13=0,AF13=0),0,(2-AF13/AE13)*100))</f>
        <v>#N/A</v>
      </c>
      <c r="AH13" s="103" t="e">
        <f>IF(AG13="N/A",0,IF(AG13&gt;110,AD13*110/100,AD13*AG13/100))</f>
        <v>#N/A</v>
      </c>
    </row>
    <row r="14" spans="1:34" ht="20.100000000000001" customHeight="1">
      <c r="A14" s="69">
        <f>T.UP3!A20</f>
        <v>0</v>
      </c>
      <c r="B14" s="153" t="str">
        <f>T.UP3!B20</f>
        <v>b. Gangguan TM ≤ 5 Menit</v>
      </c>
      <c r="C14" s="75" t="str">
        <f>T.UP3!C20</f>
        <v>ò</v>
      </c>
      <c r="D14" s="229" t="str">
        <f>T.UP3!D20</f>
        <v>Kali</v>
      </c>
      <c r="F14" s="188">
        <f>IF(H14="N/A",0,T.UP3!$F$20)</f>
        <v>0</v>
      </c>
      <c r="G14" s="90">
        <f>VLOOKUP($B$14,T.UP3!$B$4:$T$69,MATCH(DETAIL!$F$4,T.UP3!$B$5:$T$5,0),FALSE)</f>
        <v>17</v>
      </c>
      <c r="H14" s="98">
        <f>VLOOKUP($B$14,'R.UP3'!$B$4:$S$54,MATCH(DETAIL!$F$4,'R.UP3'!$B$5:$S$5,0),FALSE)</f>
        <v>1</v>
      </c>
      <c r="I14" s="157">
        <f>IF(OR(G14="N/A",H14="N/A"),"N/A",IF(AND(G14=0,H14=0),0,(2-H14/G14)*100))</f>
        <v>194.11764705882354</v>
      </c>
      <c r="J14" s="103">
        <f>IF(I14="N/A",0,IF(I14&gt;110,F14*110/100,F14*I14/100))</f>
        <v>0</v>
      </c>
      <c r="L14" s="188">
        <f>IF(N14="N/A",0,T.UP3!$F$20)</f>
        <v>0</v>
      </c>
      <c r="M14" s="90">
        <f>VLOOKUP($B$14,T.UP3!$B$4:$T$69,MATCH(DETAIL!$L$4,T.UP3!$B$5:$T$5,0),FALSE)</f>
        <v>31</v>
      </c>
      <c r="N14" s="98">
        <f>VLOOKUP($B$14,'R.UP3'!$B$4:$S$54,MATCH(DETAIL!$L$4,'R.UP3'!$B$5:$S$5,0),FALSE)</f>
        <v>18</v>
      </c>
      <c r="O14" s="157">
        <f>IF(OR(M14="N/A",N14="N/A"),"N/A",IF(AND(M14=0,N14=0),0,(2-N14/M14)*100))</f>
        <v>141.93548387096774</v>
      </c>
      <c r="P14" s="103">
        <f>IF(O14="N/A",0,IF(O14&gt;110,L14*110/100,L14*O14/100))</f>
        <v>0</v>
      </c>
      <c r="R14" s="188">
        <f>IF(T14="N/A",0,T.UP3!$F$20)</f>
        <v>0</v>
      </c>
      <c r="S14" s="90">
        <f>VLOOKUP($B$14,T.UP3!$B$4:$T$69,MATCH(DETAIL!$R$4,T.UP3!$B$5:$T$5,0),FALSE)</f>
        <v>48</v>
      </c>
      <c r="T14" s="98">
        <f>VLOOKUP($B$14,'R.UP3'!$B$4:$S$54,MATCH(DETAIL!$R$4,'R.UP3'!$B$5:$S$5,0),FALSE)</f>
        <v>21</v>
      </c>
      <c r="U14" s="157">
        <f>IF(OR(S14="N/A",T14="N/A"),"N/A",IF(AND(S14=0,T14=0),0,(2-T14/S14)*100))</f>
        <v>156.25</v>
      </c>
      <c r="V14" s="103">
        <f>IF(U14="N/A",0,IF(U14&gt;110,R14*110/100,R14*U14/100))</f>
        <v>0</v>
      </c>
      <c r="X14" s="188" t="e">
        <f>IF(Z14="N/A",0,T.UP3!$F$20)</f>
        <v>#N/A</v>
      </c>
      <c r="Y14" s="90" t="e">
        <f>VLOOKUP($B$14,T.UP3!$B$4:$T$69,MATCH(DETAIL!$X$4,T.UP3!$B$5:$T$5,0),FALSE)</f>
        <v>#N/A</v>
      </c>
      <c r="Z14" s="98" t="e">
        <f>VLOOKUP($B$14,'R.UP3'!$B$4:$S$54,MATCH(DETAIL!$X$4,'R.UP3'!$B$5:$S$5,0),FALSE)</f>
        <v>#N/A</v>
      </c>
      <c r="AA14" s="157" t="e">
        <f>IF(OR(Y14="N/A",Z14="N/A"),"N/A",IF(AND(Y14=0,Z14=0),0,(2-Z14/Y14)*100))</f>
        <v>#N/A</v>
      </c>
      <c r="AB14" s="103" t="e">
        <f>IF(AA14="N/A",0,IF(AA14&gt;110,X14*110/100,X14*AA14/100))</f>
        <v>#N/A</v>
      </c>
      <c r="AD14" s="188" t="e">
        <f>IF(AF14="N/A",0,T.UP3!$F$20)</f>
        <v>#N/A</v>
      </c>
      <c r="AE14" s="90" t="e">
        <f>VLOOKUP($B$14,T.UP3!$B$4:$T$69,MATCH(DETAIL!$AD$4,T.UP3!$B$5:$T$5,0),FALSE)</f>
        <v>#N/A</v>
      </c>
      <c r="AF14" s="98" t="e">
        <f>VLOOKUP($B$14,'R.UP3'!$B$4:$S$54,MATCH(DETAIL!$AD$4,'R.UP3'!$B$5:$S$5,0),FALSE)</f>
        <v>#N/A</v>
      </c>
      <c r="AG14" s="157" t="e">
        <f>IF(OR(AE14="N/A",AF14="N/A"),"N/A",IF(AND(AE14=0,AF14=0),0,(2-AF14/AE14)*100))</f>
        <v>#N/A</v>
      </c>
      <c r="AH14" s="103" t="e">
        <f>IF(AG14="N/A",0,IF(AG14&gt;110,AD14*110/100,AD14*AG14/100))</f>
        <v>#N/A</v>
      </c>
    </row>
    <row r="15" spans="1:34" ht="20.100000000000001" customHeight="1">
      <c r="A15" s="69">
        <f>T.UP3!A21</f>
        <v>0</v>
      </c>
      <c r="B15" s="153" t="str">
        <f>T.UP3!B21</f>
        <v>c. Kerusakan Peralatan Distribusi (PHB TM dan Trafo) Sesuai Kewenangan</v>
      </c>
      <c r="C15" s="75"/>
      <c r="D15" s="229"/>
      <c r="F15" s="188"/>
      <c r="G15" s="189"/>
      <c r="H15" s="189"/>
      <c r="I15" s="189"/>
      <c r="J15" s="190"/>
      <c r="L15" s="188"/>
      <c r="M15" s="189"/>
      <c r="N15" s="189"/>
      <c r="O15" s="189"/>
      <c r="P15" s="190"/>
      <c r="R15" s="188"/>
      <c r="S15" s="189"/>
      <c r="T15" s="189"/>
      <c r="U15" s="189"/>
      <c r="V15" s="190"/>
      <c r="X15" s="188"/>
      <c r="Y15" s="189"/>
      <c r="Z15" s="189"/>
      <c r="AA15" s="189"/>
      <c r="AB15" s="190"/>
      <c r="AD15" s="188"/>
      <c r="AE15" s="189"/>
      <c r="AF15" s="189"/>
      <c r="AG15" s="189"/>
      <c r="AH15" s="190"/>
    </row>
    <row r="16" spans="1:34" ht="19.149999999999999" customHeight="1">
      <c r="A16" s="69"/>
      <c r="B16" s="153" t="str">
        <f>T.UP3!B22</f>
        <v>Peningkatan Layanan</v>
      </c>
      <c r="C16" s="75">
        <f>T.UP3!C22</f>
        <v>0</v>
      </c>
      <c r="D16" s="229">
        <f>T.UP3!D22</f>
        <v>0</v>
      </c>
      <c r="F16" s="188">
        <f>IF(H16="N/A",0,T.UP3!$F$22)</f>
        <v>6</v>
      </c>
      <c r="G16" s="90">
        <f>VLOOKUP($B$16,T.UP3!$B$4:$T$69,MATCH(DETAIL!$F$4,T.UP3!$B$5:$T$5,0),FALSE)</f>
        <v>0</v>
      </c>
      <c r="H16" s="98">
        <f>VLOOKUP($B$16,'R.UP3'!$B$4:$S$54,MATCH(DETAIL!$F$4,'R.UP3'!$B$5:$S$5,0),FALSE)</f>
        <v>0</v>
      </c>
      <c r="I16" s="157">
        <f>IF(OR(G16="N/A",H16="N/A"),"N/A",IF(AND(G16=0,H16=0),0,(2-H16/G16)*100))</f>
        <v>0</v>
      </c>
      <c r="J16" s="103">
        <f>IF(I16="N/A",0,IF(I16&gt;110,F16*110/100,F16*I16/100))</f>
        <v>0</v>
      </c>
      <c r="L16" s="188">
        <f>IF(N16="N/A",0,T.UP3!$F$22)</f>
        <v>6</v>
      </c>
      <c r="M16" s="90">
        <f>VLOOKUP($B$16,T.UP3!$B$4:$T$69,MATCH(DETAIL!$L$4,T.UP3!$B$5:$T$5,0),FALSE)</f>
        <v>0</v>
      </c>
      <c r="N16" s="98">
        <f>VLOOKUP($B$16,'R.UP3'!$B$4:$S$54,MATCH(DETAIL!$L$4,'R.UP3'!$B$5:$S$5,0),FALSE)</f>
        <v>0</v>
      </c>
      <c r="O16" s="157">
        <f>IF(OR(M16="N/A",N16="N/A"),"N/A",IF(AND(M16=0,N16=0),0,(2-N16/M16)*100))</f>
        <v>0</v>
      </c>
      <c r="P16" s="103">
        <f>IF(O16="N/A",0,IF(O16&gt;110,L16*110/100,L16*O16/100))</f>
        <v>0</v>
      </c>
      <c r="R16" s="188">
        <f>IF(T16="N/A",0,T.UP3!$F$22)</f>
        <v>6</v>
      </c>
      <c r="S16" s="90">
        <f>VLOOKUP($B$16,T.UP3!$B$4:$T$69,MATCH(DETAIL!$R$4,T.UP3!$B$5:$T$5,0),FALSE)</f>
        <v>0</v>
      </c>
      <c r="T16" s="98">
        <f>VLOOKUP($B$16,'R.UP3'!$B$4:$S$54,MATCH(DETAIL!$R$4,'R.UP3'!$B$5:$S$5,0),FALSE)</f>
        <v>0</v>
      </c>
      <c r="U16" s="157">
        <f>IF(OR(S16="N/A",T16="N/A"),"N/A",IF(AND(S16=0,T16=0),0,(2-T16/S16)*100))</f>
        <v>0</v>
      </c>
      <c r="V16" s="103">
        <f>IF(U16="N/A",0,IF(U16&gt;110,R16*110/100,R16*U16/100))</f>
        <v>0</v>
      </c>
      <c r="X16" s="188" t="e">
        <f>IF(Z16="N/A",0,T.UP3!$F$22)</f>
        <v>#N/A</v>
      </c>
      <c r="Y16" s="90" t="e">
        <f>VLOOKUP($B$16,T.UP3!$B$4:$T$69,MATCH(DETAIL!$X$4,T.UP3!$B$5:$T$5,0),FALSE)</f>
        <v>#N/A</v>
      </c>
      <c r="Z16" s="98" t="e">
        <f>VLOOKUP($B$16,'R.UP3'!$B$4:$S$54,MATCH(DETAIL!$X$4,'R.UP3'!$B$5:$S$5,0),FALSE)</f>
        <v>#N/A</v>
      </c>
      <c r="AA16" s="157" t="e">
        <f>IF(OR(Y16="N/A",Z16="N/A"),"N/A",IF(AND(Y16=0,Z16=0),0,(2-Z16/Y16)*100))</f>
        <v>#N/A</v>
      </c>
      <c r="AB16" s="103" t="e">
        <f>IF(AA16="N/A",0,IF(AA16&gt;110,X16*110/100,X16*AA16/100))</f>
        <v>#N/A</v>
      </c>
      <c r="AD16" s="188" t="e">
        <f>IF(AF16="N/A",0,T.UP3!$F$22)</f>
        <v>#N/A</v>
      </c>
      <c r="AE16" s="90" t="e">
        <f>VLOOKUP($B$16,T.UP3!$B$4:$T$69,MATCH(DETAIL!$AD$4,T.UP3!$B$5:$T$5,0),FALSE)</f>
        <v>#N/A</v>
      </c>
      <c r="AF16" s="98" t="e">
        <f>VLOOKUP($B$16,'R.UP3'!$B$4:$S$54,MATCH(DETAIL!$AD$4,'R.UP3'!$B$5:$S$5,0),FALSE)</f>
        <v>#N/A</v>
      </c>
      <c r="AG16" s="157" t="e">
        <f>IF(OR(AE16="N/A",AF16="N/A"),"N/A",IF(AND(AE16=0,AF16=0),0,(2-AF16/AE16)*100))</f>
        <v>#N/A</v>
      </c>
      <c r="AH16" s="103" t="e">
        <f>IF(AG16="N/A",0,IF(AG16&gt;110,AD16*110/100,AD16*AG16/100))</f>
        <v>#N/A</v>
      </c>
    </row>
    <row r="17" spans="1:34" ht="20.100000000000001" customHeight="1">
      <c r="A17" s="69"/>
      <c r="B17" s="153" t="str">
        <f>T.UP3!B24</f>
        <v>b. Pengaduan Gangguan Berulang pada PLN Mobile</v>
      </c>
      <c r="C17" s="75" t="str">
        <f>T.UP3!C24</f>
        <v>ò</v>
      </c>
      <c r="D17" s="229" t="str">
        <f>T.UP3!D24</f>
        <v>%</v>
      </c>
      <c r="F17" s="188">
        <f>IF(H17="N/A",0,T.UP3!$F$24)</f>
        <v>0</v>
      </c>
      <c r="G17" s="90">
        <f>VLOOKUP($B$17,T.UP3!$B$4:$T$69,MATCH(DETAIL!$F$4,T.UP3!$B$5:$T$5,0),FALSE)</f>
        <v>0.04</v>
      </c>
      <c r="H17" s="98">
        <f>VLOOKUP($B$17,'R.UP3'!$B$4:$S$54,MATCH(DETAIL!$F$4,'R.UP3'!$B$5:$S$5,0),FALSE)</f>
        <v>0</v>
      </c>
      <c r="I17" s="157">
        <f>IF(OR(G17="N/A",H17="N/A"),"N/A",IF(AND(G17=0,H17=0),0,(2-H17/G17)*100))</f>
        <v>200</v>
      </c>
      <c r="J17" s="103">
        <f>IF(I17="N/A",0,IF(I17&gt;110,F17*110/100,F17*I17/100))</f>
        <v>0</v>
      </c>
      <c r="L17" s="188">
        <f>IF(N17="N/A",0,T.UP3!$F$24)</f>
        <v>0</v>
      </c>
      <c r="M17" s="90">
        <f>VLOOKUP($B$17,T.UP3!$B$4:$T$69,MATCH(DETAIL!$L$4,T.UP3!$B$5:$T$5,0),FALSE)</f>
        <v>0.04</v>
      </c>
      <c r="N17" s="98">
        <f>VLOOKUP($B$17,'R.UP3'!$B$4:$S$54,MATCH(DETAIL!$L$4,'R.UP3'!$B$5:$S$5,0),FALSE)</f>
        <v>0</v>
      </c>
      <c r="O17" s="157">
        <f>IF(OR(M17="N/A",N17="N/A"),"N/A",IF(AND(M17=0,N17=0),0,(2-N17/M17)*100))</f>
        <v>200</v>
      </c>
      <c r="P17" s="103">
        <f>IF(O17="N/A",0,IF(O17&gt;110,L17*110/100,L17*O17/100))</f>
        <v>0</v>
      </c>
      <c r="R17" s="188">
        <f>IF(T17="N/A",0,T.UP3!$F$24)</f>
        <v>0</v>
      </c>
      <c r="S17" s="90">
        <f>VLOOKUP($B$17,T.UP3!$B$4:$T$69,MATCH(DETAIL!$R$4,T.UP3!$B$5:$T$5,0),FALSE)</f>
        <v>0.04</v>
      </c>
      <c r="T17" s="98">
        <f>VLOOKUP($B$17,'R.UP3'!$B$4:$S$54,MATCH(DETAIL!$R$4,'R.UP3'!$B$5:$S$5,0),FALSE)</f>
        <v>0</v>
      </c>
      <c r="U17" s="157">
        <f>IF(OR(S17="N/A",T17="N/A"),"N/A",IF(AND(S17=0,T17=0),0,(2-T17/S17)*100))</f>
        <v>200</v>
      </c>
      <c r="V17" s="103">
        <f>IF(U17="N/A",0,IF(U17&gt;110,R17*110/100,R17*U17/100))</f>
        <v>0</v>
      </c>
      <c r="X17" s="188" t="e">
        <f>IF(Z17="N/A",0,T.UP3!$F$24)</f>
        <v>#N/A</v>
      </c>
      <c r="Y17" s="90" t="e">
        <f>VLOOKUP($B$17,T.UP3!$B$4:$T$69,MATCH(DETAIL!$X$4,T.UP3!$B$5:$T$5,0),FALSE)</f>
        <v>#N/A</v>
      </c>
      <c r="Z17" s="98" t="e">
        <f>VLOOKUP($B$17,'R.UP3'!$B$4:$S$54,MATCH(DETAIL!$X$4,'R.UP3'!$B$5:$S$5,0),FALSE)</f>
        <v>#N/A</v>
      </c>
      <c r="AA17" s="157" t="e">
        <f>IF(OR(Y17="N/A",Z17="N/A"),"N/A",IF(AND(Y17=0,Z17=0),0,(2-Z17/Y17)*100))</f>
        <v>#N/A</v>
      </c>
      <c r="AB17" s="103" t="e">
        <f>IF(AA17="N/A",0,IF(AA17&gt;110,X17*110/100,X17*AA17/100))</f>
        <v>#N/A</v>
      </c>
      <c r="AD17" s="188" t="e">
        <f>IF(AF17="N/A",0,T.UP3!$F$24)</f>
        <v>#N/A</v>
      </c>
      <c r="AE17" s="90" t="e">
        <f>VLOOKUP($B$17,T.UP3!$B$4:$T$69,MATCH(DETAIL!$AD$4,T.UP3!$B$5:$T$5,0),FALSE)</f>
        <v>#N/A</v>
      </c>
      <c r="AF17" s="98" t="e">
        <f>VLOOKUP($B$17,'R.UP3'!$B$4:$S$54,MATCH(DETAIL!$AD$4,'R.UP3'!$B$5:$S$5,0),FALSE)</f>
        <v>#N/A</v>
      </c>
      <c r="AG17" s="157" t="e">
        <f>IF(OR(AE17="N/A",AF17="N/A"),"N/A",IF(AND(AE17=0,AF17=0),0,(2-AF17/AE17)*100))</f>
        <v>#N/A</v>
      </c>
      <c r="AH17" s="103" t="e">
        <f>IF(AG17="N/A",0,IF(AG17&gt;110,AD17*110/100,AD17*AG17/100))</f>
        <v>#N/A</v>
      </c>
    </row>
    <row r="18" spans="1:34" ht="16.5">
      <c r="A18" s="69">
        <f>T.UP3!A25</f>
        <v>0</v>
      </c>
      <c r="B18" s="153" t="str">
        <f>T.UP3!B25</f>
        <v>c. Rating PLN Mobile</v>
      </c>
      <c r="C18" s="75" t="str">
        <f>T.UP3!C25</f>
        <v>ñ</v>
      </c>
      <c r="D18" s="229" t="str">
        <f>T.UP3!D25</f>
        <v>Rating</v>
      </c>
      <c r="F18" s="188">
        <f>IF(H18="N/A",0,T.UP3!$F$25)</f>
        <v>0</v>
      </c>
      <c r="G18" s="90">
        <f>VLOOKUP($B$18,T.UP3!$B$4:$T$69,MATCH(DETAIL!$F$4,T.UP3!$B$5:$T$5,0),FALSE)</f>
        <v>4.9000000000000004</v>
      </c>
      <c r="H18" s="98">
        <f>VLOOKUP($B$18,'R.UP3'!$B$4:$S$54,MATCH(DETAIL!$F$4,'R.UP3'!$B$5:$S$5,0),FALSE)</f>
        <v>4.91</v>
      </c>
      <c r="I18" s="157">
        <f>IF(OR(G18="N/A",H18="N/A"),"N/A",IF(AND(G18=0,H18=0),0,H18/G18*100))</f>
        <v>100.20408163265306</v>
      </c>
      <c r="J18" s="103">
        <f>IF(I18="N/A",0,IF(I18&gt;110,F18*110/100,F18*I18/100))</f>
        <v>0</v>
      </c>
      <c r="L18" s="188">
        <f>IF(N18="N/A",0,T.UP3!$F$25)</f>
        <v>0</v>
      </c>
      <c r="M18" s="90">
        <f>VLOOKUP($B$18,T.UP3!$B$4:$T$69,MATCH(DETAIL!$L$4,T.UP3!$B$5:$T$5,0),FALSE)</f>
        <v>4.9000000000000004</v>
      </c>
      <c r="N18" s="98">
        <f>VLOOKUP($B$18,'R.UP3'!$B$4:$S$54,MATCH(DETAIL!$L$4,'R.UP3'!$B$5:$S$5,0),FALSE)</f>
        <v>4.91</v>
      </c>
      <c r="O18" s="157">
        <f>IF(OR(M18="N/A",N18="N/A"),"N/A",IF(AND(M18=0,N18=0),0,N18/M18*100))</f>
        <v>100.20408163265306</v>
      </c>
      <c r="P18" s="103">
        <f>IF(O18="N/A",0,IF(O18&gt;110,L18*110/100,L18*O18/100))</f>
        <v>0</v>
      </c>
      <c r="R18" s="188">
        <f>IF(T18="N/A",0,T.UP3!$F$25)</f>
        <v>0</v>
      </c>
      <c r="S18" s="90">
        <f>VLOOKUP($B$18,T.UP3!$B$4:$T$69,MATCH(DETAIL!$R$4,T.UP3!$B$5:$T$5,0),FALSE)</f>
        <v>4.9000000000000004</v>
      </c>
      <c r="T18" s="98">
        <f>VLOOKUP($B$18,'R.UP3'!$B$4:$S$54,MATCH(DETAIL!$R$4,'R.UP3'!$B$5:$S$5,0),FALSE)</f>
        <v>4.91</v>
      </c>
      <c r="U18" s="157">
        <f>IF(OR(S18="N/A",T18="N/A"),"N/A",IF(AND(S18=0,T18=0),0,T18/S18*100))</f>
        <v>100.20408163265306</v>
      </c>
      <c r="V18" s="103">
        <f>IF(U18="N/A",0,IF(U18&gt;110,R18*110/100,R18*U18/100))</f>
        <v>0</v>
      </c>
      <c r="X18" s="188" t="e">
        <f>IF(Z18="N/A",0,T.UP3!$F$25)</f>
        <v>#N/A</v>
      </c>
      <c r="Y18" s="90" t="e">
        <f>VLOOKUP($B$18,T.UP3!$B$4:$T$69,MATCH(DETAIL!$X$4,T.UP3!$B$5:$T$5,0),FALSE)</f>
        <v>#N/A</v>
      </c>
      <c r="Z18" s="98" t="e">
        <f>VLOOKUP($B$18,'R.UP3'!$B$4:$S$54,MATCH(DETAIL!$X$4,'R.UP3'!$B$5:$S$5,0),FALSE)</f>
        <v>#N/A</v>
      </c>
      <c r="AA18" s="157" t="e">
        <f>IF(OR(Y18="N/A",Z18="N/A"),"N/A",IF(AND(Y18=0,Z18=0),0,Z18/Y18*100))</f>
        <v>#N/A</v>
      </c>
      <c r="AB18" s="103" t="e">
        <f>IF(AA18="N/A",0,IF(AA18&gt;110,X18*110/100,X18*AA18/100))</f>
        <v>#N/A</v>
      </c>
      <c r="AD18" s="188" t="e">
        <f>IF(AF18="N/A",0,T.UP3!$F$25)</f>
        <v>#N/A</v>
      </c>
      <c r="AE18" s="90" t="e">
        <f>VLOOKUP($B$18,T.UP3!$B$4:$T$69,MATCH(DETAIL!$AD$4,T.UP3!$B$5:$T$5,0),FALSE)</f>
        <v>#N/A</v>
      </c>
      <c r="AF18" s="98" t="e">
        <f>VLOOKUP($B$18,'R.UP3'!$B$4:$S$54,MATCH(DETAIL!$AD$4,'R.UP3'!$B$5:$S$5,0),FALSE)</f>
        <v>#N/A</v>
      </c>
      <c r="AG18" s="157" t="e">
        <f>IF(OR(AE18="N/A",AF18="N/A"),"N/A",IF(AND(AE18=0,AF18=0),0,AF18/AE18*100))</f>
        <v>#N/A</v>
      </c>
      <c r="AH18" s="103" t="e">
        <f>IF(AG18="N/A",0,IF(AG18&gt;110,AD18*110/100,AD18*AG18/100))</f>
        <v>#N/A</v>
      </c>
    </row>
    <row r="19" spans="1:34" ht="16.5">
      <c r="A19" s="69" t="e">
        <f>T.UP3!#REF!</f>
        <v>#REF!</v>
      </c>
      <c r="B19" s="153" t="e">
        <f>T.UP3!#REF!</f>
        <v>#REF!</v>
      </c>
      <c r="C19" s="75"/>
      <c r="D19" s="229"/>
      <c r="F19" s="188"/>
      <c r="G19" s="98"/>
      <c r="H19" s="98"/>
      <c r="I19" s="99"/>
      <c r="J19" s="103"/>
      <c r="L19" s="188"/>
      <c r="M19" s="98"/>
      <c r="N19" s="98"/>
      <c r="O19" s="99"/>
      <c r="P19" s="103"/>
      <c r="R19" s="188"/>
      <c r="S19" s="98"/>
      <c r="T19" s="98"/>
      <c r="U19" s="99"/>
      <c r="V19" s="103"/>
      <c r="X19" s="188"/>
      <c r="Y19" s="98"/>
      <c r="Z19" s="98"/>
      <c r="AA19" s="99"/>
      <c r="AB19" s="103"/>
      <c r="AD19" s="188"/>
      <c r="AE19" s="98"/>
      <c r="AF19" s="98"/>
      <c r="AG19" s="99"/>
      <c r="AH19" s="103"/>
    </row>
    <row r="20" spans="1:34" ht="16.5">
      <c r="A20" s="69"/>
      <c r="B20" s="153" t="str">
        <f>T.UP3!B26</f>
        <v>d. Jumlah Kali Transaksi Keuangan melalui PLN Mobile</v>
      </c>
      <c r="C20" s="75" t="str">
        <f>T.UP3!C26</f>
        <v>ñ</v>
      </c>
      <c r="D20" s="229" t="str">
        <f>T.UP3!D26</f>
        <v>Kali Transaksi</v>
      </c>
      <c r="F20" s="188">
        <f>IF(H20="N/A",0,T.UP3!$F$26)</f>
        <v>0</v>
      </c>
      <c r="G20" s="90">
        <f>VLOOKUP($B$20,T.UP3!$B$4:$T$69,MATCH(DETAIL!$F$4,T.UP3!$B$5:$T$5,0),FALSE)</f>
        <v>5386</v>
      </c>
      <c r="H20" s="98">
        <f>VLOOKUP($B$20,'R.UP3'!$B$4:$S$54,MATCH(DETAIL!$F$4,'R.UP3'!$B$5:$S$5,0),FALSE)</f>
        <v>2781</v>
      </c>
      <c r="I20" s="157">
        <f>IF(OR(G20="N/A",H20="N/A"),"N/A",IF(AND(G20=0,H20=0),0,IF(H20&lt;0,0,(2-H20/G20)*100)))</f>
        <v>148.36613442257706</v>
      </c>
      <c r="J20" s="103">
        <f>IF(OR(I20="N/A",I20&lt;0),0,IF(I20&gt;110,F20*110/100,F20*I20/100))</f>
        <v>0</v>
      </c>
      <c r="L20" s="188">
        <f>IF(N20="N/A",0,T.UP3!$F$26)</f>
        <v>0</v>
      </c>
      <c r="M20" s="90">
        <f>VLOOKUP($B$20,T.UP3!$B$4:$T$69,MATCH(DETAIL!$L$4,T.UP3!$B$5:$T$5,0),FALSE)</f>
        <v>10253</v>
      </c>
      <c r="N20" s="98">
        <f>VLOOKUP($B$20,'R.UP3'!$B$4:$S$54,MATCH(DETAIL!$L$4,'R.UP3'!$B$5:$S$5,0),FALSE)</f>
        <v>6163</v>
      </c>
      <c r="O20" s="157">
        <f>IF(OR(M20="N/A",N20="N/A"),"N/A",IF(AND(M20=0,N20=0),0,IF(N20&lt;0,0,(2-N20/M20)*100)))</f>
        <v>139.89076367892324</v>
      </c>
      <c r="P20" s="103">
        <f>IF(OR(O20="N/A",O20&lt;0),0,IF(O20&gt;110,L20*110/100,L20*O20/100))</f>
        <v>0</v>
      </c>
      <c r="R20" s="188">
        <f>IF(T20="N/A",0,T.UP3!$F$26)</f>
        <v>0</v>
      </c>
      <c r="S20" s="90">
        <f>VLOOKUP($B$20,T.UP3!$B$4:$T$69,MATCH(DETAIL!$R$4,T.UP3!$B$5:$T$5,0),FALSE)</f>
        <v>15641</v>
      </c>
      <c r="T20" s="98">
        <f>VLOOKUP($B$20,'R.UP3'!$B$4:$S$54,MATCH(DETAIL!$R$4,'R.UP3'!$B$5:$S$5,0),FALSE)</f>
        <v>16349</v>
      </c>
      <c r="U20" s="157">
        <f>IF(OR(S20="N/A",T20="N/A"),"N/A",IF(AND(S20=0,T20=0),0,IF(T20&lt;0,0,(2-T20/S20)*100)))</f>
        <v>95.473435202352789</v>
      </c>
      <c r="V20" s="103">
        <f>IF(OR(U20="N/A",U20&lt;0),0,IF(U20&gt;110,R20*110/100,R20*U20/100))</f>
        <v>0</v>
      </c>
      <c r="X20" s="188" t="e">
        <f>IF(Z20="N/A",0,T.UP3!$F$26)</f>
        <v>#N/A</v>
      </c>
      <c r="Y20" s="90" t="e">
        <f>VLOOKUP($B$20,T.UP3!$B$4:$T$69,MATCH(DETAIL!$X$4,T.UP3!$B$5:$T$5,0),FALSE)</f>
        <v>#N/A</v>
      </c>
      <c r="Z20" s="98" t="e">
        <f>VLOOKUP($B$20,'R.UP3'!$B$4:$S$54,MATCH(DETAIL!$X$4,'R.UP3'!$B$5:$S$5,0),FALSE)</f>
        <v>#N/A</v>
      </c>
      <c r="AA20" s="157" t="e">
        <f>IF(OR(Y20="N/A",Z20="N/A"),"N/A",IF(AND(Y20=0,Z20=0),0,IF(Z20&lt;0,0,(2-Z20/Y20)*100)))</f>
        <v>#N/A</v>
      </c>
      <c r="AB20" s="103" t="e">
        <f>IF(OR(AA20="N/A",AA20&lt;0),0,IF(AA20&gt;110,X20*110/100,X20*AA20/100))</f>
        <v>#N/A</v>
      </c>
      <c r="AD20" s="188" t="e">
        <f>IF(AF20="N/A",0,T.UP3!$F$26)</f>
        <v>#N/A</v>
      </c>
      <c r="AE20" s="90" t="e">
        <f>VLOOKUP($B$20,T.UP3!$B$4:$T$69,MATCH(DETAIL!$AD$4,T.UP3!$B$5:$T$5,0),FALSE)</f>
        <v>#N/A</v>
      </c>
      <c r="AF20" s="98" t="e">
        <f>VLOOKUP($B$20,'R.UP3'!$B$4:$S$54,MATCH(DETAIL!$AD$4,'R.UP3'!$B$5:$S$5,0),FALSE)</f>
        <v>#N/A</v>
      </c>
      <c r="AG20" s="157" t="e">
        <f>IF(OR(AE20="N/A",AF20="N/A"),"N/A",IF(AND(AE20=0,AF20=0),0,IF(AF20&lt;0,0,(2-AF20/AE20)*100)))</f>
        <v>#N/A</v>
      </c>
      <c r="AH20" s="103" t="e">
        <f>IF(OR(AG20="N/A",AG20&lt;0),0,IF(AG20&gt;110,AD20*110/100,AD20*AG20/100))</f>
        <v>#N/A</v>
      </c>
    </row>
    <row r="21" spans="1:34" ht="20.100000000000001" customHeight="1">
      <c r="A21" s="69"/>
      <c r="B21" s="153" t="e">
        <f>T.UP3!#REF!</f>
        <v>#REF!</v>
      </c>
      <c r="C21" s="75" t="e">
        <f>T.UP3!#REF!</f>
        <v>#REF!</v>
      </c>
      <c r="D21" s="229" t="e">
        <f>T.UP3!#REF!</f>
        <v>#REF!</v>
      </c>
      <c r="F21" s="188" t="e">
        <f>IF(H21="N/A",0,T.UP3!#REF!)</f>
        <v>#REF!</v>
      </c>
      <c r="G21" s="90" t="e">
        <f>VLOOKUP($B$21,T.UP3!$B$4:$T$69,MATCH(DETAIL!$F$4,T.UP3!$B$5:$T$5,0),FALSE)</f>
        <v>#REF!</v>
      </c>
      <c r="H21" s="98" t="e">
        <f>VLOOKUP($B$21,'R.UP3'!$B$4:$S$54,MATCH(DETAIL!$F$4,'R.UP3'!$B$5:$S$5,0),FALSE)</f>
        <v>#REF!</v>
      </c>
      <c r="I21" s="157" t="e">
        <f>IF(OR(G21="N/A",H21="N/A"),"N/A",IF(AND(G21=0,H21=0),0,(2-H21/G21)*100))</f>
        <v>#REF!</v>
      </c>
      <c r="J21" s="103" t="e">
        <f>IF(OR(I21="N/A",I21&lt;0),0,IF(I21&gt;110,F21*110/100,F21*I21/100))</f>
        <v>#REF!</v>
      </c>
      <c r="L21" s="188" t="e">
        <f>IF(N21="N/A",0,T.UP3!#REF!)</f>
        <v>#REF!</v>
      </c>
      <c r="M21" s="90" t="e">
        <f>VLOOKUP($B$21,T.UP3!$B$4:$T$69,MATCH(DETAIL!$L$4,T.UP3!$B$5:$T$5,0),FALSE)</f>
        <v>#REF!</v>
      </c>
      <c r="N21" s="98" t="e">
        <f>VLOOKUP($B$21,'R.UP3'!$B$4:$S$54,MATCH(DETAIL!$L$4,'R.UP3'!$B$5:$S$5,0),FALSE)</f>
        <v>#REF!</v>
      </c>
      <c r="O21" s="157" t="e">
        <f>IF(OR(M21="N/A",N21="N/A"),"N/A",IF(AND(M21=0,N21=0),0,(2-N21/M21)*100))</f>
        <v>#REF!</v>
      </c>
      <c r="P21" s="103" t="e">
        <f>IF(OR(O21="N/A",O21&lt;0),0,IF(O21&gt;110,L21*110/100,L21*O21/100))</f>
        <v>#REF!</v>
      </c>
      <c r="R21" s="188" t="e">
        <f>IF(T21="N/A",0,T.UP3!#REF!)</f>
        <v>#REF!</v>
      </c>
      <c r="S21" s="90" t="e">
        <f>VLOOKUP($B$21,T.UP3!$B$4:$T$69,MATCH(DETAIL!$R$4,T.UP3!$B$5:$T$5,0),FALSE)</f>
        <v>#REF!</v>
      </c>
      <c r="T21" s="98" t="e">
        <f>VLOOKUP($B$21,'R.UP3'!$B$4:$S$54,MATCH(DETAIL!$R$4,'R.UP3'!$B$5:$S$5,0),FALSE)</f>
        <v>#REF!</v>
      </c>
      <c r="U21" s="157" t="e">
        <f>IF(OR(S21="N/A",T21="N/A"),"N/A",IF(AND(S21=0,T21=0),0,(2-T21/S21)*100))</f>
        <v>#REF!</v>
      </c>
      <c r="V21" s="103" t="e">
        <f>IF(OR(U21="N/A",U21&lt;0),0,IF(U21&gt;110,R21*110/100,R21*U21/100))</f>
        <v>#REF!</v>
      </c>
      <c r="X21" s="188" t="e">
        <f>IF(Z21="N/A",0,T.UP3!#REF!)</f>
        <v>#REF!</v>
      </c>
      <c r="Y21" s="90" t="e">
        <f>VLOOKUP($B$21,T.UP3!$B$4:$T$69,MATCH(DETAIL!$X$4,T.UP3!$B$5:$T$5,0),FALSE)</f>
        <v>#REF!</v>
      </c>
      <c r="Z21" s="98" t="e">
        <f>VLOOKUP($B$21,'R.UP3'!$B$4:$S$54,MATCH(DETAIL!$X$4,'R.UP3'!$B$5:$S$5,0),FALSE)</f>
        <v>#REF!</v>
      </c>
      <c r="AA21" s="157" t="e">
        <f>IF(OR(Y21="N/A",Z21="N/A"),"N/A",IF(AND(Y21=0,Z21=0),0,(2-Z21/Y21)*100))</f>
        <v>#REF!</v>
      </c>
      <c r="AB21" s="103" t="e">
        <f>IF(OR(AA21="N/A",AA21&lt;0),0,IF(AA21&gt;110,X21*110/100,X21*AA21/100))</f>
        <v>#REF!</v>
      </c>
      <c r="AD21" s="188" t="e">
        <f>IF(AF21="N/A",0,T.UP3!#REF!)</f>
        <v>#REF!</v>
      </c>
      <c r="AE21" s="90" t="e">
        <f>VLOOKUP($B$21,T.UP3!$B$4:$T$69,MATCH(DETAIL!$AD$4,T.UP3!$B$5:$T$5,0),FALSE)</f>
        <v>#REF!</v>
      </c>
      <c r="AF21" s="98" t="e">
        <f>VLOOKUP($B$21,'R.UP3'!$B$4:$S$54,MATCH(DETAIL!$AD$4,'R.UP3'!$B$5:$S$5,0),FALSE)</f>
        <v>#REF!</v>
      </c>
      <c r="AG21" s="157" t="e">
        <f>IF(OR(AE21="N/A",AF21="N/A"),"N/A",IF(AND(AE21=0,AF21=0),0,(2-AF21/AE21)*100))</f>
        <v>#REF!</v>
      </c>
      <c r="AH21" s="103" t="e">
        <f>IF(OR(AG21="N/A",AG21&lt;0),0,IF(AG21&gt;110,AD21*110/100,AD21*AG21/100))</f>
        <v>#REF!</v>
      </c>
    </row>
    <row r="22" spans="1:34" ht="20.100000000000001" customHeight="1">
      <c r="A22" s="69">
        <f>T.UP3!A37</f>
        <v>0</v>
      </c>
      <c r="B22" s="153" t="str">
        <f>T.UP3!B37</f>
        <v>b. Penambahan Jumlah Pelanggan</v>
      </c>
      <c r="C22" s="75" t="str">
        <f>T.UP3!C37</f>
        <v>ñ</v>
      </c>
      <c r="D22" s="229" t="str">
        <f>T.UP3!D37</f>
        <v>Pelanggan</v>
      </c>
      <c r="F22" s="188">
        <f>IF(H22="N/A",0,T.UP3!$F$37)</f>
        <v>2</v>
      </c>
      <c r="G22" s="90">
        <f>VLOOKUP($B$22,T.UP3!$B$4:$T$69,MATCH(DETAIL!$F$4,T.UP3!$B$5:$T$5,0),FALSE)</f>
        <v>631</v>
      </c>
      <c r="H22" s="98">
        <f>VLOOKUP($B$22,'R.UP3'!$B$4:$S$54,MATCH(DETAIL!$F$4,'R.UP3'!$B$5:$S$5,0),FALSE)</f>
        <v>498</v>
      </c>
      <c r="I22" s="157">
        <f>IF(OR(G22="N/A",H22="N/A"),"N/A",IF(AND(G22=0,H22=0),0,H22/G22*100))</f>
        <v>78.922345483359749</v>
      </c>
      <c r="J22" s="103">
        <f>IF(OR(I22="N/A",I22&lt;0),0,IF(I22&gt;110,F22*110/100,F22*I22/100))</f>
        <v>1.5784469096671949</v>
      </c>
      <c r="L22" s="188">
        <f>IF(N22="N/A",0,T.UP3!$F$37)</f>
        <v>2</v>
      </c>
      <c r="M22" s="90">
        <f>VLOOKUP($B$22,T.UP3!$B$4:$T$69,MATCH(DETAIL!$L$4,T.UP3!$B$5:$T$5,0),FALSE)</f>
        <v>1283</v>
      </c>
      <c r="N22" s="98">
        <f>VLOOKUP($B$22,'R.UP3'!$B$4:$S$54,MATCH(DETAIL!$L$4,'R.UP3'!$B$5:$S$5,0),FALSE)</f>
        <v>965</v>
      </c>
      <c r="O22" s="157">
        <f>IF(OR(M22="N/A",N22="N/A"),"N/A",IF(AND(M22=0,N22=0),0,N22/M22*100))</f>
        <v>75.214341387373338</v>
      </c>
      <c r="P22" s="103">
        <f>IF(OR(O22="N/A",O22&lt;0),0,IF(O22&gt;110,L22*110/100,L22*O22/100))</f>
        <v>1.5042868277474668</v>
      </c>
      <c r="R22" s="188">
        <f>IF(T22="N/A",0,T.UP3!$F$37)</f>
        <v>2</v>
      </c>
      <c r="S22" s="90">
        <f>VLOOKUP($B$22,T.UP3!$B$4:$T$69,MATCH(DETAIL!$R$4,T.UP3!$B$5:$T$5,0),FALSE)</f>
        <v>1968</v>
      </c>
      <c r="T22" s="98">
        <f>VLOOKUP($B$22,'R.UP3'!$B$4:$S$54,MATCH(DETAIL!$R$4,'R.UP3'!$B$5:$S$5,0),FALSE)</f>
        <v>1364</v>
      </c>
      <c r="U22" s="157">
        <f>IF(OR(S22="N/A",T22="N/A"),"N/A",IF(AND(S22=0,T22=0),0,T22/S22*100))</f>
        <v>69.308943089430898</v>
      </c>
      <c r="V22" s="103">
        <f>IF(OR(U22="N/A",U22&lt;0),0,IF(U22&gt;110,R22*110/100,R22*U22/100))</f>
        <v>1.3861788617886179</v>
      </c>
      <c r="X22" s="188" t="e">
        <f>IF(Z22="N/A",0,T.UP3!$F$37)</f>
        <v>#N/A</v>
      </c>
      <c r="Y22" s="90" t="e">
        <f>VLOOKUP($B$22,T.UP3!$B$4:$T$69,MATCH(DETAIL!$X$4,T.UP3!$B$5:$T$5,0),FALSE)</f>
        <v>#N/A</v>
      </c>
      <c r="Z22" s="98" t="e">
        <f>VLOOKUP($B$22,'R.UP3'!$B$4:$S$54,MATCH(DETAIL!$X$4,'R.UP3'!$B$5:$S$5,0),FALSE)</f>
        <v>#N/A</v>
      </c>
      <c r="AA22" s="157" t="e">
        <f>IF(OR(Y22="N/A",Z22="N/A"),"N/A",IF(AND(Y22=0,Z22=0),0,Z22/Y22*100))</f>
        <v>#N/A</v>
      </c>
      <c r="AB22" s="103" t="e">
        <f>IF(OR(AA22="N/A",AA22&lt;0),0,IF(AA22&gt;110,X22*110/100,X22*AA22/100))</f>
        <v>#N/A</v>
      </c>
      <c r="AD22" s="188" t="e">
        <f>IF(AF22="N/A",0,T.UP3!$F$37)</f>
        <v>#N/A</v>
      </c>
      <c r="AE22" s="90" t="e">
        <f>VLOOKUP($B$22,T.UP3!$B$4:$T$69,MATCH(DETAIL!$AD$4,T.UP3!$B$5:$T$5,0),FALSE)</f>
        <v>#N/A</v>
      </c>
      <c r="AF22" s="98" t="e">
        <f>VLOOKUP($B$22,'R.UP3'!$B$4:$S$54,MATCH(DETAIL!$AD$4,'R.UP3'!$B$5:$S$5,0),FALSE)</f>
        <v>#N/A</v>
      </c>
      <c r="AG22" s="157" t="e">
        <f>IF(OR(AE22="N/A",AF22="N/A"),"N/A",IF(AND(AE22=0,AF22=0),0,AF22/AE22*100))</f>
        <v>#N/A</v>
      </c>
      <c r="AH22" s="103" t="e">
        <f>IF(OR(AG22="N/A",AG22&lt;0),0,IF(AG22&gt;110,AD22*110/100,AD22*AG22/100))</f>
        <v>#N/A</v>
      </c>
    </row>
    <row r="23" spans="1:34" ht="31.5">
      <c r="A23" s="69">
        <f>T.UP3!A40</f>
        <v>0</v>
      </c>
      <c r="B23" s="153" t="str">
        <f>T.UP3!B40</f>
        <v>e. Penambahan Jumlah Pelanggan Rumah Tangga Lisdes</v>
      </c>
      <c r="C23" s="75" t="str">
        <f>T.UP3!C40</f>
        <v>ñ</v>
      </c>
      <c r="D23" s="229" t="str">
        <f>T.UP3!D40</f>
        <v>Pelanggan</v>
      </c>
      <c r="F23" s="188">
        <f>IF(H23="N/A",0,T.UP3!$F$40)</f>
        <v>1.5</v>
      </c>
      <c r="G23" s="90">
        <f>VLOOKUP($B$23,T.UP3!$B$4:$T$69,MATCH(DETAIL!$F$4,T.UP3!$B$5:$T$5,0),FALSE)</f>
        <v>3</v>
      </c>
      <c r="H23" s="98">
        <f>VLOOKUP($B$23,'R.UP3'!$B$4:$S$54,MATCH(DETAIL!$F$4,'R.UP3'!$B$5:$S$5,0),FALSE)</f>
        <v>50</v>
      </c>
      <c r="I23" s="157">
        <f>IF(OR(G23="N/A",H23="N/A"),"N/A",IF(AND(G23=0,H23=0),0,H23/G23*100))</f>
        <v>1666.6666666666667</v>
      </c>
      <c r="J23" s="103">
        <f>IF(OR(I23="N/A",I23&lt;0),0,IF(I23&gt;110,F23*110/100,F23*I23/100))</f>
        <v>1.65</v>
      </c>
      <c r="L23" s="188">
        <f>IF(N23="N/A",0,T.UP3!$F$40)</f>
        <v>1.5</v>
      </c>
      <c r="M23" s="90">
        <f>VLOOKUP($B$23,T.UP3!$B$4:$T$69,MATCH(DETAIL!$L$4,T.UP3!$B$5:$T$5,0),FALSE)</f>
        <v>4</v>
      </c>
      <c r="N23" s="98">
        <f>VLOOKUP($B$23,'R.UP3'!$B$4:$S$54,MATCH(DETAIL!$L$4,'R.UP3'!$B$5:$S$5,0),FALSE)</f>
        <v>71</v>
      </c>
      <c r="O23" s="157">
        <f>IF(OR(M23="N/A",N23="N/A"),"N/A",IF(AND(M23=0,N23=0),0,N23/M23*100))</f>
        <v>1775</v>
      </c>
      <c r="P23" s="103">
        <f>IF(OR(O23="N/A",O23&lt;0),0,IF(O23&gt;110,L23*110/100,L23*O23/100))</f>
        <v>1.65</v>
      </c>
      <c r="R23" s="188">
        <f>IF(T23="N/A",0,T.UP3!$F$40)</f>
        <v>1.5</v>
      </c>
      <c r="S23" s="90">
        <f>VLOOKUP($B$23,T.UP3!$B$4:$T$69,MATCH(DETAIL!$R$4,T.UP3!$B$5:$T$5,0),FALSE)</f>
        <v>4</v>
      </c>
      <c r="T23" s="98">
        <f>VLOOKUP($B$23,'R.UP3'!$B$4:$S$54,MATCH(DETAIL!$R$4,'R.UP3'!$B$5:$S$5,0),FALSE)</f>
        <v>87</v>
      </c>
      <c r="U23" s="157">
        <f>IF(OR(S23="N/A",T23="N/A"),"N/A",IF(AND(S23=0,T23=0),0,T23/S23*100))</f>
        <v>2175</v>
      </c>
      <c r="V23" s="103">
        <f>IF(OR(U23="N/A",U23&lt;0),0,IF(U23&gt;110,R23*110/100,R23*U23/100))</f>
        <v>1.65</v>
      </c>
      <c r="X23" s="188" t="e">
        <f>IF(Z23="N/A",0,T.UP3!$F$40)</f>
        <v>#N/A</v>
      </c>
      <c r="Y23" s="90" t="e">
        <f>VLOOKUP($B$23,T.UP3!$B$4:$T$69,MATCH(DETAIL!$X$4,T.UP3!$B$5:$T$5,0),FALSE)</f>
        <v>#N/A</v>
      </c>
      <c r="Z23" s="98" t="e">
        <f>VLOOKUP($B$23,'R.UP3'!$B$4:$S$54,MATCH(DETAIL!$X$4,'R.UP3'!$B$5:$S$5,0),FALSE)</f>
        <v>#N/A</v>
      </c>
      <c r="AA23" s="157" t="e">
        <f>IF(OR(Y23="N/A",Z23="N/A"),"N/A",IF(AND(Y23=0,Z23=0),0,Z23/Y23*100))</f>
        <v>#N/A</v>
      </c>
      <c r="AB23" s="103" t="e">
        <f>IF(OR(AA23="N/A",AA23&lt;0),0,IF(AA23&gt;110,X23*110/100,X23*AA23/100))</f>
        <v>#N/A</v>
      </c>
      <c r="AD23" s="188" t="e">
        <f>IF(AF23="N/A",0,T.UP3!$F$40)</f>
        <v>#N/A</v>
      </c>
      <c r="AE23" s="90" t="e">
        <f>VLOOKUP($B$23,T.UP3!$B$4:$T$69,MATCH(DETAIL!$AD$4,T.UP3!$B$5:$T$5,0),FALSE)</f>
        <v>#N/A</v>
      </c>
      <c r="AF23" s="98" t="e">
        <f>VLOOKUP($B$23,'R.UP3'!$B$4:$S$54,MATCH(DETAIL!$AD$4,'R.UP3'!$B$5:$S$5,0),FALSE)</f>
        <v>#N/A</v>
      </c>
      <c r="AG23" s="157" t="e">
        <f>IF(OR(AE23="N/A",AF23="N/A"),"N/A",IF(AND(AE23=0,AF23=0),0,AF23/AE23*100))</f>
        <v>#N/A</v>
      </c>
      <c r="AH23" s="103" t="e">
        <f>IF(OR(AG23="N/A",AG23&lt;0),0,IF(AG23&gt;110,AD23*110/100,AD23*AG23/100))</f>
        <v>#N/A</v>
      </c>
    </row>
    <row r="24" spans="1:34" ht="20.100000000000001" customHeight="1">
      <c r="A24" s="69">
        <f>T.UP3!A42</f>
        <v>10</v>
      </c>
      <c r="B24" s="153" t="str">
        <f>T.UP3!B42</f>
        <v>Pengelolaan Pembacaan Meter</v>
      </c>
      <c r="C24" s="75">
        <f>T.UP3!C42</f>
        <v>0</v>
      </c>
      <c r="D24" s="229">
        <f>T.UP3!D42</f>
        <v>0</v>
      </c>
      <c r="F24" s="188">
        <f>IF(H24="N/A",0,T.UP3!$F$42)</f>
        <v>4</v>
      </c>
      <c r="G24" s="90">
        <f>VLOOKUP($B$24,T.UP3!$B$4:$T$69,MATCH(DETAIL!$F$4,T.UP3!$B$5:$T$5,0),FALSE)</f>
        <v>0</v>
      </c>
      <c r="H24" s="98">
        <f>VLOOKUP($B$24,'R.UP3'!$B$4:$S$54,MATCH(DETAIL!$F$4,'R.UP3'!$B$5:$S$5,0),FALSE)</f>
        <v>0</v>
      </c>
      <c r="I24" s="157">
        <f>IF(OR(G24="N/A",H24="N/A"),"N/A",IF(AND(G24=0,H24=0),0,H24/G24*100))</f>
        <v>0</v>
      </c>
      <c r="J24" s="103">
        <f>IF(OR(I24="N/A",I24&lt;0),0,IF(I24&gt;110,F24*110/100,F24*I24/100))</f>
        <v>0</v>
      </c>
      <c r="L24" s="188">
        <f>IF(N24="N/A",0,T.UP3!$F$42)</f>
        <v>4</v>
      </c>
      <c r="M24" s="90">
        <f>VLOOKUP($B$24,T.UP3!$B$4:$T$69,MATCH(DETAIL!$L$4,T.UP3!$B$5:$T$5,0),FALSE)</f>
        <v>0</v>
      </c>
      <c r="N24" s="98">
        <f>VLOOKUP($B$24,'R.UP3'!$B$4:$S$54,MATCH(DETAIL!$L$4,'R.UP3'!$B$5:$S$5,0),FALSE)</f>
        <v>0</v>
      </c>
      <c r="O24" s="157">
        <f>IF(OR(M24="N/A",N24="N/A"),"N/A",IF(AND(M24=0,N24=0),0,N24/M24*100))</f>
        <v>0</v>
      </c>
      <c r="P24" s="103">
        <f>IF(OR(O24="N/A",O24&lt;0),0,IF(O24&gt;110,L24*110/100,L24*O24/100))</f>
        <v>0</v>
      </c>
      <c r="R24" s="188">
        <f>IF(T24="N/A",0,T.UP3!$F$42)</f>
        <v>4</v>
      </c>
      <c r="S24" s="90">
        <f>VLOOKUP($B$24,T.UP3!$B$4:$T$69,MATCH(DETAIL!$R$4,T.UP3!$B$5:$T$5,0),FALSE)</f>
        <v>0</v>
      </c>
      <c r="T24" s="98">
        <f>VLOOKUP($B$24,'R.UP3'!$B$4:$S$54,MATCH(DETAIL!$R$4,'R.UP3'!$B$5:$S$5,0),FALSE)</f>
        <v>0</v>
      </c>
      <c r="U24" s="157">
        <f>IF(OR(S24="N/A",T24="N/A"),"N/A",IF(AND(S24=0,T24=0),0,T24/S24*100))</f>
        <v>0</v>
      </c>
      <c r="V24" s="103">
        <f>IF(OR(U24="N/A",U24&lt;0),0,IF(U24&gt;110,R24*110/100,R24*U24/100))</f>
        <v>0</v>
      </c>
      <c r="X24" s="188" t="e">
        <f>IF(Z24="N/A",0,T.UP3!$F$42)</f>
        <v>#N/A</v>
      </c>
      <c r="Y24" s="90" t="e">
        <f>VLOOKUP($B$24,T.UP3!$B$4:$T$69,MATCH(DETAIL!$X$4,T.UP3!$B$5:$T$5,0),FALSE)</f>
        <v>#N/A</v>
      </c>
      <c r="Z24" s="98" t="e">
        <f>VLOOKUP($B$24,'R.UP3'!$B$4:$S$54,MATCH(DETAIL!$X$4,'R.UP3'!$B$5:$S$5,0),FALSE)</f>
        <v>#N/A</v>
      </c>
      <c r="AA24" s="157" t="e">
        <f>IF(OR(Y24="N/A",Z24="N/A"),"N/A",IF(AND(Y24=0,Z24=0),0,Z24/Y24*100))</f>
        <v>#N/A</v>
      </c>
      <c r="AB24" s="103" t="e">
        <f>IF(OR(AA24="N/A",AA24&lt;0),0,IF(AA24&gt;110,X24*110/100,X24*AA24/100))</f>
        <v>#N/A</v>
      </c>
      <c r="AD24" s="188" t="e">
        <f>IF(AF24="N/A",0,T.UP3!$F$42)</f>
        <v>#N/A</v>
      </c>
      <c r="AE24" s="90" t="e">
        <f>VLOOKUP($B$24,T.UP3!$B$4:$T$69,MATCH(DETAIL!$AD$4,T.UP3!$B$5:$T$5,0),FALSE)</f>
        <v>#N/A</v>
      </c>
      <c r="AF24" s="98" t="e">
        <f>VLOOKUP($B$24,'R.UP3'!$B$4:$S$54,MATCH(DETAIL!$AD$4,'R.UP3'!$B$5:$S$5,0),FALSE)</f>
        <v>#N/A</v>
      </c>
      <c r="AG24" s="157" t="e">
        <f>IF(OR(AE24="N/A",AF24="N/A"),"N/A",IF(AND(AE24=0,AF24=0),0,AF24/AE24*100))</f>
        <v>#N/A</v>
      </c>
      <c r="AH24" s="103" t="e">
        <f>IF(OR(AG24="N/A",AG24&lt;0),0,IF(AG24&gt;110,AD24*110/100,AD24*AG24/100))</f>
        <v>#N/A</v>
      </c>
    </row>
    <row r="25" spans="1:34" ht="16.5">
      <c r="A25" s="69">
        <f>T.UP3!A43</f>
        <v>0</v>
      </c>
      <c r="B25" s="153" t="str">
        <f>T.UP3!B43</f>
        <v>a. Jumlah Pengguna Swa Cam</v>
      </c>
      <c r="C25" s="75"/>
      <c r="D25" s="229"/>
      <c r="F25" s="188"/>
      <c r="G25" s="98"/>
      <c r="H25" s="98"/>
      <c r="I25" s="99"/>
      <c r="J25" s="103"/>
      <c r="L25" s="188"/>
      <c r="M25" s="98"/>
      <c r="N25" s="98"/>
      <c r="O25" s="99"/>
      <c r="P25" s="103"/>
      <c r="R25" s="188"/>
      <c r="S25" s="98"/>
      <c r="T25" s="98"/>
      <c r="U25" s="99"/>
      <c r="V25" s="103"/>
      <c r="X25" s="188"/>
      <c r="Y25" s="98"/>
      <c r="Z25" s="98"/>
      <c r="AA25" s="99"/>
      <c r="AB25" s="103"/>
      <c r="AD25" s="188"/>
      <c r="AE25" s="98"/>
      <c r="AF25" s="98"/>
      <c r="AG25" s="99"/>
      <c r="AH25" s="103"/>
    </row>
    <row r="26" spans="1:34" ht="20.100000000000001" customHeight="1">
      <c r="A26" s="69"/>
      <c r="B26" s="153" t="e">
        <f>T.UP3!#REF!</f>
        <v>#REF!</v>
      </c>
      <c r="C26" s="75" t="e">
        <f>T.UP3!#REF!</f>
        <v>#REF!</v>
      </c>
      <c r="D26" s="229" t="e">
        <f>T.UP3!#REF!</f>
        <v>#REF!</v>
      </c>
      <c r="F26" s="188" t="e">
        <f>IF(H26="N/A",0,T.UP3!#REF!)</f>
        <v>#REF!</v>
      </c>
      <c r="G26" s="91" t="e">
        <f>VLOOKUP($B$26,T.UP3!$B$4:$T$69,MATCH(DETAIL!$F$4,T.UP3!$B$5:$T$5,0),FALSE)</f>
        <v>#REF!</v>
      </c>
      <c r="H26" s="101" t="e">
        <f>VLOOKUP($B$26,'R.UP3'!$B$4:$S$54,MATCH(DETAIL!$F$4,'R.UP3'!$B$5:$S$5,0),FALSE)</f>
        <v>#REF!</v>
      </c>
      <c r="I26" s="157" t="e">
        <f>IF(OR(G26="N/A",H26="N/A"),"N/A",IF(AND(G26=0,H26=0),0,H26/G26*100))</f>
        <v>#REF!</v>
      </c>
      <c r="J26" s="103" t="e">
        <f>IF(OR(I26="N/A",I26&lt;0),0,IF(I26&gt;110,F26*110/100,F26*I26/100))</f>
        <v>#REF!</v>
      </c>
      <c r="L26" s="188" t="e">
        <f>IF(N26="N/A",0,T.UP3!#REF!)</f>
        <v>#REF!</v>
      </c>
      <c r="M26" s="91" t="e">
        <f>VLOOKUP($B$26,T.UP3!$B$4:$T$69,MATCH(DETAIL!$L$4,T.UP3!$B$5:$T$5,0),FALSE)</f>
        <v>#REF!</v>
      </c>
      <c r="N26" s="101" t="e">
        <f>VLOOKUP($B$26,'R.UP3'!$B$4:$S$54,MATCH(DETAIL!$L$4,'R.UP3'!$B$5:$S$5,0),FALSE)</f>
        <v>#REF!</v>
      </c>
      <c r="O26" s="157" t="e">
        <f>IF(OR(M26="N/A",N26="N/A"),"N/A",IF(AND(M26=0,N26=0),0,N26/M26*100))</f>
        <v>#REF!</v>
      </c>
      <c r="P26" s="103" t="e">
        <f>IF(OR(O26="N/A",O26&lt;0),0,IF(O26&gt;110,L26*110/100,L26*O26/100))</f>
        <v>#REF!</v>
      </c>
      <c r="R26" s="188" t="e">
        <f>IF(T26="N/A",0,T.UP3!#REF!)</f>
        <v>#REF!</v>
      </c>
      <c r="S26" s="91" t="e">
        <f>VLOOKUP($B$26,T.UP3!$B$4:$T$69,MATCH(DETAIL!$R$4,T.UP3!$B$5:$T$5,0),FALSE)</f>
        <v>#REF!</v>
      </c>
      <c r="T26" s="101" t="e">
        <f>VLOOKUP($B$26,'R.UP3'!$B$4:$S$54,MATCH(DETAIL!$R$4,'R.UP3'!$B$5:$S$5,0),FALSE)</f>
        <v>#REF!</v>
      </c>
      <c r="U26" s="157" t="e">
        <f>IF(OR(S26="N/A",T26="N/A"),"N/A",IF(AND(S26=0,T26=0),0,T26/S26*100))</f>
        <v>#REF!</v>
      </c>
      <c r="V26" s="103" t="e">
        <f>IF(OR(U26="N/A",U26&lt;0),0,IF(U26&gt;110,R26*110/100,R26*U26/100))</f>
        <v>#REF!</v>
      </c>
      <c r="X26" s="188" t="e">
        <f>IF(Z26="N/A",0,T.UP3!#REF!)</f>
        <v>#REF!</v>
      </c>
      <c r="Y26" s="91" t="e">
        <f>VLOOKUP($B$26,T.UP3!$B$4:$T$69,MATCH(DETAIL!$X$4,T.UP3!$B$5:$T$5,0),FALSE)</f>
        <v>#REF!</v>
      </c>
      <c r="Z26" s="101" t="e">
        <f>VLOOKUP($B$26,'R.UP3'!$B$4:$S$54,MATCH(DETAIL!$X$4,'R.UP3'!$B$5:$S$5,0),FALSE)</f>
        <v>#REF!</v>
      </c>
      <c r="AA26" s="157" t="e">
        <f>IF(OR(Y26="N/A",Z26="N/A"),"N/A",IF(AND(Y26=0,Z26=0),0,Z26/Y26*100))</f>
        <v>#REF!</v>
      </c>
      <c r="AB26" s="103" t="e">
        <f>IF(OR(AA26="N/A",AA26&lt;0),0,IF(AA26&gt;110,X26*110/100,X26*AA26/100))</f>
        <v>#REF!</v>
      </c>
      <c r="AD26" s="188" t="e">
        <f>IF(AF26="N/A",0,T.UP3!#REF!)</f>
        <v>#REF!</v>
      </c>
      <c r="AE26" s="91" t="e">
        <f>VLOOKUP($B$26,T.UP3!$B$4:$T$69,MATCH(DETAIL!$AD$4,T.UP3!$B$5:$T$5,0),FALSE)</f>
        <v>#REF!</v>
      </c>
      <c r="AF26" s="101" t="e">
        <f>VLOOKUP($B$26,'R.UP3'!$B$4:$S$54,MATCH(DETAIL!$AD$4,'R.UP3'!$B$5:$S$5,0),FALSE)</f>
        <v>#REF!</v>
      </c>
      <c r="AG26" s="157" t="e">
        <f>IF(OR(AE26="N/A",AF26="N/A"),"N/A",IF(AND(AE26=0,AF26=0),0,AF26/AE26*100))</f>
        <v>#REF!</v>
      </c>
      <c r="AH26" s="103" t="e">
        <f>IF(OR(AG26="N/A",AG26&lt;0),0,IF(AG26&gt;110,AD26*110/100,AD26*AG26/100))</f>
        <v>#REF!</v>
      </c>
    </row>
    <row r="27" spans="1:34" ht="20.100000000000001" customHeight="1">
      <c r="A27" s="69"/>
      <c r="B27" s="153" t="str">
        <f>T.UP3!B46</f>
        <v>a. Pencapaian Rata-Rata Saldo Tanggal 20 diluar Konsumen Instansi (Kementerian &amp; Lembaga)</v>
      </c>
      <c r="C27" s="75"/>
      <c r="D27" s="229"/>
      <c r="F27" s="188"/>
      <c r="G27" s="90"/>
      <c r="H27" s="90"/>
      <c r="I27" s="99"/>
      <c r="J27" s="94"/>
      <c r="L27" s="188"/>
      <c r="M27" s="90"/>
      <c r="N27" s="90"/>
      <c r="O27" s="99"/>
      <c r="P27" s="94"/>
      <c r="R27" s="188"/>
      <c r="S27" s="90"/>
      <c r="T27" s="90"/>
      <c r="U27" s="99"/>
      <c r="V27" s="94"/>
      <c r="X27" s="188"/>
      <c r="Y27" s="90"/>
      <c r="Z27" s="90"/>
      <c r="AA27" s="99"/>
      <c r="AB27" s="94"/>
      <c r="AD27" s="188"/>
      <c r="AE27" s="90"/>
      <c r="AF27" s="90"/>
      <c r="AG27" s="99"/>
      <c r="AH27" s="94"/>
    </row>
    <row r="28" spans="1:34" ht="20.100000000000001" customHeight="1">
      <c r="A28" s="69"/>
      <c r="B28" s="153" t="str">
        <f>T.UP3!B50</f>
        <v>a. Pengendalian Penggunaan Anggaran Investasi sesuai RKAP</v>
      </c>
      <c r="C28" s="75" t="str">
        <f>T.UP3!C50</f>
        <v>ó</v>
      </c>
      <c r="D28" s="229" t="str">
        <f>T.UP3!D50</f>
        <v>%</v>
      </c>
      <c r="F28" s="188">
        <f>IF(H28="N/A",0,T.UP3!$F$50)</f>
        <v>0</v>
      </c>
      <c r="G28" s="90" t="str">
        <f>VLOOKUP($B$28,T.UP3!$B$4:$T$69,MATCH(DETAIL!$F$4,T.UP3!$B$5:$T$5,0),FALSE)</f>
        <v>95-100</v>
      </c>
      <c r="H28" s="98">
        <f>VLOOKUP($B$28,'R.UP3'!$B$4:$S$54,MATCH(DETAIL!$F$4,'R.UP3'!$B$5:$S$5,0),FALSE)</f>
        <v>100</v>
      </c>
      <c r="I28" s="157" t="e">
        <f>IF(OR(G28="N/A",H28="N/A"),"N/A",IF(AND(G28=0,H28=0),0,(2-H28/G28)*100))</f>
        <v>#VALUE!</v>
      </c>
      <c r="J28" s="103" t="e">
        <f t="shared" ref="J28:J33" si="0">IF(OR(I28="N/A",I28&lt;0),0,IF(I28&gt;110,F28*110/100,F28*I28/100))</f>
        <v>#VALUE!</v>
      </c>
      <c r="L28" s="188">
        <f>IF(N28="N/A",0,T.UP3!$F$50)</f>
        <v>0</v>
      </c>
      <c r="M28" s="90" t="str">
        <f>VLOOKUP($B$28,T.UP3!$B$4:$T$69,MATCH(DETAIL!$L$4,T.UP3!$B$5:$T$5,0),FALSE)</f>
        <v>95-100</v>
      </c>
      <c r="N28" s="98">
        <f>VLOOKUP($B$28,'R.UP3'!$B$4:$S$54,MATCH(DETAIL!$L$4,'R.UP3'!$B$5:$S$5,0),FALSE)</f>
        <v>100</v>
      </c>
      <c r="O28" s="157" t="e">
        <f>IF(OR(M28="N/A",N28="N/A"),"N/A",IF(AND(M28=0,N28=0),0,(2-N28/M28)*100))</f>
        <v>#VALUE!</v>
      </c>
      <c r="P28" s="103" t="e">
        <f t="shared" ref="P28:P33" si="1">IF(OR(O28="N/A",O28&lt;0),0,IF(O28&gt;110,L28*110/100,L28*O28/100))</f>
        <v>#VALUE!</v>
      </c>
      <c r="R28" s="188">
        <f>IF(T28="N/A",0,T.UP3!$F$50)</f>
        <v>0</v>
      </c>
      <c r="S28" s="90" t="str">
        <f>VLOOKUP($B$28,T.UP3!$B$4:$T$69,MATCH(DETAIL!$R$4,T.UP3!$B$5:$T$5,0),FALSE)</f>
        <v>95-100</v>
      </c>
      <c r="T28" s="98">
        <f>VLOOKUP($B$28,'R.UP3'!$B$4:$S$54,MATCH(DETAIL!$R$4,'R.UP3'!$B$5:$S$5,0),FALSE)</f>
        <v>39.549999999999997</v>
      </c>
      <c r="U28" s="157" t="e">
        <f>IF(OR(S28="N/A",T28="N/A"),"N/A",IF(AND(S28=0,T28=0),0,(2-T28/S28)*100))</f>
        <v>#VALUE!</v>
      </c>
      <c r="V28" s="103" t="e">
        <f t="shared" ref="V28:V33" si="2">IF(OR(U28="N/A",U28&lt;0),0,IF(U28&gt;110,R28*110/100,R28*U28/100))</f>
        <v>#VALUE!</v>
      </c>
      <c r="X28" s="188" t="e">
        <f>IF(Z28="N/A",0,T.UP3!$F$50)</f>
        <v>#N/A</v>
      </c>
      <c r="Y28" s="90" t="e">
        <f>VLOOKUP($B$28,T.UP3!$B$4:$T$69,MATCH(DETAIL!$X$4,T.UP3!$B$5:$T$5,0),FALSE)</f>
        <v>#N/A</v>
      </c>
      <c r="Z28" s="98" t="e">
        <f>VLOOKUP($B$28,'R.UP3'!$B$4:$S$54,MATCH(DETAIL!$X$4,'R.UP3'!$B$5:$S$5,0),FALSE)</f>
        <v>#N/A</v>
      </c>
      <c r="AA28" s="157" t="e">
        <f>IF(OR(Y28="N/A",Z28="N/A"),"N/A",IF(AND(Y28=0,Z28=0),0,(2-Z28/Y28)*100))</f>
        <v>#N/A</v>
      </c>
      <c r="AB28" s="103" t="e">
        <f t="shared" ref="AB28:AB33" si="3">IF(OR(AA28="N/A",AA28&lt;0),0,IF(AA28&gt;110,X28*110/100,X28*AA28/100))</f>
        <v>#N/A</v>
      </c>
      <c r="AD28" s="188" t="e">
        <f>IF(AF28="N/A",0,T.UP3!$F$50)</f>
        <v>#N/A</v>
      </c>
      <c r="AE28" s="90" t="e">
        <f>VLOOKUP($B$28,T.UP3!$B$4:$T$69,MATCH(DETAIL!$AD$4,T.UP3!$B$5:$T$5,0),FALSE)</f>
        <v>#N/A</v>
      </c>
      <c r="AF28" s="98" t="e">
        <f>VLOOKUP($B$28,'R.UP3'!$B$4:$S$54,MATCH(DETAIL!$AD$4,'R.UP3'!$B$5:$S$5,0),FALSE)</f>
        <v>#N/A</v>
      </c>
      <c r="AG28" s="157" t="e">
        <f>IF(OR(AE28="N/A",AF28="N/A"),"N/A",IF(AND(AE28=0,AF28=0),0,(2-AF28/AE28)*100))</f>
        <v>#N/A</v>
      </c>
      <c r="AH28" s="103" t="e">
        <f t="shared" ref="AH28:AH33" si="4">IF(OR(AG28="N/A",AG28&lt;0),0,IF(AG28&gt;110,AD28*110/100,AD28*AG28/100))</f>
        <v>#N/A</v>
      </c>
    </row>
    <row r="29" spans="1:34" ht="20.100000000000001" customHeight="1">
      <c r="A29" s="69"/>
      <c r="B29" s="153" t="e">
        <f>T.UP3!#REF!</f>
        <v>#REF!</v>
      </c>
      <c r="C29" s="75" t="e">
        <f>T.UP3!#REF!</f>
        <v>#REF!</v>
      </c>
      <c r="D29" s="229" t="e">
        <f>T.UP3!#REF!</f>
        <v>#REF!</v>
      </c>
      <c r="F29" s="188" t="e">
        <f>IF(H29="N/A",0,T.UP3!#REF!)</f>
        <v>#REF!</v>
      </c>
      <c r="G29" s="90" t="e">
        <f>VLOOKUP($B$29,T.UP3!$B$4:$T$69,MATCH(DETAIL!$F$4,T.UP3!$B$5:$T$5,0),FALSE)</f>
        <v>#REF!</v>
      </c>
      <c r="H29" s="98" t="e">
        <f>VLOOKUP($B$29,'R.UP3'!$B$4:$S$54,MATCH(DETAIL!$F$4,'R.UP3'!$B$5:$S$5,0),FALSE)</f>
        <v>#REF!</v>
      </c>
      <c r="I29" s="157" t="e">
        <f>IF(OR(G29="N/A",H29="N/A"),"N/A",IF(AND(G29=0,H29=0),0,(2-H29/G29)*100))</f>
        <v>#REF!</v>
      </c>
      <c r="J29" s="103" t="e">
        <f t="shared" si="0"/>
        <v>#REF!</v>
      </c>
      <c r="L29" s="188" t="e">
        <f>IF(N29="N/A",0,T.UP3!#REF!)</f>
        <v>#REF!</v>
      </c>
      <c r="M29" s="90" t="e">
        <f>VLOOKUP($B$29,T.UP3!$B$4:$T$69,MATCH(DETAIL!$L$4,T.UP3!$B$5:$T$5,0),FALSE)</f>
        <v>#REF!</v>
      </c>
      <c r="N29" s="98" t="e">
        <f>VLOOKUP($B$29,'R.UP3'!$B$4:$S$54,MATCH(DETAIL!$L$4,'R.UP3'!$B$5:$S$5,0),FALSE)</f>
        <v>#REF!</v>
      </c>
      <c r="O29" s="157" t="e">
        <f>IF(OR(M29="N/A",N29="N/A"),"N/A",IF(AND(M29=0,N29=0),0,(2-N29/M29)*100))</f>
        <v>#REF!</v>
      </c>
      <c r="P29" s="103" t="e">
        <f t="shared" si="1"/>
        <v>#REF!</v>
      </c>
      <c r="R29" s="188" t="e">
        <f>IF(T29="N/A",0,T.UP3!#REF!)</f>
        <v>#REF!</v>
      </c>
      <c r="S29" s="90" t="e">
        <f>VLOOKUP($B$29,T.UP3!$B$4:$T$69,MATCH(DETAIL!$R$4,T.UP3!$B$5:$T$5,0),FALSE)</f>
        <v>#REF!</v>
      </c>
      <c r="T29" s="98" t="e">
        <f>VLOOKUP($B$29,'R.UP3'!$B$4:$S$54,MATCH(DETAIL!$R$4,'R.UP3'!$B$5:$S$5,0),FALSE)</f>
        <v>#REF!</v>
      </c>
      <c r="U29" s="157" t="e">
        <f>IF(OR(S29="N/A",T29="N/A"),"N/A",IF(AND(S29=0,T29=0),0,(2-T29/S29)*100))</f>
        <v>#REF!</v>
      </c>
      <c r="V29" s="103" t="e">
        <f t="shared" si="2"/>
        <v>#REF!</v>
      </c>
      <c r="X29" s="188" t="e">
        <f>IF(Z29="N/A",0,T.UP3!#REF!)</f>
        <v>#REF!</v>
      </c>
      <c r="Y29" s="90" t="e">
        <f>VLOOKUP($B$29,T.UP3!$B$4:$T$69,MATCH(DETAIL!$X$4,T.UP3!$B$5:$T$5,0),FALSE)</f>
        <v>#REF!</v>
      </c>
      <c r="Z29" s="98" t="e">
        <f>VLOOKUP($B$29,'R.UP3'!$B$4:$S$54,MATCH(DETAIL!$X$4,'R.UP3'!$B$5:$S$5,0),FALSE)</f>
        <v>#REF!</v>
      </c>
      <c r="AA29" s="157" t="e">
        <f>IF(OR(Y29="N/A",Z29="N/A"),"N/A",IF(AND(Y29=0,Z29=0),0,(2-Z29/Y29)*100))</f>
        <v>#REF!</v>
      </c>
      <c r="AB29" s="103" t="e">
        <f t="shared" si="3"/>
        <v>#REF!</v>
      </c>
      <c r="AD29" s="188" t="e">
        <f>IF(AF29="N/A",0,T.UP3!#REF!)</f>
        <v>#REF!</v>
      </c>
      <c r="AE29" s="90" t="e">
        <f>VLOOKUP($B$29,T.UP3!$B$4:$T$69,MATCH(DETAIL!$AD$4,T.UP3!$B$5:$T$5,0),FALSE)</f>
        <v>#REF!</v>
      </c>
      <c r="AF29" s="98" t="e">
        <f>VLOOKUP($B$29,'R.UP3'!$B$4:$S$54,MATCH(DETAIL!$AD$4,'R.UP3'!$B$5:$S$5,0),FALSE)</f>
        <v>#REF!</v>
      </c>
      <c r="AG29" s="157" t="e">
        <f>IF(OR(AE29="N/A",AF29="N/A"),"N/A",IF(AND(AE29=0,AF29=0),0,(2-AF29/AE29)*100))</f>
        <v>#REF!</v>
      </c>
      <c r="AH29" s="103" t="e">
        <f t="shared" si="4"/>
        <v>#REF!</v>
      </c>
    </row>
    <row r="30" spans="1:34" ht="20.100000000000001" customHeight="1">
      <c r="A30" s="69"/>
      <c r="B30" s="153" t="e">
        <f>T.UP3!#REF!</f>
        <v>#REF!</v>
      </c>
      <c r="C30" s="75" t="e">
        <f>T.UP3!#REF!</f>
        <v>#REF!</v>
      </c>
      <c r="D30" s="229" t="e">
        <f>T.UP3!#REF!</f>
        <v>#REF!</v>
      </c>
      <c r="F30" s="188" t="e">
        <f>IF(H30="N/A",0,T.UP3!#REF!)</f>
        <v>#REF!</v>
      </c>
      <c r="G30" s="90" t="e">
        <f>VLOOKUP($B$30,T.UP3!$B$4:$T$69,MATCH(DETAIL!$F$4,T.UP3!$B$5:$T$5,0),FALSE)</f>
        <v>#REF!</v>
      </c>
      <c r="H30" s="98" t="e">
        <f>VLOOKUP($B$30,'R.UP3'!$B$4:$S$54,MATCH(DETAIL!$F$4,'R.UP3'!$B$5:$S$5,0),FALSE)</f>
        <v>#REF!</v>
      </c>
      <c r="I30" s="157" t="e">
        <f>IF(OR(G30="N/A",H30="N/A"),"N/A",IF(AND(G30=0,H30=0),0,(2-H30/G30)*100))</f>
        <v>#REF!</v>
      </c>
      <c r="J30" s="103" t="e">
        <f t="shared" si="0"/>
        <v>#REF!</v>
      </c>
      <c r="L30" s="188" t="e">
        <f>IF(N30="N/A",0,T.UP3!#REF!)</f>
        <v>#REF!</v>
      </c>
      <c r="M30" s="90" t="e">
        <f>VLOOKUP($B$30,T.UP3!$B$4:$T$69,MATCH(DETAIL!$L$4,T.UP3!$B$5:$T$5,0),FALSE)</f>
        <v>#REF!</v>
      </c>
      <c r="N30" s="98" t="e">
        <f>VLOOKUP($B$30,'R.UP3'!$B$4:$S$54,MATCH(DETAIL!$L$4,'R.UP3'!$B$5:$S$5,0),FALSE)</f>
        <v>#REF!</v>
      </c>
      <c r="O30" s="157" t="e">
        <f>IF(OR(M30="N/A",N30="N/A"),"N/A",IF(AND(M30=0,N30=0),0,(2-N30/M30)*100))</f>
        <v>#REF!</v>
      </c>
      <c r="P30" s="103" t="e">
        <f t="shared" si="1"/>
        <v>#REF!</v>
      </c>
      <c r="R30" s="188" t="e">
        <f>IF(T30="N/A",0,T.UP3!#REF!)</f>
        <v>#REF!</v>
      </c>
      <c r="S30" s="90" t="e">
        <f>VLOOKUP($B$30,T.UP3!$B$4:$T$69,MATCH(DETAIL!$R$4,T.UP3!$B$5:$T$5,0),FALSE)</f>
        <v>#REF!</v>
      </c>
      <c r="T30" s="98" t="e">
        <f>VLOOKUP($B$30,'R.UP3'!$B$4:$S$54,MATCH(DETAIL!$R$4,'R.UP3'!$B$5:$S$5,0),FALSE)</f>
        <v>#REF!</v>
      </c>
      <c r="U30" s="157" t="e">
        <f>IF(OR(S30="N/A",T30="N/A"),"N/A",IF(AND(S30=0,T30=0),0,(2-T30/S30)*100))</f>
        <v>#REF!</v>
      </c>
      <c r="V30" s="103" t="e">
        <f t="shared" si="2"/>
        <v>#REF!</v>
      </c>
      <c r="X30" s="188" t="e">
        <f>IF(Z30="N/A",0,T.UP3!#REF!)</f>
        <v>#REF!</v>
      </c>
      <c r="Y30" s="90" t="e">
        <f>VLOOKUP($B$30,T.UP3!$B$4:$T$69,MATCH(DETAIL!$X$4,T.UP3!$B$5:$T$5,0),FALSE)</f>
        <v>#REF!</v>
      </c>
      <c r="Z30" s="98" t="e">
        <f>VLOOKUP($B$30,'R.UP3'!$B$4:$S$54,MATCH(DETAIL!$X$4,'R.UP3'!$B$5:$S$5,0),FALSE)</f>
        <v>#REF!</v>
      </c>
      <c r="AA30" s="157" t="e">
        <f>IF(OR(Y30="N/A",Z30="N/A"),"N/A",IF(AND(Y30=0,Z30=0),0,(2-Z30/Y30)*100))</f>
        <v>#REF!</v>
      </c>
      <c r="AB30" s="103" t="e">
        <f t="shared" si="3"/>
        <v>#REF!</v>
      </c>
      <c r="AD30" s="188" t="e">
        <f>IF(AF30="N/A",0,T.UP3!#REF!)</f>
        <v>#REF!</v>
      </c>
      <c r="AE30" s="90" t="e">
        <f>VLOOKUP($B$30,T.UP3!$B$4:$T$69,MATCH(DETAIL!$AD$4,T.UP3!$B$5:$T$5,0),FALSE)</f>
        <v>#REF!</v>
      </c>
      <c r="AF30" s="98" t="e">
        <f>VLOOKUP($B$30,'R.UP3'!$B$4:$S$54,MATCH(DETAIL!$AD$4,'R.UP3'!$B$5:$S$5,0),FALSE)</f>
        <v>#REF!</v>
      </c>
      <c r="AG30" s="157" t="e">
        <f>IF(OR(AE30="N/A",AF30="N/A"),"N/A",IF(AND(AE30=0,AF30=0),0,(2-AF30/AE30)*100))</f>
        <v>#REF!</v>
      </c>
      <c r="AH30" s="103" t="e">
        <f t="shared" si="4"/>
        <v>#REF!</v>
      </c>
    </row>
    <row r="31" spans="1:34" ht="20.100000000000001" customHeight="1">
      <c r="A31" s="69"/>
      <c r="B31" s="153" t="e">
        <f>T.UP3!#REF!</f>
        <v>#REF!</v>
      </c>
      <c r="C31" s="75" t="e">
        <f>T.UP3!#REF!</f>
        <v>#REF!</v>
      </c>
      <c r="D31" s="229" t="e">
        <f>T.UP3!#REF!</f>
        <v>#REF!</v>
      </c>
      <c r="F31" s="188" t="e">
        <f>IF(H31="N/A",0,T.UP3!#REF!)</f>
        <v>#REF!</v>
      </c>
      <c r="G31" s="91" t="e">
        <f>VLOOKUP($B$31,T.UP3!$B$4:$T$69,MATCH(DETAIL!$F$4,T.UP3!$B$5:$T$5,0),FALSE)</f>
        <v>#REF!</v>
      </c>
      <c r="H31" s="101" t="e">
        <f>VLOOKUP($B$31,'R.UP3'!$B$4:$S$54,MATCH(DETAIL!$F$4,'R.UP3'!$B$5:$S$5,0),FALSE)</f>
        <v>#REF!</v>
      </c>
      <c r="I31" s="157" t="e">
        <f>IF(OR(G31="N/A",H31="N/A"),"N/A",IF(AND(G31=0,H31=0),0,H31/G31*100))</f>
        <v>#REF!</v>
      </c>
      <c r="J31" s="103" t="e">
        <f t="shared" si="0"/>
        <v>#REF!</v>
      </c>
      <c r="L31" s="188" t="e">
        <f>IF(N31="N/A",0,T.UP3!#REF!)</f>
        <v>#REF!</v>
      </c>
      <c r="M31" s="91" t="e">
        <f>VLOOKUP($B$31,T.UP3!$B$4:$T$69,MATCH(DETAIL!$L$4,T.UP3!$B$5:$T$5,0),FALSE)</f>
        <v>#REF!</v>
      </c>
      <c r="N31" s="101" t="e">
        <f>VLOOKUP($B$31,'R.UP3'!$B$4:$S$54,MATCH(DETAIL!$L$4,'R.UP3'!$B$5:$S$5,0),FALSE)</f>
        <v>#REF!</v>
      </c>
      <c r="O31" s="157" t="e">
        <f>IF(OR(M31="N/A",N31="N/A"),"N/A",IF(AND(M31=0,N31=0),0,N31/M31*100))</f>
        <v>#REF!</v>
      </c>
      <c r="P31" s="103" t="e">
        <f t="shared" si="1"/>
        <v>#REF!</v>
      </c>
      <c r="R31" s="188" t="e">
        <f>IF(T31="N/A",0,T.UP3!#REF!)</f>
        <v>#REF!</v>
      </c>
      <c r="S31" s="91" t="e">
        <f>VLOOKUP($B$31,T.UP3!$B$4:$T$69,MATCH(DETAIL!$R$4,T.UP3!$B$5:$T$5,0),FALSE)</f>
        <v>#REF!</v>
      </c>
      <c r="T31" s="101" t="e">
        <f>VLOOKUP($B$31,'R.UP3'!$B$4:$S$54,MATCH(DETAIL!$R$4,'R.UP3'!$B$5:$S$5,0),FALSE)</f>
        <v>#REF!</v>
      </c>
      <c r="U31" s="157" t="e">
        <f>IF(OR(S31="N/A",T31="N/A"),"N/A",IF(AND(S31=0,T31=0),0,T31/S31*100))</f>
        <v>#REF!</v>
      </c>
      <c r="V31" s="103" t="e">
        <f t="shared" si="2"/>
        <v>#REF!</v>
      </c>
      <c r="X31" s="188" t="e">
        <f>IF(Z31="N/A",0,T.UP3!#REF!)</f>
        <v>#REF!</v>
      </c>
      <c r="Y31" s="91" t="e">
        <f>VLOOKUP($B$31,T.UP3!$B$4:$T$69,MATCH(DETAIL!$X$4,T.UP3!$B$5:$T$5,0),FALSE)</f>
        <v>#REF!</v>
      </c>
      <c r="Z31" s="101" t="e">
        <f>VLOOKUP($B$31,'R.UP3'!$B$4:$S$54,MATCH(DETAIL!$X$4,'R.UP3'!$B$5:$S$5,0),FALSE)</f>
        <v>#REF!</v>
      </c>
      <c r="AA31" s="157" t="e">
        <f>IF(OR(Y31="N/A",Z31="N/A"),"N/A",IF(AND(Y31=0,Z31=0),0,Z31/Y31*100))</f>
        <v>#REF!</v>
      </c>
      <c r="AB31" s="103" t="e">
        <f t="shared" si="3"/>
        <v>#REF!</v>
      </c>
      <c r="AD31" s="188" t="e">
        <f>IF(AF31="N/A",0,T.UP3!#REF!)</f>
        <v>#REF!</v>
      </c>
      <c r="AE31" s="91" t="e">
        <f>VLOOKUP($B$31,T.UP3!$B$4:$T$69,MATCH(DETAIL!$AD$4,T.UP3!$B$5:$T$5,0),FALSE)</f>
        <v>#REF!</v>
      </c>
      <c r="AF31" s="101" t="e">
        <f>VLOOKUP($B$31,'R.UP3'!$B$4:$S$54,MATCH(DETAIL!$AD$4,'R.UP3'!$B$5:$S$5,0),FALSE)</f>
        <v>#REF!</v>
      </c>
      <c r="AG31" s="157" t="e">
        <f>IF(OR(AE31="N/A",AF31="N/A"),"N/A",IF(AND(AE31=0,AF31=0),0,AF31/AE31*100))</f>
        <v>#REF!</v>
      </c>
      <c r="AH31" s="103" t="e">
        <f t="shared" si="4"/>
        <v>#REF!</v>
      </c>
    </row>
    <row r="32" spans="1:34" ht="20.100000000000001" customHeight="1">
      <c r="A32" s="69"/>
      <c r="B32" s="153" t="str">
        <f>T.UP3!B51</f>
        <v>b. Usulan Penghapusan ATTB</v>
      </c>
      <c r="C32" s="75" t="str">
        <f>T.UP3!C51</f>
        <v>ñ</v>
      </c>
      <c r="D32" s="229" t="str">
        <f>T.UP3!D51</f>
        <v>Rp. Milyar</v>
      </c>
      <c r="F32" s="188">
        <f>IF(H32="N/A",0,T.UP3!$F$51)</f>
        <v>0</v>
      </c>
      <c r="G32" s="91">
        <f>VLOOKUP($B$32,T.UP3!$B$4:$T$69,MATCH(DETAIL!$F$4,T.UP3!$B$5:$T$5,0),FALSE)</f>
        <v>0</v>
      </c>
      <c r="H32" s="101">
        <f>VLOOKUP($B$32,'R.UP3'!$B$4:$S$54,MATCH(DETAIL!$F$4,'R.UP3'!$B$5:$S$5,0),FALSE)</f>
        <v>0</v>
      </c>
      <c r="I32" s="157">
        <f>IF(OR(G32="N/A",H32="N/A"),"N/A",IF(AND(G32=0,H32=0),0,H32/G32*100))</f>
        <v>0</v>
      </c>
      <c r="J32" s="103">
        <f t="shared" si="0"/>
        <v>0</v>
      </c>
      <c r="L32" s="188">
        <f>IF(N32="N/A",0,T.UP3!$F$51)</f>
        <v>0</v>
      </c>
      <c r="M32" s="91">
        <f>VLOOKUP($B$32,T.UP3!$B$4:$T$69,MATCH(DETAIL!$L$4,T.UP3!$B$5:$T$5,0),FALSE)</f>
        <v>0</v>
      </c>
      <c r="N32" s="101">
        <f>VLOOKUP($B$32,'R.UP3'!$B$4:$S$54,MATCH(DETAIL!$L$4,'R.UP3'!$B$5:$S$5,0),FALSE)</f>
        <v>0</v>
      </c>
      <c r="O32" s="157">
        <f>IF(OR(M32="N/A",N32="N/A"),"N/A",IF(AND(M32=0,N32=0),0,N32/M32*100))</f>
        <v>0</v>
      </c>
      <c r="P32" s="103">
        <f t="shared" si="1"/>
        <v>0</v>
      </c>
      <c r="R32" s="188">
        <f>IF(T32="N/A",0,T.UP3!$F$51)</f>
        <v>0</v>
      </c>
      <c r="S32" s="91">
        <f>VLOOKUP($B$32,T.UP3!$B$4:$T$69,MATCH(DETAIL!$R$4,T.UP3!$B$5:$T$5,0),FALSE)</f>
        <v>0</v>
      </c>
      <c r="T32" s="101">
        <f>VLOOKUP($B$32,'R.UP3'!$B$4:$S$54,MATCH(DETAIL!$R$4,'R.UP3'!$B$5:$S$5,0),FALSE)</f>
        <v>0</v>
      </c>
      <c r="U32" s="157">
        <f>IF(OR(S32="N/A",T32="N/A"),"N/A",IF(AND(S32=0,T32=0),0,T32/S32*100))</f>
        <v>0</v>
      </c>
      <c r="V32" s="103">
        <f t="shared" si="2"/>
        <v>0</v>
      </c>
      <c r="X32" s="188" t="e">
        <f>IF(Z32="N/A",0,T.UP3!$F$51)</f>
        <v>#N/A</v>
      </c>
      <c r="Y32" s="91" t="e">
        <f>VLOOKUP($B$32,T.UP3!$B$4:$T$69,MATCH(DETAIL!$X$4,T.UP3!$B$5:$T$5,0),FALSE)</f>
        <v>#N/A</v>
      </c>
      <c r="Z32" s="101" t="e">
        <f>VLOOKUP($B$32,'R.UP3'!$B$4:$S$54,MATCH(DETAIL!$X$4,'R.UP3'!$B$5:$S$5,0),FALSE)</f>
        <v>#N/A</v>
      </c>
      <c r="AA32" s="157" t="e">
        <f>IF(OR(Y32="N/A",Z32="N/A"),"N/A",IF(AND(Y32=0,Z32=0),0,Z32/Y32*100))</f>
        <v>#N/A</v>
      </c>
      <c r="AB32" s="103" t="e">
        <f t="shared" si="3"/>
        <v>#N/A</v>
      </c>
      <c r="AD32" s="188" t="e">
        <f>IF(AF32="N/A",0,T.UP3!$F$51)</f>
        <v>#N/A</v>
      </c>
      <c r="AE32" s="91" t="e">
        <f>VLOOKUP($B$32,T.UP3!$B$4:$T$69,MATCH(DETAIL!$AD$4,T.UP3!$B$5:$T$5,0),FALSE)</f>
        <v>#N/A</v>
      </c>
      <c r="AF32" s="101" t="e">
        <f>VLOOKUP($B$32,'R.UP3'!$B$4:$S$54,MATCH(DETAIL!$AD$4,'R.UP3'!$B$5:$S$5,0),FALSE)</f>
        <v>#N/A</v>
      </c>
      <c r="AG32" s="157" t="e">
        <f>IF(OR(AE32="N/A",AF32="N/A"),"N/A",IF(AND(AE32=0,AF32=0),0,AF32/AE32*100))</f>
        <v>#N/A</v>
      </c>
      <c r="AH32" s="103" t="e">
        <f t="shared" si="4"/>
        <v>#N/A</v>
      </c>
    </row>
    <row r="33" spans="1:34" ht="20.100000000000001" customHeight="1">
      <c r="A33" s="69"/>
      <c r="B33" s="153" t="e">
        <f>T.UP3!#REF!</f>
        <v>#REF!</v>
      </c>
      <c r="C33" s="75" t="e">
        <f>T.UP3!#REF!</f>
        <v>#REF!</v>
      </c>
      <c r="D33" s="229" t="e">
        <f>T.UP3!#REF!</f>
        <v>#REF!</v>
      </c>
      <c r="F33" s="188" t="e">
        <f>IF(H33="N/A",0,T.UP3!#REF!)</f>
        <v>#REF!</v>
      </c>
      <c r="G33" s="91" t="e">
        <f>VLOOKUP($B$33,T.UP3!$B$4:$T$69,MATCH(DETAIL!$F$4,T.UP3!$B$5:$T$5,0),FALSE)</f>
        <v>#REF!</v>
      </c>
      <c r="H33" s="101" t="e">
        <f>VLOOKUP($B$33,'R.UP3'!$B$4:$S$54,MATCH(DETAIL!$F$4,'R.UP3'!$B$5:$S$5,0),FALSE)</f>
        <v>#REF!</v>
      </c>
      <c r="I33" s="157" t="e">
        <f>IF(OR(G33="N/A",H33="N/A"),"N/A",IF(AND(G33=0,H33=0),0,H33/G33*100))</f>
        <v>#REF!</v>
      </c>
      <c r="J33" s="103" t="e">
        <f t="shared" si="0"/>
        <v>#REF!</v>
      </c>
      <c r="L33" s="188" t="e">
        <f>IF(N33="N/A",0,T.UP3!#REF!)</f>
        <v>#REF!</v>
      </c>
      <c r="M33" s="91" t="e">
        <f>VLOOKUP($B$33,T.UP3!$B$4:$T$69,MATCH(DETAIL!$L$4,T.UP3!$B$5:$T$5,0),FALSE)</f>
        <v>#REF!</v>
      </c>
      <c r="N33" s="101" t="e">
        <f>VLOOKUP($B$33,'R.UP3'!$B$4:$S$54,MATCH(DETAIL!$L$4,'R.UP3'!$B$5:$S$5,0),FALSE)</f>
        <v>#REF!</v>
      </c>
      <c r="O33" s="157" t="e">
        <f>IF(OR(M33="N/A",N33="N/A"),"N/A",IF(AND(M33=0,N33=0),0,N33/M33*100))</f>
        <v>#REF!</v>
      </c>
      <c r="P33" s="103" t="e">
        <f t="shared" si="1"/>
        <v>#REF!</v>
      </c>
      <c r="R33" s="188" t="e">
        <f>IF(T33="N/A",0,T.UP3!#REF!)</f>
        <v>#REF!</v>
      </c>
      <c r="S33" s="91" t="e">
        <f>VLOOKUP($B$33,T.UP3!$B$4:$T$69,MATCH(DETAIL!$R$4,T.UP3!$B$5:$T$5,0),FALSE)</f>
        <v>#REF!</v>
      </c>
      <c r="T33" s="101" t="e">
        <f>VLOOKUP($B$33,'R.UP3'!$B$4:$S$54,MATCH(DETAIL!$R$4,'R.UP3'!$B$5:$S$5,0),FALSE)</f>
        <v>#REF!</v>
      </c>
      <c r="U33" s="157" t="e">
        <f>IF(OR(S33="N/A",T33="N/A"),"N/A",IF(AND(S33=0,T33=0),0,T33/S33*100))</f>
        <v>#REF!</v>
      </c>
      <c r="V33" s="103" t="e">
        <f t="shared" si="2"/>
        <v>#REF!</v>
      </c>
      <c r="X33" s="188" t="e">
        <f>IF(Z33="N/A",0,T.UP3!#REF!)</f>
        <v>#REF!</v>
      </c>
      <c r="Y33" s="91" t="e">
        <f>VLOOKUP($B$33,T.UP3!$B$4:$T$69,MATCH(DETAIL!$X$4,T.UP3!$B$5:$T$5,0),FALSE)</f>
        <v>#REF!</v>
      </c>
      <c r="Z33" s="101" t="e">
        <f>VLOOKUP($B$33,'R.UP3'!$B$4:$S$54,MATCH(DETAIL!$X$4,'R.UP3'!$B$5:$S$5,0),FALSE)</f>
        <v>#REF!</v>
      </c>
      <c r="AA33" s="157" t="e">
        <f>IF(OR(Y33="N/A",Z33="N/A"),"N/A",IF(AND(Y33=0,Z33=0),0,Z33/Y33*100))</f>
        <v>#REF!</v>
      </c>
      <c r="AB33" s="103" t="e">
        <f t="shared" si="3"/>
        <v>#REF!</v>
      </c>
      <c r="AD33" s="188" t="e">
        <f>IF(AF33="N/A",0,T.UP3!#REF!)</f>
        <v>#REF!</v>
      </c>
      <c r="AE33" s="91" t="e">
        <f>VLOOKUP($B$33,T.UP3!$B$4:$T$69,MATCH(DETAIL!$AD$4,T.UP3!$B$5:$T$5,0),FALSE)</f>
        <v>#REF!</v>
      </c>
      <c r="AF33" s="101" t="e">
        <f>VLOOKUP($B$33,'R.UP3'!$B$4:$S$54,MATCH(DETAIL!$AD$4,'R.UP3'!$B$5:$S$5,0),FALSE)</f>
        <v>#REF!</v>
      </c>
      <c r="AG33" s="157" t="e">
        <f>IF(OR(AE33="N/A",AF33="N/A"),"N/A",IF(AND(AE33=0,AF33=0),0,AF33/AE33*100))</f>
        <v>#REF!</v>
      </c>
      <c r="AH33" s="103" t="e">
        <f t="shared" si="4"/>
        <v>#REF!</v>
      </c>
    </row>
    <row r="34" spans="1:34" ht="16.5">
      <c r="A34" s="69">
        <f>T.UP3!A52</f>
        <v>0</v>
      </c>
      <c r="B34" s="153" t="str">
        <f>T.UP3!B52</f>
        <v>c. Usulan Penghapusan PRR</v>
      </c>
      <c r="C34" s="75"/>
      <c r="D34" s="229"/>
      <c r="F34" s="188"/>
      <c r="G34" s="98"/>
      <c r="H34" s="98"/>
      <c r="I34" s="99"/>
      <c r="J34" s="103"/>
      <c r="L34" s="188"/>
      <c r="M34" s="98"/>
      <c r="N34" s="98"/>
      <c r="O34" s="99"/>
      <c r="P34" s="103"/>
      <c r="R34" s="188"/>
      <c r="S34" s="98"/>
      <c r="T34" s="98"/>
      <c r="U34" s="99"/>
      <c r="V34" s="103"/>
      <c r="X34" s="188"/>
      <c r="Y34" s="98"/>
      <c r="Z34" s="98"/>
      <c r="AA34" s="99"/>
      <c r="AB34" s="103"/>
      <c r="AD34" s="188"/>
      <c r="AE34" s="98"/>
      <c r="AF34" s="98"/>
      <c r="AG34" s="99"/>
      <c r="AH34" s="103"/>
    </row>
    <row r="35" spans="1:34" ht="16.5">
      <c r="A35" s="69"/>
      <c r="B35" s="153" t="str">
        <f>T.UP3!B54</f>
        <v>a. HCR, OCR, dan Produktivitas Pegawai</v>
      </c>
      <c r="C35" s="75" t="str">
        <f>T.UP3!C54</f>
        <v>ñ</v>
      </c>
      <c r="D35" s="229" t="str">
        <f>T.UP3!D54</f>
        <v>%</v>
      </c>
      <c r="F35" s="188">
        <f>IF(H35="N/A",0,T.UP3!$F$54)</f>
        <v>0</v>
      </c>
      <c r="G35" s="90">
        <f>VLOOKUP($B$35,T.UP3!$B$4:$T$69,MATCH(DETAIL!$F$4,T.UP3!$B$5:$T$5,0),FALSE)</f>
        <v>0</v>
      </c>
      <c r="H35" s="98">
        <f>VLOOKUP($B$35,'R.UP3'!$B$4:$S$54,MATCH(DETAIL!$F$4,'R.UP3'!$B$5:$S$5,0),FALSE)</f>
        <v>100</v>
      </c>
      <c r="I35" s="157" t="e">
        <f>IF(OR(G35="N/A",H35="N/A"),"N/A",IF(AND(G35=0,H35=0),0,H35/G35*100))</f>
        <v>#DIV/0!</v>
      </c>
      <c r="J35" s="103" t="e">
        <f>IF(OR(I35="N/A",I35&lt;0),0,IF(I35&gt;110,F35*110/100,F35*I35/100))</f>
        <v>#DIV/0!</v>
      </c>
      <c r="L35" s="188">
        <f>IF(N35="N/A",0,T.UP3!$F$54)</f>
        <v>0</v>
      </c>
      <c r="M35" s="90">
        <f>VLOOKUP($B$35,T.UP3!$B$4:$T$69,MATCH(DETAIL!$L$4,T.UP3!$B$5:$T$5,0),FALSE)</f>
        <v>0</v>
      </c>
      <c r="N35" s="98">
        <f>VLOOKUP($B$35,'R.UP3'!$B$4:$S$54,MATCH(DETAIL!$L$4,'R.UP3'!$B$5:$S$5,0),FALSE)</f>
        <v>100</v>
      </c>
      <c r="O35" s="157" t="e">
        <f>IF(OR(M35="N/A",N35="N/A"),"N/A",IF(AND(M35=0,N35=0),0,N35/M35*100))</f>
        <v>#DIV/0!</v>
      </c>
      <c r="P35" s="103" t="e">
        <f>IF(OR(O35="N/A",O35&lt;0),0,IF(O35&gt;110,L35*110/100,L35*O35/100))</f>
        <v>#DIV/0!</v>
      </c>
      <c r="R35" s="188">
        <f>IF(T35="N/A",0,T.UP3!$F$54)</f>
        <v>0</v>
      </c>
      <c r="S35" s="90">
        <f>VLOOKUP($B$35,T.UP3!$B$4:$T$69,MATCH(DETAIL!$R$4,T.UP3!$B$5:$T$5,0),FALSE)</f>
        <v>0</v>
      </c>
      <c r="T35" s="98">
        <f>VLOOKUP($B$35,'R.UP3'!$B$4:$S$54,MATCH(DETAIL!$R$4,'R.UP3'!$B$5:$S$5,0),FALSE)</f>
        <v>100</v>
      </c>
      <c r="U35" s="157" t="e">
        <f>IF(OR(S35="N/A",T35="N/A"),"N/A",IF(AND(S35=0,T35=0),0,T35/S35*100))</f>
        <v>#DIV/0!</v>
      </c>
      <c r="V35" s="103" t="e">
        <f>IF(OR(U35="N/A",U35&lt;0),0,IF(U35&gt;110,R35*110/100,R35*U35/100))</f>
        <v>#DIV/0!</v>
      </c>
      <c r="X35" s="188" t="e">
        <f>IF(Z35="N/A",0,T.UP3!$F$54)</f>
        <v>#N/A</v>
      </c>
      <c r="Y35" s="90" t="e">
        <f>VLOOKUP($B$35,T.UP3!$B$4:$T$69,MATCH(DETAIL!$X$4,T.UP3!$B$5:$T$5,0),FALSE)</f>
        <v>#N/A</v>
      </c>
      <c r="Z35" s="98" t="e">
        <f>VLOOKUP($B$35,'R.UP3'!$B$4:$S$54,MATCH(DETAIL!$X$4,'R.UP3'!$B$5:$S$5,0),FALSE)</f>
        <v>#N/A</v>
      </c>
      <c r="AA35" s="157" t="e">
        <f>IF(OR(Y35="N/A",Z35="N/A"),"N/A",IF(AND(Y35=0,Z35=0),0,Z35/Y35*100))</f>
        <v>#N/A</v>
      </c>
      <c r="AB35" s="103" t="e">
        <f>IF(OR(AA35="N/A",AA35&lt;0),0,IF(AA35&gt;110,X35*110/100,X35*AA35/100))</f>
        <v>#N/A</v>
      </c>
      <c r="AD35" s="188" t="e">
        <f>IF(AF35="N/A",0,T.UP3!$F$54)</f>
        <v>#N/A</v>
      </c>
      <c r="AE35" s="90" t="e">
        <f>VLOOKUP($B$35,T.UP3!$B$4:$T$69,MATCH(DETAIL!$AD$4,T.UP3!$B$5:$T$5,0),FALSE)</f>
        <v>#N/A</v>
      </c>
      <c r="AF35" s="98" t="e">
        <f>VLOOKUP($B$35,'R.UP3'!$B$4:$S$54,MATCH(DETAIL!$AD$4,'R.UP3'!$B$5:$S$5,0),FALSE)</f>
        <v>#N/A</v>
      </c>
      <c r="AG35" s="157" t="e">
        <f>IF(OR(AE35="N/A",AF35="N/A"),"N/A",IF(AND(AE35=0,AF35=0),0,AF35/AE35*100))</f>
        <v>#N/A</v>
      </c>
      <c r="AH35" s="103" t="e">
        <f>IF(OR(AG35="N/A",AG35&lt;0),0,IF(AG35&gt;110,AD35*110/100,AD35*AG35/100))</f>
        <v>#N/A</v>
      </c>
    </row>
    <row r="36" spans="1:34" ht="20.100000000000001" customHeight="1">
      <c r="A36" s="69"/>
      <c r="B36" s="153" t="str">
        <f>T.UP3!B55</f>
        <v>b. Produktivitas Unit</v>
      </c>
      <c r="C36" s="75" t="str">
        <f>T.UP3!C55</f>
        <v>ñ</v>
      </c>
      <c r="D36" s="229" t="str">
        <f>T.UP3!D55</f>
        <v>%</v>
      </c>
      <c r="F36" s="188" t="e">
        <f>IF(H36="N/A",0,T.UP3!$F$55)</f>
        <v>#N/A</v>
      </c>
      <c r="G36" s="90">
        <f>VLOOKUP($B$36,T.UP3!$B$4:$T$69,MATCH(DETAIL!$F$4,T.UP3!$B$5:$T$5,0),FALSE)</f>
        <v>0</v>
      </c>
      <c r="H36" s="98" t="e">
        <f>VLOOKUP($B$36,'R.UP3'!$B$4:$S$54,MATCH(DETAIL!$F$4,'R.UP3'!$B$5:$S$5,0),FALSE)</f>
        <v>#N/A</v>
      </c>
      <c r="I36" s="157" t="e">
        <f>IF(OR(G36="N/A",H36="N/A"),"N/A",IF(AND(G36=0,H36=0),0,H36/G36*100))</f>
        <v>#N/A</v>
      </c>
      <c r="J36" s="103" t="e">
        <f>IF(OR(I36="N/A",I36&lt;0),0,IF(I36&gt;110,F36*110/100,F36*I36/100))</f>
        <v>#N/A</v>
      </c>
      <c r="L36" s="188" t="e">
        <f>IF(N36="N/A",0,T.UP3!$F$55)</f>
        <v>#N/A</v>
      </c>
      <c r="M36" s="90">
        <f>VLOOKUP($B$36,T.UP3!$B$4:$T$69,MATCH(DETAIL!$L$4,T.UP3!$B$5:$T$5,0),FALSE)</f>
        <v>0</v>
      </c>
      <c r="N36" s="98" t="e">
        <f>VLOOKUP($B$36,'R.UP3'!$B$4:$S$54,MATCH(DETAIL!$L$4,'R.UP3'!$B$5:$S$5,0),FALSE)</f>
        <v>#N/A</v>
      </c>
      <c r="O36" s="157" t="e">
        <f>IF(OR(M36="N/A",N36="N/A"),"N/A",IF(AND(M36=0,N36=0),0,N36/M36*100))</f>
        <v>#N/A</v>
      </c>
      <c r="P36" s="103" t="e">
        <f>IF(OR(O36="N/A",O36&lt;0),0,IF(O36&gt;110,L36*110/100,L36*O36/100))</f>
        <v>#N/A</v>
      </c>
      <c r="R36" s="188" t="e">
        <f>IF(T36="N/A",0,T.UP3!$F$55)</f>
        <v>#N/A</v>
      </c>
      <c r="S36" s="90">
        <f>VLOOKUP($B$36,T.UP3!$B$4:$T$69,MATCH(DETAIL!$R$4,T.UP3!$B$5:$T$5,0),FALSE)</f>
        <v>0</v>
      </c>
      <c r="T36" s="98" t="e">
        <f>VLOOKUP($B$36,'R.UP3'!$B$4:$S$54,MATCH(DETAIL!$R$4,'R.UP3'!$B$5:$S$5,0),FALSE)</f>
        <v>#N/A</v>
      </c>
      <c r="U36" s="157" t="e">
        <f>IF(OR(S36="N/A",T36="N/A"),"N/A",IF(AND(S36=0,T36=0),0,T36/S36*100))</f>
        <v>#N/A</v>
      </c>
      <c r="V36" s="103" t="e">
        <f>IF(OR(U36="N/A",U36&lt;0),0,IF(U36&gt;110,R36*110/100,R36*U36/100))</f>
        <v>#N/A</v>
      </c>
      <c r="X36" s="188" t="e">
        <f>IF(Z36="N/A",0,T.UP3!$F$55)</f>
        <v>#N/A</v>
      </c>
      <c r="Y36" s="90" t="e">
        <f>VLOOKUP($B$36,T.UP3!$B$4:$T$69,MATCH(DETAIL!$X$4,T.UP3!$B$5:$T$5,0),FALSE)</f>
        <v>#N/A</v>
      </c>
      <c r="Z36" s="98" t="e">
        <f>VLOOKUP($B$36,'R.UP3'!$B$4:$S$54,MATCH(DETAIL!$X$4,'R.UP3'!$B$5:$S$5,0),FALSE)</f>
        <v>#N/A</v>
      </c>
      <c r="AA36" s="157" t="e">
        <f>IF(OR(Y36="N/A",Z36="N/A"),"N/A",IF(AND(Y36=0,Z36=0),0,Z36/Y36*100))</f>
        <v>#N/A</v>
      </c>
      <c r="AB36" s="103" t="e">
        <f>IF(OR(AA36="N/A",AA36&lt;0),0,IF(AA36&gt;110,X36*110/100,X36*AA36/100))</f>
        <v>#N/A</v>
      </c>
      <c r="AD36" s="188" t="e">
        <f>IF(AF36="N/A",0,T.UP3!$F$55)</f>
        <v>#N/A</v>
      </c>
      <c r="AE36" s="90" t="e">
        <f>VLOOKUP($B$36,T.UP3!$B$4:$T$69,MATCH(DETAIL!$AD$4,T.UP3!$B$5:$T$5,0),FALSE)</f>
        <v>#N/A</v>
      </c>
      <c r="AF36" s="98" t="e">
        <f>VLOOKUP($B$36,'R.UP3'!$B$4:$S$54,MATCH(DETAIL!$AD$4,'R.UP3'!$B$5:$S$5,0),FALSE)</f>
        <v>#N/A</v>
      </c>
      <c r="AG36" s="157" t="e">
        <f>IF(OR(AE36="N/A",AF36="N/A"),"N/A",IF(AND(AE36=0,AF36=0),0,AF36/AE36*100))</f>
        <v>#N/A</v>
      </c>
      <c r="AH36" s="103" t="e">
        <f>IF(OR(AG36="N/A",AG36&lt;0),0,IF(AG36&gt;110,AD36*110/100,AD36*AG36/100))</f>
        <v>#N/A</v>
      </c>
    </row>
    <row r="37" spans="1:34" ht="20.100000000000001" customHeight="1">
      <c r="A37" s="69">
        <f>T.UP3!A60</f>
        <v>0</v>
      </c>
      <c r="B37" s="153" t="str">
        <f>T.UP3!B60</f>
        <v>b. Maturity Level Gudang</v>
      </c>
      <c r="C37" s="75"/>
      <c r="D37" s="229"/>
      <c r="F37" s="188"/>
      <c r="G37" s="98"/>
      <c r="H37" s="98"/>
      <c r="I37" s="99"/>
      <c r="J37" s="103"/>
      <c r="L37" s="188"/>
      <c r="M37" s="98"/>
      <c r="N37" s="98"/>
      <c r="O37" s="99"/>
      <c r="P37" s="103"/>
      <c r="R37" s="188"/>
      <c r="S37" s="98"/>
      <c r="T37" s="98"/>
      <c r="U37" s="99"/>
      <c r="V37" s="103"/>
      <c r="X37" s="188"/>
      <c r="Y37" s="98"/>
      <c r="Z37" s="98"/>
      <c r="AA37" s="99"/>
      <c r="AB37" s="103"/>
      <c r="AD37" s="188"/>
      <c r="AE37" s="98"/>
      <c r="AF37" s="98"/>
      <c r="AG37" s="99"/>
      <c r="AH37" s="103"/>
    </row>
    <row r="38" spans="1:34" ht="42" customHeight="1">
      <c r="A38" s="69"/>
      <c r="B38" s="153" t="str">
        <f>T.UP3!B61</f>
        <v>c. Maturity Level Sustainbility</v>
      </c>
      <c r="C38" s="75"/>
      <c r="D38" s="229"/>
      <c r="F38" s="188">
        <f>IF(H38="N/A",0,T.UP3!$F$61)</f>
        <v>0</v>
      </c>
      <c r="G38" s="98"/>
      <c r="H38" s="98"/>
      <c r="I38" s="99"/>
      <c r="J38" s="103"/>
      <c r="L38" s="188">
        <f>IF(N38="N/A",0,T.UP3!$F$61)</f>
        <v>0</v>
      </c>
      <c r="M38" s="98"/>
      <c r="N38" s="98"/>
      <c r="O38" s="99"/>
      <c r="P38" s="103"/>
      <c r="R38" s="188">
        <f>IF(T38="N/A",0,T.UP3!$F$61)</f>
        <v>0</v>
      </c>
      <c r="S38" s="98"/>
      <c r="T38" s="98"/>
      <c r="U38" s="99"/>
      <c r="V38" s="103"/>
      <c r="X38" s="188">
        <f>IF(Z38="N/A",0,T.UP3!$F$61)</f>
        <v>0</v>
      </c>
      <c r="Y38" s="98"/>
      <c r="Z38" s="98"/>
      <c r="AA38" s="99"/>
      <c r="AB38" s="103"/>
      <c r="AD38" s="188">
        <f>IF(AF38="N/A",0,T.UP3!$F$61)</f>
        <v>0</v>
      </c>
      <c r="AE38" s="98"/>
      <c r="AF38" s="98"/>
      <c r="AG38" s="99"/>
      <c r="AH38" s="103"/>
    </row>
    <row r="39" spans="1:34" ht="31.5">
      <c r="A39" s="69"/>
      <c r="B39" s="153" t="str">
        <f>T.UP3!B62</f>
        <v>d. Implementasi Roadmap Perbaikan Penerapan Manajemen Risiko dan Pencapaian Perlakuan Risiko</v>
      </c>
      <c r="C39" s="75"/>
      <c r="D39" s="229"/>
      <c r="F39" s="188">
        <f>IF(H39="N/A",0,T.UP3!$F$62)</f>
        <v>0</v>
      </c>
      <c r="G39" s="98"/>
      <c r="H39" s="90"/>
      <c r="I39" s="99"/>
      <c r="J39" s="103"/>
      <c r="L39" s="188">
        <f>IF(N39="N/A",0,T.UP3!$F$62)</f>
        <v>0</v>
      </c>
      <c r="M39" s="98"/>
      <c r="N39" s="90"/>
      <c r="O39" s="99"/>
      <c r="P39" s="103"/>
      <c r="R39" s="188">
        <f>IF(T39="N/A",0,T.UP3!$F$62)</f>
        <v>0</v>
      </c>
      <c r="S39" s="98"/>
      <c r="T39" s="90"/>
      <c r="U39" s="99"/>
      <c r="V39" s="103"/>
      <c r="X39" s="188">
        <f>IF(Z39="N/A",0,T.UP3!$F$62)</f>
        <v>0</v>
      </c>
      <c r="Y39" s="98"/>
      <c r="Z39" s="90"/>
      <c r="AA39" s="99"/>
      <c r="AB39" s="103"/>
      <c r="AD39" s="188">
        <f>IF(AF39="N/A",0,T.UP3!$F$62)</f>
        <v>0</v>
      </c>
      <c r="AE39" s="98"/>
      <c r="AF39" s="90"/>
      <c r="AG39" s="99"/>
      <c r="AH39" s="103"/>
    </row>
    <row r="40" spans="1:34" ht="31.5">
      <c r="A40" s="69"/>
      <c r="B40" s="153" t="str">
        <f>T.UP3!B66</f>
        <v>c. Ketepatan penyampaian pelaporan dan
Akurasi Data Kinerja</v>
      </c>
      <c r="C40" s="75"/>
      <c r="D40" s="229"/>
      <c r="F40" s="188" t="str">
        <f>IF(H40="N/A",0,T.UP3!$F$66)</f>
        <v>Max-10</v>
      </c>
      <c r="G40" s="98"/>
      <c r="H40" s="90"/>
      <c r="I40" s="99"/>
      <c r="J40" s="103"/>
      <c r="L40" s="188" t="str">
        <f>IF(N40="N/A",0,T.UP3!$F$66)</f>
        <v>Max-10</v>
      </c>
      <c r="M40" s="98"/>
      <c r="N40" s="90"/>
      <c r="O40" s="99"/>
      <c r="P40" s="103"/>
      <c r="R40" s="188" t="str">
        <f>IF(T40="N/A",0,T.UP3!$F$66)</f>
        <v>Max-10</v>
      </c>
      <c r="S40" s="98"/>
      <c r="T40" s="90"/>
      <c r="U40" s="99"/>
      <c r="V40" s="103"/>
      <c r="X40" s="188" t="str">
        <f>IF(Z40="N/A",0,T.UP3!$F$66)</f>
        <v>Max-10</v>
      </c>
      <c r="Y40" s="98"/>
      <c r="Z40" s="90"/>
      <c r="AA40" s="99"/>
      <c r="AB40" s="103"/>
      <c r="AD40" s="188" t="str">
        <f>IF(AF40="N/A",0,T.UP3!$F$66)</f>
        <v>Max-10</v>
      </c>
      <c r="AE40" s="98"/>
      <c r="AF40" s="90"/>
      <c r="AG40" s="99"/>
      <c r="AH40" s="103"/>
    </row>
    <row r="41" spans="1:34" ht="20.100000000000001" customHeight="1">
      <c r="A41" s="69"/>
      <c r="B41" s="153" t="str">
        <f>T.UP3!B68</f>
        <v>e. Pencapaian Beyond RKAP</v>
      </c>
      <c r="C41" s="75"/>
      <c r="D41" s="229"/>
      <c r="F41" s="188" t="str">
        <f>IF(H41="N/A",0,T.UP3!$F$68)</f>
        <v>Max-2
Max+2</v>
      </c>
      <c r="G41" s="98"/>
      <c r="H41" s="98"/>
      <c r="I41" s="162"/>
      <c r="J41" s="103"/>
      <c r="L41" s="188" t="str">
        <f>IF(N41="N/A",0,T.UP3!$F$68)</f>
        <v>Max-2
Max+2</v>
      </c>
      <c r="M41" s="98"/>
      <c r="N41" s="98"/>
      <c r="O41" s="162"/>
      <c r="P41" s="103"/>
      <c r="R41" s="188" t="str">
        <f>IF(T41="N/A",0,T.UP3!$F$68)</f>
        <v>Max-2
Max+2</v>
      </c>
      <c r="S41" s="98"/>
      <c r="T41" s="98"/>
      <c r="U41" s="162"/>
      <c r="V41" s="103"/>
      <c r="X41" s="188" t="str">
        <f>IF(Z41="N/A",0,T.UP3!$F$68)</f>
        <v>Max-2
Max+2</v>
      </c>
      <c r="Y41" s="98"/>
      <c r="Z41" s="98"/>
      <c r="AA41" s="162"/>
      <c r="AB41" s="103"/>
      <c r="AD41" s="188" t="str">
        <f>IF(AF41="N/A",0,T.UP3!$F$68)</f>
        <v>Max-2
Max+2</v>
      </c>
      <c r="AE41" s="98"/>
      <c r="AF41" s="98"/>
      <c r="AG41" s="162"/>
      <c r="AH41" s="103"/>
    </row>
    <row r="42" spans="1:34" ht="15.75">
      <c r="A42" s="70"/>
      <c r="B42" s="80" t="s">
        <v>104</v>
      </c>
      <c r="C42" s="128"/>
      <c r="D42" s="230"/>
      <c r="F42" s="82" t="e">
        <f>F7+F11</f>
        <v>#REF!</v>
      </c>
      <c r="G42" s="82"/>
      <c r="H42" s="82"/>
      <c r="I42" s="82"/>
      <c r="J42" s="104" t="e">
        <f>J7+J11</f>
        <v>#REF!</v>
      </c>
      <c r="L42" s="82" t="e">
        <f>L7+L11</f>
        <v>#REF!</v>
      </c>
      <c r="M42" s="82"/>
      <c r="N42" s="82"/>
      <c r="O42" s="82"/>
      <c r="P42" s="104" t="e">
        <f>P7+P11</f>
        <v>#REF!</v>
      </c>
      <c r="R42" s="82" t="e">
        <f>R7+R11</f>
        <v>#REF!</v>
      </c>
      <c r="S42" s="82"/>
      <c r="T42" s="82"/>
      <c r="U42" s="82"/>
      <c r="V42" s="104" t="e">
        <f>V7+V11</f>
        <v>#REF!</v>
      </c>
      <c r="X42" s="82" t="e">
        <f>X7+X11</f>
        <v>#N/A</v>
      </c>
      <c r="Y42" s="82"/>
      <c r="Z42" s="82"/>
      <c r="AA42" s="82"/>
      <c r="AB42" s="104" t="e">
        <f>AB7+AB11</f>
        <v>#N/A</v>
      </c>
      <c r="AD42" s="82" t="e">
        <f>AD7+AD11</f>
        <v>#N/A</v>
      </c>
      <c r="AE42" s="82"/>
      <c r="AF42" s="82"/>
      <c r="AG42" s="82"/>
      <c r="AH42" s="104" t="e">
        <f>AH7+AH11</f>
        <v>#N/A</v>
      </c>
    </row>
    <row r="43" spans="1:34" ht="15.75">
      <c r="A43" s="73"/>
      <c r="B43" s="83" t="s">
        <v>105</v>
      </c>
      <c r="C43" s="84"/>
      <c r="D43" s="231"/>
      <c r="F43" s="86">
        <v>100</v>
      </c>
      <c r="G43" s="86"/>
      <c r="H43" s="86"/>
      <c r="I43" s="86"/>
      <c r="J43" s="146" t="e">
        <f>F43/F42*J42</f>
        <v>#REF!</v>
      </c>
      <c r="L43" s="86">
        <v>100</v>
      </c>
      <c r="M43" s="86"/>
      <c r="N43" s="86"/>
      <c r="O43" s="86"/>
      <c r="P43" s="146" t="e">
        <f>L43/L42*P42</f>
        <v>#REF!</v>
      </c>
      <c r="R43" s="86">
        <v>100</v>
      </c>
      <c r="S43" s="86"/>
      <c r="T43" s="86"/>
      <c r="U43" s="86"/>
      <c r="V43" s="146" t="e">
        <f>R43/R42*V42</f>
        <v>#REF!</v>
      </c>
      <c r="X43" s="86">
        <v>100</v>
      </c>
      <c r="Y43" s="86"/>
      <c r="Z43" s="86"/>
      <c r="AA43" s="86"/>
      <c r="AB43" s="146" t="e">
        <f>X43/X42*AB42</f>
        <v>#N/A</v>
      </c>
      <c r="AD43" s="86">
        <v>100</v>
      </c>
      <c r="AE43" s="86"/>
      <c r="AF43" s="86"/>
      <c r="AG43" s="86"/>
      <c r="AH43" s="146" t="e">
        <f>AD43/AD42*AH42</f>
        <v>#N/A</v>
      </c>
    </row>
    <row r="45" spans="1:34">
      <c r="A45" s="742"/>
      <c r="B45" s="742"/>
      <c r="C45" s="742"/>
      <c r="D45" s="742"/>
      <c r="E45" s="742"/>
      <c r="F45" s="742"/>
      <c r="G45" s="742"/>
      <c r="H45" s="742"/>
      <c r="I45" s="742"/>
      <c r="J45" s="742"/>
      <c r="O45"/>
      <c r="U45"/>
      <c r="AA45"/>
      <c r="AG45"/>
    </row>
  </sheetData>
  <mergeCells count="9">
    <mergeCell ref="AD4:AH4"/>
    <mergeCell ref="A45:J45"/>
    <mergeCell ref="F4:J4"/>
    <mergeCell ref="L4:P4"/>
    <mergeCell ref="R4:V4"/>
    <mergeCell ref="X4:AB4"/>
    <mergeCell ref="A4:A5"/>
    <mergeCell ref="B4:C5"/>
    <mergeCell ref="D4:D5"/>
  </mergeCells>
  <conditionalFormatting sqref="C8:C10">
    <cfRule type="iconSet" priority="2015">
      <iconSet iconSet="3ArrowsGray" showValue="0">
        <cfvo type="percent" val="0"/>
        <cfvo type="num" val="2"/>
        <cfvo type="num" val="3"/>
      </iconSet>
    </cfRule>
    <cfRule type="iconSet" priority="2014">
      <iconSet iconSet="3ArrowsGray" showValue="0">
        <cfvo type="percent" val="0"/>
        <cfvo type="num" val="2"/>
        <cfvo type="num" val="3"/>
      </iconSet>
    </cfRule>
  </conditionalFormatting>
  <conditionalFormatting sqref="C12:C39 C41">
    <cfRule type="iconSet" priority="2013">
      <iconSet iconSet="3ArrowsGray" showValue="0">
        <cfvo type="percent" val="0"/>
        <cfvo type="num" val="2"/>
        <cfvo type="num" val="3"/>
      </iconSet>
    </cfRule>
    <cfRule type="iconSet" priority="2012">
      <iconSet iconSet="3ArrowsGray" showValue="0">
        <cfvo type="percent" val="0"/>
        <cfvo type="num" val="2"/>
        <cfvo type="num" val="3"/>
      </iconSet>
    </cfRule>
  </conditionalFormatting>
  <conditionalFormatting sqref="C40">
    <cfRule type="iconSet" priority="650">
      <iconSet iconSet="3ArrowsGray" showValue="0">
        <cfvo type="percent" val="0"/>
        <cfvo type="num" val="2"/>
        <cfvo type="num" val="3"/>
      </iconSet>
    </cfRule>
    <cfRule type="iconSet" priority="649">
      <iconSet iconSet="3ArrowsGray" showValue="0">
        <cfvo type="percent" val="0"/>
        <cfvo type="num" val="2"/>
        <cfvo type="num" val="3"/>
      </iconSet>
    </cfRule>
  </conditionalFormatting>
  <conditionalFormatting sqref="I8">
    <cfRule type="iconSet" priority="2008">
      <iconSet>
        <cfvo type="percent" val="0"/>
        <cfvo type="num" val="95"/>
        <cfvo type="num" val="100"/>
      </iconSet>
    </cfRule>
    <cfRule type="iconSet" priority="2005">
      <iconSet>
        <cfvo type="percent" val="0"/>
        <cfvo type="num" val="70"/>
        <cfvo type="num" val="90"/>
      </iconSet>
    </cfRule>
    <cfRule type="iconSet" priority="2007">
      <iconSet>
        <cfvo type="percent" val="0"/>
        <cfvo type="num" val="95"/>
        <cfvo type="num" val="100"/>
      </iconSet>
    </cfRule>
    <cfRule type="iconSet" priority="2006">
      <iconSet>
        <cfvo type="percent" val="0"/>
        <cfvo type="num" val="95"/>
        <cfvo type="num" val="100"/>
      </iconSet>
    </cfRule>
    <cfRule type="iconSet" priority="2003">
      <iconSet>
        <cfvo type="percent" val="0"/>
        <cfvo type="num" val="95"/>
        <cfvo type="num" val="100"/>
      </iconSet>
    </cfRule>
    <cfRule type="iconSet" priority="2004">
      <iconSet>
        <cfvo type="percent" val="0"/>
        <cfvo type="num" val="70"/>
        <cfvo type="num" val="90"/>
      </iconSet>
    </cfRule>
    <cfRule type="iconSet" priority="2011">
      <iconSet>
        <cfvo type="percent" val="0"/>
        <cfvo type="num" val="95"/>
        <cfvo type="num" val="100"/>
      </iconSet>
    </cfRule>
    <cfRule type="iconSet" priority="2010">
      <iconSet>
        <cfvo type="percent" val="0"/>
        <cfvo type="num" val="70"/>
        <cfvo type="num" val="90"/>
      </iconSet>
    </cfRule>
    <cfRule type="iconSet" priority="2009">
      <iconSet>
        <cfvo type="percent" val="0"/>
        <cfvo type="num" val="70"/>
        <cfvo type="num" val="90"/>
      </iconSet>
    </cfRule>
  </conditionalFormatting>
  <conditionalFormatting sqref="I9">
    <cfRule type="iconSet" priority="1853">
      <iconSet>
        <cfvo type="percent" val="0"/>
        <cfvo type="num" val="95"/>
        <cfvo type="num" val="100"/>
      </iconSet>
    </cfRule>
    <cfRule type="iconSet" priority="1857">
      <iconSet>
        <cfvo type="percent" val="0"/>
        <cfvo type="num" val="70"/>
        <cfvo type="num" val="90"/>
      </iconSet>
    </cfRule>
    <cfRule type="iconSet" priority="1856">
      <iconSet>
        <cfvo type="percent" val="0"/>
        <cfvo type="num" val="70"/>
        <cfvo type="num" val="90"/>
      </iconSet>
    </cfRule>
    <cfRule type="iconSet" priority="1855">
      <iconSet>
        <cfvo type="percent" val="0"/>
        <cfvo type="num" val="95"/>
        <cfvo type="num" val="100"/>
      </iconSet>
    </cfRule>
    <cfRule type="iconSet" priority="1852">
      <iconSet>
        <cfvo type="percent" val="0"/>
        <cfvo type="num" val="70"/>
        <cfvo type="num" val="90"/>
      </iconSet>
    </cfRule>
    <cfRule type="iconSet" priority="1854">
      <iconSet>
        <cfvo type="percent" val="0"/>
        <cfvo type="num" val="95"/>
        <cfvo type="num" val="100"/>
      </iconSet>
    </cfRule>
    <cfRule type="iconSet" priority="1851">
      <iconSet>
        <cfvo type="percent" val="0"/>
        <cfvo type="num" val="70"/>
        <cfvo type="num" val="90"/>
      </iconSet>
    </cfRule>
    <cfRule type="iconSet" priority="1850">
      <iconSet>
        <cfvo type="percent" val="0"/>
        <cfvo type="num" val="95"/>
        <cfvo type="num" val="100"/>
      </iconSet>
    </cfRule>
    <cfRule type="iconSet" priority="1858">
      <iconSet>
        <cfvo type="percent" val="0"/>
        <cfvo type="num" val="95"/>
        <cfvo type="num" val="100"/>
      </iconSet>
    </cfRule>
  </conditionalFormatting>
  <conditionalFormatting sqref="I10">
    <cfRule type="iconSet" priority="2002">
      <iconSet>
        <cfvo type="percent" val="0"/>
        <cfvo type="num" val="95"/>
        <cfvo type="num" val="100"/>
      </iconSet>
    </cfRule>
    <cfRule type="iconSet" priority="1994">
      <iconSet>
        <cfvo type="percent" val="0"/>
        <cfvo type="num" val="95"/>
        <cfvo type="num" val="100"/>
      </iconSet>
    </cfRule>
    <cfRule type="iconSet" priority="2001">
      <iconSet>
        <cfvo type="percent" val="0"/>
        <cfvo type="num" val="70"/>
        <cfvo type="num" val="90"/>
      </iconSet>
    </cfRule>
    <cfRule type="iconSet" priority="1998">
      <iconSet>
        <cfvo type="percent" val="0"/>
        <cfvo type="num" val="95"/>
        <cfvo type="num" val="100"/>
      </iconSet>
    </cfRule>
    <cfRule type="iconSet" priority="1995">
      <iconSet>
        <cfvo type="percent" val="0"/>
        <cfvo type="num" val="70"/>
        <cfvo type="num" val="90"/>
      </iconSet>
    </cfRule>
    <cfRule type="iconSet" priority="1996">
      <iconSet>
        <cfvo type="percent" val="0"/>
        <cfvo type="num" val="70"/>
        <cfvo type="num" val="90"/>
      </iconSet>
    </cfRule>
    <cfRule type="iconSet" priority="1997">
      <iconSet>
        <cfvo type="percent" val="0"/>
        <cfvo type="num" val="95"/>
        <cfvo type="num" val="100"/>
      </iconSet>
    </cfRule>
    <cfRule type="iconSet" priority="1999">
      <iconSet>
        <cfvo type="percent" val="0"/>
        <cfvo type="num" val="95"/>
        <cfvo type="num" val="100"/>
      </iconSet>
    </cfRule>
    <cfRule type="iconSet" priority="2000">
      <iconSet>
        <cfvo type="percent" val="0"/>
        <cfvo type="num" val="70"/>
        <cfvo type="num" val="90"/>
      </iconSet>
    </cfRule>
  </conditionalFormatting>
  <conditionalFormatting sqref="I12">
    <cfRule type="iconSet" priority="1988">
      <iconSet>
        <cfvo type="percent" val="0"/>
        <cfvo type="num" val="95"/>
        <cfvo type="num" val="100"/>
      </iconSet>
    </cfRule>
    <cfRule type="iconSet" priority="1987">
      <iconSet>
        <cfvo type="percent" val="0"/>
        <cfvo type="num" val="70"/>
        <cfvo type="num" val="90"/>
      </iconSet>
    </cfRule>
    <cfRule type="iconSet" priority="1986">
      <iconSet>
        <cfvo type="percent" val="0"/>
        <cfvo type="num" val="70"/>
        <cfvo type="num" val="90"/>
      </iconSet>
    </cfRule>
    <cfRule type="iconSet" priority="1989">
      <iconSet>
        <cfvo type="percent" val="0"/>
        <cfvo type="num" val="95"/>
        <cfvo type="num" val="100"/>
      </iconSet>
    </cfRule>
    <cfRule type="iconSet" priority="1993">
      <iconSet>
        <cfvo type="percent" val="0"/>
        <cfvo type="num" val="95"/>
        <cfvo type="num" val="100"/>
      </iconSet>
    </cfRule>
    <cfRule type="iconSet" priority="1992">
      <iconSet>
        <cfvo type="percent" val="0"/>
        <cfvo type="num" val="70"/>
        <cfvo type="num" val="90"/>
      </iconSet>
    </cfRule>
    <cfRule type="iconSet" priority="1991">
      <iconSet>
        <cfvo type="percent" val="0"/>
        <cfvo type="num" val="70"/>
        <cfvo type="num" val="90"/>
      </iconSet>
    </cfRule>
    <cfRule type="iconSet" priority="1985">
      <iconSet>
        <cfvo type="percent" val="0"/>
        <cfvo type="num" val="95"/>
        <cfvo type="num" val="100"/>
      </iconSet>
    </cfRule>
    <cfRule type="iconSet" priority="1990">
      <iconSet>
        <cfvo type="percent" val="0"/>
        <cfvo type="num" val="95"/>
        <cfvo type="num" val="100"/>
      </iconSet>
    </cfRule>
  </conditionalFormatting>
  <conditionalFormatting sqref="I13">
    <cfRule type="iconSet" priority="1984">
      <iconSet>
        <cfvo type="percent" val="0"/>
        <cfvo type="num" val="95"/>
        <cfvo type="num" val="100"/>
      </iconSet>
    </cfRule>
    <cfRule type="iconSet" priority="1983">
      <iconSet>
        <cfvo type="percent" val="0"/>
        <cfvo type="num" val="70"/>
        <cfvo type="num" val="90"/>
      </iconSet>
    </cfRule>
    <cfRule type="iconSet" priority="1982">
      <iconSet>
        <cfvo type="percent" val="0"/>
        <cfvo type="num" val="70"/>
        <cfvo type="num" val="90"/>
      </iconSet>
    </cfRule>
    <cfRule type="iconSet" priority="1981">
      <iconSet>
        <cfvo type="percent" val="0"/>
        <cfvo type="num" val="95"/>
        <cfvo type="num" val="100"/>
      </iconSet>
    </cfRule>
    <cfRule type="iconSet" priority="1980">
      <iconSet>
        <cfvo type="percent" val="0"/>
        <cfvo type="num" val="95"/>
        <cfvo type="num" val="100"/>
      </iconSet>
    </cfRule>
    <cfRule type="iconSet" priority="1979">
      <iconSet>
        <cfvo type="percent" val="0"/>
        <cfvo type="num" val="95"/>
        <cfvo type="num" val="100"/>
      </iconSet>
    </cfRule>
    <cfRule type="iconSet" priority="1978">
      <iconSet>
        <cfvo type="percent" val="0"/>
        <cfvo type="num" val="70"/>
        <cfvo type="num" val="90"/>
      </iconSet>
    </cfRule>
    <cfRule type="iconSet" priority="1977">
      <iconSet>
        <cfvo type="percent" val="0"/>
        <cfvo type="num" val="70"/>
        <cfvo type="num" val="90"/>
      </iconSet>
    </cfRule>
    <cfRule type="iconSet" priority="1976">
      <iconSet>
        <cfvo type="percent" val="0"/>
        <cfvo type="num" val="95"/>
        <cfvo type="num" val="100"/>
      </iconSet>
    </cfRule>
  </conditionalFormatting>
  <conditionalFormatting sqref="I14">
    <cfRule type="iconSet" priority="1975">
      <iconSet>
        <cfvo type="percent" val="0"/>
        <cfvo type="num" val="95"/>
        <cfvo type="num" val="100"/>
      </iconSet>
    </cfRule>
    <cfRule type="iconSet" priority="1974">
      <iconSet>
        <cfvo type="percent" val="0"/>
        <cfvo type="num" val="70"/>
        <cfvo type="num" val="90"/>
      </iconSet>
    </cfRule>
    <cfRule type="iconSet" priority="1973">
      <iconSet>
        <cfvo type="percent" val="0"/>
        <cfvo type="num" val="70"/>
        <cfvo type="num" val="90"/>
      </iconSet>
    </cfRule>
    <cfRule type="iconSet" priority="1972">
      <iconSet>
        <cfvo type="percent" val="0"/>
        <cfvo type="num" val="95"/>
        <cfvo type="num" val="100"/>
      </iconSet>
    </cfRule>
    <cfRule type="iconSet" priority="1971">
      <iconSet>
        <cfvo type="percent" val="0"/>
        <cfvo type="num" val="95"/>
        <cfvo type="num" val="100"/>
      </iconSet>
    </cfRule>
    <cfRule type="iconSet" priority="1970">
      <iconSet>
        <cfvo type="percent" val="0"/>
        <cfvo type="num" val="95"/>
        <cfvo type="num" val="100"/>
      </iconSet>
    </cfRule>
    <cfRule type="iconSet" priority="1969">
      <iconSet>
        <cfvo type="percent" val="0"/>
        <cfvo type="num" val="70"/>
        <cfvo type="num" val="90"/>
      </iconSet>
    </cfRule>
    <cfRule type="iconSet" priority="1968">
      <iconSet>
        <cfvo type="percent" val="0"/>
        <cfvo type="num" val="70"/>
        <cfvo type="num" val="90"/>
      </iconSet>
    </cfRule>
    <cfRule type="iconSet" priority="1967">
      <iconSet>
        <cfvo type="percent" val="0"/>
        <cfvo type="num" val="95"/>
        <cfvo type="num" val="100"/>
      </iconSet>
    </cfRule>
  </conditionalFormatting>
  <conditionalFormatting sqref="I16">
    <cfRule type="iconSet" priority="1958">
      <iconSet>
        <cfvo type="percent" val="0"/>
        <cfvo type="num" val="95"/>
        <cfvo type="num" val="100"/>
      </iconSet>
    </cfRule>
    <cfRule type="iconSet" priority="1959">
      <iconSet>
        <cfvo type="percent" val="0"/>
        <cfvo type="num" val="70"/>
        <cfvo type="num" val="90"/>
      </iconSet>
    </cfRule>
    <cfRule type="iconSet" priority="1960">
      <iconSet>
        <cfvo type="percent" val="0"/>
        <cfvo type="num" val="70"/>
        <cfvo type="num" val="90"/>
      </iconSet>
    </cfRule>
    <cfRule type="iconSet" priority="1961">
      <iconSet>
        <cfvo type="percent" val="0"/>
        <cfvo type="num" val="95"/>
        <cfvo type="num" val="100"/>
      </iconSet>
    </cfRule>
    <cfRule type="iconSet" priority="1962">
      <iconSet>
        <cfvo type="percent" val="0"/>
        <cfvo type="num" val="95"/>
        <cfvo type="num" val="100"/>
      </iconSet>
    </cfRule>
    <cfRule type="iconSet" priority="1963">
      <iconSet>
        <cfvo type="percent" val="0"/>
        <cfvo type="num" val="95"/>
        <cfvo type="num" val="100"/>
      </iconSet>
    </cfRule>
    <cfRule type="iconSet" priority="1964">
      <iconSet>
        <cfvo type="percent" val="0"/>
        <cfvo type="num" val="70"/>
        <cfvo type="num" val="90"/>
      </iconSet>
    </cfRule>
    <cfRule type="iconSet" priority="1966">
      <iconSet>
        <cfvo type="percent" val="0"/>
        <cfvo type="num" val="95"/>
        <cfvo type="num" val="100"/>
      </iconSet>
    </cfRule>
    <cfRule type="iconSet" priority="1965">
      <iconSet>
        <cfvo type="percent" val="0"/>
        <cfvo type="num" val="70"/>
        <cfvo type="num" val="90"/>
      </iconSet>
    </cfRule>
  </conditionalFormatting>
  <conditionalFormatting sqref="I17">
    <cfRule type="iconSet" priority="1957">
      <iconSet>
        <cfvo type="percent" val="0"/>
        <cfvo type="num" val="95"/>
        <cfvo type="num" val="100"/>
      </iconSet>
    </cfRule>
    <cfRule type="iconSet" priority="1955">
      <iconSet>
        <cfvo type="percent" val="0"/>
        <cfvo type="num" val="70"/>
        <cfvo type="num" val="90"/>
      </iconSet>
    </cfRule>
    <cfRule type="iconSet" priority="1949">
      <iconSet>
        <cfvo type="percent" val="0"/>
        <cfvo type="num" val="95"/>
        <cfvo type="num" val="100"/>
      </iconSet>
    </cfRule>
    <cfRule type="iconSet" priority="1950">
      <iconSet>
        <cfvo type="percent" val="0"/>
        <cfvo type="num" val="70"/>
        <cfvo type="num" val="90"/>
      </iconSet>
    </cfRule>
    <cfRule type="iconSet" priority="1951">
      <iconSet>
        <cfvo type="percent" val="0"/>
        <cfvo type="num" val="70"/>
        <cfvo type="num" val="90"/>
      </iconSet>
    </cfRule>
    <cfRule type="iconSet" priority="1952">
      <iconSet>
        <cfvo type="percent" val="0"/>
        <cfvo type="num" val="95"/>
        <cfvo type="num" val="100"/>
      </iconSet>
    </cfRule>
    <cfRule type="iconSet" priority="1953">
      <iconSet>
        <cfvo type="percent" val="0"/>
        <cfvo type="num" val="95"/>
        <cfvo type="num" val="100"/>
      </iconSet>
    </cfRule>
    <cfRule type="iconSet" priority="1954">
      <iconSet>
        <cfvo type="percent" val="0"/>
        <cfvo type="num" val="95"/>
        <cfvo type="num" val="100"/>
      </iconSet>
    </cfRule>
    <cfRule type="iconSet" priority="1956">
      <iconSet>
        <cfvo type="percent" val="0"/>
        <cfvo type="num" val="70"/>
        <cfvo type="num" val="90"/>
      </iconSet>
    </cfRule>
  </conditionalFormatting>
  <conditionalFormatting sqref="I18">
    <cfRule type="iconSet" priority="1940">
      <iconSet>
        <cfvo type="percent" val="0"/>
        <cfvo type="num" val="95"/>
        <cfvo type="num" val="100"/>
      </iconSet>
    </cfRule>
    <cfRule type="iconSet" priority="1941">
      <iconSet>
        <cfvo type="percent" val="0"/>
        <cfvo type="num" val="70"/>
        <cfvo type="num" val="90"/>
      </iconSet>
    </cfRule>
    <cfRule type="iconSet" priority="1942">
      <iconSet>
        <cfvo type="percent" val="0"/>
        <cfvo type="num" val="70"/>
        <cfvo type="num" val="90"/>
      </iconSet>
    </cfRule>
    <cfRule type="iconSet" priority="1943">
      <iconSet>
        <cfvo type="percent" val="0"/>
        <cfvo type="num" val="95"/>
        <cfvo type="num" val="100"/>
      </iconSet>
    </cfRule>
    <cfRule type="iconSet" priority="1944">
      <iconSet>
        <cfvo type="percent" val="0"/>
        <cfvo type="num" val="95"/>
        <cfvo type="num" val="100"/>
      </iconSet>
    </cfRule>
    <cfRule type="iconSet" priority="1945">
      <iconSet>
        <cfvo type="percent" val="0"/>
        <cfvo type="num" val="95"/>
        <cfvo type="num" val="100"/>
      </iconSet>
    </cfRule>
    <cfRule type="iconSet" priority="1946">
      <iconSet>
        <cfvo type="percent" val="0"/>
        <cfvo type="num" val="70"/>
        <cfvo type="num" val="90"/>
      </iconSet>
    </cfRule>
    <cfRule type="iconSet" priority="1947">
      <iconSet>
        <cfvo type="percent" val="0"/>
        <cfvo type="num" val="70"/>
        <cfvo type="num" val="90"/>
      </iconSet>
    </cfRule>
    <cfRule type="iconSet" priority="1948">
      <iconSet>
        <cfvo type="percent" val="0"/>
        <cfvo type="num" val="95"/>
        <cfvo type="num" val="100"/>
      </iconSet>
    </cfRule>
  </conditionalFormatting>
  <conditionalFormatting sqref="I19">
    <cfRule type="iconSet" priority="2092">
      <iconSet>
        <cfvo type="percent" val="0"/>
        <cfvo type="num" val="70"/>
        <cfvo type="num" val="90"/>
      </iconSet>
    </cfRule>
    <cfRule type="iconSet" priority="2091">
      <iconSet>
        <cfvo type="percent" val="0"/>
        <cfvo type="num" val="95"/>
        <cfvo type="num" val="100"/>
      </iconSet>
    </cfRule>
    <cfRule type="iconSet" priority="2090">
      <iconSet>
        <cfvo type="percent" val="0"/>
        <cfvo type="num" val="95"/>
        <cfvo type="num" val="100"/>
      </iconSet>
    </cfRule>
    <cfRule type="iconSet" priority="2103">
      <iconSet>
        <cfvo type="percent" val="0"/>
        <cfvo type="num" val="95"/>
        <cfvo type="num" val="100"/>
      </iconSet>
    </cfRule>
    <cfRule type="iconSet" priority="2089">
      <iconSet>
        <cfvo type="percent" val="0"/>
        <cfvo type="num" val="70"/>
        <cfvo type="num" val="90"/>
      </iconSet>
    </cfRule>
    <cfRule type="iconSet" priority="2088">
      <iconSet>
        <cfvo type="percent" val="0"/>
        <cfvo type="num" val="70"/>
        <cfvo type="num" val="90"/>
      </iconSet>
    </cfRule>
    <cfRule type="iconSet" priority="2087">
      <iconSet>
        <cfvo type="percent" val="0"/>
        <cfvo type="num" val="95"/>
        <cfvo type="num" val="100"/>
      </iconSet>
    </cfRule>
    <cfRule type="iconSet" priority="2086">
      <iconSet>
        <cfvo type="percent" val="0"/>
        <cfvo type="num" val="95"/>
        <cfvo type="num" val="100"/>
      </iconSet>
    </cfRule>
    <cfRule type="iconSet" priority="2085">
      <iconSet>
        <cfvo type="percent" val="0"/>
        <cfvo type="num" val="70"/>
        <cfvo type="num" val="90"/>
      </iconSet>
    </cfRule>
    <cfRule type="iconSet" priority="2084">
      <iconSet>
        <cfvo type="percent" val="0"/>
        <cfvo type="num" val="70"/>
        <cfvo type="num" val="90"/>
      </iconSet>
    </cfRule>
    <cfRule type="iconSet" priority="2083">
      <iconSet>
        <cfvo type="percent" val="0"/>
        <cfvo type="num" val="95"/>
        <cfvo type="num" val="100"/>
      </iconSet>
    </cfRule>
    <cfRule type="iconSet" priority="2082">
      <iconSet>
        <cfvo type="percent" val="0"/>
        <cfvo type="num" val="95"/>
        <cfvo type="num" val="100"/>
      </iconSet>
    </cfRule>
    <cfRule type="iconSet" priority="2081">
      <iconSet>
        <cfvo type="percent" val="0"/>
        <cfvo type="num" val="70"/>
        <cfvo type="num" val="90"/>
      </iconSet>
    </cfRule>
    <cfRule type="iconSet" priority="2080">
      <iconSet>
        <cfvo type="percent" val="0"/>
        <cfvo type="num" val="70"/>
        <cfvo type="num" val="90"/>
      </iconSet>
    </cfRule>
    <cfRule type="iconSet" priority="2107">
      <iconSet>
        <cfvo type="percent" val="0"/>
        <cfvo type="num" val="95"/>
        <cfvo type="num" val="100"/>
      </iconSet>
    </cfRule>
    <cfRule type="iconSet" priority="2106">
      <iconSet>
        <cfvo type="percent" val="0"/>
        <cfvo type="num" val="95"/>
        <cfvo type="num" val="100"/>
      </iconSet>
    </cfRule>
    <cfRule type="iconSet" priority="2105">
      <iconSet>
        <cfvo type="percent" val="0"/>
        <cfvo type="num" val="70"/>
        <cfvo type="num" val="90"/>
      </iconSet>
    </cfRule>
    <cfRule type="iconSet" priority="2104">
      <iconSet>
        <cfvo type="percent" val="0"/>
        <cfvo type="num" val="70"/>
        <cfvo type="num" val="90"/>
      </iconSet>
    </cfRule>
    <cfRule type="iconSet" priority="2079">
      <iconSet>
        <cfvo type="percent" val="0"/>
        <cfvo type="num" val="95"/>
        <cfvo type="num" val="100"/>
      </iconSet>
    </cfRule>
    <cfRule type="iconSet" priority="2102">
      <iconSet>
        <cfvo type="percent" val="0"/>
        <cfvo type="num" val="95"/>
        <cfvo type="num" val="100"/>
      </iconSet>
    </cfRule>
    <cfRule type="iconSet" priority="2101">
      <iconSet>
        <cfvo type="percent" val="0"/>
        <cfvo type="num" val="70"/>
        <cfvo type="num" val="90"/>
      </iconSet>
    </cfRule>
    <cfRule type="iconSet" priority="2100">
      <iconSet>
        <cfvo type="percent" val="0"/>
        <cfvo type="num" val="70"/>
        <cfvo type="num" val="90"/>
      </iconSet>
    </cfRule>
    <cfRule type="iconSet" priority="2099">
      <iconSet>
        <cfvo type="percent" val="0"/>
        <cfvo type="num" val="95"/>
        <cfvo type="num" val="100"/>
      </iconSet>
    </cfRule>
    <cfRule type="iconSet" priority="2098">
      <iconSet>
        <cfvo type="percent" val="0"/>
        <cfvo type="num" val="95"/>
        <cfvo type="num" val="100"/>
      </iconSet>
    </cfRule>
    <cfRule type="iconSet" priority="2097">
      <iconSet>
        <cfvo type="percent" val="0"/>
        <cfvo type="num" val="70"/>
        <cfvo type="num" val="90"/>
      </iconSet>
    </cfRule>
    <cfRule type="iconSet" priority="2096">
      <iconSet>
        <cfvo type="percent" val="0"/>
        <cfvo type="num" val="70"/>
        <cfvo type="num" val="90"/>
      </iconSet>
    </cfRule>
    <cfRule type="iconSet" priority="2095">
      <iconSet>
        <cfvo type="percent" val="0"/>
        <cfvo type="num" val="95"/>
        <cfvo type="num" val="100"/>
      </iconSet>
    </cfRule>
    <cfRule type="iconSet" priority="2094">
      <iconSet>
        <cfvo type="percent" val="0"/>
        <cfvo type="num" val="95"/>
        <cfvo type="num" val="100"/>
      </iconSet>
    </cfRule>
    <cfRule type="iconSet" priority="2093">
      <iconSet>
        <cfvo type="percent" val="0"/>
        <cfvo type="num" val="70"/>
        <cfvo type="num" val="90"/>
      </iconSet>
    </cfRule>
  </conditionalFormatting>
  <conditionalFormatting sqref="I20">
    <cfRule type="iconSet" priority="1937">
      <iconSet>
        <cfvo type="percent" val="0"/>
        <cfvo type="num" val="70"/>
        <cfvo type="num" val="90"/>
      </iconSet>
    </cfRule>
    <cfRule type="iconSet" priority="1933">
      <iconSet>
        <cfvo type="percent" val="0"/>
        <cfvo type="num" val="70"/>
        <cfvo type="num" val="90"/>
      </iconSet>
    </cfRule>
    <cfRule type="iconSet" priority="1934">
      <iconSet>
        <cfvo type="percent" val="0"/>
        <cfvo type="num" val="95"/>
        <cfvo type="num" val="100"/>
      </iconSet>
    </cfRule>
    <cfRule type="iconSet" priority="1935">
      <iconSet>
        <cfvo type="percent" val="0"/>
        <cfvo type="num" val="95"/>
        <cfvo type="num" val="100"/>
      </iconSet>
    </cfRule>
    <cfRule type="iconSet" priority="1936">
      <iconSet>
        <cfvo type="percent" val="0"/>
        <cfvo type="num" val="95"/>
        <cfvo type="num" val="100"/>
      </iconSet>
    </cfRule>
    <cfRule type="iconSet" priority="1939">
      <iconSet>
        <cfvo type="percent" val="0"/>
        <cfvo type="num" val="95"/>
        <cfvo type="num" val="100"/>
      </iconSet>
    </cfRule>
    <cfRule type="iconSet" priority="1932">
      <iconSet>
        <cfvo type="percent" val="0"/>
        <cfvo type="num" val="70"/>
        <cfvo type="num" val="90"/>
      </iconSet>
    </cfRule>
    <cfRule type="iconSet" priority="1938">
      <iconSet>
        <cfvo type="percent" val="0"/>
        <cfvo type="num" val="70"/>
        <cfvo type="num" val="90"/>
      </iconSet>
    </cfRule>
    <cfRule type="iconSet" priority="1931">
      <iconSet>
        <cfvo type="percent" val="0"/>
        <cfvo type="num" val="95"/>
        <cfvo type="num" val="100"/>
      </iconSet>
    </cfRule>
  </conditionalFormatting>
  <conditionalFormatting sqref="I21">
    <cfRule type="iconSet" priority="1925">
      <iconSet>
        <cfvo type="percent" val="0"/>
        <cfvo type="num" val="95"/>
        <cfvo type="num" val="100"/>
      </iconSet>
    </cfRule>
    <cfRule type="iconSet" priority="1923">
      <iconSet>
        <cfvo type="percent" val="0"/>
        <cfvo type="num" val="70"/>
        <cfvo type="num" val="90"/>
      </iconSet>
    </cfRule>
    <cfRule type="iconSet" priority="1924">
      <iconSet>
        <cfvo type="percent" val="0"/>
        <cfvo type="num" val="70"/>
        <cfvo type="num" val="90"/>
      </iconSet>
    </cfRule>
    <cfRule type="iconSet" priority="1928">
      <iconSet>
        <cfvo type="percent" val="0"/>
        <cfvo type="num" val="70"/>
        <cfvo type="num" val="90"/>
      </iconSet>
    </cfRule>
    <cfRule type="iconSet" priority="1929">
      <iconSet>
        <cfvo type="percent" val="0"/>
        <cfvo type="num" val="70"/>
        <cfvo type="num" val="90"/>
      </iconSet>
    </cfRule>
    <cfRule type="iconSet" priority="1930">
      <iconSet>
        <cfvo type="percent" val="0"/>
        <cfvo type="num" val="95"/>
        <cfvo type="num" val="100"/>
      </iconSet>
    </cfRule>
    <cfRule type="iconSet" priority="1927">
      <iconSet>
        <cfvo type="percent" val="0"/>
        <cfvo type="num" val="95"/>
        <cfvo type="num" val="100"/>
      </iconSet>
    </cfRule>
    <cfRule type="iconSet" priority="1926">
      <iconSet>
        <cfvo type="percent" val="0"/>
        <cfvo type="num" val="95"/>
        <cfvo type="num" val="100"/>
      </iconSet>
    </cfRule>
    <cfRule type="iconSet" priority="1922">
      <iconSet>
        <cfvo type="percent" val="0"/>
        <cfvo type="num" val="95"/>
        <cfvo type="num" val="100"/>
      </iconSet>
    </cfRule>
  </conditionalFormatting>
  <conditionalFormatting sqref="I22">
    <cfRule type="iconSet" priority="1918">
      <iconSet>
        <cfvo type="percent" val="0"/>
        <cfvo type="num" val="95"/>
        <cfvo type="num" val="100"/>
      </iconSet>
    </cfRule>
    <cfRule type="iconSet" priority="1919">
      <iconSet>
        <cfvo type="percent" val="0"/>
        <cfvo type="num" val="70"/>
        <cfvo type="num" val="90"/>
      </iconSet>
    </cfRule>
    <cfRule type="iconSet" priority="1913">
      <iconSet>
        <cfvo type="percent" val="0"/>
        <cfvo type="num" val="95"/>
        <cfvo type="num" val="100"/>
      </iconSet>
    </cfRule>
    <cfRule type="iconSet" priority="1914">
      <iconSet>
        <cfvo type="percent" val="0"/>
        <cfvo type="num" val="70"/>
        <cfvo type="num" val="90"/>
      </iconSet>
    </cfRule>
    <cfRule type="iconSet" priority="1915">
      <iconSet>
        <cfvo type="percent" val="0"/>
        <cfvo type="num" val="70"/>
        <cfvo type="num" val="90"/>
      </iconSet>
    </cfRule>
    <cfRule type="iconSet" priority="1917">
      <iconSet>
        <cfvo type="percent" val="0"/>
        <cfvo type="num" val="95"/>
        <cfvo type="num" val="100"/>
      </iconSet>
    </cfRule>
    <cfRule type="iconSet" priority="1916">
      <iconSet>
        <cfvo type="percent" val="0"/>
        <cfvo type="num" val="95"/>
        <cfvo type="num" val="100"/>
      </iconSet>
    </cfRule>
    <cfRule type="iconSet" priority="1921">
      <iconSet>
        <cfvo type="percent" val="0"/>
        <cfvo type="num" val="95"/>
        <cfvo type="num" val="100"/>
      </iconSet>
    </cfRule>
    <cfRule type="iconSet" priority="1920">
      <iconSet>
        <cfvo type="percent" val="0"/>
        <cfvo type="num" val="70"/>
        <cfvo type="num" val="90"/>
      </iconSet>
    </cfRule>
  </conditionalFormatting>
  <conditionalFormatting sqref="I23">
    <cfRule type="iconSet" priority="1911">
      <iconSet>
        <cfvo type="percent" val="0"/>
        <cfvo type="num" val="70"/>
        <cfvo type="num" val="90"/>
      </iconSet>
    </cfRule>
    <cfRule type="iconSet" priority="1912">
      <iconSet>
        <cfvo type="percent" val="0"/>
        <cfvo type="num" val="95"/>
        <cfvo type="num" val="100"/>
      </iconSet>
    </cfRule>
    <cfRule type="iconSet" priority="1904">
      <iconSet>
        <cfvo type="percent" val="0"/>
        <cfvo type="num" val="95"/>
        <cfvo type="num" val="100"/>
      </iconSet>
    </cfRule>
    <cfRule type="iconSet" priority="1905">
      <iconSet>
        <cfvo type="percent" val="0"/>
        <cfvo type="num" val="70"/>
        <cfvo type="num" val="90"/>
      </iconSet>
    </cfRule>
    <cfRule type="iconSet" priority="1906">
      <iconSet>
        <cfvo type="percent" val="0"/>
        <cfvo type="num" val="70"/>
        <cfvo type="num" val="90"/>
      </iconSet>
    </cfRule>
    <cfRule type="iconSet" priority="1908">
      <iconSet>
        <cfvo type="percent" val="0"/>
        <cfvo type="num" val="95"/>
        <cfvo type="num" val="100"/>
      </iconSet>
    </cfRule>
    <cfRule type="iconSet" priority="1907">
      <iconSet>
        <cfvo type="percent" val="0"/>
        <cfvo type="num" val="95"/>
        <cfvo type="num" val="100"/>
      </iconSet>
    </cfRule>
    <cfRule type="iconSet" priority="1909">
      <iconSet>
        <cfvo type="percent" val="0"/>
        <cfvo type="num" val="95"/>
        <cfvo type="num" val="100"/>
      </iconSet>
    </cfRule>
    <cfRule type="iconSet" priority="1910">
      <iconSet>
        <cfvo type="percent" val="0"/>
        <cfvo type="num" val="70"/>
        <cfvo type="num" val="90"/>
      </iconSet>
    </cfRule>
  </conditionalFormatting>
  <conditionalFormatting sqref="I24">
    <cfRule type="iconSet" priority="1903">
      <iconSet>
        <cfvo type="percent" val="0"/>
        <cfvo type="num" val="95"/>
        <cfvo type="num" val="100"/>
      </iconSet>
    </cfRule>
    <cfRule type="iconSet" priority="1898">
      <iconSet>
        <cfvo type="percent" val="0"/>
        <cfvo type="num" val="95"/>
        <cfvo type="num" val="100"/>
      </iconSet>
    </cfRule>
    <cfRule type="iconSet" priority="1897">
      <iconSet>
        <cfvo type="percent" val="0"/>
        <cfvo type="num" val="70"/>
        <cfvo type="num" val="90"/>
      </iconSet>
    </cfRule>
    <cfRule type="iconSet" priority="1896">
      <iconSet>
        <cfvo type="percent" val="0"/>
        <cfvo type="num" val="70"/>
        <cfvo type="num" val="90"/>
      </iconSet>
    </cfRule>
    <cfRule type="iconSet" priority="1895">
      <iconSet>
        <cfvo type="percent" val="0"/>
        <cfvo type="num" val="95"/>
        <cfvo type="num" val="100"/>
      </iconSet>
    </cfRule>
    <cfRule type="iconSet" priority="1900">
      <iconSet>
        <cfvo type="percent" val="0"/>
        <cfvo type="num" val="95"/>
        <cfvo type="num" val="100"/>
      </iconSet>
    </cfRule>
    <cfRule type="iconSet" priority="1901">
      <iconSet>
        <cfvo type="percent" val="0"/>
        <cfvo type="num" val="70"/>
        <cfvo type="num" val="90"/>
      </iconSet>
    </cfRule>
    <cfRule type="iconSet" priority="1902">
      <iconSet>
        <cfvo type="percent" val="0"/>
        <cfvo type="num" val="70"/>
        <cfvo type="num" val="90"/>
      </iconSet>
    </cfRule>
    <cfRule type="iconSet" priority="1899">
      <iconSet>
        <cfvo type="percent" val="0"/>
        <cfvo type="num" val="95"/>
        <cfvo type="num" val="100"/>
      </iconSet>
    </cfRule>
  </conditionalFormatting>
  <conditionalFormatting sqref="I25">
    <cfRule type="iconSet" priority="2078">
      <iconSet>
        <cfvo type="percent" val="0"/>
        <cfvo type="num" val="95"/>
        <cfvo type="num" val="100"/>
      </iconSet>
    </cfRule>
  </conditionalFormatting>
  <conditionalFormatting sqref="I26">
    <cfRule type="iconSet" priority="1894">
      <iconSet>
        <cfvo type="percent" val="0"/>
        <cfvo type="num" val="95"/>
        <cfvo type="num" val="100"/>
      </iconSet>
    </cfRule>
    <cfRule type="iconSet" priority="1892">
      <iconSet>
        <cfvo type="percent" val="0"/>
        <cfvo type="num" val="70"/>
        <cfvo type="num" val="90"/>
      </iconSet>
    </cfRule>
    <cfRule type="iconSet" priority="1889">
      <iconSet>
        <cfvo type="percent" val="0"/>
        <cfvo type="num" val="95"/>
        <cfvo type="num" val="100"/>
      </iconSet>
    </cfRule>
    <cfRule type="iconSet" priority="1888">
      <iconSet>
        <cfvo type="percent" val="0"/>
        <cfvo type="num" val="70"/>
        <cfvo type="num" val="90"/>
      </iconSet>
    </cfRule>
    <cfRule type="iconSet" priority="1887">
      <iconSet>
        <cfvo type="percent" val="0"/>
        <cfvo type="num" val="70"/>
        <cfvo type="num" val="90"/>
      </iconSet>
    </cfRule>
    <cfRule type="iconSet" priority="1891">
      <iconSet>
        <cfvo type="percent" val="0"/>
        <cfvo type="num" val="95"/>
        <cfvo type="num" val="100"/>
      </iconSet>
    </cfRule>
    <cfRule type="iconSet" priority="1890">
      <iconSet>
        <cfvo type="percent" val="0"/>
        <cfvo type="num" val="95"/>
        <cfvo type="num" val="100"/>
      </iconSet>
    </cfRule>
    <cfRule type="iconSet" priority="1893">
      <iconSet>
        <cfvo type="percent" val="0"/>
        <cfvo type="num" val="70"/>
        <cfvo type="num" val="90"/>
      </iconSet>
    </cfRule>
    <cfRule type="iconSet" priority="1886">
      <iconSet>
        <cfvo type="percent" val="0"/>
        <cfvo type="num" val="95"/>
        <cfvo type="num" val="100"/>
      </iconSet>
    </cfRule>
  </conditionalFormatting>
  <conditionalFormatting sqref="I27">
    <cfRule type="iconSet" priority="2112">
      <iconSet>
        <cfvo type="percent" val="0"/>
        <cfvo type="num" val="95"/>
        <cfvo type="num" val="100"/>
      </iconSet>
    </cfRule>
  </conditionalFormatting>
  <conditionalFormatting sqref="I28:I30">
    <cfRule type="iconSet" priority="1878">
      <iconSet>
        <cfvo type="percent" val="0"/>
        <cfvo type="num" val="70"/>
        <cfvo type="num" val="90"/>
      </iconSet>
    </cfRule>
    <cfRule type="iconSet" priority="1877">
      <iconSet>
        <cfvo type="percent" val="0"/>
        <cfvo type="num" val="95"/>
        <cfvo type="num" val="100"/>
      </iconSet>
    </cfRule>
    <cfRule type="iconSet" priority="1885">
      <iconSet>
        <cfvo type="percent" val="0"/>
        <cfvo type="num" val="95"/>
        <cfvo type="num" val="100"/>
      </iconSet>
    </cfRule>
    <cfRule type="iconSet" priority="1884">
      <iconSet>
        <cfvo type="percent" val="0"/>
        <cfvo type="num" val="70"/>
        <cfvo type="num" val="90"/>
      </iconSet>
    </cfRule>
    <cfRule type="iconSet" priority="1883">
      <iconSet>
        <cfvo type="percent" val="0"/>
        <cfvo type="num" val="70"/>
        <cfvo type="num" val="90"/>
      </iconSet>
    </cfRule>
    <cfRule type="iconSet" priority="1882">
      <iconSet>
        <cfvo type="percent" val="0"/>
        <cfvo type="num" val="95"/>
        <cfvo type="num" val="100"/>
      </iconSet>
    </cfRule>
    <cfRule type="iconSet" priority="1881">
      <iconSet>
        <cfvo type="percent" val="0"/>
        <cfvo type="num" val="95"/>
        <cfvo type="num" val="100"/>
      </iconSet>
    </cfRule>
    <cfRule type="iconSet" priority="1880">
      <iconSet>
        <cfvo type="percent" val="0"/>
        <cfvo type="num" val="95"/>
        <cfvo type="num" val="100"/>
      </iconSet>
    </cfRule>
    <cfRule type="iconSet" priority="1879">
      <iconSet>
        <cfvo type="percent" val="0"/>
        <cfvo type="num" val="70"/>
        <cfvo type="num" val="90"/>
      </iconSet>
    </cfRule>
  </conditionalFormatting>
  <conditionalFormatting sqref="I31:I33">
    <cfRule type="iconSet" priority="1868">
      <iconSet>
        <cfvo type="percent" val="0"/>
        <cfvo type="num" val="95"/>
        <cfvo type="num" val="100"/>
      </iconSet>
    </cfRule>
    <cfRule type="iconSet" priority="1869">
      <iconSet>
        <cfvo type="percent" val="0"/>
        <cfvo type="num" val="70"/>
        <cfvo type="num" val="90"/>
      </iconSet>
    </cfRule>
    <cfRule type="iconSet" priority="1870">
      <iconSet>
        <cfvo type="percent" val="0"/>
        <cfvo type="num" val="70"/>
        <cfvo type="num" val="90"/>
      </iconSet>
    </cfRule>
    <cfRule type="iconSet" priority="1871">
      <iconSet>
        <cfvo type="percent" val="0"/>
        <cfvo type="num" val="95"/>
        <cfvo type="num" val="100"/>
      </iconSet>
    </cfRule>
    <cfRule type="iconSet" priority="1872">
      <iconSet>
        <cfvo type="percent" val="0"/>
        <cfvo type="num" val="95"/>
        <cfvo type="num" val="100"/>
      </iconSet>
    </cfRule>
    <cfRule type="iconSet" priority="1873">
      <iconSet>
        <cfvo type="percent" val="0"/>
        <cfvo type="num" val="95"/>
        <cfvo type="num" val="100"/>
      </iconSet>
    </cfRule>
    <cfRule type="iconSet" priority="1874">
      <iconSet>
        <cfvo type="percent" val="0"/>
        <cfvo type="num" val="70"/>
        <cfvo type="num" val="90"/>
      </iconSet>
    </cfRule>
    <cfRule type="iconSet" priority="1875">
      <iconSet>
        <cfvo type="percent" val="0"/>
        <cfvo type="num" val="70"/>
        <cfvo type="num" val="90"/>
      </iconSet>
    </cfRule>
    <cfRule type="iconSet" priority="1876">
      <iconSet>
        <cfvo type="percent" val="0"/>
        <cfvo type="num" val="95"/>
        <cfvo type="num" val="100"/>
      </iconSet>
    </cfRule>
  </conditionalFormatting>
  <conditionalFormatting sqref="I34">
    <cfRule type="iconSet" priority="2016">
      <iconSet>
        <cfvo type="percent" val="0"/>
        <cfvo type="num" val="95"/>
        <cfvo type="num" val="100"/>
      </iconSet>
    </cfRule>
  </conditionalFormatting>
  <conditionalFormatting sqref="I35:I36">
    <cfRule type="iconSet" priority="1859">
      <iconSet>
        <cfvo type="percent" val="0"/>
        <cfvo type="num" val="95"/>
        <cfvo type="num" val="100"/>
      </iconSet>
    </cfRule>
    <cfRule type="iconSet" priority="1861">
      <iconSet>
        <cfvo type="percent" val="0"/>
        <cfvo type="num" val="70"/>
        <cfvo type="num" val="90"/>
      </iconSet>
    </cfRule>
    <cfRule type="iconSet" priority="1862">
      <iconSet>
        <cfvo type="percent" val="0"/>
        <cfvo type="num" val="95"/>
        <cfvo type="num" val="100"/>
      </iconSet>
    </cfRule>
    <cfRule type="iconSet" priority="1863">
      <iconSet>
        <cfvo type="percent" val="0"/>
        <cfvo type="num" val="95"/>
        <cfvo type="num" val="100"/>
      </iconSet>
    </cfRule>
    <cfRule type="iconSet" priority="1864">
      <iconSet>
        <cfvo type="percent" val="0"/>
        <cfvo type="num" val="95"/>
        <cfvo type="num" val="100"/>
      </iconSet>
    </cfRule>
    <cfRule type="iconSet" priority="1865">
      <iconSet>
        <cfvo type="percent" val="0"/>
        <cfvo type="num" val="70"/>
        <cfvo type="num" val="90"/>
      </iconSet>
    </cfRule>
    <cfRule type="iconSet" priority="1866">
      <iconSet>
        <cfvo type="percent" val="0"/>
        <cfvo type="num" val="70"/>
        <cfvo type="num" val="90"/>
      </iconSet>
    </cfRule>
    <cfRule type="iconSet" priority="1867">
      <iconSet>
        <cfvo type="percent" val="0"/>
        <cfvo type="num" val="95"/>
        <cfvo type="num" val="100"/>
      </iconSet>
    </cfRule>
    <cfRule type="iconSet" priority="1860">
      <iconSet>
        <cfvo type="percent" val="0"/>
        <cfvo type="num" val="70"/>
        <cfvo type="num" val="90"/>
      </iconSet>
    </cfRule>
  </conditionalFormatting>
  <conditionalFormatting sqref="I37">
    <cfRule type="iconSet" priority="2138">
      <iconSet>
        <cfvo type="percent" val="0"/>
        <cfvo type="num" val="70"/>
        <cfvo type="num" val="90"/>
      </iconSet>
    </cfRule>
    <cfRule type="iconSet" priority="2139">
      <iconSet>
        <cfvo type="percent" val="0"/>
        <cfvo type="num" val="70"/>
        <cfvo type="num" val="90"/>
      </iconSet>
    </cfRule>
    <cfRule type="iconSet" priority="2140">
      <iconSet>
        <cfvo type="percent" val="0"/>
        <cfvo type="num" val="95"/>
        <cfvo type="num" val="100"/>
      </iconSet>
    </cfRule>
    <cfRule type="iconSet" priority="2137">
      <iconSet>
        <cfvo type="percent" val="0"/>
        <cfvo type="num" val="95"/>
        <cfvo type="num" val="100"/>
      </iconSet>
    </cfRule>
  </conditionalFormatting>
  <conditionalFormatting sqref="I37:I38">
    <cfRule type="iconSet" priority="2129">
      <iconSet>
        <cfvo type="percent" val="0"/>
        <cfvo type="num" val="95"/>
        <cfvo type="num" val="100"/>
      </iconSet>
    </cfRule>
    <cfRule type="iconSet" priority="2130">
      <iconSet>
        <cfvo type="percent" val="0"/>
        <cfvo type="num" val="70"/>
        <cfvo type="num" val="90"/>
      </iconSet>
    </cfRule>
    <cfRule type="iconSet" priority="2125">
      <iconSet>
        <cfvo type="percent" val="0"/>
        <cfvo type="num" val="95"/>
        <cfvo type="num" val="100"/>
      </iconSet>
    </cfRule>
    <cfRule type="iconSet" priority="2126">
      <iconSet>
        <cfvo type="percent" val="0"/>
        <cfvo type="num" val="70"/>
        <cfvo type="num" val="90"/>
      </iconSet>
    </cfRule>
    <cfRule type="iconSet" priority="2131">
      <iconSet>
        <cfvo type="percent" val="0"/>
        <cfvo type="num" val="70"/>
        <cfvo type="num" val="90"/>
      </iconSet>
    </cfRule>
    <cfRule type="iconSet" priority="2127">
      <iconSet>
        <cfvo type="percent" val="0"/>
        <cfvo type="num" val="70"/>
        <cfvo type="num" val="90"/>
      </iconSet>
    </cfRule>
    <cfRule type="iconSet" priority="2128">
      <iconSet>
        <cfvo type="percent" val="0"/>
        <cfvo type="num" val="95"/>
        <cfvo type="num" val="100"/>
      </iconSet>
    </cfRule>
    <cfRule type="iconSet" priority="2132">
      <iconSet>
        <cfvo type="percent" val="0"/>
        <cfvo type="num" val="95"/>
        <cfvo type="num" val="100"/>
      </iconSet>
    </cfRule>
  </conditionalFormatting>
  <conditionalFormatting sqref="I37:I39">
    <cfRule type="iconSet" priority="2145">
      <iconSet>
        <cfvo type="percent" val="0"/>
        <cfvo type="num" val="95"/>
        <cfvo type="num" val="100"/>
      </iconSet>
    </cfRule>
  </conditionalFormatting>
  <conditionalFormatting sqref="I38">
    <cfRule type="iconSet" priority="2113">
      <iconSet>
        <cfvo type="percent" val="0"/>
        <cfvo type="num" val="95"/>
        <cfvo type="num" val="100"/>
      </iconSet>
    </cfRule>
    <cfRule type="iconSet" priority="2111">
      <iconSet>
        <cfvo type="percent" val="0"/>
        <cfvo type="num" val="95"/>
        <cfvo type="num" val="100"/>
      </iconSet>
    </cfRule>
    <cfRule type="iconSet" priority="2110">
      <iconSet>
        <cfvo type="percent" val="0"/>
        <cfvo type="num" val="70"/>
        <cfvo type="num" val="90"/>
      </iconSet>
    </cfRule>
    <cfRule type="iconSet" priority="2109">
      <iconSet>
        <cfvo type="percent" val="0"/>
        <cfvo type="num" val="70"/>
        <cfvo type="num" val="90"/>
      </iconSet>
    </cfRule>
    <cfRule type="iconSet" priority="2108">
      <iconSet>
        <cfvo type="percent" val="0"/>
        <cfvo type="num" val="95"/>
        <cfvo type="num" val="100"/>
      </iconSet>
    </cfRule>
    <cfRule type="iconSet" priority="2122">
      <iconSet>
        <cfvo type="percent" val="0"/>
        <cfvo type="num" val="70"/>
        <cfvo type="num" val="90"/>
      </iconSet>
    </cfRule>
    <cfRule type="iconSet" priority="2136">
      <iconSet>
        <cfvo type="percent" val="0"/>
        <cfvo type="num" val="95"/>
        <cfvo type="num" val="100"/>
      </iconSet>
    </cfRule>
    <cfRule type="iconSet" priority="2018">
      <iconSet>
        <cfvo type="percent" val="0"/>
        <cfvo type="num" val="95"/>
        <cfvo type="num" val="100"/>
      </iconSet>
    </cfRule>
    <cfRule type="iconSet" priority="2019">
      <iconSet>
        <cfvo type="percent" val="0"/>
        <cfvo type="num" val="70"/>
        <cfvo type="num" val="90"/>
      </iconSet>
    </cfRule>
    <cfRule type="iconSet" priority="2020">
      <iconSet>
        <cfvo type="percent" val="0"/>
        <cfvo type="num" val="70"/>
        <cfvo type="num" val="90"/>
      </iconSet>
    </cfRule>
    <cfRule type="iconSet" priority="2021">
      <iconSet>
        <cfvo type="percent" val="0"/>
        <cfvo type="num" val="95"/>
        <cfvo type="num" val="100"/>
      </iconSet>
    </cfRule>
    <cfRule type="iconSet" priority="2114">
      <iconSet>
        <cfvo type="percent" val="0"/>
        <cfvo type="num" val="70"/>
        <cfvo type="num" val="90"/>
      </iconSet>
    </cfRule>
    <cfRule type="iconSet" priority="2135">
      <iconSet>
        <cfvo type="percent" val="0"/>
        <cfvo type="num" val="70"/>
        <cfvo type="num" val="90"/>
      </iconSet>
    </cfRule>
    <cfRule type="iconSet" priority="2134">
      <iconSet>
        <cfvo type="percent" val="0"/>
        <cfvo type="num" val="70"/>
        <cfvo type="num" val="90"/>
      </iconSet>
    </cfRule>
    <cfRule type="iconSet" priority="2133">
      <iconSet>
        <cfvo type="percent" val="0"/>
        <cfvo type="num" val="95"/>
        <cfvo type="num" val="100"/>
      </iconSet>
    </cfRule>
    <cfRule type="iconSet" priority="2124">
      <iconSet>
        <cfvo type="percent" val="0"/>
        <cfvo type="num" val="95"/>
        <cfvo type="num" val="100"/>
      </iconSet>
    </cfRule>
    <cfRule type="iconSet" priority="2123">
      <iconSet>
        <cfvo type="percent" val="0"/>
        <cfvo type="num" val="70"/>
        <cfvo type="num" val="90"/>
      </iconSet>
    </cfRule>
    <cfRule type="iconSet" priority="2121">
      <iconSet>
        <cfvo type="percent" val="0"/>
        <cfvo type="num" val="95"/>
        <cfvo type="num" val="100"/>
      </iconSet>
    </cfRule>
    <cfRule type="iconSet" priority="2120">
      <iconSet>
        <cfvo type="percent" val="0"/>
        <cfvo type="num" val="95"/>
        <cfvo type="num" val="100"/>
      </iconSet>
    </cfRule>
    <cfRule type="iconSet" priority="2119">
      <iconSet>
        <cfvo type="percent" val="0"/>
        <cfvo type="num" val="70"/>
        <cfvo type="num" val="90"/>
      </iconSet>
    </cfRule>
    <cfRule type="iconSet" priority="2118">
      <iconSet>
        <cfvo type="percent" val="0"/>
        <cfvo type="num" val="70"/>
        <cfvo type="num" val="90"/>
      </iconSet>
    </cfRule>
    <cfRule type="iconSet" priority="2117">
      <iconSet>
        <cfvo type="percent" val="0"/>
        <cfvo type="num" val="95"/>
        <cfvo type="num" val="100"/>
      </iconSet>
    </cfRule>
    <cfRule type="iconSet" priority="2116">
      <iconSet>
        <cfvo type="percent" val="0"/>
        <cfvo type="num" val="95"/>
        <cfvo type="num" val="100"/>
      </iconSet>
    </cfRule>
    <cfRule type="iconSet" priority="2115">
      <iconSet>
        <cfvo type="percent" val="0"/>
        <cfvo type="num" val="70"/>
        <cfvo type="num" val="90"/>
      </iconSet>
    </cfRule>
  </conditionalFormatting>
  <conditionalFormatting sqref="I39">
    <cfRule type="iconSet" priority="2076">
      <iconSet>
        <cfvo type="percent" val="0"/>
        <cfvo type="num" val="70"/>
        <cfvo type="num" val="90"/>
      </iconSet>
    </cfRule>
    <cfRule type="iconSet" priority="2075">
      <iconSet>
        <cfvo type="percent" val="0"/>
        <cfvo type="num" val="70"/>
        <cfvo type="num" val="90"/>
      </iconSet>
    </cfRule>
    <cfRule type="iconSet" priority="2074">
      <iconSet>
        <cfvo type="percent" val="0"/>
        <cfvo type="num" val="95"/>
        <cfvo type="num" val="100"/>
      </iconSet>
    </cfRule>
    <cfRule type="iconSet" priority="2073">
      <iconSet>
        <cfvo type="percent" val="0"/>
        <cfvo type="num" val="95"/>
        <cfvo type="num" val="100"/>
      </iconSet>
    </cfRule>
    <cfRule type="iconSet" priority="2072">
      <iconSet>
        <cfvo type="percent" val="0"/>
        <cfvo type="num" val="70"/>
        <cfvo type="num" val="90"/>
      </iconSet>
    </cfRule>
    <cfRule type="iconSet" priority="2071">
      <iconSet>
        <cfvo type="percent" val="0"/>
        <cfvo type="num" val="70"/>
        <cfvo type="num" val="90"/>
      </iconSet>
    </cfRule>
    <cfRule type="iconSet" priority="2067">
      <iconSet>
        <cfvo type="percent" val="0"/>
        <cfvo type="num" val="70"/>
        <cfvo type="num" val="90"/>
      </iconSet>
    </cfRule>
    <cfRule type="iconSet" priority="2068">
      <iconSet>
        <cfvo type="percent" val="0"/>
        <cfvo type="num" val="70"/>
        <cfvo type="num" val="90"/>
      </iconSet>
    </cfRule>
    <cfRule type="iconSet" priority="2069">
      <iconSet>
        <cfvo type="percent" val="0"/>
        <cfvo type="num" val="95"/>
        <cfvo type="num" val="100"/>
      </iconSet>
    </cfRule>
    <cfRule type="iconSet" priority="2061">
      <iconSet>
        <cfvo type="percent" val="0"/>
        <cfvo type="num" val="95"/>
        <cfvo type="num" val="100"/>
      </iconSet>
    </cfRule>
    <cfRule type="iconSet" priority="2141">
      <iconSet>
        <cfvo type="percent" val="0"/>
        <cfvo type="num" val="70"/>
        <cfvo type="num" val="90"/>
      </iconSet>
    </cfRule>
    <cfRule type="iconSet" priority="2070">
      <iconSet>
        <cfvo type="percent" val="0"/>
        <cfvo type="num" val="95"/>
        <cfvo type="num" val="100"/>
      </iconSet>
    </cfRule>
    <cfRule type="iconSet" priority="2056">
      <iconSet>
        <cfvo type="percent" val="0"/>
        <cfvo type="num" val="70"/>
        <cfvo type="num" val="90"/>
      </iconSet>
    </cfRule>
    <cfRule type="iconSet" priority="2055">
      <iconSet>
        <cfvo type="percent" val="0"/>
        <cfvo type="num" val="70"/>
        <cfvo type="num" val="90"/>
      </iconSet>
    </cfRule>
    <cfRule type="iconSet" priority="2054">
      <iconSet>
        <cfvo type="percent" val="0"/>
        <cfvo type="num" val="95"/>
        <cfvo type="num" val="100"/>
      </iconSet>
    </cfRule>
    <cfRule type="iconSet" priority="2062">
      <iconSet>
        <cfvo type="percent" val="0"/>
        <cfvo type="num" val="95"/>
        <cfvo type="num" val="100"/>
      </iconSet>
    </cfRule>
    <cfRule type="iconSet" priority="2057">
      <iconSet>
        <cfvo type="percent" val="0"/>
        <cfvo type="num" val="95"/>
        <cfvo type="num" val="100"/>
      </iconSet>
    </cfRule>
    <cfRule type="iconSet" priority="2058">
      <iconSet>
        <cfvo type="percent" val="0"/>
        <cfvo type="num" val="95"/>
        <cfvo type="num" val="100"/>
      </iconSet>
    </cfRule>
    <cfRule type="iconSet" priority="2059">
      <iconSet>
        <cfvo type="percent" val="0"/>
        <cfvo type="num" val="70"/>
        <cfvo type="num" val="90"/>
      </iconSet>
    </cfRule>
    <cfRule type="iconSet" priority="2077">
      <iconSet>
        <cfvo type="percent" val="0"/>
        <cfvo type="num" val="95"/>
        <cfvo type="num" val="100"/>
      </iconSet>
    </cfRule>
    <cfRule type="iconSet" priority="2142">
      <iconSet>
        <cfvo type="percent" val="0"/>
        <cfvo type="num" val="95"/>
        <cfvo type="num" val="100"/>
      </iconSet>
    </cfRule>
    <cfRule type="iconSet" priority="2063">
      <iconSet>
        <cfvo type="percent" val="0"/>
        <cfvo type="num" val="70"/>
        <cfvo type="num" val="90"/>
      </iconSet>
    </cfRule>
    <cfRule type="iconSet" priority="2053">
      <iconSet>
        <cfvo type="percent" val="0"/>
        <cfvo type="num" val="95"/>
        <cfvo type="num" val="100"/>
      </iconSet>
    </cfRule>
    <cfRule type="iconSet" priority="2052">
      <iconSet>
        <cfvo type="percent" val="0"/>
        <cfvo type="num" val="70"/>
        <cfvo type="num" val="90"/>
      </iconSet>
    </cfRule>
    <cfRule type="iconSet" priority="2051">
      <iconSet>
        <cfvo type="percent" val="0"/>
        <cfvo type="num" val="70"/>
        <cfvo type="num" val="90"/>
      </iconSet>
    </cfRule>
    <cfRule type="iconSet" priority="2050">
      <iconSet>
        <cfvo type="percent" val="0"/>
        <cfvo type="num" val="95"/>
        <cfvo type="num" val="100"/>
      </iconSet>
    </cfRule>
    <cfRule type="iconSet" priority="2064">
      <iconSet>
        <cfvo type="percent" val="0"/>
        <cfvo type="num" val="70"/>
        <cfvo type="num" val="90"/>
      </iconSet>
    </cfRule>
    <cfRule type="iconSet" priority="2065">
      <iconSet>
        <cfvo type="percent" val="0"/>
        <cfvo type="num" val="95"/>
        <cfvo type="num" val="100"/>
      </iconSet>
    </cfRule>
    <cfRule type="iconSet" priority="2066">
      <iconSet>
        <cfvo type="percent" val="0"/>
        <cfvo type="num" val="95"/>
        <cfvo type="num" val="100"/>
      </iconSet>
    </cfRule>
    <cfRule type="iconSet" priority="2060">
      <iconSet>
        <cfvo type="percent" val="0"/>
        <cfvo type="num" val="70"/>
        <cfvo type="num" val="90"/>
      </iconSet>
    </cfRule>
  </conditionalFormatting>
  <conditionalFormatting sqref="I40">
    <cfRule type="iconSet" priority="653">
      <iconSet>
        <cfvo type="percent" val="0"/>
        <cfvo type="num" val="70"/>
        <cfvo type="num" val="90"/>
      </iconSet>
    </cfRule>
    <cfRule type="iconSet" priority="654">
      <iconSet>
        <cfvo type="percent" val="0"/>
        <cfvo type="num" val="95"/>
        <cfvo type="num" val="100"/>
      </iconSet>
    </cfRule>
    <cfRule type="iconSet" priority="655">
      <iconSet>
        <cfvo type="percent" val="0"/>
        <cfvo type="num" val="95"/>
        <cfvo type="num" val="100"/>
      </iconSet>
    </cfRule>
    <cfRule type="iconSet" priority="656">
      <iconSet>
        <cfvo type="percent" val="0"/>
        <cfvo type="num" val="70"/>
        <cfvo type="num" val="90"/>
      </iconSet>
    </cfRule>
    <cfRule type="iconSet" priority="657">
      <iconSet>
        <cfvo type="percent" val="0"/>
        <cfvo type="num" val="70"/>
        <cfvo type="num" val="90"/>
      </iconSet>
    </cfRule>
    <cfRule type="iconSet" priority="658">
      <iconSet>
        <cfvo type="percent" val="0"/>
        <cfvo type="num" val="95"/>
        <cfvo type="num" val="100"/>
      </iconSet>
    </cfRule>
    <cfRule type="iconSet" priority="659">
      <iconSet>
        <cfvo type="percent" val="0"/>
        <cfvo type="num" val="95"/>
        <cfvo type="num" val="100"/>
      </iconSet>
    </cfRule>
    <cfRule type="iconSet" priority="660">
      <iconSet>
        <cfvo type="percent" val="0"/>
        <cfvo type="num" val="70"/>
        <cfvo type="num" val="90"/>
      </iconSet>
    </cfRule>
    <cfRule type="iconSet" priority="661">
      <iconSet>
        <cfvo type="percent" val="0"/>
        <cfvo type="num" val="70"/>
        <cfvo type="num" val="90"/>
      </iconSet>
    </cfRule>
    <cfRule type="iconSet" priority="662">
      <iconSet>
        <cfvo type="percent" val="0"/>
        <cfvo type="num" val="95"/>
        <cfvo type="num" val="100"/>
      </iconSet>
    </cfRule>
    <cfRule type="iconSet" priority="663">
      <iconSet>
        <cfvo type="percent" val="0"/>
        <cfvo type="num" val="95"/>
        <cfvo type="num" val="100"/>
      </iconSet>
    </cfRule>
    <cfRule type="iconSet" priority="664">
      <iconSet>
        <cfvo type="percent" val="0"/>
        <cfvo type="num" val="70"/>
        <cfvo type="num" val="90"/>
      </iconSet>
    </cfRule>
    <cfRule type="iconSet" priority="665">
      <iconSet>
        <cfvo type="percent" val="0"/>
        <cfvo type="num" val="70"/>
        <cfvo type="num" val="90"/>
      </iconSet>
    </cfRule>
    <cfRule type="iconSet" priority="666">
      <iconSet>
        <cfvo type="percent" val="0"/>
        <cfvo type="num" val="95"/>
        <cfvo type="num" val="100"/>
      </iconSet>
    </cfRule>
    <cfRule type="iconSet" priority="667">
      <iconSet>
        <cfvo type="percent" val="0"/>
        <cfvo type="num" val="95"/>
        <cfvo type="num" val="100"/>
      </iconSet>
    </cfRule>
    <cfRule type="iconSet" priority="668">
      <iconSet>
        <cfvo type="percent" val="0"/>
        <cfvo type="num" val="70"/>
        <cfvo type="num" val="90"/>
      </iconSet>
    </cfRule>
    <cfRule type="iconSet" priority="669">
      <iconSet>
        <cfvo type="percent" val="0"/>
        <cfvo type="num" val="70"/>
        <cfvo type="num" val="90"/>
      </iconSet>
    </cfRule>
    <cfRule type="iconSet" priority="670">
      <iconSet>
        <cfvo type="percent" val="0"/>
        <cfvo type="num" val="95"/>
        <cfvo type="num" val="100"/>
      </iconSet>
    </cfRule>
    <cfRule type="iconSet" priority="672">
      <iconSet>
        <cfvo type="percent" val="0"/>
        <cfvo type="num" val="70"/>
        <cfvo type="num" val="90"/>
      </iconSet>
    </cfRule>
    <cfRule type="iconSet" priority="673">
      <iconSet>
        <cfvo type="percent" val="0"/>
        <cfvo type="num" val="70"/>
        <cfvo type="num" val="90"/>
      </iconSet>
    </cfRule>
    <cfRule type="iconSet" priority="674">
      <iconSet>
        <cfvo type="percent" val="0"/>
        <cfvo type="num" val="95"/>
        <cfvo type="num" val="100"/>
      </iconSet>
    </cfRule>
    <cfRule type="iconSet" priority="675">
      <iconSet>
        <cfvo type="percent" val="0"/>
        <cfvo type="num" val="95"/>
        <cfvo type="num" val="100"/>
      </iconSet>
    </cfRule>
    <cfRule type="iconSet" priority="676">
      <iconSet>
        <cfvo type="percent" val="0"/>
        <cfvo type="num" val="70"/>
        <cfvo type="num" val="90"/>
      </iconSet>
    </cfRule>
    <cfRule type="iconSet" priority="677">
      <iconSet>
        <cfvo type="percent" val="0"/>
        <cfvo type="num" val="70"/>
        <cfvo type="num" val="90"/>
      </iconSet>
    </cfRule>
    <cfRule type="iconSet" priority="678">
      <iconSet>
        <cfvo type="percent" val="0"/>
        <cfvo type="num" val="95"/>
        <cfvo type="num" val="100"/>
      </iconSet>
    </cfRule>
    <cfRule type="iconSet" priority="679">
      <iconSet>
        <cfvo type="percent" val="0"/>
        <cfvo type="num" val="70"/>
        <cfvo type="num" val="90"/>
      </iconSet>
    </cfRule>
    <cfRule type="iconSet" priority="680">
      <iconSet>
        <cfvo type="percent" val="0"/>
        <cfvo type="num" val="95"/>
        <cfvo type="num" val="100"/>
      </iconSet>
    </cfRule>
    <cfRule type="iconSet" priority="681">
      <iconSet>
        <cfvo type="percent" val="0"/>
        <cfvo type="num" val="95"/>
        <cfvo type="num" val="100"/>
      </iconSet>
    </cfRule>
    <cfRule type="iconSet" priority="671">
      <iconSet>
        <cfvo type="percent" val="0"/>
        <cfvo type="num" val="95"/>
        <cfvo type="num" val="100"/>
      </iconSet>
    </cfRule>
    <cfRule type="iconSet" priority="651">
      <iconSet>
        <cfvo type="percent" val="0"/>
        <cfvo type="num" val="95"/>
        <cfvo type="num" val="100"/>
      </iconSet>
    </cfRule>
    <cfRule type="iconSet" priority="652">
      <iconSet>
        <cfvo type="percent" val="0"/>
        <cfvo type="num" val="70"/>
        <cfvo type="num" val="90"/>
      </iconSet>
    </cfRule>
  </conditionalFormatting>
  <conditionalFormatting sqref="I41">
    <cfRule type="iconSet" priority="2017">
      <iconSet>
        <cfvo type="percent" val="0"/>
        <cfvo type="num" val="95"/>
        <cfvo type="num" val="100"/>
      </iconSet>
    </cfRule>
  </conditionalFormatting>
  <conditionalFormatting sqref="O8">
    <cfRule type="iconSet" priority="1131">
      <iconSet>
        <cfvo type="percent" val="0"/>
        <cfvo type="num" val="95"/>
        <cfvo type="num" val="100"/>
      </iconSet>
    </cfRule>
    <cfRule type="iconSet" priority="1132">
      <iconSet>
        <cfvo type="percent" val="0"/>
        <cfvo type="num" val="95"/>
        <cfvo type="num" val="100"/>
      </iconSet>
    </cfRule>
    <cfRule type="iconSet" priority="1134">
      <iconSet>
        <cfvo type="percent" val="0"/>
        <cfvo type="num" val="70"/>
        <cfvo type="num" val="90"/>
      </iconSet>
    </cfRule>
    <cfRule type="iconSet" priority="1135">
      <iconSet>
        <cfvo type="percent" val="0"/>
        <cfvo type="num" val="95"/>
        <cfvo type="num" val="100"/>
      </iconSet>
    </cfRule>
    <cfRule type="iconSet" priority="1133">
      <iconSet>
        <cfvo type="percent" val="0"/>
        <cfvo type="num" val="70"/>
        <cfvo type="num" val="90"/>
      </iconSet>
    </cfRule>
    <cfRule type="iconSet" priority="1127">
      <iconSet>
        <cfvo type="percent" val="0"/>
        <cfvo type="num" val="95"/>
        <cfvo type="num" val="100"/>
      </iconSet>
    </cfRule>
    <cfRule type="iconSet" priority="1128">
      <iconSet>
        <cfvo type="percent" val="0"/>
        <cfvo type="num" val="70"/>
        <cfvo type="num" val="90"/>
      </iconSet>
    </cfRule>
    <cfRule type="iconSet" priority="1129">
      <iconSet>
        <cfvo type="percent" val="0"/>
        <cfvo type="num" val="70"/>
        <cfvo type="num" val="90"/>
      </iconSet>
    </cfRule>
    <cfRule type="iconSet" priority="1130">
      <iconSet>
        <cfvo type="percent" val="0"/>
        <cfvo type="num" val="95"/>
        <cfvo type="num" val="100"/>
      </iconSet>
    </cfRule>
  </conditionalFormatting>
  <conditionalFormatting sqref="O9">
    <cfRule type="iconSet" priority="977">
      <iconSet>
        <cfvo type="percent" val="0"/>
        <cfvo type="num" val="95"/>
        <cfvo type="num" val="100"/>
      </iconSet>
    </cfRule>
    <cfRule type="iconSet" priority="974">
      <iconSet>
        <cfvo type="percent" val="0"/>
        <cfvo type="num" val="95"/>
        <cfvo type="num" val="100"/>
      </iconSet>
    </cfRule>
    <cfRule type="iconSet" priority="975">
      <iconSet>
        <cfvo type="percent" val="0"/>
        <cfvo type="num" val="70"/>
        <cfvo type="num" val="90"/>
      </iconSet>
    </cfRule>
    <cfRule type="iconSet" priority="976">
      <iconSet>
        <cfvo type="percent" val="0"/>
        <cfvo type="num" val="70"/>
        <cfvo type="num" val="90"/>
      </iconSet>
    </cfRule>
    <cfRule type="iconSet" priority="978">
      <iconSet>
        <cfvo type="percent" val="0"/>
        <cfvo type="num" val="95"/>
        <cfvo type="num" val="100"/>
      </iconSet>
    </cfRule>
    <cfRule type="iconSet" priority="979">
      <iconSet>
        <cfvo type="percent" val="0"/>
        <cfvo type="num" val="95"/>
        <cfvo type="num" val="100"/>
      </iconSet>
    </cfRule>
    <cfRule type="iconSet" priority="980">
      <iconSet>
        <cfvo type="percent" val="0"/>
        <cfvo type="num" val="70"/>
        <cfvo type="num" val="90"/>
      </iconSet>
    </cfRule>
    <cfRule type="iconSet" priority="981">
      <iconSet>
        <cfvo type="percent" val="0"/>
        <cfvo type="num" val="70"/>
        <cfvo type="num" val="90"/>
      </iconSet>
    </cfRule>
    <cfRule type="iconSet" priority="982">
      <iconSet>
        <cfvo type="percent" val="0"/>
        <cfvo type="num" val="95"/>
        <cfvo type="num" val="100"/>
      </iconSet>
    </cfRule>
  </conditionalFormatting>
  <conditionalFormatting sqref="O10">
    <cfRule type="iconSet" priority="1119">
      <iconSet>
        <cfvo type="percent" val="0"/>
        <cfvo type="num" val="70"/>
        <cfvo type="num" val="90"/>
      </iconSet>
    </cfRule>
    <cfRule type="iconSet" priority="1120">
      <iconSet>
        <cfvo type="percent" val="0"/>
        <cfvo type="num" val="70"/>
        <cfvo type="num" val="90"/>
      </iconSet>
    </cfRule>
    <cfRule type="iconSet" priority="1121">
      <iconSet>
        <cfvo type="percent" val="0"/>
        <cfvo type="num" val="95"/>
        <cfvo type="num" val="100"/>
      </iconSet>
    </cfRule>
    <cfRule type="iconSet" priority="1122">
      <iconSet>
        <cfvo type="percent" val="0"/>
        <cfvo type="num" val="95"/>
        <cfvo type="num" val="100"/>
      </iconSet>
    </cfRule>
    <cfRule type="iconSet" priority="1118">
      <iconSet>
        <cfvo type="percent" val="0"/>
        <cfvo type="num" val="95"/>
        <cfvo type="num" val="100"/>
      </iconSet>
    </cfRule>
    <cfRule type="iconSet" priority="1124">
      <iconSet>
        <cfvo type="percent" val="0"/>
        <cfvo type="num" val="70"/>
        <cfvo type="num" val="90"/>
      </iconSet>
    </cfRule>
    <cfRule type="iconSet" priority="1125">
      <iconSet>
        <cfvo type="percent" val="0"/>
        <cfvo type="num" val="70"/>
        <cfvo type="num" val="90"/>
      </iconSet>
    </cfRule>
    <cfRule type="iconSet" priority="1126">
      <iconSet>
        <cfvo type="percent" val="0"/>
        <cfvo type="num" val="95"/>
        <cfvo type="num" val="100"/>
      </iconSet>
    </cfRule>
    <cfRule type="iconSet" priority="1123">
      <iconSet>
        <cfvo type="percent" val="0"/>
        <cfvo type="num" val="95"/>
        <cfvo type="num" val="100"/>
      </iconSet>
    </cfRule>
  </conditionalFormatting>
  <conditionalFormatting sqref="O12">
    <cfRule type="iconSet" priority="1111">
      <iconSet>
        <cfvo type="percent" val="0"/>
        <cfvo type="num" val="70"/>
        <cfvo type="num" val="90"/>
      </iconSet>
    </cfRule>
    <cfRule type="iconSet" priority="1110">
      <iconSet>
        <cfvo type="percent" val="0"/>
        <cfvo type="num" val="70"/>
        <cfvo type="num" val="90"/>
      </iconSet>
    </cfRule>
    <cfRule type="iconSet" priority="1109">
      <iconSet>
        <cfvo type="percent" val="0"/>
        <cfvo type="num" val="95"/>
        <cfvo type="num" val="100"/>
      </iconSet>
    </cfRule>
    <cfRule type="iconSet" priority="1114">
      <iconSet>
        <cfvo type="percent" val="0"/>
        <cfvo type="num" val="95"/>
        <cfvo type="num" val="100"/>
      </iconSet>
    </cfRule>
    <cfRule type="iconSet" priority="1112">
      <iconSet>
        <cfvo type="percent" val="0"/>
        <cfvo type="num" val="95"/>
        <cfvo type="num" val="100"/>
      </iconSet>
    </cfRule>
    <cfRule type="iconSet" priority="1115">
      <iconSet>
        <cfvo type="percent" val="0"/>
        <cfvo type="num" val="70"/>
        <cfvo type="num" val="90"/>
      </iconSet>
    </cfRule>
    <cfRule type="iconSet" priority="1116">
      <iconSet>
        <cfvo type="percent" val="0"/>
        <cfvo type="num" val="70"/>
        <cfvo type="num" val="90"/>
      </iconSet>
    </cfRule>
    <cfRule type="iconSet" priority="1117">
      <iconSet>
        <cfvo type="percent" val="0"/>
        <cfvo type="num" val="95"/>
        <cfvo type="num" val="100"/>
      </iconSet>
    </cfRule>
    <cfRule type="iconSet" priority="1113">
      <iconSet>
        <cfvo type="percent" val="0"/>
        <cfvo type="num" val="95"/>
        <cfvo type="num" val="100"/>
      </iconSet>
    </cfRule>
  </conditionalFormatting>
  <conditionalFormatting sqref="O13">
    <cfRule type="iconSet" priority="1102">
      <iconSet>
        <cfvo type="percent" val="0"/>
        <cfvo type="num" val="70"/>
        <cfvo type="num" val="90"/>
      </iconSet>
    </cfRule>
    <cfRule type="iconSet" priority="1101">
      <iconSet>
        <cfvo type="percent" val="0"/>
        <cfvo type="num" val="70"/>
        <cfvo type="num" val="90"/>
      </iconSet>
    </cfRule>
    <cfRule type="iconSet" priority="1100">
      <iconSet>
        <cfvo type="percent" val="0"/>
        <cfvo type="num" val="95"/>
        <cfvo type="num" val="100"/>
      </iconSet>
    </cfRule>
    <cfRule type="iconSet" priority="1107">
      <iconSet>
        <cfvo type="percent" val="0"/>
        <cfvo type="num" val="70"/>
        <cfvo type="num" val="90"/>
      </iconSet>
    </cfRule>
    <cfRule type="iconSet" priority="1106">
      <iconSet>
        <cfvo type="percent" val="0"/>
        <cfvo type="num" val="70"/>
        <cfvo type="num" val="90"/>
      </iconSet>
    </cfRule>
    <cfRule type="iconSet" priority="1105">
      <iconSet>
        <cfvo type="percent" val="0"/>
        <cfvo type="num" val="95"/>
        <cfvo type="num" val="100"/>
      </iconSet>
    </cfRule>
    <cfRule type="iconSet" priority="1108">
      <iconSet>
        <cfvo type="percent" val="0"/>
        <cfvo type="num" val="95"/>
        <cfvo type="num" val="100"/>
      </iconSet>
    </cfRule>
    <cfRule type="iconSet" priority="1103">
      <iconSet>
        <cfvo type="percent" val="0"/>
        <cfvo type="num" val="95"/>
        <cfvo type="num" val="100"/>
      </iconSet>
    </cfRule>
    <cfRule type="iconSet" priority="1104">
      <iconSet>
        <cfvo type="percent" val="0"/>
        <cfvo type="num" val="95"/>
        <cfvo type="num" val="100"/>
      </iconSet>
    </cfRule>
  </conditionalFormatting>
  <conditionalFormatting sqref="O14">
    <cfRule type="iconSet" priority="1093">
      <iconSet>
        <cfvo type="percent" val="0"/>
        <cfvo type="num" val="70"/>
        <cfvo type="num" val="90"/>
      </iconSet>
    </cfRule>
    <cfRule type="iconSet" priority="1092">
      <iconSet>
        <cfvo type="percent" val="0"/>
        <cfvo type="num" val="70"/>
        <cfvo type="num" val="90"/>
      </iconSet>
    </cfRule>
    <cfRule type="iconSet" priority="1091">
      <iconSet>
        <cfvo type="percent" val="0"/>
        <cfvo type="num" val="95"/>
        <cfvo type="num" val="100"/>
      </iconSet>
    </cfRule>
    <cfRule type="iconSet" priority="1099">
      <iconSet>
        <cfvo type="percent" val="0"/>
        <cfvo type="num" val="95"/>
        <cfvo type="num" val="100"/>
      </iconSet>
    </cfRule>
    <cfRule type="iconSet" priority="1098">
      <iconSet>
        <cfvo type="percent" val="0"/>
        <cfvo type="num" val="70"/>
        <cfvo type="num" val="90"/>
      </iconSet>
    </cfRule>
    <cfRule type="iconSet" priority="1097">
      <iconSet>
        <cfvo type="percent" val="0"/>
        <cfvo type="num" val="70"/>
        <cfvo type="num" val="90"/>
      </iconSet>
    </cfRule>
    <cfRule type="iconSet" priority="1096">
      <iconSet>
        <cfvo type="percent" val="0"/>
        <cfvo type="num" val="95"/>
        <cfvo type="num" val="100"/>
      </iconSet>
    </cfRule>
    <cfRule type="iconSet" priority="1095">
      <iconSet>
        <cfvo type="percent" val="0"/>
        <cfvo type="num" val="95"/>
        <cfvo type="num" val="100"/>
      </iconSet>
    </cfRule>
    <cfRule type="iconSet" priority="1094">
      <iconSet>
        <cfvo type="percent" val="0"/>
        <cfvo type="num" val="95"/>
        <cfvo type="num" val="100"/>
      </iconSet>
    </cfRule>
  </conditionalFormatting>
  <conditionalFormatting sqref="O16">
    <cfRule type="iconSet" priority="1084">
      <iconSet>
        <cfvo type="percent" val="0"/>
        <cfvo type="num" val="70"/>
        <cfvo type="num" val="90"/>
      </iconSet>
    </cfRule>
    <cfRule type="iconSet" priority="1083">
      <iconSet>
        <cfvo type="percent" val="0"/>
        <cfvo type="num" val="70"/>
        <cfvo type="num" val="90"/>
      </iconSet>
    </cfRule>
    <cfRule type="iconSet" priority="1082">
      <iconSet>
        <cfvo type="percent" val="0"/>
        <cfvo type="num" val="95"/>
        <cfvo type="num" val="100"/>
      </iconSet>
    </cfRule>
    <cfRule type="iconSet" priority="1090">
      <iconSet>
        <cfvo type="percent" val="0"/>
        <cfvo type="num" val="95"/>
        <cfvo type="num" val="100"/>
      </iconSet>
    </cfRule>
    <cfRule type="iconSet" priority="1089">
      <iconSet>
        <cfvo type="percent" val="0"/>
        <cfvo type="num" val="70"/>
        <cfvo type="num" val="90"/>
      </iconSet>
    </cfRule>
    <cfRule type="iconSet" priority="1088">
      <iconSet>
        <cfvo type="percent" val="0"/>
        <cfvo type="num" val="70"/>
        <cfvo type="num" val="90"/>
      </iconSet>
    </cfRule>
    <cfRule type="iconSet" priority="1087">
      <iconSet>
        <cfvo type="percent" val="0"/>
        <cfvo type="num" val="95"/>
        <cfvo type="num" val="100"/>
      </iconSet>
    </cfRule>
    <cfRule type="iconSet" priority="1086">
      <iconSet>
        <cfvo type="percent" val="0"/>
        <cfvo type="num" val="95"/>
        <cfvo type="num" val="100"/>
      </iconSet>
    </cfRule>
    <cfRule type="iconSet" priority="1085">
      <iconSet>
        <cfvo type="percent" val="0"/>
        <cfvo type="num" val="95"/>
        <cfvo type="num" val="100"/>
      </iconSet>
    </cfRule>
  </conditionalFormatting>
  <conditionalFormatting sqref="O17">
    <cfRule type="iconSet" priority="1081">
      <iconSet>
        <cfvo type="percent" val="0"/>
        <cfvo type="num" val="95"/>
        <cfvo type="num" val="100"/>
      </iconSet>
    </cfRule>
    <cfRule type="iconSet" priority="1080">
      <iconSet>
        <cfvo type="percent" val="0"/>
        <cfvo type="num" val="70"/>
        <cfvo type="num" val="90"/>
      </iconSet>
    </cfRule>
    <cfRule type="iconSet" priority="1079">
      <iconSet>
        <cfvo type="percent" val="0"/>
        <cfvo type="num" val="70"/>
        <cfvo type="num" val="90"/>
      </iconSet>
    </cfRule>
    <cfRule type="iconSet" priority="1077">
      <iconSet>
        <cfvo type="percent" val="0"/>
        <cfvo type="num" val="95"/>
        <cfvo type="num" val="100"/>
      </iconSet>
    </cfRule>
    <cfRule type="iconSet" priority="1076">
      <iconSet>
        <cfvo type="percent" val="0"/>
        <cfvo type="num" val="95"/>
        <cfvo type="num" val="100"/>
      </iconSet>
    </cfRule>
    <cfRule type="iconSet" priority="1075">
      <iconSet>
        <cfvo type="percent" val="0"/>
        <cfvo type="num" val="70"/>
        <cfvo type="num" val="90"/>
      </iconSet>
    </cfRule>
    <cfRule type="iconSet" priority="1074">
      <iconSet>
        <cfvo type="percent" val="0"/>
        <cfvo type="num" val="70"/>
        <cfvo type="num" val="90"/>
      </iconSet>
    </cfRule>
    <cfRule type="iconSet" priority="1073">
      <iconSet>
        <cfvo type="percent" val="0"/>
        <cfvo type="num" val="95"/>
        <cfvo type="num" val="100"/>
      </iconSet>
    </cfRule>
    <cfRule type="iconSet" priority="1078">
      <iconSet>
        <cfvo type="percent" val="0"/>
        <cfvo type="num" val="95"/>
        <cfvo type="num" val="100"/>
      </iconSet>
    </cfRule>
  </conditionalFormatting>
  <conditionalFormatting sqref="O18">
    <cfRule type="iconSet" priority="1069">
      <iconSet>
        <cfvo type="percent" val="0"/>
        <cfvo type="num" val="95"/>
        <cfvo type="num" val="100"/>
      </iconSet>
    </cfRule>
    <cfRule type="iconSet" priority="1072">
      <iconSet>
        <cfvo type="percent" val="0"/>
        <cfvo type="num" val="95"/>
        <cfvo type="num" val="100"/>
      </iconSet>
    </cfRule>
    <cfRule type="iconSet" priority="1071">
      <iconSet>
        <cfvo type="percent" val="0"/>
        <cfvo type="num" val="70"/>
        <cfvo type="num" val="90"/>
      </iconSet>
    </cfRule>
    <cfRule type="iconSet" priority="1070">
      <iconSet>
        <cfvo type="percent" val="0"/>
        <cfvo type="num" val="70"/>
        <cfvo type="num" val="90"/>
      </iconSet>
    </cfRule>
    <cfRule type="iconSet" priority="1067">
      <iconSet>
        <cfvo type="percent" val="0"/>
        <cfvo type="num" val="95"/>
        <cfvo type="num" val="100"/>
      </iconSet>
    </cfRule>
    <cfRule type="iconSet" priority="1066">
      <iconSet>
        <cfvo type="percent" val="0"/>
        <cfvo type="num" val="70"/>
        <cfvo type="num" val="90"/>
      </iconSet>
    </cfRule>
    <cfRule type="iconSet" priority="1065">
      <iconSet>
        <cfvo type="percent" val="0"/>
        <cfvo type="num" val="70"/>
        <cfvo type="num" val="90"/>
      </iconSet>
    </cfRule>
    <cfRule type="iconSet" priority="1064">
      <iconSet>
        <cfvo type="percent" val="0"/>
        <cfvo type="num" val="95"/>
        <cfvo type="num" val="100"/>
      </iconSet>
    </cfRule>
    <cfRule type="iconSet" priority="1068">
      <iconSet>
        <cfvo type="percent" val="0"/>
        <cfvo type="num" val="95"/>
        <cfvo type="num" val="100"/>
      </iconSet>
    </cfRule>
  </conditionalFormatting>
  <conditionalFormatting sqref="O19">
    <cfRule type="iconSet" priority="1222">
      <iconSet>
        <cfvo type="percent" val="0"/>
        <cfvo type="num" val="95"/>
        <cfvo type="num" val="100"/>
      </iconSet>
    </cfRule>
    <cfRule type="iconSet" priority="1223">
      <iconSet>
        <cfvo type="percent" val="0"/>
        <cfvo type="num" val="95"/>
        <cfvo type="num" val="100"/>
      </iconSet>
    </cfRule>
    <cfRule type="iconSet" priority="1224">
      <iconSet>
        <cfvo type="percent" val="0"/>
        <cfvo type="num" val="70"/>
        <cfvo type="num" val="90"/>
      </iconSet>
    </cfRule>
    <cfRule type="iconSet" priority="1225">
      <iconSet>
        <cfvo type="percent" val="0"/>
        <cfvo type="num" val="70"/>
        <cfvo type="num" val="90"/>
      </iconSet>
    </cfRule>
    <cfRule type="iconSet" priority="1226">
      <iconSet>
        <cfvo type="percent" val="0"/>
        <cfvo type="num" val="95"/>
        <cfvo type="num" val="100"/>
      </iconSet>
    </cfRule>
    <cfRule type="iconSet" priority="1227">
      <iconSet>
        <cfvo type="percent" val="0"/>
        <cfvo type="num" val="95"/>
        <cfvo type="num" val="100"/>
      </iconSet>
    </cfRule>
    <cfRule type="iconSet" priority="1201">
      <iconSet>
        <cfvo type="percent" val="0"/>
        <cfvo type="num" val="70"/>
        <cfvo type="num" val="90"/>
      </iconSet>
    </cfRule>
    <cfRule type="iconSet" priority="1199">
      <iconSet>
        <cfvo type="percent" val="0"/>
        <cfvo type="num" val="95"/>
        <cfvo type="num" val="100"/>
      </iconSet>
    </cfRule>
    <cfRule type="iconSet" priority="1200">
      <iconSet>
        <cfvo type="percent" val="0"/>
        <cfvo type="num" val="70"/>
        <cfvo type="num" val="90"/>
      </iconSet>
    </cfRule>
    <cfRule type="iconSet" priority="1202">
      <iconSet>
        <cfvo type="percent" val="0"/>
        <cfvo type="num" val="95"/>
        <cfvo type="num" val="100"/>
      </iconSet>
    </cfRule>
    <cfRule type="iconSet" priority="1203">
      <iconSet>
        <cfvo type="percent" val="0"/>
        <cfvo type="num" val="95"/>
        <cfvo type="num" val="100"/>
      </iconSet>
    </cfRule>
    <cfRule type="iconSet" priority="1204">
      <iconSet>
        <cfvo type="percent" val="0"/>
        <cfvo type="num" val="70"/>
        <cfvo type="num" val="90"/>
      </iconSet>
    </cfRule>
    <cfRule type="iconSet" priority="1205">
      <iconSet>
        <cfvo type="percent" val="0"/>
        <cfvo type="num" val="70"/>
        <cfvo type="num" val="90"/>
      </iconSet>
    </cfRule>
    <cfRule type="iconSet" priority="1206">
      <iconSet>
        <cfvo type="percent" val="0"/>
        <cfvo type="num" val="95"/>
        <cfvo type="num" val="100"/>
      </iconSet>
    </cfRule>
    <cfRule type="iconSet" priority="1207">
      <iconSet>
        <cfvo type="percent" val="0"/>
        <cfvo type="num" val="95"/>
        <cfvo type="num" val="100"/>
      </iconSet>
    </cfRule>
    <cfRule type="iconSet" priority="1208">
      <iconSet>
        <cfvo type="percent" val="0"/>
        <cfvo type="num" val="70"/>
        <cfvo type="num" val="90"/>
      </iconSet>
    </cfRule>
    <cfRule type="iconSet" priority="1209">
      <iconSet>
        <cfvo type="percent" val="0"/>
        <cfvo type="num" val="70"/>
        <cfvo type="num" val="90"/>
      </iconSet>
    </cfRule>
    <cfRule type="iconSet" priority="1210">
      <iconSet>
        <cfvo type="percent" val="0"/>
        <cfvo type="num" val="95"/>
        <cfvo type="num" val="100"/>
      </iconSet>
    </cfRule>
    <cfRule type="iconSet" priority="1211">
      <iconSet>
        <cfvo type="percent" val="0"/>
        <cfvo type="num" val="95"/>
        <cfvo type="num" val="100"/>
      </iconSet>
    </cfRule>
    <cfRule type="iconSet" priority="1212">
      <iconSet>
        <cfvo type="percent" val="0"/>
        <cfvo type="num" val="70"/>
        <cfvo type="num" val="90"/>
      </iconSet>
    </cfRule>
    <cfRule type="iconSet" priority="1213">
      <iconSet>
        <cfvo type="percent" val="0"/>
        <cfvo type="num" val="70"/>
        <cfvo type="num" val="90"/>
      </iconSet>
    </cfRule>
    <cfRule type="iconSet" priority="1214">
      <iconSet>
        <cfvo type="percent" val="0"/>
        <cfvo type="num" val="95"/>
        <cfvo type="num" val="100"/>
      </iconSet>
    </cfRule>
    <cfRule type="iconSet" priority="1215">
      <iconSet>
        <cfvo type="percent" val="0"/>
        <cfvo type="num" val="95"/>
        <cfvo type="num" val="100"/>
      </iconSet>
    </cfRule>
    <cfRule type="iconSet" priority="1216">
      <iconSet>
        <cfvo type="percent" val="0"/>
        <cfvo type="num" val="70"/>
        <cfvo type="num" val="90"/>
      </iconSet>
    </cfRule>
    <cfRule type="iconSet" priority="1217">
      <iconSet>
        <cfvo type="percent" val="0"/>
        <cfvo type="num" val="70"/>
        <cfvo type="num" val="90"/>
      </iconSet>
    </cfRule>
    <cfRule type="iconSet" priority="1218">
      <iconSet>
        <cfvo type="percent" val="0"/>
        <cfvo type="num" val="95"/>
        <cfvo type="num" val="100"/>
      </iconSet>
    </cfRule>
    <cfRule type="iconSet" priority="1219">
      <iconSet>
        <cfvo type="percent" val="0"/>
        <cfvo type="num" val="95"/>
        <cfvo type="num" val="100"/>
      </iconSet>
    </cfRule>
    <cfRule type="iconSet" priority="1220">
      <iconSet>
        <cfvo type="percent" val="0"/>
        <cfvo type="num" val="70"/>
        <cfvo type="num" val="90"/>
      </iconSet>
    </cfRule>
    <cfRule type="iconSet" priority="1221">
      <iconSet>
        <cfvo type="percent" val="0"/>
        <cfvo type="num" val="70"/>
        <cfvo type="num" val="90"/>
      </iconSet>
    </cfRule>
  </conditionalFormatting>
  <conditionalFormatting sqref="O20">
    <cfRule type="iconSet" priority="1058">
      <iconSet>
        <cfvo type="percent" val="0"/>
        <cfvo type="num" val="95"/>
        <cfvo type="num" val="100"/>
      </iconSet>
    </cfRule>
    <cfRule type="iconSet" priority="1059">
      <iconSet>
        <cfvo type="percent" val="0"/>
        <cfvo type="num" val="95"/>
        <cfvo type="num" val="100"/>
      </iconSet>
    </cfRule>
    <cfRule type="iconSet" priority="1060">
      <iconSet>
        <cfvo type="percent" val="0"/>
        <cfvo type="num" val="95"/>
        <cfvo type="num" val="100"/>
      </iconSet>
    </cfRule>
    <cfRule type="iconSet" priority="1063">
      <iconSet>
        <cfvo type="percent" val="0"/>
        <cfvo type="num" val="95"/>
        <cfvo type="num" val="100"/>
      </iconSet>
    </cfRule>
    <cfRule type="iconSet" priority="1061">
      <iconSet>
        <cfvo type="percent" val="0"/>
        <cfvo type="num" val="70"/>
        <cfvo type="num" val="90"/>
      </iconSet>
    </cfRule>
    <cfRule type="iconSet" priority="1057">
      <iconSet>
        <cfvo type="percent" val="0"/>
        <cfvo type="num" val="70"/>
        <cfvo type="num" val="90"/>
      </iconSet>
    </cfRule>
    <cfRule type="iconSet" priority="1062">
      <iconSet>
        <cfvo type="percent" val="0"/>
        <cfvo type="num" val="70"/>
        <cfvo type="num" val="90"/>
      </iconSet>
    </cfRule>
    <cfRule type="iconSet" priority="1055">
      <iconSet>
        <cfvo type="percent" val="0"/>
        <cfvo type="num" val="95"/>
        <cfvo type="num" val="100"/>
      </iconSet>
    </cfRule>
    <cfRule type="iconSet" priority="1056">
      <iconSet>
        <cfvo type="percent" val="0"/>
        <cfvo type="num" val="70"/>
        <cfvo type="num" val="90"/>
      </iconSet>
    </cfRule>
  </conditionalFormatting>
  <conditionalFormatting sqref="O21">
    <cfRule type="iconSet" priority="1046">
      <iconSet>
        <cfvo type="percent" val="0"/>
        <cfvo type="num" val="95"/>
        <cfvo type="num" val="100"/>
      </iconSet>
    </cfRule>
    <cfRule type="iconSet" priority="1047">
      <iconSet>
        <cfvo type="percent" val="0"/>
        <cfvo type="num" val="70"/>
        <cfvo type="num" val="90"/>
      </iconSet>
    </cfRule>
    <cfRule type="iconSet" priority="1048">
      <iconSet>
        <cfvo type="percent" val="0"/>
        <cfvo type="num" val="70"/>
        <cfvo type="num" val="90"/>
      </iconSet>
    </cfRule>
    <cfRule type="iconSet" priority="1049">
      <iconSet>
        <cfvo type="percent" val="0"/>
        <cfvo type="num" val="95"/>
        <cfvo type="num" val="100"/>
      </iconSet>
    </cfRule>
    <cfRule type="iconSet" priority="1050">
      <iconSet>
        <cfvo type="percent" val="0"/>
        <cfvo type="num" val="95"/>
        <cfvo type="num" val="100"/>
      </iconSet>
    </cfRule>
    <cfRule type="iconSet" priority="1051">
      <iconSet>
        <cfvo type="percent" val="0"/>
        <cfvo type="num" val="95"/>
        <cfvo type="num" val="100"/>
      </iconSet>
    </cfRule>
    <cfRule type="iconSet" priority="1052">
      <iconSet>
        <cfvo type="percent" val="0"/>
        <cfvo type="num" val="70"/>
        <cfvo type="num" val="90"/>
      </iconSet>
    </cfRule>
    <cfRule type="iconSet" priority="1053">
      <iconSet>
        <cfvo type="percent" val="0"/>
        <cfvo type="num" val="70"/>
        <cfvo type="num" val="90"/>
      </iconSet>
    </cfRule>
    <cfRule type="iconSet" priority="1054">
      <iconSet>
        <cfvo type="percent" val="0"/>
        <cfvo type="num" val="95"/>
        <cfvo type="num" val="100"/>
      </iconSet>
    </cfRule>
  </conditionalFormatting>
  <conditionalFormatting sqref="O22">
    <cfRule type="iconSet" priority="1042">
      <iconSet>
        <cfvo type="percent" val="0"/>
        <cfvo type="num" val="95"/>
        <cfvo type="num" val="100"/>
      </iconSet>
    </cfRule>
    <cfRule type="iconSet" priority="1041">
      <iconSet>
        <cfvo type="percent" val="0"/>
        <cfvo type="num" val="95"/>
        <cfvo type="num" val="100"/>
      </iconSet>
    </cfRule>
    <cfRule type="iconSet" priority="1045">
      <iconSet>
        <cfvo type="percent" val="0"/>
        <cfvo type="num" val="95"/>
        <cfvo type="num" val="100"/>
      </iconSet>
    </cfRule>
    <cfRule type="iconSet" priority="1044">
      <iconSet>
        <cfvo type="percent" val="0"/>
        <cfvo type="num" val="70"/>
        <cfvo type="num" val="90"/>
      </iconSet>
    </cfRule>
    <cfRule type="iconSet" priority="1043">
      <iconSet>
        <cfvo type="percent" val="0"/>
        <cfvo type="num" val="70"/>
        <cfvo type="num" val="90"/>
      </iconSet>
    </cfRule>
    <cfRule type="iconSet" priority="1038">
      <iconSet>
        <cfvo type="percent" val="0"/>
        <cfvo type="num" val="70"/>
        <cfvo type="num" val="90"/>
      </iconSet>
    </cfRule>
    <cfRule type="iconSet" priority="1037">
      <iconSet>
        <cfvo type="percent" val="0"/>
        <cfvo type="num" val="95"/>
        <cfvo type="num" val="100"/>
      </iconSet>
    </cfRule>
    <cfRule type="iconSet" priority="1039">
      <iconSet>
        <cfvo type="percent" val="0"/>
        <cfvo type="num" val="70"/>
        <cfvo type="num" val="90"/>
      </iconSet>
    </cfRule>
    <cfRule type="iconSet" priority="1040">
      <iconSet>
        <cfvo type="percent" val="0"/>
        <cfvo type="num" val="95"/>
        <cfvo type="num" val="100"/>
      </iconSet>
    </cfRule>
  </conditionalFormatting>
  <conditionalFormatting sqref="O23">
    <cfRule type="iconSet" priority="1034">
      <iconSet>
        <cfvo type="percent" val="0"/>
        <cfvo type="num" val="70"/>
        <cfvo type="num" val="90"/>
      </iconSet>
    </cfRule>
    <cfRule type="iconSet" priority="1030">
      <iconSet>
        <cfvo type="percent" val="0"/>
        <cfvo type="num" val="70"/>
        <cfvo type="num" val="90"/>
      </iconSet>
    </cfRule>
    <cfRule type="iconSet" priority="1029">
      <iconSet>
        <cfvo type="percent" val="0"/>
        <cfvo type="num" val="70"/>
        <cfvo type="num" val="90"/>
      </iconSet>
    </cfRule>
    <cfRule type="iconSet" priority="1028">
      <iconSet>
        <cfvo type="percent" val="0"/>
        <cfvo type="num" val="95"/>
        <cfvo type="num" val="100"/>
      </iconSet>
    </cfRule>
    <cfRule type="iconSet" priority="1036">
      <iconSet>
        <cfvo type="percent" val="0"/>
        <cfvo type="num" val="95"/>
        <cfvo type="num" val="100"/>
      </iconSet>
    </cfRule>
    <cfRule type="iconSet" priority="1035">
      <iconSet>
        <cfvo type="percent" val="0"/>
        <cfvo type="num" val="70"/>
        <cfvo type="num" val="90"/>
      </iconSet>
    </cfRule>
    <cfRule type="iconSet" priority="1033">
      <iconSet>
        <cfvo type="percent" val="0"/>
        <cfvo type="num" val="95"/>
        <cfvo type="num" val="100"/>
      </iconSet>
    </cfRule>
    <cfRule type="iconSet" priority="1032">
      <iconSet>
        <cfvo type="percent" val="0"/>
        <cfvo type="num" val="95"/>
        <cfvo type="num" val="100"/>
      </iconSet>
    </cfRule>
    <cfRule type="iconSet" priority="1031">
      <iconSet>
        <cfvo type="percent" val="0"/>
        <cfvo type="num" val="95"/>
        <cfvo type="num" val="100"/>
      </iconSet>
    </cfRule>
  </conditionalFormatting>
  <conditionalFormatting sqref="O24">
    <cfRule type="iconSet" priority="1019">
      <iconSet>
        <cfvo type="percent" val="0"/>
        <cfvo type="num" val="95"/>
        <cfvo type="num" val="100"/>
      </iconSet>
    </cfRule>
    <cfRule type="iconSet" priority="1021">
      <iconSet>
        <cfvo type="percent" val="0"/>
        <cfvo type="num" val="70"/>
        <cfvo type="num" val="90"/>
      </iconSet>
    </cfRule>
    <cfRule type="iconSet" priority="1020">
      <iconSet>
        <cfvo type="percent" val="0"/>
        <cfvo type="num" val="70"/>
        <cfvo type="num" val="90"/>
      </iconSet>
    </cfRule>
    <cfRule type="iconSet" priority="1027">
      <iconSet>
        <cfvo type="percent" val="0"/>
        <cfvo type="num" val="95"/>
        <cfvo type="num" val="100"/>
      </iconSet>
    </cfRule>
    <cfRule type="iconSet" priority="1026">
      <iconSet>
        <cfvo type="percent" val="0"/>
        <cfvo type="num" val="70"/>
        <cfvo type="num" val="90"/>
      </iconSet>
    </cfRule>
    <cfRule type="iconSet" priority="1022">
      <iconSet>
        <cfvo type="percent" val="0"/>
        <cfvo type="num" val="95"/>
        <cfvo type="num" val="100"/>
      </iconSet>
    </cfRule>
    <cfRule type="iconSet" priority="1025">
      <iconSet>
        <cfvo type="percent" val="0"/>
        <cfvo type="num" val="70"/>
        <cfvo type="num" val="90"/>
      </iconSet>
    </cfRule>
    <cfRule type="iconSet" priority="1024">
      <iconSet>
        <cfvo type="percent" val="0"/>
        <cfvo type="num" val="95"/>
        <cfvo type="num" val="100"/>
      </iconSet>
    </cfRule>
    <cfRule type="iconSet" priority="1023">
      <iconSet>
        <cfvo type="percent" val="0"/>
        <cfvo type="num" val="95"/>
        <cfvo type="num" val="100"/>
      </iconSet>
    </cfRule>
  </conditionalFormatting>
  <conditionalFormatting sqref="O25">
    <cfRule type="iconSet" priority="1198">
      <iconSet>
        <cfvo type="percent" val="0"/>
        <cfvo type="num" val="95"/>
        <cfvo type="num" val="100"/>
      </iconSet>
    </cfRule>
  </conditionalFormatting>
  <conditionalFormatting sqref="O26">
    <cfRule type="iconSet" priority="1016">
      <iconSet>
        <cfvo type="percent" val="0"/>
        <cfvo type="num" val="70"/>
        <cfvo type="num" val="90"/>
      </iconSet>
    </cfRule>
    <cfRule type="iconSet" priority="1017">
      <iconSet>
        <cfvo type="percent" val="0"/>
        <cfvo type="num" val="70"/>
        <cfvo type="num" val="90"/>
      </iconSet>
    </cfRule>
    <cfRule type="iconSet" priority="1018">
      <iconSet>
        <cfvo type="percent" val="0"/>
        <cfvo type="num" val="95"/>
        <cfvo type="num" val="100"/>
      </iconSet>
    </cfRule>
    <cfRule type="iconSet" priority="1014">
      <iconSet>
        <cfvo type="percent" val="0"/>
        <cfvo type="num" val="95"/>
        <cfvo type="num" val="100"/>
      </iconSet>
    </cfRule>
    <cfRule type="iconSet" priority="1013">
      <iconSet>
        <cfvo type="percent" val="0"/>
        <cfvo type="num" val="95"/>
        <cfvo type="num" val="100"/>
      </iconSet>
    </cfRule>
    <cfRule type="iconSet" priority="1012">
      <iconSet>
        <cfvo type="percent" val="0"/>
        <cfvo type="num" val="70"/>
        <cfvo type="num" val="90"/>
      </iconSet>
    </cfRule>
    <cfRule type="iconSet" priority="1011">
      <iconSet>
        <cfvo type="percent" val="0"/>
        <cfvo type="num" val="70"/>
        <cfvo type="num" val="90"/>
      </iconSet>
    </cfRule>
    <cfRule type="iconSet" priority="1010">
      <iconSet>
        <cfvo type="percent" val="0"/>
        <cfvo type="num" val="95"/>
        <cfvo type="num" val="100"/>
      </iconSet>
    </cfRule>
    <cfRule type="iconSet" priority="1015">
      <iconSet>
        <cfvo type="percent" val="0"/>
        <cfvo type="num" val="95"/>
        <cfvo type="num" val="100"/>
      </iconSet>
    </cfRule>
  </conditionalFormatting>
  <conditionalFormatting sqref="O27">
    <cfRule type="iconSet" priority="1232">
      <iconSet>
        <cfvo type="percent" val="0"/>
        <cfvo type="num" val="95"/>
        <cfvo type="num" val="100"/>
      </iconSet>
    </cfRule>
  </conditionalFormatting>
  <conditionalFormatting sqref="O28:O30">
    <cfRule type="iconSet" priority="1008">
      <iconSet>
        <cfvo type="percent" val="0"/>
        <cfvo type="num" val="70"/>
        <cfvo type="num" val="90"/>
      </iconSet>
    </cfRule>
    <cfRule type="iconSet" priority="1001">
      <iconSet>
        <cfvo type="percent" val="0"/>
        <cfvo type="num" val="95"/>
        <cfvo type="num" val="100"/>
      </iconSet>
    </cfRule>
    <cfRule type="iconSet" priority="1003">
      <iconSet>
        <cfvo type="percent" val="0"/>
        <cfvo type="num" val="70"/>
        <cfvo type="num" val="90"/>
      </iconSet>
    </cfRule>
    <cfRule type="iconSet" priority="1004">
      <iconSet>
        <cfvo type="percent" val="0"/>
        <cfvo type="num" val="95"/>
        <cfvo type="num" val="100"/>
      </iconSet>
    </cfRule>
    <cfRule type="iconSet" priority="1005">
      <iconSet>
        <cfvo type="percent" val="0"/>
        <cfvo type="num" val="95"/>
        <cfvo type="num" val="100"/>
      </iconSet>
    </cfRule>
    <cfRule type="iconSet" priority="1006">
      <iconSet>
        <cfvo type="percent" val="0"/>
        <cfvo type="num" val="95"/>
        <cfvo type="num" val="100"/>
      </iconSet>
    </cfRule>
    <cfRule type="iconSet" priority="1007">
      <iconSet>
        <cfvo type="percent" val="0"/>
        <cfvo type="num" val="70"/>
        <cfvo type="num" val="90"/>
      </iconSet>
    </cfRule>
    <cfRule type="iconSet" priority="1009">
      <iconSet>
        <cfvo type="percent" val="0"/>
        <cfvo type="num" val="95"/>
        <cfvo type="num" val="100"/>
      </iconSet>
    </cfRule>
    <cfRule type="iconSet" priority="1002">
      <iconSet>
        <cfvo type="percent" val="0"/>
        <cfvo type="num" val="70"/>
        <cfvo type="num" val="90"/>
      </iconSet>
    </cfRule>
  </conditionalFormatting>
  <conditionalFormatting sqref="O31:O33">
    <cfRule type="iconSet" priority="996">
      <iconSet>
        <cfvo type="percent" val="0"/>
        <cfvo type="num" val="95"/>
        <cfvo type="num" val="100"/>
      </iconSet>
    </cfRule>
    <cfRule type="iconSet" priority="1000">
      <iconSet>
        <cfvo type="percent" val="0"/>
        <cfvo type="num" val="95"/>
        <cfvo type="num" val="100"/>
      </iconSet>
    </cfRule>
    <cfRule type="iconSet" priority="998">
      <iconSet>
        <cfvo type="percent" val="0"/>
        <cfvo type="num" val="70"/>
        <cfvo type="num" val="90"/>
      </iconSet>
    </cfRule>
    <cfRule type="iconSet" priority="999">
      <iconSet>
        <cfvo type="percent" val="0"/>
        <cfvo type="num" val="70"/>
        <cfvo type="num" val="90"/>
      </iconSet>
    </cfRule>
    <cfRule type="iconSet" priority="997">
      <iconSet>
        <cfvo type="percent" val="0"/>
        <cfvo type="num" val="95"/>
        <cfvo type="num" val="100"/>
      </iconSet>
    </cfRule>
    <cfRule type="iconSet" priority="993">
      <iconSet>
        <cfvo type="percent" val="0"/>
        <cfvo type="num" val="70"/>
        <cfvo type="num" val="90"/>
      </iconSet>
    </cfRule>
    <cfRule type="iconSet" priority="994">
      <iconSet>
        <cfvo type="percent" val="0"/>
        <cfvo type="num" val="70"/>
        <cfvo type="num" val="90"/>
      </iconSet>
    </cfRule>
    <cfRule type="iconSet" priority="995">
      <iconSet>
        <cfvo type="percent" val="0"/>
        <cfvo type="num" val="95"/>
        <cfvo type="num" val="100"/>
      </iconSet>
    </cfRule>
    <cfRule type="iconSet" priority="992">
      <iconSet>
        <cfvo type="percent" val="0"/>
        <cfvo type="num" val="95"/>
        <cfvo type="num" val="100"/>
      </iconSet>
    </cfRule>
  </conditionalFormatting>
  <conditionalFormatting sqref="O34">
    <cfRule type="iconSet" priority="1136">
      <iconSet>
        <cfvo type="percent" val="0"/>
        <cfvo type="num" val="95"/>
        <cfvo type="num" val="100"/>
      </iconSet>
    </cfRule>
  </conditionalFormatting>
  <conditionalFormatting sqref="O35:O36">
    <cfRule type="iconSet" priority="983">
      <iconSet>
        <cfvo type="percent" val="0"/>
        <cfvo type="num" val="95"/>
        <cfvo type="num" val="100"/>
      </iconSet>
    </cfRule>
    <cfRule type="iconSet" priority="985">
      <iconSet>
        <cfvo type="percent" val="0"/>
        <cfvo type="num" val="70"/>
        <cfvo type="num" val="90"/>
      </iconSet>
    </cfRule>
    <cfRule type="iconSet" priority="990">
      <iconSet>
        <cfvo type="percent" val="0"/>
        <cfvo type="num" val="70"/>
        <cfvo type="num" val="90"/>
      </iconSet>
    </cfRule>
    <cfRule type="iconSet" priority="989">
      <iconSet>
        <cfvo type="percent" val="0"/>
        <cfvo type="num" val="70"/>
        <cfvo type="num" val="90"/>
      </iconSet>
    </cfRule>
    <cfRule type="iconSet" priority="987">
      <iconSet>
        <cfvo type="percent" val="0"/>
        <cfvo type="num" val="95"/>
        <cfvo type="num" val="100"/>
      </iconSet>
    </cfRule>
    <cfRule type="iconSet" priority="988">
      <iconSet>
        <cfvo type="percent" val="0"/>
        <cfvo type="num" val="95"/>
        <cfvo type="num" val="100"/>
      </iconSet>
    </cfRule>
    <cfRule type="iconSet" priority="986">
      <iconSet>
        <cfvo type="percent" val="0"/>
        <cfvo type="num" val="95"/>
        <cfvo type="num" val="100"/>
      </iconSet>
    </cfRule>
    <cfRule type="iconSet" priority="984">
      <iconSet>
        <cfvo type="percent" val="0"/>
        <cfvo type="num" val="70"/>
        <cfvo type="num" val="90"/>
      </iconSet>
    </cfRule>
    <cfRule type="iconSet" priority="991">
      <iconSet>
        <cfvo type="percent" val="0"/>
        <cfvo type="num" val="95"/>
        <cfvo type="num" val="100"/>
      </iconSet>
    </cfRule>
  </conditionalFormatting>
  <conditionalFormatting sqref="O37">
    <cfRule type="iconSet" priority="1258">
      <iconSet>
        <cfvo type="percent" val="0"/>
        <cfvo type="num" val="70"/>
        <cfvo type="num" val="90"/>
      </iconSet>
    </cfRule>
    <cfRule type="iconSet" priority="1257">
      <iconSet>
        <cfvo type="percent" val="0"/>
        <cfvo type="num" val="95"/>
        <cfvo type="num" val="100"/>
      </iconSet>
    </cfRule>
    <cfRule type="iconSet" priority="1260">
      <iconSet>
        <cfvo type="percent" val="0"/>
        <cfvo type="num" val="95"/>
        <cfvo type="num" val="100"/>
      </iconSet>
    </cfRule>
    <cfRule type="iconSet" priority="1259">
      <iconSet>
        <cfvo type="percent" val="0"/>
        <cfvo type="num" val="70"/>
        <cfvo type="num" val="90"/>
      </iconSet>
    </cfRule>
  </conditionalFormatting>
  <conditionalFormatting sqref="O37:O38">
    <cfRule type="iconSet" priority="1252">
      <iconSet>
        <cfvo type="percent" val="0"/>
        <cfvo type="num" val="95"/>
        <cfvo type="num" val="100"/>
      </iconSet>
    </cfRule>
    <cfRule type="iconSet" priority="1250">
      <iconSet>
        <cfvo type="percent" val="0"/>
        <cfvo type="num" val="70"/>
        <cfvo type="num" val="90"/>
      </iconSet>
    </cfRule>
    <cfRule type="iconSet" priority="1249">
      <iconSet>
        <cfvo type="percent" val="0"/>
        <cfvo type="num" val="95"/>
        <cfvo type="num" val="100"/>
      </iconSet>
    </cfRule>
    <cfRule type="iconSet" priority="1248">
      <iconSet>
        <cfvo type="percent" val="0"/>
        <cfvo type="num" val="95"/>
        <cfvo type="num" val="100"/>
      </iconSet>
    </cfRule>
    <cfRule type="iconSet" priority="1247">
      <iconSet>
        <cfvo type="percent" val="0"/>
        <cfvo type="num" val="70"/>
        <cfvo type="num" val="90"/>
      </iconSet>
    </cfRule>
    <cfRule type="iconSet" priority="1246">
      <iconSet>
        <cfvo type="percent" val="0"/>
        <cfvo type="num" val="70"/>
        <cfvo type="num" val="90"/>
      </iconSet>
    </cfRule>
    <cfRule type="iconSet" priority="1245">
      <iconSet>
        <cfvo type="percent" val="0"/>
        <cfvo type="num" val="95"/>
        <cfvo type="num" val="100"/>
      </iconSet>
    </cfRule>
    <cfRule type="iconSet" priority="1251">
      <iconSet>
        <cfvo type="percent" val="0"/>
        <cfvo type="num" val="70"/>
        <cfvo type="num" val="90"/>
      </iconSet>
    </cfRule>
  </conditionalFormatting>
  <conditionalFormatting sqref="O37:O39">
    <cfRule type="iconSet" priority="1265">
      <iconSet>
        <cfvo type="percent" val="0"/>
        <cfvo type="num" val="95"/>
        <cfvo type="num" val="100"/>
      </iconSet>
    </cfRule>
  </conditionalFormatting>
  <conditionalFormatting sqref="O38">
    <cfRule type="iconSet" priority="1241">
      <iconSet>
        <cfvo type="percent" val="0"/>
        <cfvo type="num" val="95"/>
        <cfvo type="num" val="100"/>
      </iconSet>
    </cfRule>
    <cfRule type="iconSet" priority="1234">
      <iconSet>
        <cfvo type="percent" val="0"/>
        <cfvo type="num" val="70"/>
        <cfvo type="num" val="90"/>
      </iconSet>
    </cfRule>
    <cfRule type="iconSet" priority="1233">
      <iconSet>
        <cfvo type="percent" val="0"/>
        <cfvo type="num" val="95"/>
        <cfvo type="num" val="100"/>
      </iconSet>
    </cfRule>
    <cfRule type="iconSet" priority="1231">
      <iconSet>
        <cfvo type="percent" val="0"/>
        <cfvo type="num" val="95"/>
        <cfvo type="num" val="100"/>
      </iconSet>
    </cfRule>
    <cfRule type="iconSet" priority="1230">
      <iconSet>
        <cfvo type="percent" val="0"/>
        <cfvo type="num" val="70"/>
        <cfvo type="num" val="90"/>
      </iconSet>
    </cfRule>
    <cfRule type="iconSet" priority="1229">
      <iconSet>
        <cfvo type="percent" val="0"/>
        <cfvo type="num" val="70"/>
        <cfvo type="num" val="90"/>
      </iconSet>
    </cfRule>
    <cfRule type="iconSet" priority="1228">
      <iconSet>
        <cfvo type="percent" val="0"/>
        <cfvo type="num" val="95"/>
        <cfvo type="num" val="100"/>
      </iconSet>
    </cfRule>
    <cfRule type="iconSet" priority="1141">
      <iconSet>
        <cfvo type="percent" val="0"/>
        <cfvo type="num" val="95"/>
        <cfvo type="num" val="100"/>
      </iconSet>
    </cfRule>
    <cfRule type="iconSet" priority="1140">
      <iconSet>
        <cfvo type="percent" val="0"/>
        <cfvo type="num" val="70"/>
        <cfvo type="num" val="90"/>
      </iconSet>
    </cfRule>
    <cfRule type="iconSet" priority="1138">
      <iconSet>
        <cfvo type="percent" val="0"/>
        <cfvo type="num" val="95"/>
        <cfvo type="num" val="100"/>
      </iconSet>
    </cfRule>
    <cfRule type="iconSet" priority="1240">
      <iconSet>
        <cfvo type="percent" val="0"/>
        <cfvo type="num" val="95"/>
        <cfvo type="num" val="100"/>
      </iconSet>
    </cfRule>
    <cfRule type="iconSet" priority="1243">
      <iconSet>
        <cfvo type="percent" val="0"/>
        <cfvo type="num" val="70"/>
        <cfvo type="num" val="90"/>
      </iconSet>
    </cfRule>
    <cfRule type="iconSet" priority="1139">
      <iconSet>
        <cfvo type="percent" val="0"/>
        <cfvo type="num" val="70"/>
        <cfvo type="num" val="90"/>
      </iconSet>
    </cfRule>
    <cfRule type="iconSet" priority="1256">
      <iconSet>
        <cfvo type="percent" val="0"/>
        <cfvo type="num" val="95"/>
        <cfvo type="num" val="100"/>
      </iconSet>
    </cfRule>
    <cfRule type="iconSet" priority="1255">
      <iconSet>
        <cfvo type="percent" val="0"/>
        <cfvo type="num" val="70"/>
        <cfvo type="num" val="90"/>
      </iconSet>
    </cfRule>
    <cfRule type="iconSet" priority="1254">
      <iconSet>
        <cfvo type="percent" val="0"/>
        <cfvo type="num" val="70"/>
        <cfvo type="num" val="90"/>
      </iconSet>
    </cfRule>
    <cfRule type="iconSet" priority="1253">
      <iconSet>
        <cfvo type="percent" val="0"/>
        <cfvo type="num" val="95"/>
        <cfvo type="num" val="100"/>
      </iconSet>
    </cfRule>
    <cfRule type="iconSet" priority="1244">
      <iconSet>
        <cfvo type="percent" val="0"/>
        <cfvo type="num" val="95"/>
        <cfvo type="num" val="100"/>
      </iconSet>
    </cfRule>
    <cfRule type="iconSet" priority="1242">
      <iconSet>
        <cfvo type="percent" val="0"/>
        <cfvo type="num" val="70"/>
        <cfvo type="num" val="90"/>
      </iconSet>
    </cfRule>
    <cfRule type="iconSet" priority="1239">
      <iconSet>
        <cfvo type="percent" val="0"/>
        <cfvo type="num" val="70"/>
        <cfvo type="num" val="90"/>
      </iconSet>
    </cfRule>
    <cfRule type="iconSet" priority="1238">
      <iconSet>
        <cfvo type="percent" val="0"/>
        <cfvo type="num" val="70"/>
        <cfvo type="num" val="90"/>
      </iconSet>
    </cfRule>
    <cfRule type="iconSet" priority="1237">
      <iconSet>
        <cfvo type="percent" val="0"/>
        <cfvo type="num" val="95"/>
        <cfvo type="num" val="100"/>
      </iconSet>
    </cfRule>
    <cfRule type="iconSet" priority="1235">
      <iconSet>
        <cfvo type="percent" val="0"/>
        <cfvo type="num" val="70"/>
        <cfvo type="num" val="90"/>
      </iconSet>
    </cfRule>
    <cfRule type="iconSet" priority="1236">
      <iconSet>
        <cfvo type="percent" val="0"/>
        <cfvo type="num" val="95"/>
        <cfvo type="num" val="100"/>
      </iconSet>
    </cfRule>
  </conditionalFormatting>
  <conditionalFormatting sqref="O39">
    <cfRule type="iconSet" priority="1175">
      <iconSet>
        <cfvo type="percent" val="0"/>
        <cfvo type="num" val="70"/>
        <cfvo type="num" val="90"/>
      </iconSet>
    </cfRule>
    <cfRule type="iconSet" priority="1176">
      <iconSet>
        <cfvo type="percent" val="0"/>
        <cfvo type="num" val="70"/>
        <cfvo type="num" val="90"/>
      </iconSet>
    </cfRule>
    <cfRule type="iconSet" priority="1177">
      <iconSet>
        <cfvo type="percent" val="0"/>
        <cfvo type="num" val="95"/>
        <cfvo type="num" val="100"/>
      </iconSet>
    </cfRule>
    <cfRule type="iconSet" priority="1178">
      <iconSet>
        <cfvo type="percent" val="0"/>
        <cfvo type="num" val="95"/>
        <cfvo type="num" val="100"/>
      </iconSet>
    </cfRule>
    <cfRule type="iconSet" priority="1179">
      <iconSet>
        <cfvo type="percent" val="0"/>
        <cfvo type="num" val="70"/>
        <cfvo type="num" val="90"/>
      </iconSet>
    </cfRule>
    <cfRule type="iconSet" priority="1180">
      <iconSet>
        <cfvo type="percent" val="0"/>
        <cfvo type="num" val="70"/>
        <cfvo type="num" val="90"/>
      </iconSet>
    </cfRule>
    <cfRule type="iconSet" priority="1181">
      <iconSet>
        <cfvo type="percent" val="0"/>
        <cfvo type="num" val="95"/>
        <cfvo type="num" val="100"/>
      </iconSet>
    </cfRule>
    <cfRule type="iconSet" priority="1182">
      <iconSet>
        <cfvo type="percent" val="0"/>
        <cfvo type="num" val="95"/>
        <cfvo type="num" val="100"/>
      </iconSet>
    </cfRule>
    <cfRule type="iconSet" priority="1183">
      <iconSet>
        <cfvo type="percent" val="0"/>
        <cfvo type="num" val="70"/>
        <cfvo type="num" val="90"/>
      </iconSet>
    </cfRule>
    <cfRule type="iconSet" priority="1184">
      <iconSet>
        <cfvo type="percent" val="0"/>
        <cfvo type="num" val="70"/>
        <cfvo type="num" val="90"/>
      </iconSet>
    </cfRule>
    <cfRule type="iconSet" priority="1186">
      <iconSet>
        <cfvo type="percent" val="0"/>
        <cfvo type="num" val="95"/>
        <cfvo type="num" val="100"/>
      </iconSet>
    </cfRule>
    <cfRule type="iconSet" priority="1187">
      <iconSet>
        <cfvo type="percent" val="0"/>
        <cfvo type="num" val="70"/>
        <cfvo type="num" val="90"/>
      </iconSet>
    </cfRule>
    <cfRule type="iconSet" priority="1188">
      <iconSet>
        <cfvo type="percent" val="0"/>
        <cfvo type="num" val="70"/>
        <cfvo type="num" val="90"/>
      </iconSet>
    </cfRule>
    <cfRule type="iconSet" priority="1189">
      <iconSet>
        <cfvo type="percent" val="0"/>
        <cfvo type="num" val="95"/>
        <cfvo type="num" val="100"/>
      </iconSet>
    </cfRule>
    <cfRule type="iconSet" priority="1190">
      <iconSet>
        <cfvo type="percent" val="0"/>
        <cfvo type="num" val="95"/>
        <cfvo type="num" val="100"/>
      </iconSet>
    </cfRule>
    <cfRule type="iconSet" priority="1191">
      <iconSet>
        <cfvo type="percent" val="0"/>
        <cfvo type="num" val="70"/>
        <cfvo type="num" val="90"/>
      </iconSet>
    </cfRule>
    <cfRule type="iconSet" priority="1192">
      <iconSet>
        <cfvo type="percent" val="0"/>
        <cfvo type="num" val="70"/>
        <cfvo type="num" val="90"/>
      </iconSet>
    </cfRule>
    <cfRule type="iconSet" priority="1194">
      <iconSet>
        <cfvo type="percent" val="0"/>
        <cfvo type="num" val="95"/>
        <cfvo type="num" val="100"/>
      </iconSet>
    </cfRule>
    <cfRule type="iconSet" priority="1193">
      <iconSet>
        <cfvo type="percent" val="0"/>
        <cfvo type="num" val="95"/>
        <cfvo type="num" val="100"/>
      </iconSet>
    </cfRule>
    <cfRule type="iconSet" priority="1196">
      <iconSet>
        <cfvo type="percent" val="0"/>
        <cfvo type="num" val="70"/>
        <cfvo type="num" val="90"/>
      </iconSet>
    </cfRule>
    <cfRule type="iconSet" priority="1197">
      <iconSet>
        <cfvo type="percent" val="0"/>
        <cfvo type="num" val="95"/>
        <cfvo type="num" val="100"/>
      </iconSet>
    </cfRule>
    <cfRule type="iconSet" priority="1170">
      <iconSet>
        <cfvo type="percent" val="0"/>
        <cfvo type="num" val="95"/>
        <cfvo type="num" val="100"/>
      </iconSet>
    </cfRule>
    <cfRule type="iconSet" priority="1172">
      <iconSet>
        <cfvo type="percent" val="0"/>
        <cfvo type="num" val="70"/>
        <cfvo type="num" val="90"/>
      </iconSet>
    </cfRule>
    <cfRule type="iconSet" priority="1195">
      <iconSet>
        <cfvo type="percent" val="0"/>
        <cfvo type="num" val="70"/>
        <cfvo type="num" val="90"/>
      </iconSet>
    </cfRule>
    <cfRule type="iconSet" priority="1261">
      <iconSet>
        <cfvo type="percent" val="0"/>
        <cfvo type="num" val="70"/>
        <cfvo type="num" val="90"/>
      </iconSet>
    </cfRule>
    <cfRule type="iconSet" priority="1262">
      <iconSet>
        <cfvo type="percent" val="0"/>
        <cfvo type="num" val="95"/>
        <cfvo type="num" val="100"/>
      </iconSet>
    </cfRule>
    <cfRule type="iconSet" priority="1171">
      <iconSet>
        <cfvo type="percent" val="0"/>
        <cfvo type="num" val="70"/>
        <cfvo type="num" val="90"/>
      </iconSet>
    </cfRule>
    <cfRule type="iconSet" priority="1174">
      <iconSet>
        <cfvo type="percent" val="0"/>
        <cfvo type="num" val="95"/>
        <cfvo type="num" val="100"/>
      </iconSet>
    </cfRule>
    <cfRule type="iconSet" priority="1173">
      <iconSet>
        <cfvo type="percent" val="0"/>
        <cfvo type="num" val="95"/>
        <cfvo type="num" val="100"/>
      </iconSet>
    </cfRule>
    <cfRule type="iconSet" priority="1185">
      <iconSet>
        <cfvo type="percent" val="0"/>
        <cfvo type="num" val="95"/>
        <cfvo type="num" val="100"/>
      </iconSet>
    </cfRule>
  </conditionalFormatting>
  <conditionalFormatting sqref="O40">
    <cfRule type="iconSet" priority="634">
      <iconSet>
        <cfvo type="percent" val="0"/>
        <cfvo type="num" val="95"/>
        <cfvo type="num" val="100"/>
      </iconSet>
    </cfRule>
    <cfRule type="iconSet" priority="632">
      <iconSet>
        <cfvo type="percent" val="0"/>
        <cfvo type="num" val="70"/>
        <cfvo type="num" val="90"/>
      </iconSet>
    </cfRule>
    <cfRule type="iconSet" priority="635">
      <iconSet>
        <cfvo type="percent" val="0"/>
        <cfvo type="num" val="70"/>
        <cfvo type="num" val="90"/>
      </iconSet>
    </cfRule>
    <cfRule type="iconSet" priority="636">
      <iconSet>
        <cfvo type="percent" val="0"/>
        <cfvo type="num" val="70"/>
        <cfvo type="num" val="90"/>
      </iconSet>
    </cfRule>
    <cfRule type="iconSet" priority="637">
      <iconSet>
        <cfvo type="percent" val="0"/>
        <cfvo type="num" val="95"/>
        <cfvo type="num" val="100"/>
      </iconSet>
    </cfRule>
    <cfRule type="iconSet" priority="628">
      <iconSet>
        <cfvo type="percent" val="0"/>
        <cfvo type="num" val="70"/>
        <cfvo type="num" val="90"/>
      </iconSet>
    </cfRule>
    <cfRule type="iconSet" priority="629">
      <iconSet>
        <cfvo type="percent" val="0"/>
        <cfvo type="num" val="95"/>
        <cfvo type="num" val="100"/>
      </iconSet>
    </cfRule>
    <cfRule type="iconSet" priority="638">
      <iconSet>
        <cfvo type="percent" val="0"/>
        <cfvo type="num" val="95"/>
        <cfvo type="num" val="100"/>
      </iconSet>
    </cfRule>
    <cfRule type="iconSet" priority="640">
      <iconSet>
        <cfvo type="percent" val="0"/>
        <cfvo type="num" val="70"/>
        <cfvo type="num" val="90"/>
      </iconSet>
    </cfRule>
    <cfRule type="iconSet" priority="641">
      <iconSet>
        <cfvo type="percent" val="0"/>
        <cfvo type="num" val="95"/>
        <cfvo type="num" val="100"/>
      </iconSet>
    </cfRule>
    <cfRule type="iconSet" priority="630">
      <iconSet>
        <cfvo type="percent" val="0"/>
        <cfvo type="num" val="95"/>
        <cfvo type="num" val="100"/>
      </iconSet>
    </cfRule>
    <cfRule type="iconSet" priority="642">
      <iconSet>
        <cfvo type="percent" val="0"/>
        <cfvo type="num" val="95"/>
        <cfvo type="num" val="100"/>
      </iconSet>
    </cfRule>
    <cfRule type="iconSet" priority="618">
      <iconSet>
        <cfvo type="percent" val="0"/>
        <cfvo type="num" val="95"/>
        <cfvo type="num" val="100"/>
      </iconSet>
    </cfRule>
    <cfRule type="iconSet" priority="619">
      <iconSet>
        <cfvo type="percent" val="0"/>
        <cfvo type="num" val="70"/>
        <cfvo type="num" val="90"/>
      </iconSet>
    </cfRule>
    <cfRule type="iconSet" priority="620">
      <iconSet>
        <cfvo type="percent" val="0"/>
        <cfvo type="num" val="70"/>
        <cfvo type="num" val="90"/>
      </iconSet>
    </cfRule>
    <cfRule type="iconSet" priority="621">
      <iconSet>
        <cfvo type="percent" val="0"/>
        <cfvo type="num" val="95"/>
        <cfvo type="num" val="100"/>
      </iconSet>
    </cfRule>
    <cfRule type="iconSet" priority="622">
      <iconSet>
        <cfvo type="percent" val="0"/>
        <cfvo type="num" val="95"/>
        <cfvo type="num" val="100"/>
      </iconSet>
    </cfRule>
    <cfRule type="iconSet" priority="623">
      <iconSet>
        <cfvo type="percent" val="0"/>
        <cfvo type="num" val="70"/>
        <cfvo type="num" val="90"/>
      </iconSet>
    </cfRule>
    <cfRule type="iconSet" priority="624">
      <iconSet>
        <cfvo type="percent" val="0"/>
        <cfvo type="num" val="70"/>
        <cfvo type="num" val="90"/>
      </iconSet>
    </cfRule>
    <cfRule type="iconSet" priority="625">
      <iconSet>
        <cfvo type="percent" val="0"/>
        <cfvo type="num" val="95"/>
        <cfvo type="num" val="100"/>
      </iconSet>
    </cfRule>
    <cfRule type="iconSet" priority="639">
      <iconSet>
        <cfvo type="percent" val="0"/>
        <cfvo type="num" val="70"/>
        <cfvo type="num" val="90"/>
      </iconSet>
    </cfRule>
    <cfRule type="iconSet" priority="643">
      <iconSet>
        <cfvo type="percent" val="0"/>
        <cfvo type="num" val="70"/>
        <cfvo type="num" val="90"/>
      </iconSet>
    </cfRule>
    <cfRule type="iconSet" priority="644">
      <iconSet>
        <cfvo type="percent" val="0"/>
        <cfvo type="num" val="70"/>
        <cfvo type="num" val="90"/>
      </iconSet>
    </cfRule>
    <cfRule type="iconSet" priority="645">
      <iconSet>
        <cfvo type="percent" val="0"/>
        <cfvo type="num" val="95"/>
        <cfvo type="num" val="100"/>
      </iconSet>
    </cfRule>
    <cfRule type="iconSet" priority="646">
      <iconSet>
        <cfvo type="percent" val="0"/>
        <cfvo type="num" val="70"/>
        <cfvo type="num" val="90"/>
      </iconSet>
    </cfRule>
    <cfRule type="iconSet" priority="631">
      <iconSet>
        <cfvo type="percent" val="0"/>
        <cfvo type="num" val="70"/>
        <cfvo type="num" val="90"/>
      </iconSet>
    </cfRule>
    <cfRule type="iconSet" priority="647">
      <iconSet>
        <cfvo type="percent" val="0"/>
        <cfvo type="num" val="95"/>
        <cfvo type="num" val="100"/>
      </iconSet>
    </cfRule>
    <cfRule type="iconSet" priority="648">
      <iconSet>
        <cfvo type="percent" val="0"/>
        <cfvo type="num" val="95"/>
        <cfvo type="num" val="100"/>
      </iconSet>
    </cfRule>
    <cfRule type="iconSet" priority="627">
      <iconSet>
        <cfvo type="percent" val="0"/>
        <cfvo type="num" val="70"/>
        <cfvo type="num" val="90"/>
      </iconSet>
    </cfRule>
    <cfRule type="iconSet" priority="633">
      <iconSet>
        <cfvo type="percent" val="0"/>
        <cfvo type="num" val="95"/>
        <cfvo type="num" val="100"/>
      </iconSet>
    </cfRule>
    <cfRule type="iconSet" priority="626">
      <iconSet>
        <cfvo type="percent" val="0"/>
        <cfvo type="num" val="95"/>
        <cfvo type="num" val="100"/>
      </iconSet>
    </cfRule>
  </conditionalFormatting>
  <conditionalFormatting sqref="O41">
    <cfRule type="iconSet" priority="1137">
      <iconSet>
        <cfvo type="percent" val="0"/>
        <cfvo type="num" val="95"/>
        <cfvo type="num" val="100"/>
      </iconSet>
    </cfRule>
  </conditionalFormatting>
  <conditionalFormatting sqref="U8">
    <cfRule type="iconSet" priority="835">
      <iconSet>
        <cfvo type="percent" val="0"/>
        <cfvo type="num" val="95"/>
        <cfvo type="num" val="100"/>
      </iconSet>
    </cfRule>
    <cfRule type="iconSet" priority="836">
      <iconSet>
        <cfvo type="percent" val="0"/>
        <cfvo type="num" val="70"/>
        <cfvo type="num" val="90"/>
      </iconSet>
    </cfRule>
    <cfRule type="iconSet" priority="839">
      <iconSet>
        <cfvo type="percent" val="0"/>
        <cfvo type="num" val="95"/>
        <cfvo type="num" val="100"/>
      </iconSet>
    </cfRule>
    <cfRule type="iconSet" priority="843">
      <iconSet>
        <cfvo type="percent" val="0"/>
        <cfvo type="num" val="95"/>
        <cfvo type="num" val="100"/>
      </iconSet>
    </cfRule>
    <cfRule type="iconSet" priority="842">
      <iconSet>
        <cfvo type="percent" val="0"/>
        <cfvo type="num" val="70"/>
        <cfvo type="num" val="90"/>
      </iconSet>
    </cfRule>
    <cfRule type="iconSet" priority="841">
      <iconSet>
        <cfvo type="percent" val="0"/>
        <cfvo type="num" val="70"/>
        <cfvo type="num" val="90"/>
      </iconSet>
    </cfRule>
    <cfRule type="iconSet" priority="840">
      <iconSet>
        <cfvo type="percent" val="0"/>
        <cfvo type="num" val="95"/>
        <cfvo type="num" val="100"/>
      </iconSet>
    </cfRule>
    <cfRule type="iconSet" priority="838">
      <iconSet>
        <cfvo type="percent" val="0"/>
        <cfvo type="num" val="95"/>
        <cfvo type="num" val="100"/>
      </iconSet>
    </cfRule>
    <cfRule type="iconSet" priority="837">
      <iconSet>
        <cfvo type="percent" val="0"/>
        <cfvo type="num" val="70"/>
        <cfvo type="num" val="90"/>
      </iconSet>
    </cfRule>
  </conditionalFormatting>
  <conditionalFormatting sqref="U9">
    <cfRule type="iconSet" priority="689">
      <iconSet>
        <cfvo type="percent" val="0"/>
        <cfvo type="num" val="70"/>
        <cfvo type="num" val="90"/>
      </iconSet>
    </cfRule>
    <cfRule type="iconSet" priority="690">
      <iconSet>
        <cfvo type="percent" val="0"/>
        <cfvo type="num" val="95"/>
        <cfvo type="num" val="100"/>
      </iconSet>
    </cfRule>
    <cfRule type="iconSet" priority="688">
      <iconSet>
        <cfvo type="percent" val="0"/>
        <cfvo type="num" val="70"/>
        <cfvo type="num" val="90"/>
      </iconSet>
    </cfRule>
    <cfRule type="iconSet" priority="682">
      <iconSet>
        <cfvo type="percent" val="0"/>
        <cfvo type="num" val="95"/>
        <cfvo type="num" val="100"/>
      </iconSet>
    </cfRule>
    <cfRule type="iconSet" priority="683">
      <iconSet>
        <cfvo type="percent" val="0"/>
        <cfvo type="num" val="70"/>
        <cfvo type="num" val="90"/>
      </iconSet>
    </cfRule>
    <cfRule type="iconSet" priority="685">
      <iconSet>
        <cfvo type="percent" val="0"/>
        <cfvo type="num" val="95"/>
        <cfvo type="num" val="100"/>
      </iconSet>
    </cfRule>
    <cfRule type="iconSet" priority="686">
      <iconSet>
        <cfvo type="percent" val="0"/>
        <cfvo type="num" val="95"/>
        <cfvo type="num" val="100"/>
      </iconSet>
    </cfRule>
    <cfRule type="iconSet" priority="687">
      <iconSet>
        <cfvo type="percent" val="0"/>
        <cfvo type="num" val="95"/>
        <cfvo type="num" val="100"/>
      </iconSet>
    </cfRule>
    <cfRule type="iconSet" priority="684">
      <iconSet>
        <cfvo type="percent" val="0"/>
        <cfvo type="num" val="70"/>
        <cfvo type="num" val="90"/>
      </iconSet>
    </cfRule>
  </conditionalFormatting>
  <conditionalFormatting sqref="U10">
    <cfRule type="iconSet" priority="829">
      <iconSet>
        <cfvo type="percent" val="0"/>
        <cfvo type="num" val="95"/>
        <cfvo type="num" val="100"/>
      </iconSet>
    </cfRule>
    <cfRule type="iconSet" priority="828">
      <iconSet>
        <cfvo type="percent" val="0"/>
        <cfvo type="num" val="70"/>
        <cfvo type="num" val="90"/>
      </iconSet>
    </cfRule>
    <cfRule type="iconSet" priority="827">
      <iconSet>
        <cfvo type="percent" val="0"/>
        <cfvo type="num" val="70"/>
        <cfvo type="num" val="90"/>
      </iconSet>
    </cfRule>
    <cfRule type="iconSet" priority="826">
      <iconSet>
        <cfvo type="percent" val="0"/>
        <cfvo type="num" val="95"/>
        <cfvo type="num" val="100"/>
      </iconSet>
    </cfRule>
    <cfRule type="iconSet" priority="834">
      <iconSet>
        <cfvo type="percent" val="0"/>
        <cfvo type="num" val="95"/>
        <cfvo type="num" val="100"/>
      </iconSet>
    </cfRule>
    <cfRule type="iconSet" priority="833">
      <iconSet>
        <cfvo type="percent" val="0"/>
        <cfvo type="num" val="70"/>
        <cfvo type="num" val="90"/>
      </iconSet>
    </cfRule>
    <cfRule type="iconSet" priority="832">
      <iconSet>
        <cfvo type="percent" val="0"/>
        <cfvo type="num" val="70"/>
        <cfvo type="num" val="90"/>
      </iconSet>
    </cfRule>
    <cfRule type="iconSet" priority="831">
      <iconSet>
        <cfvo type="percent" val="0"/>
        <cfvo type="num" val="95"/>
        <cfvo type="num" val="100"/>
      </iconSet>
    </cfRule>
    <cfRule type="iconSet" priority="830">
      <iconSet>
        <cfvo type="percent" val="0"/>
        <cfvo type="num" val="95"/>
        <cfvo type="num" val="100"/>
      </iconSet>
    </cfRule>
  </conditionalFormatting>
  <conditionalFormatting sqref="U12">
    <cfRule type="iconSet" priority="819">
      <iconSet>
        <cfvo type="percent" val="0"/>
        <cfvo type="num" val="70"/>
        <cfvo type="num" val="90"/>
      </iconSet>
    </cfRule>
    <cfRule type="iconSet" priority="820">
      <iconSet>
        <cfvo type="percent" val="0"/>
        <cfvo type="num" val="95"/>
        <cfvo type="num" val="100"/>
      </iconSet>
    </cfRule>
    <cfRule type="iconSet" priority="821">
      <iconSet>
        <cfvo type="percent" val="0"/>
        <cfvo type="num" val="95"/>
        <cfvo type="num" val="100"/>
      </iconSet>
    </cfRule>
    <cfRule type="iconSet" priority="822">
      <iconSet>
        <cfvo type="percent" val="0"/>
        <cfvo type="num" val="95"/>
        <cfvo type="num" val="100"/>
      </iconSet>
    </cfRule>
    <cfRule type="iconSet" priority="823">
      <iconSet>
        <cfvo type="percent" val="0"/>
        <cfvo type="num" val="70"/>
        <cfvo type="num" val="90"/>
      </iconSet>
    </cfRule>
    <cfRule type="iconSet" priority="817">
      <iconSet>
        <cfvo type="percent" val="0"/>
        <cfvo type="num" val="95"/>
        <cfvo type="num" val="100"/>
      </iconSet>
    </cfRule>
    <cfRule type="iconSet" priority="818">
      <iconSet>
        <cfvo type="percent" val="0"/>
        <cfvo type="num" val="70"/>
        <cfvo type="num" val="90"/>
      </iconSet>
    </cfRule>
    <cfRule type="iconSet" priority="825">
      <iconSet>
        <cfvo type="percent" val="0"/>
        <cfvo type="num" val="95"/>
        <cfvo type="num" val="100"/>
      </iconSet>
    </cfRule>
    <cfRule type="iconSet" priority="824">
      <iconSet>
        <cfvo type="percent" val="0"/>
        <cfvo type="num" val="70"/>
        <cfvo type="num" val="90"/>
      </iconSet>
    </cfRule>
  </conditionalFormatting>
  <conditionalFormatting sqref="U13">
    <cfRule type="iconSet" priority="814">
      <iconSet>
        <cfvo type="percent" val="0"/>
        <cfvo type="num" val="70"/>
        <cfvo type="num" val="90"/>
      </iconSet>
    </cfRule>
    <cfRule type="iconSet" priority="815">
      <iconSet>
        <cfvo type="percent" val="0"/>
        <cfvo type="num" val="70"/>
        <cfvo type="num" val="90"/>
      </iconSet>
    </cfRule>
    <cfRule type="iconSet" priority="816">
      <iconSet>
        <cfvo type="percent" val="0"/>
        <cfvo type="num" val="95"/>
        <cfvo type="num" val="100"/>
      </iconSet>
    </cfRule>
    <cfRule type="iconSet" priority="808">
      <iconSet>
        <cfvo type="percent" val="0"/>
        <cfvo type="num" val="95"/>
        <cfvo type="num" val="100"/>
      </iconSet>
    </cfRule>
    <cfRule type="iconSet" priority="809">
      <iconSet>
        <cfvo type="percent" val="0"/>
        <cfvo type="num" val="70"/>
        <cfvo type="num" val="90"/>
      </iconSet>
    </cfRule>
    <cfRule type="iconSet" priority="810">
      <iconSet>
        <cfvo type="percent" val="0"/>
        <cfvo type="num" val="70"/>
        <cfvo type="num" val="90"/>
      </iconSet>
    </cfRule>
    <cfRule type="iconSet" priority="811">
      <iconSet>
        <cfvo type="percent" val="0"/>
        <cfvo type="num" val="95"/>
        <cfvo type="num" val="100"/>
      </iconSet>
    </cfRule>
    <cfRule type="iconSet" priority="812">
      <iconSet>
        <cfvo type="percent" val="0"/>
        <cfvo type="num" val="95"/>
        <cfvo type="num" val="100"/>
      </iconSet>
    </cfRule>
    <cfRule type="iconSet" priority="813">
      <iconSet>
        <cfvo type="percent" val="0"/>
        <cfvo type="num" val="95"/>
        <cfvo type="num" val="100"/>
      </iconSet>
    </cfRule>
  </conditionalFormatting>
  <conditionalFormatting sqref="U14">
    <cfRule type="iconSet" priority="805">
      <iconSet>
        <cfvo type="percent" val="0"/>
        <cfvo type="num" val="70"/>
        <cfvo type="num" val="90"/>
      </iconSet>
    </cfRule>
    <cfRule type="iconSet" priority="799">
      <iconSet>
        <cfvo type="percent" val="0"/>
        <cfvo type="num" val="95"/>
        <cfvo type="num" val="100"/>
      </iconSet>
    </cfRule>
    <cfRule type="iconSet" priority="807">
      <iconSet>
        <cfvo type="percent" val="0"/>
        <cfvo type="num" val="95"/>
        <cfvo type="num" val="100"/>
      </iconSet>
    </cfRule>
    <cfRule type="iconSet" priority="806">
      <iconSet>
        <cfvo type="percent" val="0"/>
        <cfvo type="num" val="70"/>
        <cfvo type="num" val="90"/>
      </iconSet>
    </cfRule>
    <cfRule type="iconSet" priority="804">
      <iconSet>
        <cfvo type="percent" val="0"/>
        <cfvo type="num" val="95"/>
        <cfvo type="num" val="100"/>
      </iconSet>
    </cfRule>
    <cfRule type="iconSet" priority="803">
      <iconSet>
        <cfvo type="percent" val="0"/>
        <cfvo type="num" val="95"/>
        <cfvo type="num" val="100"/>
      </iconSet>
    </cfRule>
    <cfRule type="iconSet" priority="802">
      <iconSet>
        <cfvo type="percent" val="0"/>
        <cfvo type="num" val="95"/>
        <cfvo type="num" val="100"/>
      </iconSet>
    </cfRule>
    <cfRule type="iconSet" priority="801">
      <iconSet>
        <cfvo type="percent" val="0"/>
        <cfvo type="num" val="70"/>
        <cfvo type="num" val="90"/>
      </iconSet>
    </cfRule>
    <cfRule type="iconSet" priority="800">
      <iconSet>
        <cfvo type="percent" val="0"/>
        <cfvo type="num" val="70"/>
        <cfvo type="num" val="90"/>
      </iconSet>
    </cfRule>
  </conditionalFormatting>
  <conditionalFormatting sqref="U16">
    <cfRule type="iconSet" priority="798">
      <iconSet>
        <cfvo type="percent" val="0"/>
        <cfvo type="num" val="95"/>
        <cfvo type="num" val="100"/>
      </iconSet>
    </cfRule>
    <cfRule type="iconSet" priority="796">
      <iconSet>
        <cfvo type="percent" val="0"/>
        <cfvo type="num" val="70"/>
        <cfvo type="num" val="90"/>
      </iconSet>
    </cfRule>
    <cfRule type="iconSet" priority="795">
      <iconSet>
        <cfvo type="percent" val="0"/>
        <cfvo type="num" val="95"/>
        <cfvo type="num" val="100"/>
      </iconSet>
    </cfRule>
    <cfRule type="iconSet" priority="794">
      <iconSet>
        <cfvo type="percent" val="0"/>
        <cfvo type="num" val="95"/>
        <cfvo type="num" val="100"/>
      </iconSet>
    </cfRule>
    <cfRule type="iconSet" priority="793">
      <iconSet>
        <cfvo type="percent" val="0"/>
        <cfvo type="num" val="95"/>
        <cfvo type="num" val="100"/>
      </iconSet>
    </cfRule>
    <cfRule type="iconSet" priority="792">
      <iconSet>
        <cfvo type="percent" val="0"/>
        <cfvo type="num" val="70"/>
        <cfvo type="num" val="90"/>
      </iconSet>
    </cfRule>
    <cfRule type="iconSet" priority="791">
      <iconSet>
        <cfvo type="percent" val="0"/>
        <cfvo type="num" val="70"/>
        <cfvo type="num" val="90"/>
      </iconSet>
    </cfRule>
    <cfRule type="iconSet" priority="790">
      <iconSet>
        <cfvo type="percent" val="0"/>
        <cfvo type="num" val="95"/>
        <cfvo type="num" val="100"/>
      </iconSet>
    </cfRule>
    <cfRule type="iconSet" priority="797">
      <iconSet>
        <cfvo type="percent" val="0"/>
        <cfvo type="num" val="70"/>
        <cfvo type="num" val="90"/>
      </iconSet>
    </cfRule>
  </conditionalFormatting>
  <conditionalFormatting sqref="U17">
    <cfRule type="iconSet" priority="788">
      <iconSet>
        <cfvo type="percent" val="0"/>
        <cfvo type="num" val="70"/>
        <cfvo type="num" val="90"/>
      </iconSet>
    </cfRule>
    <cfRule type="iconSet" priority="789">
      <iconSet>
        <cfvo type="percent" val="0"/>
        <cfvo type="num" val="95"/>
        <cfvo type="num" val="100"/>
      </iconSet>
    </cfRule>
    <cfRule type="iconSet" priority="787">
      <iconSet>
        <cfvo type="percent" val="0"/>
        <cfvo type="num" val="70"/>
        <cfvo type="num" val="90"/>
      </iconSet>
    </cfRule>
    <cfRule type="iconSet" priority="786">
      <iconSet>
        <cfvo type="percent" val="0"/>
        <cfvo type="num" val="95"/>
        <cfvo type="num" val="100"/>
      </iconSet>
    </cfRule>
    <cfRule type="iconSet" priority="785">
      <iconSet>
        <cfvo type="percent" val="0"/>
        <cfvo type="num" val="95"/>
        <cfvo type="num" val="100"/>
      </iconSet>
    </cfRule>
    <cfRule type="iconSet" priority="784">
      <iconSet>
        <cfvo type="percent" val="0"/>
        <cfvo type="num" val="95"/>
        <cfvo type="num" val="100"/>
      </iconSet>
    </cfRule>
    <cfRule type="iconSet" priority="783">
      <iconSet>
        <cfvo type="percent" val="0"/>
        <cfvo type="num" val="70"/>
        <cfvo type="num" val="90"/>
      </iconSet>
    </cfRule>
    <cfRule type="iconSet" priority="782">
      <iconSet>
        <cfvo type="percent" val="0"/>
        <cfvo type="num" val="70"/>
        <cfvo type="num" val="90"/>
      </iconSet>
    </cfRule>
    <cfRule type="iconSet" priority="781">
      <iconSet>
        <cfvo type="percent" val="0"/>
        <cfvo type="num" val="95"/>
        <cfvo type="num" val="100"/>
      </iconSet>
    </cfRule>
  </conditionalFormatting>
  <conditionalFormatting sqref="U18">
    <cfRule type="iconSet" priority="777">
      <iconSet>
        <cfvo type="percent" val="0"/>
        <cfvo type="num" val="95"/>
        <cfvo type="num" val="100"/>
      </iconSet>
    </cfRule>
    <cfRule type="iconSet" priority="780">
      <iconSet>
        <cfvo type="percent" val="0"/>
        <cfvo type="num" val="95"/>
        <cfvo type="num" val="100"/>
      </iconSet>
    </cfRule>
    <cfRule type="iconSet" priority="779">
      <iconSet>
        <cfvo type="percent" val="0"/>
        <cfvo type="num" val="70"/>
        <cfvo type="num" val="90"/>
      </iconSet>
    </cfRule>
    <cfRule type="iconSet" priority="778">
      <iconSet>
        <cfvo type="percent" val="0"/>
        <cfvo type="num" val="70"/>
        <cfvo type="num" val="90"/>
      </iconSet>
    </cfRule>
    <cfRule type="iconSet" priority="776">
      <iconSet>
        <cfvo type="percent" val="0"/>
        <cfvo type="num" val="95"/>
        <cfvo type="num" val="100"/>
      </iconSet>
    </cfRule>
    <cfRule type="iconSet" priority="775">
      <iconSet>
        <cfvo type="percent" val="0"/>
        <cfvo type="num" val="95"/>
        <cfvo type="num" val="100"/>
      </iconSet>
    </cfRule>
    <cfRule type="iconSet" priority="774">
      <iconSet>
        <cfvo type="percent" val="0"/>
        <cfvo type="num" val="70"/>
        <cfvo type="num" val="90"/>
      </iconSet>
    </cfRule>
    <cfRule type="iconSet" priority="773">
      <iconSet>
        <cfvo type="percent" val="0"/>
        <cfvo type="num" val="70"/>
        <cfvo type="num" val="90"/>
      </iconSet>
    </cfRule>
    <cfRule type="iconSet" priority="772">
      <iconSet>
        <cfvo type="percent" val="0"/>
        <cfvo type="num" val="95"/>
        <cfvo type="num" val="100"/>
      </iconSet>
    </cfRule>
  </conditionalFormatting>
  <conditionalFormatting sqref="U19">
    <cfRule type="iconSet" priority="930">
      <iconSet>
        <cfvo type="percent" val="0"/>
        <cfvo type="num" val="95"/>
        <cfvo type="num" val="100"/>
      </iconSet>
    </cfRule>
    <cfRule type="iconSet" priority="931">
      <iconSet>
        <cfvo type="percent" val="0"/>
        <cfvo type="num" val="95"/>
        <cfvo type="num" val="100"/>
      </iconSet>
    </cfRule>
    <cfRule type="iconSet" priority="932">
      <iconSet>
        <cfvo type="percent" val="0"/>
        <cfvo type="num" val="70"/>
        <cfvo type="num" val="90"/>
      </iconSet>
    </cfRule>
    <cfRule type="iconSet" priority="933">
      <iconSet>
        <cfvo type="percent" val="0"/>
        <cfvo type="num" val="70"/>
        <cfvo type="num" val="90"/>
      </iconSet>
    </cfRule>
    <cfRule type="iconSet" priority="934">
      <iconSet>
        <cfvo type="percent" val="0"/>
        <cfvo type="num" val="95"/>
        <cfvo type="num" val="100"/>
      </iconSet>
    </cfRule>
    <cfRule type="iconSet" priority="935">
      <iconSet>
        <cfvo type="percent" val="0"/>
        <cfvo type="num" val="95"/>
        <cfvo type="num" val="100"/>
      </iconSet>
    </cfRule>
    <cfRule type="iconSet" priority="923">
      <iconSet>
        <cfvo type="percent" val="0"/>
        <cfvo type="num" val="95"/>
        <cfvo type="num" val="100"/>
      </iconSet>
    </cfRule>
    <cfRule type="iconSet" priority="913">
      <iconSet>
        <cfvo type="percent" val="0"/>
        <cfvo type="num" val="70"/>
        <cfvo type="num" val="90"/>
      </iconSet>
    </cfRule>
    <cfRule type="iconSet" priority="912">
      <iconSet>
        <cfvo type="percent" val="0"/>
        <cfvo type="num" val="70"/>
        <cfvo type="num" val="90"/>
      </iconSet>
    </cfRule>
    <cfRule type="iconSet" priority="911">
      <iconSet>
        <cfvo type="percent" val="0"/>
        <cfvo type="num" val="95"/>
        <cfvo type="num" val="100"/>
      </iconSet>
    </cfRule>
    <cfRule type="iconSet" priority="910">
      <iconSet>
        <cfvo type="percent" val="0"/>
        <cfvo type="num" val="95"/>
        <cfvo type="num" val="100"/>
      </iconSet>
    </cfRule>
    <cfRule type="iconSet" priority="909">
      <iconSet>
        <cfvo type="percent" val="0"/>
        <cfvo type="num" val="70"/>
        <cfvo type="num" val="90"/>
      </iconSet>
    </cfRule>
    <cfRule type="iconSet" priority="908">
      <iconSet>
        <cfvo type="percent" val="0"/>
        <cfvo type="num" val="70"/>
        <cfvo type="num" val="90"/>
      </iconSet>
    </cfRule>
    <cfRule type="iconSet" priority="907">
      <iconSet>
        <cfvo type="percent" val="0"/>
        <cfvo type="num" val="95"/>
        <cfvo type="num" val="100"/>
      </iconSet>
    </cfRule>
    <cfRule type="iconSet" priority="915">
      <iconSet>
        <cfvo type="percent" val="0"/>
        <cfvo type="num" val="95"/>
        <cfvo type="num" val="100"/>
      </iconSet>
    </cfRule>
    <cfRule type="iconSet" priority="916">
      <iconSet>
        <cfvo type="percent" val="0"/>
        <cfvo type="num" val="70"/>
        <cfvo type="num" val="90"/>
      </iconSet>
    </cfRule>
    <cfRule type="iconSet" priority="917">
      <iconSet>
        <cfvo type="percent" val="0"/>
        <cfvo type="num" val="70"/>
        <cfvo type="num" val="90"/>
      </iconSet>
    </cfRule>
    <cfRule type="iconSet" priority="918">
      <iconSet>
        <cfvo type="percent" val="0"/>
        <cfvo type="num" val="95"/>
        <cfvo type="num" val="100"/>
      </iconSet>
    </cfRule>
    <cfRule type="iconSet" priority="919">
      <iconSet>
        <cfvo type="percent" val="0"/>
        <cfvo type="num" val="95"/>
        <cfvo type="num" val="100"/>
      </iconSet>
    </cfRule>
    <cfRule type="iconSet" priority="920">
      <iconSet>
        <cfvo type="percent" val="0"/>
        <cfvo type="num" val="70"/>
        <cfvo type="num" val="90"/>
      </iconSet>
    </cfRule>
    <cfRule type="iconSet" priority="914">
      <iconSet>
        <cfvo type="percent" val="0"/>
        <cfvo type="num" val="95"/>
        <cfvo type="num" val="100"/>
      </iconSet>
    </cfRule>
    <cfRule type="iconSet" priority="921">
      <iconSet>
        <cfvo type="percent" val="0"/>
        <cfvo type="num" val="70"/>
        <cfvo type="num" val="90"/>
      </iconSet>
    </cfRule>
    <cfRule type="iconSet" priority="922">
      <iconSet>
        <cfvo type="percent" val="0"/>
        <cfvo type="num" val="95"/>
        <cfvo type="num" val="100"/>
      </iconSet>
    </cfRule>
    <cfRule type="iconSet" priority="928">
      <iconSet>
        <cfvo type="percent" val="0"/>
        <cfvo type="num" val="70"/>
        <cfvo type="num" val="90"/>
      </iconSet>
    </cfRule>
    <cfRule type="iconSet" priority="924">
      <iconSet>
        <cfvo type="percent" val="0"/>
        <cfvo type="num" val="70"/>
        <cfvo type="num" val="90"/>
      </iconSet>
    </cfRule>
    <cfRule type="iconSet" priority="925">
      <iconSet>
        <cfvo type="percent" val="0"/>
        <cfvo type="num" val="70"/>
        <cfvo type="num" val="90"/>
      </iconSet>
    </cfRule>
    <cfRule type="iconSet" priority="926">
      <iconSet>
        <cfvo type="percent" val="0"/>
        <cfvo type="num" val="95"/>
        <cfvo type="num" val="100"/>
      </iconSet>
    </cfRule>
    <cfRule type="iconSet" priority="927">
      <iconSet>
        <cfvo type="percent" val="0"/>
        <cfvo type="num" val="95"/>
        <cfvo type="num" val="100"/>
      </iconSet>
    </cfRule>
    <cfRule type="iconSet" priority="929">
      <iconSet>
        <cfvo type="percent" val="0"/>
        <cfvo type="num" val="70"/>
        <cfvo type="num" val="90"/>
      </iconSet>
    </cfRule>
  </conditionalFormatting>
  <conditionalFormatting sqref="U20">
    <cfRule type="iconSet" priority="771">
      <iconSet>
        <cfvo type="percent" val="0"/>
        <cfvo type="num" val="95"/>
        <cfvo type="num" val="100"/>
      </iconSet>
    </cfRule>
    <cfRule type="iconSet" priority="770">
      <iconSet>
        <cfvo type="percent" val="0"/>
        <cfvo type="num" val="70"/>
        <cfvo type="num" val="90"/>
      </iconSet>
    </cfRule>
    <cfRule type="iconSet" priority="769">
      <iconSet>
        <cfvo type="percent" val="0"/>
        <cfvo type="num" val="70"/>
        <cfvo type="num" val="90"/>
      </iconSet>
    </cfRule>
    <cfRule type="iconSet" priority="768">
      <iconSet>
        <cfvo type="percent" val="0"/>
        <cfvo type="num" val="95"/>
        <cfvo type="num" val="100"/>
      </iconSet>
    </cfRule>
    <cfRule type="iconSet" priority="767">
      <iconSet>
        <cfvo type="percent" val="0"/>
        <cfvo type="num" val="95"/>
        <cfvo type="num" val="100"/>
      </iconSet>
    </cfRule>
    <cfRule type="iconSet" priority="766">
      <iconSet>
        <cfvo type="percent" val="0"/>
        <cfvo type="num" val="95"/>
        <cfvo type="num" val="100"/>
      </iconSet>
    </cfRule>
    <cfRule type="iconSet" priority="765">
      <iconSet>
        <cfvo type="percent" val="0"/>
        <cfvo type="num" val="70"/>
        <cfvo type="num" val="90"/>
      </iconSet>
    </cfRule>
    <cfRule type="iconSet" priority="764">
      <iconSet>
        <cfvo type="percent" val="0"/>
        <cfvo type="num" val="70"/>
        <cfvo type="num" val="90"/>
      </iconSet>
    </cfRule>
    <cfRule type="iconSet" priority="763">
      <iconSet>
        <cfvo type="percent" val="0"/>
        <cfvo type="num" val="95"/>
        <cfvo type="num" val="100"/>
      </iconSet>
    </cfRule>
  </conditionalFormatting>
  <conditionalFormatting sqref="U21">
    <cfRule type="iconSet" priority="761">
      <iconSet>
        <cfvo type="percent" val="0"/>
        <cfvo type="num" val="70"/>
        <cfvo type="num" val="90"/>
      </iconSet>
    </cfRule>
    <cfRule type="iconSet" priority="760">
      <iconSet>
        <cfvo type="percent" val="0"/>
        <cfvo type="num" val="70"/>
        <cfvo type="num" val="90"/>
      </iconSet>
    </cfRule>
    <cfRule type="iconSet" priority="759">
      <iconSet>
        <cfvo type="percent" val="0"/>
        <cfvo type="num" val="95"/>
        <cfvo type="num" val="100"/>
      </iconSet>
    </cfRule>
    <cfRule type="iconSet" priority="758">
      <iconSet>
        <cfvo type="percent" val="0"/>
        <cfvo type="num" val="95"/>
        <cfvo type="num" val="100"/>
      </iconSet>
    </cfRule>
    <cfRule type="iconSet" priority="757">
      <iconSet>
        <cfvo type="percent" val="0"/>
        <cfvo type="num" val="95"/>
        <cfvo type="num" val="100"/>
      </iconSet>
    </cfRule>
    <cfRule type="iconSet" priority="756">
      <iconSet>
        <cfvo type="percent" val="0"/>
        <cfvo type="num" val="70"/>
        <cfvo type="num" val="90"/>
      </iconSet>
    </cfRule>
    <cfRule type="iconSet" priority="755">
      <iconSet>
        <cfvo type="percent" val="0"/>
        <cfvo type="num" val="70"/>
        <cfvo type="num" val="90"/>
      </iconSet>
    </cfRule>
    <cfRule type="iconSet" priority="754">
      <iconSet>
        <cfvo type="percent" val="0"/>
        <cfvo type="num" val="95"/>
        <cfvo type="num" val="100"/>
      </iconSet>
    </cfRule>
    <cfRule type="iconSet" priority="762">
      <iconSet>
        <cfvo type="percent" val="0"/>
        <cfvo type="num" val="95"/>
        <cfvo type="num" val="100"/>
      </iconSet>
    </cfRule>
  </conditionalFormatting>
  <conditionalFormatting sqref="U22">
    <cfRule type="iconSet" priority="751">
      <iconSet>
        <cfvo type="percent" val="0"/>
        <cfvo type="num" val="70"/>
        <cfvo type="num" val="90"/>
      </iconSet>
    </cfRule>
    <cfRule type="iconSet" priority="746">
      <iconSet>
        <cfvo type="percent" val="0"/>
        <cfvo type="num" val="70"/>
        <cfvo type="num" val="90"/>
      </iconSet>
    </cfRule>
    <cfRule type="iconSet" priority="753">
      <iconSet>
        <cfvo type="percent" val="0"/>
        <cfvo type="num" val="95"/>
        <cfvo type="num" val="100"/>
      </iconSet>
    </cfRule>
    <cfRule type="iconSet" priority="752">
      <iconSet>
        <cfvo type="percent" val="0"/>
        <cfvo type="num" val="70"/>
        <cfvo type="num" val="90"/>
      </iconSet>
    </cfRule>
    <cfRule type="iconSet" priority="748">
      <iconSet>
        <cfvo type="percent" val="0"/>
        <cfvo type="num" val="95"/>
        <cfvo type="num" val="100"/>
      </iconSet>
    </cfRule>
    <cfRule type="iconSet" priority="750">
      <iconSet>
        <cfvo type="percent" val="0"/>
        <cfvo type="num" val="95"/>
        <cfvo type="num" val="100"/>
      </iconSet>
    </cfRule>
    <cfRule type="iconSet" priority="747">
      <iconSet>
        <cfvo type="percent" val="0"/>
        <cfvo type="num" val="70"/>
        <cfvo type="num" val="90"/>
      </iconSet>
    </cfRule>
    <cfRule type="iconSet" priority="745">
      <iconSet>
        <cfvo type="percent" val="0"/>
        <cfvo type="num" val="95"/>
        <cfvo type="num" val="100"/>
      </iconSet>
    </cfRule>
    <cfRule type="iconSet" priority="749">
      <iconSet>
        <cfvo type="percent" val="0"/>
        <cfvo type="num" val="95"/>
        <cfvo type="num" val="100"/>
      </iconSet>
    </cfRule>
  </conditionalFormatting>
  <conditionalFormatting sqref="U23">
    <cfRule type="iconSet" priority="740">
      <iconSet>
        <cfvo type="percent" val="0"/>
        <cfvo type="num" val="95"/>
        <cfvo type="num" val="100"/>
      </iconSet>
    </cfRule>
    <cfRule type="iconSet" priority="744">
      <iconSet>
        <cfvo type="percent" val="0"/>
        <cfvo type="num" val="95"/>
        <cfvo type="num" val="100"/>
      </iconSet>
    </cfRule>
    <cfRule type="iconSet" priority="743">
      <iconSet>
        <cfvo type="percent" val="0"/>
        <cfvo type="num" val="70"/>
        <cfvo type="num" val="90"/>
      </iconSet>
    </cfRule>
    <cfRule type="iconSet" priority="742">
      <iconSet>
        <cfvo type="percent" val="0"/>
        <cfvo type="num" val="70"/>
        <cfvo type="num" val="90"/>
      </iconSet>
    </cfRule>
    <cfRule type="iconSet" priority="741">
      <iconSet>
        <cfvo type="percent" val="0"/>
        <cfvo type="num" val="95"/>
        <cfvo type="num" val="100"/>
      </iconSet>
    </cfRule>
    <cfRule type="iconSet" priority="737">
      <iconSet>
        <cfvo type="percent" val="0"/>
        <cfvo type="num" val="70"/>
        <cfvo type="num" val="90"/>
      </iconSet>
    </cfRule>
    <cfRule type="iconSet" priority="738">
      <iconSet>
        <cfvo type="percent" val="0"/>
        <cfvo type="num" val="70"/>
        <cfvo type="num" val="90"/>
      </iconSet>
    </cfRule>
    <cfRule type="iconSet" priority="739">
      <iconSet>
        <cfvo type="percent" val="0"/>
        <cfvo type="num" val="95"/>
        <cfvo type="num" val="100"/>
      </iconSet>
    </cfRule>
    <cfRule type="iconSet" priority="736">
      <iconSet>
        <cfvo type="percent" val="0"/>
        <cfvo type="num" val="95"/>
        <cfvo type="num" val="100"/>
      </iconSet>
    </cfRule>
  </conditionalFormatting>
  <conditionalFormatting sqref="U24">
    <cfRule type="iconSet" priority="730">
      <iconSet>
        <cfvo type="percent" val="0"/>
        <cfvo type="num" val="95"/>
        <cfvo type="num" val="100"/>
      </iconSet>
    </cfRule>
    <cfRule type="iconSet" priority="731">
      <iconSet>
        <cfvo type="percent" val="0"/>
        <cfvo type="num" val="95"/>
        <cfvo type="num" val="100"/>
      </iconSet>
    </cfRule>
    <cfRule type="iconSet" priority="727">
      <iconSet>
        <cfvo type="percent" val="0"/>
        <cfvo type="num" val="95"/>
        <cfvo type="num" val="100"/>
      </iconSet>
    </cfRule>
    <cfRule type="iconSet" priority="728">
      <iconSet>
        <cfvo type="percent" val="0"/>
        <cfvo type="num" val="70"/>
        <cfvo type="num" val="90"/>
      </iconSet>
    </cfRule>
    <cfRule type="iconSet" priority="729">
      <iconSet>
        <cfvo type="percent" val="0"/>
        <cfvo type="num" val="70"/>
        <cfvo type="num" val="90"/>
      </iconSet>
    </cfRule>
    <cfRule type="iconSet" priority="732">
      <iconSet>
        <cfvo type="percent" val="0"/>
        <cfvo type="num" val="95"/>
        <cfvo type="num" val="100"/>
      </iconSet>
    </cfRule>
    <cfRule type="iconSet" priority="733">
      <iconSet>
        <cfvo type="percent" val="0"/>
        <cfvo type="num" val="70"/>
        <cfvo type="num" val="90"/>
      </iconSet>
    </cfRule>
    <cfRule type="iconSet" priority="734">
      <iconSet>
        <cfvo type="percent" val="0"/>
        <cfvo type="num" val="70"/>
        <cfvo type="num" val="90"/>
      </iconSet>
    </cfRule>
    <cfRule type="iconSet" priority="735">
      <iconSet>
        <cfvo type="percent" val="0"/>
        <cfvo type="num" val="95"/>
        <cfvo type="num" val="100"/>
      </iconSet>
    </cfRule>
  </conditionalFormatting>
  <conditionalFormatting sqref="U25">
    <cfRule type="iconSet" priority="906">
      <iconSet>
        <cfvo type="percent" val="0"/>
        <cfvo type="num" val="95"/>
        <cfvo type="num" val="100"/>
      </iconSet>
    </cfRule>
  </conditionalFormatting>
  <conditionalFormatting sqref="U26">
    <cfRule type="iconSet" priority="726">
      <iconSet>
        <cfvo type="percent" val="0"/>
        <cfvo type="num" val="95"/>
        <cfvo type="num" val="100"/>
      </iconSet>
    </cfRule>
    <cfRule type="iconSet" priority="721">
      <iconSet>
        <cfvo type="percent" val="0"/>
        <cfvo type="num" val="95"/>
        <cfvo type="num" val="100"/>
      </iconSet>
    </cfRule>
    <cfRule type="iconSet" priority="720">
      <iconSet>
        <cfvo type="percent" val="0"/>
        <cfvo type="num" val="70"/>
        <cfvo type="num" val="90"/>
      </iconSet>
    </cfRule>
    <cfRule type="iconSet" priority="722">
      <iconSet>
        <cfvo type="percent" val="0"/>
        <cfvo type="num" val="95"/>
        <cfvo type="num" val="100"/>
      </iconSet>
    </cfRule>
    <cfRule type="iconSet" priority="723">
      <iconSet>
        <cfvo type="percent" val="0"/>
        <cfvo type="num" val="95"/>
        <cfvo type="num" val="100"/>
      </iconSet>
    </cfRule>
    <cfRule type="iconSet" priority="724">
      <iconSet>
        <cfvo type="percent" val="0"/>
        <cfvo type="num" val="70"/>
        <cfvo type="num" val="90"/>
      </iconSet>
    </cfRule>
    <cfRule type="iconSet" priority="725">
      <iconSet>
        <cfvo type="percent" val="0"/>
        <cfvo type="num" val="70"/>
        <cfvo type="num" val="90"/>
      </iconSet>
    </cfRule>
    <cfRule type="iconSet" priority="718">
      <iconSet>
        <cfvo type="percent" val="0"/>
        <cfvo type="num" val="95"/>
        <cfvo type="num" val="100"/>
      </iconSet>
    </cfRule>
    <cfRule type="iconSet" priority="719">
      <iconSet>
        <cfvo type="percent" val="0"/>
        <cfvo type="num" val="70"/>
        <cfvo type="num" val="90"/>
      </iconSet>
    </cfRule>
  </conditionalFormatting>
  <conditionalFormatting sqref="U27">
    <cfRule type="iconSet" priority="940">
      <iconSet>
        <cfvo type="percent" val="0"/>
        <cfvo type="num" val="95"/>
        <cfvo type="num" val="100"/>
      </iconSet>
    </cfRule>
  </conditionalFormatting>
  <conditionalFormatting sqref="U28:U30">
    <cfRule type="iconSet" priority="710">
      <iconSet>
        <cfvo type="percent" val="0"/>
        <cfvo type="num" val="70"/>
        <cfvo type="num" val="90"/>
      </iconSet>
    </cfRule>
    <cfRule type="iconSet" priority="711">
      <iconSet>
        <cfvo type="percent" val="0"/>
        <cfvo type="num" val="70"/>
        <cfvo type="num" val="90"/>
      </iconSet>
    </cfRule>
    <cfRule type="iconSet" priority="713">
      <iconSet>
        <cfvo type="percent" val="0"/>
        <cfvo type="num" val="95"/>
        <cfvo type="num" val="100"/>
      </iconSet>
    </cfRule>
    <cfRule type="iconSet" priority="714">
      <iconSet>
        <cfvo type="percent" val="0"/>
        <cfvo type="num" val="95"/>
        <cfvo type="num" val="100"/>
      </iconSet>
    </cfRule>
    <cfRule type="iconSet" priority="716">
      <iconSet>
        <cfvo type="percent" val="0"/>
        <cfvo type="num" val="70"/>
        <cfvo type="num" val="90"/>
      </iconSet>
    </cfRule>
    <cfRule type="iconSet" priority="717">
      <iconSet>
        <cfvo type="percent" val="0"/>
        <cfvo type="num" val="95"/>
        <cfvo type="num" val="100"/>
      </iconSet>
    </cfRule>
    <cfRule type="iconSet" priority="709">
      <iconSet>
        <cfvo type="percent" val="0"/>
        <cfvo type="num" val="95"/>
        <cfvo type="num" val="100"/>
      </iconSet>
    </cfRule>
    <cfRule type="iconSet" priority="712">
      <iconSet>
        <cfvo type="percent" val="0"/>
        <cfvo type="num" val="95"/>
        <cfvo type="num" val="100"/>
      </iconSet>
    </cfRule>
    <cfRule type="iconSet" priority="715">
      <iconSet>
        <cfvo type="percent" val="0"/>
        <cfvo type="num" val="70"/>
        <cfvo type="num" val="90"/>
      </iconSet>
    </cfRule>
  </conditionalFormatting>
  <conditionalFormatting sqref="U31:U33">
    <cfRule type="iconSet" priority="703">
      <iconSet>
        <cfvo type="percent" val="0"/>
        <cfvo type="num" val="95"/>
        <cfvo type="num" val="100"/>
      </iconSet>
    </cfRule>
    <cfRule type="iconSet" priority="701">
      <iconSet>
        <cfvo type="percent" val="0"/>
        <cfvo type="num" val="70"/>
        <cfvo type="num" val="90"/>
      </iconSet>
    </cfRule>
    <cfRule type="iconSet" priority="702">
      <iconSet>
        <cfvo type="percent" val="0"/>
        <cfvo type="num" val="70"/>
        <cfvo type="num" val="90"/>
      </iconSet>
    </cfRule>
    <cfRule type="iconSet" priority="704">
      <iconSet>
        <cfvo type="percent" val="0"/>
        <cfvo type="num" val="95"/>
        <cfvo type="num" val="100"/>
      </iconSet>
    </cfRule>
    <cfRule type="iconSet" priority="705">
      <iconSet>
        <cfvo type="percent" val="0"/>
        <cfvo type="num" val="95"/>
        <cfvo type="num" val="100"/>
      </iconSet>
    </cfRule>
    <cfRule type="iconSet" priority="706">
      <iconSet>
        <cfvo type="percent" val="0"/>
        <cfvo type="num" val="70"/>
        <cfvo type="num" val="90"/>
      </iconSet>
    </cfRule>
    <cfRule type="iconSet" priority="707">
      <iconSet>
        <cfvo type="percent" val="0"/>
        <cfvo type="num" val="70"/>
        <cfvo type="num" val="90"/>
      </iconSet>
    </cfRule>
    <cfRule type="iconSet" priority="708">
      <iconSet>
        <cfvo type="percent" val="0"/>
        <cfvo type="num" val="95"/>
        <cfvo type="num" val="100"/>
      </iconSet>
    </cfRule>
    <cfRule type="iconSet" priority="700">
      <iconSet>
        <cfvo type="percent" val="0"/>
        <cfvo type="num" val="95"/>
        <cfvo type="num" val="100"/>
      </iconSet>
    </cfRule>
  </conditionalFormatting>
  <conditionalFormatting sqref="U34">
    <cfRule type="iconSet" priority="844">
      <iconSet>
        <cfvo type="percent" val="0"/>
        <cfvo type="num" val="95"/>
        <cfvo type="num" val="100"/>
      </iconSet>
    </cfRule>
  </conditionalFormatting>
  <conditionalFormatting sqref="U35:U36">
    <cfRule type="iconSet" priority="699">
      <iconSet>
        <cfvo type="percent" val="0"/>
        <cfvo type="num" val="95"/>
        <cfvo type="num" val="100"/>
      </iconSet>
    </cfRule>
    <cfRule type="iconSet" priority="691">
      <iconSet>
        <cfvo type="percent" val="0"/>
        <cfvo type="num" val="95"/>
        <cfvo type="num" val="100"/>
      </iconSet>
    </cfRule>
    <cfRule type="iconSet" priority="692">
      <iconSet>
        <cfvo type="percent" val="0"/>
        <cfvo type="num" val="70"/>
        <cfvo type="num" val="90"/>
      </iconSet>
    </cfRule>
    <cfRule type="iconSet" priority="693">
      <iconSet>
        <cfvo type="percent" val="0"/>
        <cfvo type="num" val="70"/>
        <cfvo type="num" val="90"/>
      </iconSet>
    </cfRule>
    <cfRule type="iconSet" priority="694">
      <iconSet>
        <cfvo type="percent" val="0"/>
        <cfvo type="num" val="95"/>
        <cfvo type="num" val="100"/>
      </iconSet>
    </cfRule>
    <cfRule type="iconSet" priority="695">
      <iconSet>
        <cfvo type="percent" val="0"/>
        <cfvo type="num" val="95"/>
        <cfvo type="num" val="100"/>
      </iconSet>
    </cfRule>
    <cfRule type="iconSet" priority="696">
      <iconSet>
        <cfvo type="percent" val="0"/>
        <cfvo type="num" val="95"/>
        <cfvo type="num" val="100"/>
      </iconSet>
    </cfRule>
    <cfRule type="iconSet" priority="697">
      <iconSet>
        <cfvo type="percent" val="0"/>
        <cfvo type="num" val="70"/>
        <cfvo type="num" val="90"/>
      </iconSet>
    </cfRule>
    <cfRule type="iconSet" priority="698">
      <iconSet>
        <cfvo type="percent" val="0"/>
        <cfvo type="num" val="70"/>
        <cfvo type="num" val="90"/>
      </iconSet>
    </cfRule>
  </conditionalFormatting>
  <conditionalFormatting sqref="U37">
    <cfRule type="iconSet" priority="967">
      <iconSet>
        <cfvo type="percent" val="0"/>
        <cfvo type="num" val="70"/>
        <cfvo type="num" val="90"/>
      </iconSet>
    </cfRule>
    <cfRule type="iconSet" priority="966">
      <iconSet>
        <cfvo type="percent" val="0"/>
        <cfvo type="num" val="70"/>
        <cfvo type="num" val="90"/>
      </iconSet>
    </cfRule>
    <cfRule type="iconSet" priority="965">
      <iconSet>
        <cfvo type="percent" val="0"/>
        <cfvo type="num" val="95"/>
        <cfvo type="num" val="100"/>
      </iconSet>
    </cfRule>
    <cfRule type="iconSet" priority="968">
      <iconSet>
        <cfvo type="percent" val="0"/>
        <cfvo type="num" val="95"/>
        <cfvo type="num" val="100"/>
      </iconSet>
    </cfRule>
  </conditionalFormatting>
  <conditionalFormatting sqref="U37:U38">
    <cfRule type="iconSet" priority="960">
      <iconSet>
        <cfvo type="percent" val="0"/>
        <cfvo type="num" val="95"/>
        <cfvo type="num" val="100"/>
      </iconSet>
    </cfRule>
    <cfRule type="iconSet" priority="958">
      <iconSet>
        <cfvo type="percent" val="0"/>
        <cfvo type="num" val="70"/>
        <cfvo type="num" val="90"/>
      </iconSet>
    </cfRule>
    <cfRule type="iconSet" priority="957">
      <iconSet>
        <cfvo type="percent" val="0"/>
        <cfvo type="num" val="95"/>
        <cfvo type="num" val="100"/>
      </iconSet>
    </cfRule>
    <cfRule type="iconSet" priority="956">
      <iconSet>
        <cfvo type="percent" val="0"/>
        <cfvo type="num" val="95"/>
        <cfvo type="num" val="100"/>
      </iconSet>
    </cfRule>
    <cfRule type="iconSet" priority="955">
      <iconSet>
        <cfvo type="percent" val="0"/>
        <cfvo type="num" val="70"/>
        <cfvo type="num" val="90"/>
      </iconSet>
    </cfRule>
    <cfRule type="iconSet" priority="959">
      <iconSet>
        <cfvo type="percent" val="0"/>
        <cfvo type="num" val="70"/>
        <cfvo type="num" val="90"/>
      </iconSet>
    </cfRule>
    <cfRule type="iconSet" priority="954">
      <iconSet>
        <cfvo type="percent" val="0"/>
        <cfvo type="num" val="70"/>
        <cfvo type="num" val="90"/>
      </iconSet>
    </cfRule>
    <cfRule type="iconSet" priority="953">
      <iconSet>
        <cfvo type="percent" val="0"/>
        <cfvo type="num" val="95"/>
        <cfvo type="num" val="100"/>
      </iconSet>
    </cfRule>
  </conditionalFormatting>
  <conditionalFormatting sqref="U37:U39">
    <cfRule type="iconSet" priority="973">
      <iconSet>
        <cfvo type="percent" val="0"/>
        <cfvo type="num" val="95"/>
        <cfvo type="num" val="100"/>
      </iconSet>
    </cfRule>
  </conditionalFormatting>
  <conditionalFormatting sqref="U38">
    <cfRule type="iconSet" priority="949">
      <iconSet>
        <cfvo type="percent" val="0"/>
        <cfvo type="num" val="95"/>
        <cfvo type="num" val="100"/>
      </iconSet>
    </cfRule>
    <cfRule type="iconSet" priority="950">
      <iconSet>
        <cfvo type="percent" val="0"/>
        <cfvo type="num" val="70"/>
        <cfvo type="num" val="90"/>
      </iconSet>
    </cfRule>
    <cfRule type="iconSet" priority="951">
      <iconSet>
        <cfvo type="percent" val="0"/>
        <cfvo type="num" val="70"/>
        <cfvo type="num" val="90"/>
      </iconSet>
    </cfRule>
    <cfRule type="iconSet" priority="952">
      <iconSet>
        <cfvo type="percent" val="0"/>
        <cfvo type="num" val="95"/>
        <cfvo type="num" val="100"/>
      </iconSet>
    </cfRule>
    <cfRule type="iconSet" priority="961">
      <iconSet>
        <cfvo type="percent" val="0"/>
        <cfvo type="num" val="95"/>
        <cfvo type="num" val="100"/>
      </iconSet>
    </cfRule>
    <cfRule type="iconSet" priority="962">
      <iconSet>
        <cfvo type="percent" val="0"/>
        <cfvo type="num" val="70"/>
        <cfvo type="num" val="90"/>
      </iconSet>
    </cfRule>
    <cfRule type="iconSet" priority="963">
      <iconSet>
        <cfvo type="percent" val="0"/>
        <cfvo type="num" val="70"/>
        <cfvo type="num" val="90"/>
      </iconSet>
    </cfRule>
    <cfRule type="iconSet" priority="964">
      <iconSet>
        <cfvo type="percent" val="0"/>
        <cfvo type="num" val="95"/>
        <cfvo type="num" val="100"/>
      </iconSet>
    </cfRule>
    <cfRule type="iconSet" priority="947">
      <iconSet>
        <cfvo type="percent" val="0"/>
        <cfvo type="num" val="70"/>
        <cfvo type="num" val="90"/>
      </iconSet>
    </cfRule>
    <cfRule type="iconSet" priority="846">
      <iconSet>
        <cfvo type="percent" val="0"/>
        <cfvo type="num" val="95"/>
        <cfvo type="num" val="100"/>
      </iconSet>
    </cfRule>
    <cfRule type="iconSet" priority="847">
      <iconSet>
        <cfvo type="percent" val="0"/>
        <cfvo type="num" val="70"/>
        <cfvo type="num" val="90"/>
      </iconSet>
    </cfRule>
    <cfRule type="iconSet" priority="848">
      <iconSet>
        <cfvo type="percent" val="0"/>
        <cfvo type="num" val="70"/>
        <cfvo type="num" val="90"/>
      </iconSet>
    </cfRule>
    <cfRule type="iconSet" priority="849">
      <iconSet>
        <cfvo type="percent" val="0"/>
        <cfvo type="num" val="95"/>
        <cfvo type="num" val="100"/>
      </iconSet>
    </cfRule>
    <cfRule type="iconSet" priority="936">
      <iconSet>
        <cfvo type="percent" val="0"/>
        <cfvo type="num" val="95"/>
        <cfvo type="num" val="100"/>
      </iconSet>
    </cfRule>
    <cfRule type="iconSet" priority="937">
      <iconSet>
        <cfvo type="percent" val="0"/>
        <cfvo type="num" val="70"/>
        <cfvo type="num" val="90"/>
      </iconSet>
    </cfRule>
    <cfRule type="iconSet" priority="938">
      <iconSet>
        <cfvo type="percent" val="0"/>
        <cfvo type="num" val="70"/>
        <cfvo type="num" val="90"/>
      </iconSet>
    </cfRule>
    <cfRule type="iconSet" priority="939">
      <iconSet>
        <cfvo type="percent" val="0"/>
        <cfvo type="num" val="95"/>
        <cfvo type="num" val="100"/>
      </iconSet>
    </cfRule>
    <cfRule type="iconSet" priority="941">
      <iconSet>
        <cfvo type="percent" val="0"/>
        <cfvo type="num" val="95"/>
        <cfvo type="num" val="100"/>
      </iconSet>
    </cfRule>
    <cfRule type="iconSet" priority="942">
      <iconSet>
        <cfvo type="percent" val="0"/>
        <cfvo type="num" val="70"/>
        <cfvo type="num" val="90"/>
      </iconSet>
    </cfRule>
    <cfRule type="iconSet" priority="943">
      <iconSet>
        <cfvo type="percent" val="0"/>
        <cfvo type="num" val="70"/>
        <cfvo type="num" val="90"/>
      </iconSet>
    </cfRule>
    <cfRule type="iconSet" priority="944">
      <iconSet>
        <cfvo type="percent" val="0"/>
        <cfvo type="num" val="95"/>
        <cfvo type="num" val="100"/>
      </iconSet>
    </cfRule>
    <cfRule type="iconSet" priority="945">
      <iconSet>
        <cfvo type="percent" val="0"/>
        <cfvo type="num" val="95"/>
        <cfvo type="num" val="100"/>
      </iconSet>
    </cfRule>
    <cfRule type="iconSet" priority="946">
      <iconSet>
        <cfvo type="percent" val="0"/>
        <cfvo type="num" val="70"/>
        <cfvo type="num" val="90"/>
      </iconSet>
    </cfRule>
    <cfRule type="iconSet" priority="948">
      <iconSet>
        <cfvo type="percent" val="0"/>
        <cfvo type="num" val="95"/>
        <cfvo type="num" val="100"/>
      </iconSet>
    </cfRule>
  </conditionalFormatting>
  <conditionalFormatting sqref="U39">
    <cfRule type="iconSet" priority="898">
      <iconSet>
        <cfvo type="percent" val="0"/>
        <cfvo type="num" val="95"/>
        <cfvo type="num" val="100"/>
      </iconSet>
    </cfRule>
    <cfRule type="iconSet" priority="882">
      <iconSet>
        <cfvo type="percent" val="0"/>
        <cfvo type="num" val="95"/>
        <cfvo type="num" val="100"/>
      </iconSet>
    </cfRule>
    <cfRule type="iconSet" priority="883">
      <iconSet>
        <cfvo type="percent" val="0"/>
        <cfvo type="num" val="70"/>
        <cfvo type="num" val="90"/>
      </iconSet>
    </cfRule>
    <cfRule type="iconSet" priority="884">
      <iconSet>
        <cfvo type="percent" val="0"/>
        <cfvo type="num" val="70"/>
        <cfvo type="num" val="90"/>
      </iconSet>
    </cfRule>
    <cfRule type="iconSet" priority="885">
      <iconSet>
        <cfvo type="percent" val="0"/>
        <cfvo type="num" val="95"/>
        <cfvo type="num" val="100"/>
      </iconSet>
    </cfRule>
    <cfRule type="iconSet" priority="886">
      <iconSet>
        <cfvo type="percent" val="0"/>
        <cfvo type="num" val="95"/>
        <cfvo type="num" val="100"/>
      </iconSet>
    </cfRule>
    <cfRule type="iconSet" priority="887">
      <iconSet>
        <cfvo type="percent" val="0"/>
        <cfvo type="num" val="70"/>
        <cfvo type="num" val="90"/>
      </iconSet>
    </cfRule>
    <cfRule type="iconSet" priority="888">
      <iconSet>
        <cfvo type="percent" val="0"/>
        <cfvo type="num" val="70"/>
        <cfvo type="num" val="90"/>
      </iconSet>
    </cfRule>
    <cfRule type="iconSet" priority="889">
      <iconSet>
        <cfvo type="percent" val="0"/>
        <cfvo type="num" val="95"/>
        <cfvo type="num" val="100"/>
      </iconSet>
    </cfRule>
    <cfRule type="iconSet" priority="890">
      <iconSet>
        <cfvo type="percent" val="0"/>
        <cfvo type="num" val="95"/>
        <cfvo type="num" val="100"/>
      </iconSet>
    </cfRule>
    <cfRule type="iconSet" priority="891">
      <iconSet>
        <cfvo type="percent" val="0"/>
        <cfvo type="num" val="70"/>
        <cfvo type="num" val="90"/>
      </iconSet>
    </cfRule>
    <cfRule type="iconSet" priority="892">
      <iconSet>
        <cfvo type="percent" val="0"/>
        <cfvo type="num" val="70"/>
        <cfvo type="num" val="90"/>
      </iconSet>
    </cfRule>
    <cfRule type="iconSet" priority="893">
      <iconSet>
        <cfvo type="percent" val="0"/>
        <cfvo type="num" val="95"/>
        <cfvo type="num" val="100"/>
      </iconSet>
    </cfRule>
    <cfRule type="iconSet" priority="894">
      <iconSet>
        <cfvo type="percent" val="0"/>
        <cfvo type="num" val="95"/>
        <cfvo type="num" val="100"/>
      </iconSet>
    </cfRule>
    <cfRule type="iconSet" priority="895">
      <iconSet>
        <cfvo type="percent" val="0"/>
        <cfvo type="num" val="70"/>
        <cfvo type="num" val="90"/>
      </iconSet>
    </cfRule>
    <cfRule type="iconSet" priority="969">
      <iconSet>
        <cfvo type="percent" val="0"/>
        <cfvo type="num" val="70"/>
        <cfvo type="num" val="90"/>
      </iconSet>
    </cfRule>
    <cfRule type="iconSet" priority="897">
      <iconSet>
        <cfvo type="percent" val="0"/>
        <cfvo type="num" val="95"/>
        <cfvo type="num" val="100"/>
      </iconSet>
    </cfRule>
    <cfRule type="iconSet" priority="970">
      <iconSet>
        <cfvo type="percent" val="0"/>
        <cfvo type="num" val="95"/>
        <cfvo type="num" val="100"/>
      </iconSet>
    </cfRule>
    <cfRule type="iconSet" priority="899">
      <iconSet>
        <cfvo type="percent" val="0"/>
        <cfvo type="num" val="70"/>
        <cfvo type="num" val="90"/>
      </iconSet>
    </cfRule>
    <cfRule type="iconSet" priority="900">
      <iconSet>
        <cfvo type="percent" val="0"/>
        <cfvo type="num" val="70"/>
        <cfvo type="num" val="90"/>
      </iconSet>
    </cfRule>
    <cfRule type="iconSet" priority="901">
      <iconSet>
        <cfvo type="percent" val="0"/>
        <cfvo type="num" val="95"/>
        <cfvo type="num" val="100"/>
      </iconSet>
    </cfRule>
    <cfRule type="iconSet" priority="902">
      <iconSet>
        <cfvo type="percent" val="0"/>
        <cfvo type="num" val="95"/>
        <cfvo type="num" val="100"/>
      </iconSet>
    </cfRule>
    <cfRule type="iconSet" priority="896">
      <iconSet>
        <cfvo type="percent" val="0"/>
        <cfvo type="num" val="70"/>
        <cfvo type="num" val="90"/>
      </iconSet>
    </cfRule>
    <cfRule type="iconSet" priority="903">
      <iconSet>
        <cfvo type="percent" val="0"/>
        <cfvo type="num" val="70"/>
        <cfvo type="num" val="90"/>
      </iconSet>
    </cfRule>
    <cfRule type="iconSet" priority="904">
      <iconSet>
        <cfvo type="percent" val="0"/>
        <cfvo type="num" val="70"/>
        <cfvo type="num" val="90"/>
      </iconSet>
    </cfRule>
    <cfRule type="iconSet" priority="905">
      <iconSet>
        <cfvo type="percent" val="0"/>
        <cfvo type="num" val="95"/>
        <cfvo type="num" val="100"/>
      </iconSet>
    </cfRule>
    <cfRule type="iconSet" priority="878">
      <iconSet>
        <cfvo type="percent" val="0"/>
        <cfvo type="num" val="95"/>
        <cfvo type="num" val="100"/>
      </iconSet>
    </cfRule>
    <cfRule type="iconSet" priority="879">
      <iconSet>
        <cfvo type="percent" val="0"/>
        <cfvo type="num" val="70"/>
        <cfvo type="num" val="90"/>
      </iconSet>
    </cfRule>
    <cfRule type="iconSet" priority="880">
      <iconSet>
        <cfvo type="percent" val="0"/>
        <cfvo type="num" val="70"/>
        <cfvo type="num" val="90"/>
      </iconSet>
    </cfRule>
    <cfRule type="iconSet" priority="881">
      <iconSet>
        <cfvo type="percent" val="0"/>
        <cfvo type="num" val="95"/>
        <cfvo type="num" val="100"/>
      </iconSet>
    </cfRule>
  </conditionalFormatting>
  <conditionalFormatting sqref="U40">
    <cfRule type="iconSet" priority="594">
      <iconSet>
        <cfvo type="percent" val="0"/>
        <cfvo type="num" val="95"/>
        <cfvo type="num" val="100"/>
      </iconSet>
    </cfRule>
    <cfRule type="iconSet" priority="593">
      <iconSet>
        <cfvo type="percent" val="0"/>
        <cfvo type="num" val="70"/>
        <cfvo type="num" val="90"/>
      </iconSet>
    </cfRule>
    <cfRule type="iconSet" priority="592">
      <iconSet>
        <cfvo type="percent" val="0"/>
        <cfvo type="num" val="70"/>
        <cfvo type="num" val="90"/>
      </iconSet>
    </cfRule>
    <cfRule type="iconSet" priority="591">
      <iconSet>
        <cfvo type="percent" val="0"/>
        <cfvo type="num" val="95"/>
        <cfvo type="num" val="100"/>
      </iconSet>
    </cfRule>
    <cfRule type="iconSet" priority="590">
      <iconSet>
        <cfvo type="percent" val="0"/>
        <cfvo type="num" val="95"/>
        <cfvo type="num" val="100"/>
      </iconSet>
    </cfRule>
    <cfRule type="iconSet" priority="589">
      <iconSet>
        <cfvo type="percent" val="0"/>
        <cfvo type="num" val="70"/>
        <cfvo type="num" val="90"/>
      </iconSet>
    </cfRule>
    <cfRule type="iconSet" priority="588">
      <iconSet>
        <cfvo type="percent" val="0"/>
        <cfvo type="num" val="70"/>
        <cfvo type="num" val="90"/>
      </iconSet>
    </cfRule>
    <cfRule type="iconSet" priority="587">
      <iconSet>
        <cfvo type="percent" val="0"/>
        <cfvo type="num" val="95"/>
        <cfvo type="num" val="100"/>
      </iconSet>
    </cfRule>
    <cfRule type="iconSet" priority="611">
      <iconSet>
        <cfvo type="percent" val="0"/>
        <cfvo type="num" val="95"/>
        <cfvo type="num" val="100"/>
      </iconSet>
    </cfRule>
    <cfRule type="iconSet" priority="608">
      <iconSet>
        <cfvo type="percent" val="0"/>
        <cfvo type="num" val="70"/>
        <cfvo type="num" val="90"/>
      </iconSet>
    </cfRule>
    <cfRule type="iconSet" priority="610">
      <iconSet>
        <cfvo type="percent" val="0"/>
        <cfvo type="num" val="95"/>
        <cfvo type="num" val="100"/>
      </iconSet>
    </cfRule>
    <cfRule type="iconSet" priority="609">
      <iconSet>
        <cfvo type="percent" val="0"/>
        <cfvo type="num" val="70"/>
        <cfvo type="num" val="90"/>
      </iconSet>
    </cfRule>
    <cfRule type="iconSet" priority="595">
      <iconSet>
        <cfvo type="percent" val="0"/>
        <cfvo type="num" val="95"/>
        <cfvo type="num" val="100"/>
      </iconSet>
    </cfRule>
    <cfRule type="iconSet" priority="607">
      <iconSet>
        <cfvo type="percent" val="0"/>
        <cfvo type="num" val="95"/>
        <cfvo type="num" val="100"/>
      </iconSet>
    </cfRule>
    <cfRule type="iconSet" priority="605">
      <iconSet>
        <cfvo type="percent" val="0"/>
        <cfvo type="num" val="70"/>
        <cfvo type="num" val="90"/>
      </iconSet>
    </cfRule>
    <cfRule type="iconSet" priority="604">
      <iconSet>
        <cfvo type="percent" val="0"/>
        <cfvo type="num" val="70"/>
        <cfvo type="num" val="90"/>
      </iconSet>
    </cfRule>
    <cfRule type="iconSet" priority="603">
      <iconSet>
        <cfvo type="percent" val="0"/>
        <cfvo type="num" val="95"/>
        <cfvo type="num" val="100"/>
      </iconSet>
    </cfRule>
    <cfRule type="iconSet" priority="602">
      <iconSet>
        <cfvo type="percent" val="0"/>
        <cfvo type="num" val="95"/>
        <cfvo type="num" val="100"/>
      </iconSet>
    </cfRule>
    <cfRule type="iconSet" priority="601">
      <iconSet>
        <cfvo type="percent" val="0"/>
        <cfvo type="num" val="70"/>
        <cfvo type="num" val="90"/>
      </iconSet>
    </cfRule>
    <cfRule type="iconSet" priority="600">
      <iconSet>
        <cfvo type="percent" val="0"/>
        <cfvo type="num" val="70"/>
        <cfvo type="num" val="90"/>
      </iconSet>
    </cfRule>
    <cfRule type="iconSet" priority="599">
      <iconSet>
        <cfvo type="percent" val="0"/>
        <cfvo type="num" val="95"/>
        <cfvo type="num" val="100"/>
      </iconSet>
    </cfRule>
    <cfRule type="iconSet" priority="616">
      <iconSet>
        <cfvo type="percent" val="0"/>
        <cfvo type="num" val="95"/>
        <cfvo type="num" val="100"/>
      </iconSet>
    </cfRule>
    <cfRule type="iconSet" priority="615">
      <iconSet>
        <cfvo type="percent" val="0"/>
        <cfvo type="num" val="70"/>
        <cfvo type="num" val="90"/>
      </iconSet>
    </cfRule>
    <cfRule type="iconSet" priority="614">
      <iconSet>
        <cfvo type="percent" val="0"/>
        <cfvo type="num" val="95"/>
        <cfvo type="num" val="100"/>
      </iconSet>
    </cfRule>
    <cfRule type="iconSet" priority="617">
      <iconSet>
        <cfvo type="percent" val="0"/>
        <cfvo type="num" val="95"/>
        <cfvo type="num" val="100"/>
      </iconSet>
    </cfRule>
    <cfRule type="iconSet" priority="606">
      <iconSet>
        <cfvo type="percent" val="0"/>
        <cfvo type="num" val="95"/>
        <cfvo type="num" val="100"/>
      </iconSet>
    </cfRule>
    <cfRule type="iconSet" priority="598">
      <iconSet>
        <cfvo type="percent" val="0"/>
        <cfvo type="num" val="95"/>
        <cfvo type="num" val="100"/>
      </iconSet>
    </cfRule>
    <cfRule type="iconSet" priority="597">
      <iconSet>
        <cfvo type="percent" val="0"/>
        <cfvo type="num" val="70"/>
        <cfvo type="num" val="90"/>
      </iconSet>
    </cfRule>
    <cfRule type="iconSet" priority="596">
      <iconSet>
        <cfvo type="percent" val="0"/>
        <cfvo type="num" val="70"/>
        <cfvo type="num" val="90"/>
      </iconSet>
    </cfRule>
    <cfRule type="iconSet" priority="613">
      <iconSet>
        <cfvo type="percent" val="0"/>
        <cfvo type="num" val="70"/>
        <cfvo type="num" val="90"/>
      </iconSet>
    </cfRule>
    <cfRule type="iconSet" priority="612">
      <iconSet>
        <cfvo type="percent" val="0"/>
        <cfvo type="num" val="70"/>
        <cfvo type="num" val="90"/>
      </iconSet>
    </cfRule>
  </conditionalFormatting>
  <conditionalFormatting sqref="U41">
    <cfRule type="iconSet" priority="845">
      <iconSet>
        <cfvo type="percent" val="0"/>
        <cfvo type="num" val="95"/>
        <cfvo type="num" val="100"/>
      </iconSet>
    </cfRule>
  </conditionalFormatting>
  <conditionalFormatting sqref="AA8">
    <cfRule type="iconSet" priority="483">
      <iconSet>
        <cfvo type="percent" val="0"/>
        <cfvo type="num" val="95"/>
        <cfvo type="num" val="100"/>
      </iconSet>
    </cfRule>
    <cfRule type="iconSet" priority="481">
      <iconSet>
        <cfvo type="percent" val="0"/>
        <cfvo type="num" val="95"/>
        <cfvo type="num" val="100"/>
      </iconSet>
    </cfRule>
    <cfRule type="iconSet" priority="484">
      <iconSet>
        <cfvo type="percent" val="0"/>
        <cfvo type="num" val="70"/>
        <cfvo type="num" val="90"/>
      </iconSet>
    </cfRule>
    <cfRule type="iconSet" priority="480">
      <iconSet>
        <cfvo type="percent" val="0"/>
        <cfvo type="num" val="70"/>
        <cfvo type="num" val="90"/>
      </iconSet>
    </cfRule>
    <cfRule type="iconSet" priority="485">
      <iconSet>
        <cfvo type="percent" val="0"/>
        <cfvo type="num" val="70"/>
        <cfvo type="num" val="90"/>
      </iconSet>
    </cfRule>
    <cfRule type="iconSet" priority="482">
      <iconSet>
        <cfvo type="percent" val="0"/>
        <cfvo type="num" val="95"/>
        <cfvo type="num" val="100"/>
      </iconSet>
    </cfRule>
    <cfRule type="iconSet" priority="479">
      <iconSet>
        <cfvo type="percent" val="0"/>
        <cfvo type="num" val="70"/>
        <cfvo type="num" val="90"/>
      </iconSet>
    </cfRule>
    <cfRule type="iconSet" priority="478">
      <iconSet>
        <cfvo type="percent" val="0"/>
        <cfvo type="num" val="95"/>
        <cfvo type="num" val="100"/>
      </iconSet>
    </cfRule>
    <cfRule type="iconSet" priority="486">
      <iconSet>
        <cfvo type="percent" val="0"/>
        <cfvo type="num" val="95"/>
        <cfvo type="num" val="100"/>
      </iconSet>
    </cfRule>
  </conditionalFormatting>
  <conditionalFormatting sqref="AA9">
    <cfRule type="iconSet" priority="333">
      <iconSet>
        <cfvo type="percent" val="0"/>
        <cfvo type="num" val="95"/>
        <cfvo type="num" val="100"/>
      </iconSet>
    </cfRule>
    <cfRule type="iconSet" priority="330">
      <iconSet>
        <cfvo type="percent" val="0"/>
        <cfvo type="num" val="95"/>
        <cfvo type="num" val="100"/>
      </iconSet>
    </cfRule>
    <cfRule type="iconSet" priority="331">
      <iconSet>
        <cfvo type="percent" val="0"/>
        <cfvo type="num" val="70"/>
        <cfvo type="num" val="90"/>
      </iconSet>
    </cfRule>
    <cfRule type="iconSet" priority="332">
      <iconSet>
        <cfvo type="percent" val="0"/>
        <cfvo type="num" val="70"/>
        <cfvo type="num" val="90"/>
      </iconSet>
    </cfRule>
    <cfRule type="iconSet" priority="325">
      <iconSet>
        <cfvo type="percent" val="0"/>
        <cfvo type="num" val="95"/>
        <cfvo type="num" val="100"/>
      </iconSet>
    </cfRule>
    <cfRule type="iconSet" priority="326">
      <iconSet>
        <cfvo type="percent" val="0"/>
        <cfvo type="num" val="70"/>
        <cfvo type="num" val="90"/>
      </iconSet>
    </cfRule>
    <cfRule type="iconSet" priority="327">
      <iconSet>
        <cfvo type="percent" val="0"/>
        <cfvo type="num" val="70"/>
        <cfvo type="num" val="90"/>
      </iconSet>
    </cfRule>
    <cfRule type="iconSet" priority="328">
      <iconSet>
        <cfvo type="percent" val="0"/>
        <cfvo type="num" val="95"/>
        <cfvo type="num" val="100"/>
      </iconSet>
    </cfRule>
    <cfRule type="iconSet" priority="329">
      <iconSet>
        <cfvo type="percent" val="0"/>
        <cfvo type="num" val="95"/>
        <cfvo type="num" val="100"/>
      </iconSet>
    </cfRule>
  </conditionalFormatting>
  <conditionalFormatting sqref="AA10">
    <cfRule type="iconSet" priority="470">
      <iconSet>
        <cfvo type="percent" val="0"/>
        <cfvo type="num" val="70"/>
        <cfvo type="num" val="90"/>
      </iconSet>
    </cfRule>
    <cfRule type="iconSet" priority="471">
      <iconSet>
        <cfvo type="percent" val="0"/>
        <cfvo type="num" val="70"/>
        <cfvo type="num" val="90"/>
      </iconSet>
    </cfRule>
    <cfRule type="iconSet" priority="472">
      <iconSet>
        <cfvo type="percent" val="0"/>
        <cfvo type="num" val="95"/>
        <cfvo type="num" val="100"/>
      </iconSet>
    </cfRule>
    <cfRule type="iconSet" priority="473">
      <iconSet>
        <cfvo type="percent" val="0"/>
        <cfvo type="num" val="95"/>
        <cfvo type="num" val="100"/>
      </iconSet>
    </cfRule>
    <cfRule type="iconSet" priority="476">
      <iconSet>
        <cfvo type="percent" val="0"/>
        <cfvo type="num" val="70"/>
        <cfvo type="num" val="90"/>
      </iconSet>
    </cfRule>
    <cfRule type="iconSet" priority="477">
      <iconSet>
        <cfvo type="percent" val="0"/>
        <cfvo type="num" val="95"/>
        <cfvo type="num" val="100"/>
      </iconSet>
    </cfRule>
    <cfRule type="iconSet" priority="469">
      <iconSet>
        <cfvo type="percent" val="0"/>
        <cfvo type="num" val="95"/>
        <cfvo type="num" val="100"/>
      </iconSet>
    </cfRule>
    <cfRule type="iconSet" priority="475">
      <iconSet>
        <cfvo type="percent" val="0"/>
        <cfvo type="num" val="70"/>
        <cfvo type="num" val="90"/>
      </iconSet>
    </cfRule>
    <cfRule type="iconSet" priority="474">
      <iconSet>
        <cfvo type="percent" val="0"/>
        <cfvo type="num" val="95"/>
        <cfvo type="num" val="100"/>
      </iconSet>
    </cfRule>
  </conditionalFormatting>
  <conditionalFormatting sqref="AA12">
    <cfRule type="iconSet" priority="463">
      <iconSet>
        <cfvo type="percent" val="0"/>
        <cfvo type="num" val="95"/>
        <cfvo type="num" val="100"/>
      </iconSet>
    </cfRule>
    <cfRule type="iconSet" priority="464">
      <iconSet>
        <cfvo type="percent" val="0"/>
        <cfvo type="num" val="95"/>
        <cfvo type="num" val="100"/>
      </iconSet>
    </cfRule>
    <cfRule type="iconSet" priority="460">
      <iconSet>
        <cfvo type="percent" val="0"/>
        <cfvo type="num" val="95"/>
        <cfvo type="num" val="100"/>
      </iconSet>
    </cfRule>
    <cfRule type="iconSet" priority="461">
      <iconSet>
        <cfvo type="percent" val="0"/>
        <cfvo type="num" val="70"/>
        <cfvo type="num" val="90"/>
      </iconSet>
    </cfRule>
    <cfRule type="iconSet" priority="462">
      <iconSet>
        <cfvo type="percent" val="0"/>
        <cfvo type="num" val="70"/>
        <cfvo type="num" val="90"/>
      </iconSet>
    </cfRule>
    <cfRule type="iconSet" priority="468">
      <iconSet>
        <cfvo type="percent" val="0"/>
        <cfvo type="num" val="95"/>
        <cfvo type="num" val="100"/>
      </iconSet>
    </cfRule>
    <cfRule type="iconSet" priority="467">
      <iconSet>
        <cfvo type="percent" val="0"/>
        <cfvo type="num" val="70"/>
        <cfvo type="num" val="90"/>
      </iconSet>
    </cfRule>
    <cfRule type="iconSet" priority="466">
      <iconSet>
        <cfvo type="percent" val="0"/>
        <cfvo type="num" val="70"/>
        <cfvo type="num" val="90"/>
      </iconSet>
    </cfRule>
    <cfRule type="iconSet" priority="465">
      <iconSet>
        <cfvo type="percent" val="0"/>
        <cfvo type="num" val="95"/>
        <cfvo type="num" val="100"/>
      </iconSet>
    </cfRule>
  </conditionalFormatting>
  <conditionalFormatting sqref="AA13">
    <cfRule type="iconSet" priority="451">
      <iconSet>
        <cfvo type="percent" val="0"/>
        <cfvo type="num" val="95"/>
        <cfvo type="num" val="100"/>
      </iconSet>
    </cfRule>
    <cfRule type="iconSet" priority="452">
      <iconSet>
        <cfvo type="percent" val="0"/>
        <cfvo type="num" val="70"/>
        <cfvo type="num" val="90"/>
      </iconSet>
    </cfRule>
    <cfRule type="iconSet" priority="453">
      <iconSet>
        <cfvo type="percent" val="0"/>
        <cfvo type="num" val="70"/>
        <cfvo type="num" val="90"/>
      </iconSet>
    </cfRule>
    <cfRule type="iconSet" priority="455">
      <iconSet>
        <cfvo type="percent" val="0"/>
        <cfvo type="num" val="95"/>
        <cfvo type="num" val="100"/>
      </iconSet>
    </cfRule>
    <cfRule type="iconSet" priority="456">
      <iconSet>
        <cfvo type="percent" val="0"/>
        <cfvo type="num" val="95"/>
        <cfvo type="num" val="100"/>
      </iconSet>
    </cfRule>
    <cfRule type="iconSet" priority="457">
      <iconSet>
        <cfvo type="percent" val="0"/>
        <cfvo type="num" val="70"/>
        <cfvo type="num" val="90"/>
      </iconSet>
    </cfRule>
    <cfRule type="iconSet" priority="458">
      <iconSet>
        <cfvo type="percent" val="0"/>
        <cfvo type="num" val="70"/>
        <cfvo type="num" val="90"/>
      </iconSet>
    </cfRule>
    <cfRule type="iconSet" priority="459">
      <iconSet>
        <cfvo type="percent" val="0"/>
        <cfvo type="num" val="95"/>
        <cfvo type="num" val="100"/>
      </iconSet>
    </cfRule>
    <cfRule type="iconSet" priority="454">
      <iconSet>
        <cfvo type="percent" val="0"/>
        <cfvo type="num" val="95"/>
        <cfvo type="num" val="100"/>
      </iconSet>
    </cfRule>
  </conditionalFormatting>
  <conditionalFormatting sqref="AA14">
    <cfRule type="iconSet" priority="446">
      <iconSet>
        <cfvo type="percent" val="0"/>
        <cfvo type="num" val="95"/>
        <cfvo type="num" val="100"/>
      </iconSet>
    </cfRule>
    <cfRule type="iconSet" priority="450">
      <iconSet>
        <cfvo type="percent" val="0"/>
        <cfvo type="num" val="95"/>
        <cfvo type="num" val="100"/>
      </iconSet>
    </cfRule>
    <cfRule type="iconSet" priority="449">
      <iconSet>
        <cfvo type="percent" val="0"/>
        <cfvo type="num" val="70"/>
        <cfvo type="num" val="90"/>
      </iconSet>
    </cfRule>
    <cfRule type="iconSet" priority="448">
      <iconSet>
        <cfvo type="percent" val="0"/>
        <cfvo type="num" val="70"/>
        <cfvo type="num" val="90"/>
      </iconSet>
    </cfRule>
    <cfRule type="iconSet" priority="447">
      <iconSet>
        <cfvo type="percent" val="0"/>
        <cfvo type="num" val="95"/>
        <cfvo type="num" val="100"/>
      </iconSet>
    </cfRule>
    <cfRule type="iconSet" priority="445">
      <iconSet>
        <cfvo type="percent" val="0"/>
        <cfvo type="num" val="95"/>
        <cfvo type="num" val="100"/>
      </iconSet>
    </cfRule>
    <cfRule type="iconSet" priority="444">
      <iconSet>
        <cfvo type="percent" val="0"/>
        <cfvo type="num" val="70"/>
        <cfvo type="num" val="90"/>
      </iconSet>
    </cfRule>
    <cfRule type="iconSet" priority="443">
      <iconSet>
        <cfvo type="percent" val="0"/>
        <cfvo type="num" val="70"/>
        <cfvo type="num" val="90"/>
      </iconSet>
    </cfRule>
    <cfRule type="iconSet" priority="442">
      <iconSet>
        <cfvo type="percent" val="0"/>
        <cfvo type="num" val="95"/>
        <cfvo type="num" val="100"/>
      </iconSet>
    </cfRule>
  </conditionalFormatting>
  <conditionalFormatting sqref="AA16">
    <cfRule type="iconSet" priority="441">
      <iconSet>
        <cfvo type="percent" val="0"/>
        <cfvo type="num" val="95"/>
        <cfvo type="num" val="100"/>
      </iconSet>
    </cfRule>
    <cfRule type="iconSet" priority="440">
      <iconSet>
        <cfvo type="percent" val="0"/>
        <cfvo type="num" val="70"/>
        <cfvo type="num" val="90"/>
      </iconSet>
    </cfRule>
    <cfRule type="iconSet" priority="439">
      <iconSet>
        <cfvo type="percent" val="0"/>
        <cfvo type="num" val="70"/>
        <cfvo type="num" val="90"/>
      </iconSet>
    </cfRule>
    <cfRule type="iconSet" priority="438">
      <iconSet>
        <cfvo type="percent" val="0"/>
        <cfvo type="num" val="95"/>
        <cfvo type="num" val="100"/>
      </iconSet>
    </cfRule>
    <cfRule type="iconSet" priority="437">
      <iconSet>
        <cfvo type="percent" val="0"/>
        <cfvo type="num" val="95"/>
        <cfvo type="num" val="100"/>
      </iconSet>
    </cfRule>
    <cfRule type="iconSet" priority="436">
      <iconSet>
        <cfvo type="percent" val="0"/>
        <cfvo type="num" val="95"/>
        <cfvo type="num" val="100"/>
      </iconSet>
    </cfRule>
    <cfRule type="iconSet" priority="435">
      <iconSet>
        <cfvo type="percent" val="0"/>
        <cfvo type="num" val="70"/>
        <cfvo type="num" val="90"/>
      </iconSet>
    </cfRule>
    <cfRule type="iconSet" priority="434">
      <iconSet>
        <cfvo type="percent" val="0"/>
        <cfvo type="num" val="70"/>
        <cfvo type="num" val="90"/>
      </iconSet>
    </cfRule>
    <cfRule type="iconSet" priority="433">
      <iconSet>
        <cfvo type="percent" val="0"/>
        <cfvo type="num" val="95"/>
        <cfvo type="num" val="100"/>
      </iconSet>
    </cfRule>
  </conditionalFormatting>
  <conditionalFormatting sqref="AA17">
    <cfRule type="iconSet" priority="432">
      <iconSet>
        <cfvo type="percent" val="0"/>
        <cfvo type="num" val="95"/>
        <cfvo type="num" val="100"/>
      </iconSet>
    </cfRule>
    <cfRule type="iconSet" priority="431">
      <iconSet>
        <cfvo type="percent" val="0"/>
        <cfvo type="num" val="70"/>
        <cfvo type="num" val="90"/>
      </iconSet>
    </cfRule>
    <cfRule type="iconSet" priority="430">
      <iconSet>
        <cfvo type="percent" val="0"/>
        <cfvo type="num" val="70"/>
        <cfvo type="num" val="90"/>
      </iconSet>
    </cfRule>
    <cfRule type="iconSet" priority="429">
      <iconSet>
        <cfvo type="percent" val="0"/>
        <cfvo type="num" val="95"/>
        <cfvo type="num" val="100"/>
      </iconSet>
    </cfRule>
    <cfRule type="iconSet" priority="428">
      <iconSet>
        <cfvo type="percent" val="0"/>
        <cfvo type="num" val="95"/>
        <cfvo type="num" val="100"/>
      </iconSet>
    </cfRule>
    <cfRule type="iconSet" priority="427">
      <iconSet>
        <cfvo type="percent" val="0"/>
        <cfvo type="num" val="95"/>
        <cfvo type="num" val="100"/>
      </iconSet>
    </cfRule>
    <cfRule type="iconSet" priority="426">
      <iconSet>
        <cfvo type="percent" val="0"/>
        <cfvo type="num" val="70"/>
        <cfvo type="num" val="90"/>
      </iconSet>
    </cfRule>
    <cfRule type="iconSet" priority="425">
      <iconSet>
        <cfvo type="percent" val="0"/>
        <cfvo type="num" val="70"/>
        <cfvo type="num" val="90"/>
      </iconSet>
    </cfRule>
    <cfRule type="iconSet" priority="424">
      <iconSet>
        <cfvo type="percent" val="0"/>
        <cfvo type="num" val="95"/>
        <cfvo type="num" val="100"/>
      </iconSet>
    </cfRule>
  </conditionalFormatting>
  <conditionalFormatting sqref="AA18">
    <cfRule type="iconSet" priority="422">
      <iconSet>
        <cfvo type="percent" val="0"/>
        <cfvo type="num" val="70"/>
        <cfvo type="num" val="90"/>
      </iconSet>
    </cfRule>
    <cfRule type="iconSet" priority="419">
      <iconSet>
        <cfvo type="percent" val="0"/>
        <cfvo type="num" val="95"/>
        <cfvo type="num" val="100"/>
      </iconSet>
    </cfRule>
    <cfRule type="iconSet" priority="423">
      <iconSet>
        <cfvo type="percent" val="0"/>
        <cfvo type="num" val="95"/>
        <cfvo type="num" val="100"/>
      </iconSet>
    </cfRule>
    <cfRule type="iconSet" priority="421">
      <iconSet>
        <cfvo type="percent" val="0"/>
        <cfvo type="num" val="70"/>
        <cfvo type="num" val="90"/>
      </iconSet>
    </cfRule>
    <cfRule type="iconSet" priority="420">
      <iconSet>
        <cfvo type="percent" val="0"/>
        <cfvo type="num" val="95"/>
        <cfvo type="num" val="100"/>
      </iconSet>
    </cfRule>
    <cfRule type="iconSet" priority="418">
      <iconSet>
        <cfvo type="percent" val="0"/>
        <cfvo type="num" val="95"/>
        <cfvo type="num" val="100"/>
      </iconSet>
    </cfRule>
    <cfRule type="iconSet" priority="417">
      <iconSet>
        <cfvo type="percent" val="0"/>
        <cfvo type="num" val="70"/>
        <cfvo type="num" val="90"/>
      </iconSet>
    </cfRule>
    <cfRule type="iconSet" priority="416">
      <iconSet>
        <cfvo type="percent" val="0"/>
        <cfvo type="num" val="70"/>
        <cfvo type="num" val="90"/>
      </iconSet>
    </cfRule>
    <cfRule type="iconSet" priority="415">
      <iconSet>
        <cfvo type="percent" val="0"/>
        <cfvo type="num" val="95"/>
        <cfvo type="num" val="100"/>
      </iconSet>
    </cfRule>
  </conditionalFormatting>
  <conditionalFormatting sqref="AA19">
    <cfRule type="iconSet" priority="524">
      <iconSet>
        <cfvo type="percent" val="0"/>
        <cfvo type="num" val="70"/>
        <cfvo type="num" val="90"/>
      </iconSet>
    </cfRule>
    <cfRule type="iconSet" priority="525">
      <iconSet>
        <cfvo type="percent" val="0"/>
        <cfvo type="num" val="95"/>
        <cfvo type="num" val="100"/>
      </iconSet>
    </cfRule>
    <cfRule type="iconSet" priority="526">
      <iconSet>
        <cfvo type="percent" val="0"/>
        <cfvo type="num" val="95"/>
        <cfvo type="num" val="100"/>
      </iconSet>
    </cfRule>
    <cfRule type="iconSet" priority="527">
      <iconSet>
        <cfvo type="percent" val="0"/>
        <cfvo type="num" val="70"/>
        <cfvo type="num" val="90"/>
      </iconSet>
    </cfRule>
    <cfRule type="iconSet" priority="542">
      <iconSet>
        <cfvo type="percent" val="0"/>
        <cfvo type="num" val="95"/>
        <cfvo type="num" val="100"/>
      </iconSet>
    </cfRule>
    <cfRule type="iconSet" priority="531">
      <iconSet>
        <cfvo type="percent" val="0"/>
        <cfvo type="num" val="70"/>
        <cfvo type="num" val="90"/>
      </iconSet>
    </cfRule>
    <cfRule type="iconSet" priority="530">
      <iconSet>
        <cfvo type="percent" val="0"/>
        <cfvo type="num" val="95"/>
        <cfvo type="num" val="100"/>
      </iconSet>
    </cfRule>
    <cfRule type="iconSet" priority="550">
      <iconSet>
        <cfvo type="percent" val="0"/>
        <cfvo type="num" val="95"/>
        <cfvo type="num" val="100"/>
      </iconSet>
    </cfRule>
    <cfRule type="iconSet" priority="549">
      <iconSet>
        <cfvo type="percent" val="0"/>
        <cfvo type="num" val="95"/>
        <cfvo type="num" val="100"/>
      </iconSet>
    </cfRule>
    <cfRule type="iconSet" priority="548">
      <iconSet>
        <cfvo type="percent" val="0"/>
        <cfvo type="num" val="70"/>
        <cfvo type="num" val="90"/>
      </iconSet>
    </cfRule>
    <cfRule type="iconSet" priority="547">
      <iconSet>
        <cfvo type="percent" val="0"/>
        <cfvo type="num" val="70"/>
        <cfvo type="num" val="90"/>
      </iconSet>
    </cfRule>
    <cfRule type="iconSet" priority="546">
      <iconSet>
        <cfvo type="percent" val="0"/>
        <cfvo type="num" val="95"/>
        <cfvo type="num" val="100"/>
      </iconSet>
    </cfRule>
    <cfRule type="iconSet" priority="545">
      <iconSet>
        <cfvo type="percent" val="0"/>
        <cfvo type="num" val="95"/>
        <cfvo type="num" val="100"/>
      </iconSet>
    </cfRule>
    <cfRule type="iconSet" priority="544">
      <iconSet>
        <cfvo type="percent" val="0"/>
        <cfvo type="num" val="70"/>
        <cfvo type="num" val="90"/>
      </iconSet>
    </cfRule>
    <cfRule type="iconSet" priority="543">
      <iconSet>
        <cfvo type="percent" val="0"/>
        <cfvo type="num" val="70"/>
        <cfvo type="num" val="90"/>
      </iconSet>
    </cfRule>
    <cfRule type="iconSet" priority="541">
      <iconSet>
        <cfvo type="percent" val="0"/>
        <cfvo type="num" val="95"/>
        <cfvo type="num" val="100"/>
      </iconSet>
    </cfRule>
    <cfRule type="iconSet" priority="540">
      <iconSet>
        <cfvo type="percent" val="0"/>
        <cfvo type="num" val="70"/>
        <cfvo type="num" val="90"/>
      </iconSet>
    </cfRule>
    <cfRule type="iconSet" priority="539">
      <iconSet>
        <cfvo type="percent" val="0"/>
        <cfvo type="num" val="70"/>
        <cfvo type="num" val="90"/>
      </iconSet>
    </cfRule>
    <cfRule type="iconSet" priority="538">
      <iconSet>
        <cfvo type="percent" val="0"/>
        <cfvo type="num" val="95"/>
        <cfvo type="num" val="100"/>
      </iconSet>
    </cfRule>
    <cfRule type="iconSet" priority="529">
      <iconSet>
        <cfvo type="percent" val="0"/>
        <cfvo type="num" val="95"/>
        <cfvo type="num" val="100"/>
      </iconSet>
    </cfRule>
    <cfRule type="iconSet" priority="537">
      <iconSet>
        <cfvo type="percent" val="0"/>
        <cfvo type="num" val="95"/>
        <cfvo type="num" val="100"/>
      </iconSet>
    </cfRule>
    <cfRule type="iconSet" priority="536">
      <iconSet>
        <cfvo type="percent" val="0"/>
        <cfvo type="num" val="70"/>
        <cfvo type="num" val="90"/>
      </iconSet>
    </cfRule>
    <cfRule type="iconSet" priority="528">
      <iconSet>
        <cfvo type="percent" val="0"/>
        <cfvo type="num" val="70"/>
        <cfvo type="num" val="90"/>
      </iconSet>
    </cfRule>
    <cfRule type="iconSet" priority="535">
      <iconSet>
        <cfvo type="percent" val="0"/>
        <cfvo type="num" val="70"/>
        <cfvo type="num" val="90"/>
      </iconSet>
    </cfRule>
    <cfRule type="iconSet" priority="534">
      <iconSet>
        <cfvo type="percent" val="0"/>
        <cfvo type="num" val="95"/>
        <cfvo type="num" val="100"/>
      </iconSet>
    </cfRule>
    <cfRule type="iconSet" priority="522">
      <iconSet>
        <cfvo type="percent" val="0"/>
        <cfvo type="num" val="95"/>
        <cfvo type="num" val="100"/>
      </iconSet>
    </cfRule>
    <cfRule type="iconSet" priority="523">
      <iconSet>
        <cfvo type="percent" val="0"/>
        <cfvo type="num" val="70"/>
        <cfvo type="num" val="90"/>
      </iconSet>
    </cfRule>
    <cfRule type="iconSet" priority="533">
      <iconSet>
        <cfvo type="percent" val="0"/>
        <cfvo type="num" val="95"/>
        <cfvo type="num" val="100"/>
      </iconSet>
    </cfRule>
    <cfRule type="iconSet" priority="532">
      <iconSet>
        <cfvo type="percent" val="0"/>
        <cfvo type="num" val="70"/>
        <cfvo type="num" val="90"/>
      </iconSet>
    </cfRule>
  </conditionalFormatting>
  <conditionalFormatting sqref="AA20">
    <cfRule type="iconSet" priority="412">
      <iconSet>
        <cfvo type="percent" val="0"/>
        <cfvo type="num" val="70"/>
        <cfvo type="num" val="90"/>
      </iconSet>
    </cfRule>
    <cfRule type="iconSet" priority="411">
      <iconSet>
        <cfvo type="percent" val="0"/>
        <cfvo type="num" val="95"/>
        <cfvo type="num" val="100"/>
      </iconSet>
    </cfRule>
    <cfRule type="iconSet" priority="410">
      <iconSet>
        <cfvo type="percent" val="0"/>
        <cfvo type="num" val="95"/>
        <cfvo type="num" val="100"/>
      </iconSet>
    </cfRule>
    <cfRule type="iconSet" priority="409">
      <iconSet>
        <cfvo type="percent" val="0"/>
        <cfvo type="num" val="95"/>
        <cfvo type="num" val="100"/>
      </iconSet>
    </cfRule>
    <cfRule type="iconSet" priority="408">
      <iconSet>
        <cfvo type="percent" val="0"/>
        <cfvo type="num" val="70"/>
        <cfvo type="num" val="90"/>
      </iconSet>
    </cfRule>
    <cfRule type="iconSet" priority="407">
      <iconSet>
        <cfvo type="percent" val="0"/>
        <cfvo type="num" val="70"/>
        <cfvo type="num" val="90"/>
      </iconSet>
    </cfRule>
    <cfRule type="iconSet" priority="406">
      <iconSet>
        <cfvo type="percent" val="0"/>
        <cfvo type="num" val="95"/>
        <cfvo type="num" val="100"/>
      </iconSet>
    </cfRule>
    <cfRule type="iconSet" priority="414">
      <iconSet>
        <cfvo type="percent" val="0"/>
        <cfvo type="num" val="95"/>
        <cfvo type="num" val="100"/>
      </iconSet>
    </cfRule>
    <cfRule type="iconSet" priority="413">
      <iconSet>
        <cfvo type="percent" val="0"/>
        <cfvo type="num" val="70"/>
        <cfvo type="num" val="90"/>
      </iconSet>
    </cfRule>
  </conditionalFormatting>
  <conditionalFormatting sqref="AA21">
    <cfRule type="iconSet" priority="403">
      <iconSet>
        <cfvo type="percent" val="0"/>
        <cfvo type="num" val="70"/>
        <cfvo type="num" val="90"/>
      </iconSet>
    </cfRule>
    <cfRule type="iconSet" priority="402">
      <iconSet>
        <cfvo type="percent" val="0"/>
        <cfvo type="num" val="95"/>
        <cfvo type="num" val="100"/>
      </iconSet>
    </cfRule>
    <cfRule type="iconSet" priority="401">
      <iconSet>
        <cfvo type="percent" val="0"/>
        <cfvo type="num" val="95"/>
        <cfvo type="num" val="100"/>
      </iconSet>
    </cfRule>
    <cfRule type="iconSet" priority="400">
      <iconSet>
        <cfvo type="percent" val="0"/>
        <cfvo type="num" val="95"/>
        <cfvo type="num" val="100"/>
      </iconSet>
    </cfRule>
    <cfRule type="iconSet" priority="399">
      <iconSet>
        <cfvo type="percent" val="0"/>
        <cfvo type="num" val="70"/>
        <cfvo type="num" val="90"/>
      </iconSet>
    </cfRule>
    <cfRule type="iconSet" priority="398">
      <iconSet>
        <cfvo type="percent" val="0"/>
        <cfvo type="num" val="70"/>
        <cfvo type="num" val="90"/>
      </iconSet>
    </cfRule>
    <cfRule type="iconSet" priority="397">
      <iconSet>
        <cfvo type="percent" val="0"/>
        <cfvo type="num" val="95"/>
        <cfvo type="num" val="100"/>
      </iconSet>
    </cfRule>
    <cfRule type="iconSet" priority="405">
      <iconSet>
        <cfvo type="percent" val="0"/>
        <cfvo type="num" val="95"/>
        <cfvo type="num" val="100"/>
      </iconSet>
    </cfRule>
    <cfRule type="iconSet" priority="404">
      <iconSet>
        <cfvo type="percent" val="0"/>
        <cfvo type="num" val="70"/>
        <cfvo type="num" val="90"/>
      </iconSet>
    </cfRule>
  </conditionalFormatting>
  <conditionalFormatting sqref="AA22">
    <cfRule type="iconSet" priority="394">
      <iconSet>
        <cfvo type="percent" val="0"/>
        <cfvo type="num" val="70"/>
        <cfvo type="num" val="90"/>
      </iconSet>
    </cfRule>
    <cfRule type="iconSet" priority="393">
      <iconSet>
        <cfvo type="percent" val="0"/>
        <cfvo type="num" val="95"/>
        <cfvo type="num" val="100"/>
      </iconSet>
    </cfRule>
    <cfRule type="iconSet" priority="392">
      <iconSet>
        <cfvo type="percent" val="0"/>
        <cfvo type="num" val="95"/>
        <cfvo type="num" val="100"/>
      </iconSet>
    </cfRule>
    <cfRule type="iconSet" priority="391">
      <iconSet>
        <cfvo type="percent" val="0"/>
        <cfvo type="num" val="95"/>
        <cfvo type="num" val="100"/>
      </iconSet>
    </cfRule>
    <cfRule type="iconSet" priority="390">
      <iconSet>
        <cfvo type="percent" val="0"/>
        <cfvo type="num" val="70"/>
        <cfvo type="num" val="90"/>
      </iconSet>
    </cfRule>
    <cfRule type="iconSet" priority="389">
      <iconSet>
        <cfvo type="percent" val="0"/>
        <cfvo type="num" val="70"/>
        <cfvo type="num" val="90"/>
      </iconSet>
    </cfRule>
    <cfRule type="iconSet" priority="388">
      <iconSet>
        <cfvo type="percent" val="0"/>
        <cfvo type="num" val="95"/>
        <cfvo type="num" val="100"/>
      </iconSet>
    </cfRule>
    <cfRule type="iconSet" priority="395">
      <iconSet>
        <cfvo type="percent" val="0"/>
        <cfvo type="num" val="70"/>
        <cfvo type="num" val="90"/>
      </iconSet>
    </cfRule>
    <cfRule type="iconSet" priority="396">
      <iconSet>
        <cfvo type="percent" val="0"/>
        <cfvo type="num" val="95"/>
        <cfvo type="num" val="100"/>
      </iconSet>
    </cfRule>
  </conditionalFormatting>
  <conditionalFormatting sqref="AA23">
    <cfRule type="iconSet" priority="387">
      <iconSet>
        <cfvo type="percent" val="0"/>
        <cfvo type="num" val="95"/>
        <cfvo type="num" val="100"/>
      </iconSet>
    </cfRule>
    <cfRule type="iconSet" priority="386">
      <iconSet>
        <cfvo type="percent" val="0"/>
        <cfvo type="num" val="70"/>
        <cfvo type="num" val="90"/>
      </iconSet>
    </cfRule>
    <cfRule type="iconSet" priority="385">
      <iconSet>
        <cfvo type="percent" val="0"/>
        <cfvo type="num" val="70"/>
        <cfvo type="num" val="90"/>
      </iconSet>
    </cfRule>
    <cfRule type="iconSet" priority="384">
      <iconSet>
        <cfvo type="percent" val="0"/>
        <cfvo type="num" val="95"/>
        <cfvo type="num" val="100"/>
      </iconSet>
    </cfRule>
    <cfRule type="iconSet" priority="383">
      <iconSet>
        <cfvo type="percent" val="0"/>
        <cfvo type="num" val="95"/>
        <cfvo type="num" val="100"/>
      </iconSet>
    </cfRule>
    <cfRule type="iconSet" priority="382">
      <iconSet>
        <cfvo type="percent" val="0"/>
        <cfvo type="num" val="95"/>
        <cfvo type="num" val="100"/>
      </iconSet>
    </cfRule>
    <cfRule type="iconSet" priority="381">
      <iconSet>
        <cfvo type="percent" val="0"/>
        <cfvo type="num" val="70"/>
        <cfvo type="num" val="90"/>
      </iconSet>
    </cfRule>
    <cfRule type="iconSet" priority="380">
      <iconSet>
        <cfvo type="percent" val="0"/>
        <cfvo type="num" val="70"/>
        <cfvo type="num" val="90"/>
      </iconSet>
    </cfRule>
    <cfRule type="iconSet" priority="379">
      <iconSet>
        <cfvo type="percent" val="0"/>
        <cfvo type="num" val="95"/>
        <cfvo type="num" val="100"/>
      </iconSet>
    </cfRule>
  </conditionalFormatting>
  <conditionalFormatting sqref="AA24">
    <cfRule type="iconSet" priority="376">
      <iconSet>
        <cfvo type="percent" val="0"/>
        <cfvo type="num" val="70"/>
        <cfvo type="num" val="90"/>
      </iconSet>
    </cfRule>
    <cfRule type="iconSet" priority="375">
      <iconSet>
        <cfvo type="percent" val="0"/>
        <cfvo type="num" val="95"/>
        <cfvo type="num" val="100"/>
      </iconSet>
    </cfRule>
    <cfRule type="iconSet" priority="374">
      <iconSet>
        <cfvo type="percent" val="0"/>
        <cfvo type="num" val="95"/>
        <cfvo type="num" val="100"/>
      </iconSet>
    </cfRule>
    <cfRule type="iconSet" priority="373">
      <iconSet>
        <cfvo type="percent" val="0"/>
        <cfvo type="num" val="95"/>
        <cfvo type="num" val="100"/>
      </iconSet>
    </cfRule>
    <cfRule type="iconSet" priority="372">
      <iconSet>
        <cfvo type="percent" val="0"/>
        <cfvo type="num" val="70"/>
        <cfvo type="num" val="90"/>
      </iconSet>
    </cfRule>
    <cfRule type="iconSet" priority="371">
      <iconSet>
        <cfvo type="percent" val="0"/>
        <cfvo type="num" val="70"/>
        <cfvo type="num" val="90"/>
      </iconSet>
    </cfRule>
    <cfRule type="iconSet" priority="370">
      <iconSet>
        <cfvo type="percent" val="0"/>
        <cfvo type="num" val="95"/>
        <cfvo type="num" val="100"/>
      </iconSet>
    </cfRule>
    <cfRule type="iconSet" priority="378">
      <iconSet>
        <cfvo type="percent" val="0"/>
        <cfvo type="num" val="95"/>
        <cfvo type="num" val="100"/>
      </iconSet>
    </cfRule>
    <cfRule type="iconSet" priority="377">
      <iconSet>
        <cfvo type="percent" val="0"/>
        <cfvo type="num" val="70"/>
        <cfvo type="num" val="90"/>
      </iconSet>
    </cfRule>
  </conditionalFormatting>
  <conditionalFormatting sqref="AA25">
    <cfRule type="iconSet" priority="521">
      <iconSet>
        <cfvo type="percent" val="0"/>
        <cfvo type="num" val="95"/>
        <cfvo type="num" val="100"/>
      </iconSet>
    </cfRule>
  </conditionalFormatting>
  <conditionalFormatting sqref="AA26">
    <cfRule type="iconSet" priority="367">
      <iconSet>
        <cfvo type="percent" val="0"/>
        <cfvo type="num" val="70"/>
        <cfvo type="num" val="90"/>
      </iconSet>
    </cfRule>
    <cfRule type="iconSet" priority="366">
      <iconSet>
        <cfvo type="percent" val="0"/>
        <cfvo type="num" val="95"/>
        <cfvo type="num" val="100"/>
      </iconSet>
    </cfRule>
    <cfRule type="iconSet" priority="365">
      <iconSet>
        <cfvo type="percent" val="0"/>
        <cfvo type="num" val="95"/>
        <cfvo type="num" val="100"/>
      </iconSet>
    </cfRule>
    <cfRule type="iconSet" priority="364">
      <iconSet>
        <cfvo type="percent" val="0"/>
        <cfvo type="num" val="95"/>
        <cfvo type="num" val="100"/>
      </iconSet>
    </cfRule>
    <cfRule type="iconSet" priority="363">
      <iconSet>
        <cfvo type="percent" val="0"/>
        <cfvo type="num" val="70"/>
        <cfvo type="num" val="90"/>
      </iconSet>
    </cfRule>
    <cfRule type="iconSet" priority="362">
      <iconSet>
        <cfvo type="percent" val="0"/>
        <cfvo type="num" val="70"/>
        <cfvo type="num" val="90"/>
      </iconSet>
    </cfRule>
    <cfRule type="iconSet" priority="361">
      <iconSet>
        <cfvo type="percent" val="0"/>
        <cfvo type="num" val="95"/>
        <cfvo type="num" val="100"/>
      </iconSet>
    </cfRule>
    <cfRule type="iconSet" priority="369">
      <iconSet>
        <cfvo type="percent" val="0"/>
        <cfvo type="num" val="95"/>
        <cfvo type="num" val="100"/>
      </iconSet>
    </cfRule>
    <cfRule type="iconSet" priority="368">
      <iconSet>
        <cfvo type="percent" val="0"/>
        <cfvo type="num" val="70"/>
        <cfvo type="num" val="90"/>
      </iconSet>
    </cfRule>
  </conditionalFormatting>
  <conditionalFormatting sqref="AA27">
    <cfRule type="iconSet" priority="555">
      <iconSet>
        <cfvo type="percent" val="0"/>
        <cfvo type="num" val="95"/>
        <cfvo type="num" val="100"/>
      </iconSet>
    </cfRule>
  </conditionalFormatting>
  <conditionalFormatting sqref="AA28:AA30">
    <cfRule type="iconSet" priority="356">
      <iconSet>
        <cfvo type="percent" val="0"/>
        <cfvo type="num" val="95"/>
        <cfvo type="num" val="100"/>
      </iconSet>
    </cfRule>
    <cfRule type="iconSet" priority="355">
      <iconSet>
        <cfvo type="percent" val="0"/>
        <cfvo type="num" val="95"/>
        <cfvo type="num" val="100"/>
      </iconSet>
    </cfRule>
    <cfRule type="iconSet" priority="354">
      <iconSet>
        <cfvo type="percent" val="0"/>
        <cfvo type="num" val="70"/>
        <cfvo type="num" val="90"/>
      </iconSet>
    </cfRule>
    <cfRule type="iconSet" priority="353">
      <iconSet>
        <cfvo type="percent" val="0"/>
        <cfvo type="num" val="70"/>
        <cfvo type="num" val="90"/>
      </iconSet>
    </cfRule>
    <cfRule type="iconSet" priority="352">
      <iconSet>
        <cfvo type="percent" val="0"/>
        <cfvo type="num" val="95"/>
        <cfvo type="num" val="100"/>
      </iconSet>
    </cfRule>
    <cfRule type="iconSet" priority="360">
      <iconSet>
        <cfvo type="percent" val="0"/>
        <cfvo type="num" val="95"/>
        <cfvo type="num" val="100"/>
      </iconSet>
    </cfRule>
    <cfRule type="iconSet" priority="359">
      <iconSet>
        <cfvo type="percent" val="0"/>
        <cfvo type="num" val="70"/>
        <cfvo type="num" val="90"/>
      </iconSet>
    </cfRule>
    <cfRule type="iconSet" priority="358">
      <iconSet>
        <cfvo type="percent" val="0"/>
        <cfvo type="num" val="70"/>
        <cfvo type="num" val="90"/>
      </iconSet>
    </cfRule>
    <cfRule type="iconSet" priority="357">
      <iconSet>
        <cfvo type="percent" val="0"/>
        <cfvo type="num" val="95"/>
        <cfvo type="num" val="100"/>
      </iconSet>
    </cfRule>
  </conditionalFormatting>
  <conditionalFormatting sqref="AA31:AA33">
    <cfRule type="iconSet" priority="347">
      <iconSet>
        <cfvo type="percent" val="0"/>
        <cfvo type="num" val="95"/>
        <cfvo type="num" val="100"/>
      </iconSet>
    </cfRule>
    <cfRule type="iconSet" priority="346">
      <iconSet>
        <cfvo type="percent" val="0"/>
        <cfvo type="num" val="95"/>
        <cfvo type="num" val="100"/>
      </iconSet>
    </cfRule>
    <cfRule type="iconSet" priority="345">
      <iconSet>
        <cfvo type="percent" val="0"/>
        <cfvo type="num" val="70"/>
        <cfvo type="num" val="90"/>
      </iconSet>
    </cfRule>
    <cfRule type="iconSet" priority="344">
      <iconSet>
        <cfvo type="percent" val="0"/>
        <cfvo type="num" val="70"/>
        <cfvo type="num" val="90"/>
      </iconSet>
    </cfRule>
    <cfRule type="iconSet" priority="343">
      <iconSet>
        <cfvo type="percent" val="0"/>
        <cfvo type="num" val="95"/>
        <cfvo type="num" val="100"/>
      </iconSet>
    </cfRule>
    <cfRule type="iconSet" priority="351">
      <iconSet>
        <cfvo type="percent" val="0"/>
        <cfvo type="num" val="95"/>
        <cfvo type="num" val="100"/>
      </iconSet>
    </cfRule>
    <cfRule type="iconSet" priority="350">
      <iconSet>
        <cfvo type="percent" val="0"/>
        <cfvo type="num" val="70"/>
        <cfvo type="num" val="90"/>
      </iconSet>
    </cfRule>
    <cfRule type="iconSet" priority="349">
      <iconSet>
        <cfvo type="percent" val="0"/>
        <cfvo type="num" val="70"/>
        <cfvo type="num" val="90"/>
      </iconSet>
    </cfRule>
    <cfRule type="iconSet" priority="348">
      <iconSet>
        <cfvo type="percent" val="0"/>
        <cfvo type="num" val="95"/>
        <cfvo type="num" val="100"/>
      </iconSet>
    </cfRule>
  </conditionalFormatting>
  <conditionalFormatting sqref="AA34">
    <cfRule type="iconSet" priority="487">
      <iconSet>
        <cfvo type="percent" val="0"/>
        <cfvo type="num" val="95"/>
        <cfvo type="num" val="100"/>
      </iconSet>
    </cfRule>
  </conditionalFormatting>
  <conditionalFormatting sqref="AA35:AA36">
    <cfRule type="iconSet" priority="342">
      <iconSet>
        <cfvo type="percent" val="0"/>
        <cfvo type="num" val="95"/>
        <cfvo type="num" val="100"/>
      </iconSet>
    </cfRule>
    <cfRule type="iconSet" priority="341">
      <iconSet>
        <cfvo type="percent" val="0"/>
        <cfvo type="num" val="70"/>
        <cfvo type="num" val="90"/>
      </iconSet>
    </cfRule>
    <cfRule type="iconSet" priority="340">
      <iconSet>
        <cfvo type="percent" val="0"/>
        <cfvo type="num" val="70"/>
        <cfvo type="num" val="90"/>
      </iconSet>
    </cfRule>
    <cfRule type="iconSet" priority="339">
      <iconSet>
        <cfvo type="percent" val="0"/>
        <cfvo type="num" val="95"/>
        <cfvo type="num" val="100"/>
      </iconSet>
    </cfRule>
    <cfRule type="iconSet" priority="338">
      <iconSet>
        <cfvo type="percent" val="0"/>
        <cfvo type="num" val="95"/>
        <cfvo type="num" val="100"/>
      </iconSet>
    </cfRule>
    <cfRule type="iconSet" priority="337">
      <iconSet>
        <cfvo type="percent" val="0"/>
        <cfvo type="num" val="95"/>
        <cfvo type="num" val="100"/>
      </iconSet>
    </cfRule>
    <cfRule type="iconSet" priority="336">
      <iconSet>
        <cfvo type="percent" val="0"/>
        <cfvo type="num" val="70"/>
        <cfvo type="num" val="90"/>
      </iconSet>
    </cfRule>
    <cfRule type="iconSet" priority="335">
      <iconSet>
        <cfvo type="percent" val="0"/>
        <cfvo type="num" val="70"/>
        <cfvo type="num" val="90"/>
      </iconSet>
    </cfRule>
    <cfRule type="iconSet" priority="334">
      <iconSet>
        <cfvo type="percent" val="0"/>
        <cfvo type="num" val="95"/>
        <cfvo type="num" val="100"/>
      </iconSet>
    </cfRule>
  </conditionalFormatting>
  <conditionalFormatting sqref="AA37">
    <cfRule type="iconSet" priority="580">
      <iconSet>
        <cfvo type="percent" val="0"/>
        <cfvo type="num" val="95"/>
        <cfvo type="num" val="100"/>
      </iconSet>
    </cfRule>
    <cfRule type="iconSet" priority="581">
      <iconSet>
        <cfvo type="percent" val="0"/>
        <cfvo type="num" val="70"/>
        <cfvo type="num" val="90"/>
      </iconSet>
    </cfRule>
    <cfRule type="iconSet" priority="583">
      <iconSet>
        <cfvo type="percent" val="0"/>
        <cfvo type="num" val="95"/>
        <cfvo type="num" val="100"/>
      </iconSet>
    </cfRule>
    <cfRule type="iconSet" priority="582">
      <iconSet>
        <cfvo type="percent" val="0"/>
        <cfvo type="num" val="70"/>
        <cfvo type="num" val="90"/>
      </iconSet>
    </cfRule>
  </conditionalFormatting>
  <conditionalFormatting sqref="AA37:AA38">
    <cfRule type="iconSet" priority="569">
      <iconSet>
        <cfvo type="percent" val="0"/>
        <cfvo type="num" val="70"/>
        <cfvo type="num" val="90"/>
      </iconSet>
    </cfRule>
    <cfRule type="iconSet" priority="570">
      <iconSet>
        <cfvo type="percent" val="0"/>
        <cfvo type="num" val="70"/>
        <cfvo type="num" val="90"/>
      </iconSet>
    </cfRule>
    <cfRule type="iconSet" priority="571">
      <iconSet>
        <cfvo type="percent" val="0"/>
        <cfvo type="num" val="95"/>
        <cfvo type="num" val="100"/>
      </iconSet>
    </cfRule>
    <cfRule type="iconSet" priority="572">
      <iconSet>
        <cfvo type="percent" val="0"/>
        <cfvo type="num" val="95"/>
        <cfvo type="num" val="100"/>
      </iconSet>
    </cfRule>
    <cfRule type="iconSet" priority="573">
      <iconSet>
        <cfvo type="percent" val="0"/>
        <cfvo type="num" val="70"/>
        <cfvo type="num" val="90"/>
      </iconSet>
    </cfRule>
    <cfRule type="iconSet" priority="574">
      <iconSet>
        <cfvo type="percent" val="0"/>
        <cfvo type="num" val="70"/>
        <cfvo type="num" val="90"/>
      </iconSet>
    </cfRule>
    <cfRule type="iconSet" priority="575">
      <iconSet>
        <cfvo type="percent" val="0"/>
        <cfvo type="num" val="95"/>
        <cfvo type="num" val="100"/>
      </iconSet>
    </cfRule>
    <cfRule type="iconSet" priority="568">
      <iconSet>
        <cfvo type="percent" val="0"/>
        <cfvo type="num" val="95"/>
        <cfvo type="num" val="100"/>
      </iconSet>
    </cfRule>
  </conditionalFormatting>
  <conditionalFormatting sqref="AA37:AA39">
    <cfRule type="iconSet" priority="586">
      <iconSet>
        <cfvo type="percent" val="0"/>
        <cfvo type="num" val="95"/>
        <cfvo type="num" val="100"/>
      </iconSet>
    </cfRule>
  </conditionalFormatting>
  <conditionalFormatting sqref="AA38">
    <cfRule type="iconSet" priority="553">
      <iconSet>
        <cfvo type="percent" val="0"/>
        <cfvo type="num" val="70"/>
        <cfvo type="num" val="90"/>
      </iconSet>
    </cfRule>
    <cfRule type="iconSet" priority="560">
      <iconSet>
        <cfvo type="percent" val="0"/>
        <cfvo type="num" val="95"/>
        <cfvo type="num" val="100"/>
      </iconSet>
    </cfRule>
    <cfRule type="iconSet" priority="489">
      <iconSet>
        <cfvo type="percent" val="0"/>
        <cfvo type="num" val="95"/>
        <cfvo type="num" val="100"/>
      </iconSet>
    </cfRule>
    <cfRule type="iconSet" priority="490">
      <iconSet>
        <cfvo type="percent" val="0"/>
        <cfvo type="num" val="70"/>
        <cfvo type="num" val="90"/>
      </iconSet>
    </cfRule>
    <cfRule type="iconSet" priority="491">
      <iconSet>
        <cfvo type="percent" val="0"/>
        <cfvo type="num" val="70"/>
        <cfvo type="num" val="90"/>
      </iconSet>
    </cfRule>
    <cfRule type="iconSet" priority="492">
      <iconSet>
        <cfvo type="percent" val="0"/>
        <cfvo type="num" val="95"/>
        <cfvo type="num" val="100"/>
      </iconSet>
    </cfRule>
    <cfRule type="iconSet" priority="559">
      <iconSet>
        <cfvo type="percent" val="0"/>
        <cfvo type="num" val="95"/>
        <cfvo type="num" val="100"/>
      </iconSet>
    </cfRule>
    <cfRule type="iconSet" priority="558">
      <iconSet>
        <cfvo type="percent" val="0"/>
        <cfvo type="num" val="70"/>
        <cfvo type="num" val="90"/>
      </iconSet>
    </cfRule>
    <cfRule type="iconSet" priority="557">
      <iconSet>
        <cfvo type="percent" val="0"/>
        <cfvo type="num" val="70"/>
        <cfvo type="num" val="90"/>
      </iconSet>
    </cfRule>
    <cfRule type="iconSet" priority="556">
      <iconSet>
        <cfvo type="percent" val="0"/>
        <cfvo type="num" val="95"/>
        <cfvo type="num" val="100"/>
      </iconSet>
    </cfRule>
    <cfRule type="iconSet" priority="552">
      <iconSet>
        <cfvo type="percent" val="0"/>
        <cfvo type="num" val="70"/>
        <cfvo type="num" val="90"/>
      </iconSet>
    </cfRule>
    <cfRule type="iconSet" priority="551">
      <iconSet>
        <cfvo type="percent" val="0"/>
        <cfvo type="num" val="95"/>
        <cfvo type="num" val="100"/>
      </iconSet>
    </cfRule>
    <cfRule type="iconSet" priority="554">
      <iconSet>
        <cfvo type="percent" val="0"/>
        <cfvo type="num" val="95"/>
        <cfvo type="num" val="100"/>
      </iconSet>
    </cfRule>
    <cfRule type="iconSet" priority="579">
      <iconSet>
        <cfvo type="percent" val="0"/>
        <cfvo type="num" val="95"/>
        <cfvo type="num" val="100"/>
      </iconSet>
    </cfRule>
    <cfRule type="iconSet" priority="578">
      <iconSet>
        <cfvo type="percent" val="0"/>
        <cfvo type="num" val="70"/>
        <cfvo type="num" val="90"/>
      </iconSet>
    </cfRule>
    <cfRule type="iconSet" priority="577">
      <iconSet>
        <cfvo type="percent" val="0"/>
        <cfvo type="num" val="70"/>
        <cfvo type="num" val="90"/>
      </iconSet>
    </cfRule>
    <cfRule type="iconSet" priority="576">
      <iconSet>
        <cfvo type="percent" val="0"/>
        <cfvo type="num" val="95"/>
        <cfvo type="num" val="100"/>
      </iconSet>
    </cfRule>
    <cfRule type="iconSet" priority="567">
      <iconSet>
        <cfvo type="percent" val="0"/>
        <cfvo type="num" val="95"/>
        <cfvo type="num" val="100"/>
      </iconSet>
    </cfRule>
    <cfRule type="iconSet" priority="566">
      <iconSet>
        <cfvo type="percent" val="0"/>
        <cfvo type="num" val="70"/>
        <cfvo type="num" val="90"/>
      </iconSet>
    </cfRule>
    <cfRule type="iconSet" priority="565">
      <iconSet>
        <cfvo type="percent" val="0"/>
        <cfvo type="num" val="70"/>
        <cfvo type="num" val="90"/>
      </iconSet>
    </cfRule>
    <cfRule type="iconSet" priority="564">
      <iconSet>
        <cfvo type="percent" val="0"/>
        <cfvo type="num" val="95"/>
        <cfvo type="num" val="100"/>
      </iconSet>
    </cfRule>
    <cfRule type="iconSet" priority="563">
      <iconSet>
        <cfvo type="percent" val="0"/>
        <cfvo type="num" val="95"/>
        <cfvo type="num" val="100"/>
      </iconSet>
    </cfRule>
    <cfRule type="iconSet" priority="562">
      <iconSet>
        <cfvo type="percent" val="0"/>
        <cfvo type="num" val="70"/>
        <cfvo type="num" val="90"/>
      </iconSet>
    </cfRule>
    <cfRule type="iconSet" priority="561">
      <iconSet>
        <cfvo type="percent" val="0"/>
        <cfvo type="num" val="70"/>
        <cfvo type="num" val="90"/>
      </iconSet>
    </cfRule>
  </conditionalFormatting>
  <conditionalFormatting sqref="AA39">
    <cfRule type="iconSet" priority="503">
      <iconSet>
        <cfvo type="percent" val="0"/>
        <cfvo type="num" val="70"/>
        <cfvo type="num" val="90"/>
      </iconSet>
    </cfRule>
    <cfRule type="iconSet" priority="493">
      <iconSet>
        <cfvo type="percent" val="0"/>
        <cfvo type="num" val="95"/>
        <cfvo type="num" val="100"/>
      </iconSet>
    </cfRule>
    <cfRule type="iconSet" priority="494">
      <iconSet>
        <cfvo type="percent" val="0"/>
        <cfvo type="num" val="70"/>
        <cfvo type="num" val="90"/>
      </iconSet>
    </cfRule>
    <cfRule type="iconSet" priority="497">
      <iconSet>
        <cfvo type="percent" val="0"/>
        <cfvo type="num" val="95"/>
        <cfvo type="num" val="100"/>
      </iconSet>
    </cfRule>
    <cfRule type="iconSet" priority="496">
      <iconSet>
        <cfvo type="percent" val="0"/>
        <cfvo type="num" val="95"/>
        <cfvo type="num" val="100"/>
      </iconSet>
    </cfRule>
    <cfRule type="iconSet" priority="585">
      <iconSet>
        <cfvo type="percent" val="0"/>
        <cfvo type="num" val="95"/>
        <cfvo type="num" val="100"/>
      </iconSet>
    </cfRule>
    <cfRule type="iconSet" priority="584">
      <iconSet>
        <cfvo type="percent" val="0"/>
        <cfvo type="num" val="70"/>
        <cfvo type="num" val="90"/>
      </iconSet>
    </cfRule>
    <cfRule type="iconSet" priority="500">
      <iconSet>
        <cfvo type="percent" val="0"/>
        <cfvo type="num" val="95"/>
        <cfvo type="num" val="100"/>
      </iconSet>
    </cfRule>
    <cfRule type="iconSet" priority="501">
      <iconSet>
        <cfvo type="percent" val="0"/>
        <cfvo type="num" val="95"/>
        <cfvo type="num" val="100"/>
      </iconSet>
    </cfRule>
    <cfRule type="iconSet" priority="502">
      <iconSet>
        <cfvo type="percent" val="0"/>
        <cfvo type="num" val="70"/>
        <cfvo type="num" val="90"/>
      </iconSet>
    </cfRule>
    <cfRule type="iconSet" priority="514">
      <iconSet>
        <cfvo type="percent" val="0"/>
        <cfvo type="num" val="70"/>
        <cfvo type="num" val="90"/>
      </iconSet>
    </cfRule>
    <cfRule type="iconSet" priority="495">
      <iconSet>
        <cfvo type="percent" val="0"/>
        <cfvo type="num" val="70"/>
        <cfvo type="num" val="90"/>
      </iconSet>
    </cfRule>
    <cfRule type="iconSet" priority="513">
      <iconSet>
        <cfvo type="percent" val="0"/>
        <cfvo type="num" val="95"/>
        <cfvo type="num" val="100"/>
      </iconSet>
    </cfRule>
    <cfRule type="iconSet" priority="512">
      <iconSet>
        <cfvo type="percent" val="0"/>
        <cfvo type="num" val="95"/>
        <cfvo type="num" val="100"/>
      </iconSet>
    </cfRule>
    <cfRule type="iconSet" priority="511">
      <iconSet>
        <cfvo type="percent" val="0"/>
        <cfvo type="num" val="70"/>
        <cfvo type="num" val="90"/>
      </iconSet>
    </cfRule>
    <cfRule type="iconSet" priority="510">
      <iconSet>
        <cfvo type="percent" val="0"/>
        <cfvo type="num" val="70"/>
        <cfvo type="num" val="90"/>
      </iconSet>
    </cfRule>
    <cfRule type="iconSet" priority="509">
      <iconSet>
        <cfvo type="percent" val="0"/>
        <cfvo type="num" val="95"/>
        <cfvo type="num" val="100"/>
      </iconSet>
    </cfRule>
    <cfRule type="iconSet" priority="508">
      <iconSet>
        <cfvo type="percent" val="0"/>
        <cfvo type="num" val="95"/>
        <cfvo type="num" val="100"/>
      </iconSet>
    </cfRule>
    <cfRule type="iconSet" priority="507">
      <iconSet>
        <cfvo type="percent" val="0"/>
        <cfvo type="num" val="70"/>
        <cfvo type="num" val="90"/>
      </iconSet>
    </cfRule>
    <cfRule type="iconSet" priority="506">
      <iconSet>
        <cfvo type="percent" val="0"/>
        <cfvo type="num" val="70"/>
        <cfvo type="num" val="90"/>
      </iconSet>
    </cfRule>
    <cfRule type="iconSet" priority="505">
      <iconSet>
        <cfvo type="percent" val="0"/>
        <cfvo type="num" val="95"/>
        <cfvo type="num" val="100"/>
      </iconSet>
    </cfRule>
    <cfRule type="iconSet" priority="504">
      <iconSet>
        <cfvo type="percent" val="0"/>
        <cfvo type="num" val="95"/>
        <cfvo type="num" val="100"/>
      </iconSet>
    </cfRule>
    <cfRule type="iconSet" priority="499">
      <iconSet>
        <cfvo type="percent" val="0"/>
        <cfvo type="num" val="70"/>
        <cfvo type="num" val="90"/>
      </iconSet>
    </cfRule>
    <cfRule type="iconSet" priority="498">
      <iconSet>
        <cfvo type="percent" val="0"/>
        <cfvo type="num" val="70"/>
        <cfvo type="num" val="90"/>
      </iconSet>
    </cfRule>
    <cfRule type="iconSet" priority="515">
      <iconSet>
        <cfvo type="percent" val="0"/>
        <cfvo type="num" val="70"/>
        <cfvo type="num" val="90"/>
      </iconSet>
    </cfRule>
    <cfRule type="iconSet" priority="516">
      <iconSet>
        <cfvo type="percent" val="0"/>
        <cfvo type="num" val="95"/>
        <cfvo type="num" val="100"/>
      </iconSet>
    </cfRule>
    <cfRule type="iconSet" priority="517">
      <iconSet>
        <cfvo type="percent" val="0"/>
        <cfvo type="num" val="95"/>
        <cfvo type="num" val="100"/>
      </iconSet>
    </cfRule>
    <cfRule type="iconSet" priority="518">
      <iconSet>
        <cfvo type="percent" val="0"/>
        <cfvo type="num" val="70"/>
        <cfvo type="num" val="90"/>
      </iconSet>
    </cfRule>
    <cfRule type="iconSet" priority="519">
      <iconSet>
        <cfvo type="percent" val="0"/>
        <cfvo type="num" val="70"/>
        <cfvo type="num" val="90"/>
      </iconSet>
    </cfRule>
    <cfRule type="iconSet" priority="520">
      <iconSet>
        <cfvo type="percent" val="0"/>
        <cfvo type="num" val="95"/>
        <cfvo type="num" val="100"/>
      </iconSet>
    </cfRule>
  </conditionalFormatting>
  <conditionalFormatting sqref="AA40">
    <cfRule type="iconSet" priority="313">
      <iconSet>
        <cfvo type="percent" val="0"/>
        <cfvo type="num" val="95"/>
        <cfvo type="num" val="100"/>
      </iconSet>
    </cfRule>
    <cfRule type="iconSet" priority="308">
      <iconSet>
        <cfvo type="percent" val="0"/>
        <cfvo type="num" val="70"/>
        <cfvo type="num" val="90"/>
      </iconSet>
    </cfRule>
    <cfRule type="iconSet" priority="302">
      <iconSet>
        <cfvo type="percent" val="0"/>
        <cfvo type="num" val="95"/>
        <cfvo type="num" val="100"/>
      </iconSet>
    </cfRule>
    <cfRule type="iconSet" priority="301">
      <iconSet>
        <cfvo type="percent" val="0"/>
        <cfvo type="num" val="95"/>
        <cfvo type="num" val="100"/>
      </iconSet>
    </cfRule>
    <cfRule type="iconSet" priority="300">
      <iconSet>
        <cfvo type="percent" val="0"/>
        <cfvo type="num" val="70"/>
        <cfvo type="num" val="90"/>
      </iconSet>
    </cfRule>
    <cfRule type="iconSet" priority="299">
      <iconSet>
        <cfvo type="percent" val="0"/>
        <cfvo type="num" val="70"/>
        <cfvo type="num" val="90"/>
      </iconSet>
    </cfRule>
    <cfRule type="iconSet" priority="309">
      <iconSet>
        <cfvo type="percent" val="0"/>
        <cfvo type="num" val="95"/>
        <cfvo type="num" val="100"/>
      </iconSet>
    </cfRule>
    <cfRule type="iconSet" priority="310">
      <iconSet>
        <cfvo type="percent" val="0"/>
        <cfvo type="num" val="95"/>
        <cfvo type="num" val="100"/>
      </iconSet>
    </cfRule>
    <cfRule type="iconSet" priority="311">
      <iconSet>
        <cfvo type="percent" val="0"/>
        <cfvo type="num" val="70"/>
        <cfvo type="num" val="90"/>
      </iconSet>
    </cfRule>
    <cfRule type="iconSet" priority="312">
      <iconSet>
        <cfvo type="percent" val="0"/>
        <cfvo type="num" val="70"/>
        <cfvo type="num" val="90"/>
      </iconSet>
    </cfRule>
    <cfRule type="iconSet" priority="305">
      <iconSet>
        <cfvo type="percent" val="0"/>
        <cfvo type="num" val="95"/>
        <cfvo type="num" val="100"/>
      </iconSet>
    </cfRule>
    <cfRule type="iconSet" priority="314">
      <iconSet>
        <cfvo type="percent" val="0"/>
        <cfvo type="num" val="95"/>
        <cfvo type="num" val="100"/>
      </iconSet>
    </cfRule>
    <cfRule type="iconSet" priority="315">
      <iconSet>
        <cfvo type="percent" val="0"/>
        <cfvo type="num" val="70"/>
        <cfvo type="num" val="90"/>
      </iconSet>
    </cfRule>
    <cfRule type="iconSet" priority="316">
      <iconSet>
        <cfvo type="percent" val="0"/>
        <cfvo type="num" val="70"/>
        <cfvo type="num" val="90"/>
      </iconSet>
    </cfRule>
    <cfRule type="iconSet" priority="298">
      <iconSet>
        <cfvo type="percent" val="0"/>
        <cfvo type="num" val="95"/>
        <cfvo type="num" val="100"/>
      </iconSet>
    </cfRule>
    <cfRule type="iconSet" priority="297">
      <iconSet>
        <cfvo type="percent" val="0"/>
        <cfvo type="num" val="95"/>
        <cfvo type="num" val="100"/>
      </iconSet>
    </cfRule>
    <cfRule type="iconSet" priority="296">
      <iconSet>
        <cfvo type="percent" val="0"/>
        <cfvo type="num" val="70"/>
        <cfvo type="num" val="90"/>
      </iconSet>
    </cfRule>
    <cfRule type="iconSet" priority="295">
      <iconSet>
        <cfvo type="percent" val="0"/>
        <cfvo type="num" val="70"/>
        <cfvo type="num" val="90"/>
      </iconSet>
    </cfRule>
    <cfRule type="iconSet" priority="294">
      <iconSet>
        <cfvo type="percent" val="0"/>
        <cfvo type="num" val="95"/>
        <cfvo type="num" val="100"/>
      </iconSet>
    </cfRule>
    <cfRule type="iconSet" priority="306">
      <iconSet>
        <cfvo type="percent" val="0"/>
        <cfvo type="num" val="95"/>
        <cfvo type="num" val="100"/>
      </iconSet>
    </cfRule>
    <cfRule type="iconSet" priority="317">
      <iconSet>
        <cfvo type="percent" val="0"/>
        <cfvo type="num" val="95"/>
        <cfvo type="num" val="100"/>
      </iconSet>
    </cfRule>
    <cfRule type="iconSet" priority="303">
      <iconSet>
        <cfvo type="percent" val="0"/>
        <cfvo type="num" val="70"/>
        <cfvo type="num" val="90"/>
      </iconSet>
    </cfRule>
    <cfRule type="iconSet" priority="324">
      <iconSet>
        <cfvo type="percent" val="0"/>
        <cfvo type="num" val="95"/>
        <cfvo type="num" val="100"/>
      </iconSet>
    </cfRule>
    <cfRule type="iconSet" priority="323">
      <iconSet>
        <cfvo type="percent" val="0"/>
        <cfvo type="num" val="95"/>
        <cfvo type="num" val="100"/>
      </iconSet>
    </cfRule>
    <cfRule type="iconSet" priority="322">
      <iconSet>
        <cfvo type="percent" val="0"/>
        <cfvo type="num" val="70"/>
        <cfvo type="num" val="90"/>
      </iconSet>
    </cfRule>
    <cfRule type="iconSet" priority="321">
      <iconSet>
        <cfvo type="percent" val="0"/>
        <cfvo type="num" val="95"/>
        <cfvo type="num" val="100"/>
      </iconSet>
    </cfRule>
    <cfRule type="iconSet" priority="307">
      <iconSet>
        <cfvo type="percent" val="0"/>
        <cfvo type="num" val="70"/>
        <cfvo type="num" val="90"/>
      </iconSet>
    </cfRule>
    <cfRule type="iconSet" priority="318">
      <iconSet>
        <cfvo type="percent" val="0"/>
        <cfvo type="num" val="95"/>
        <cfvo type="num" val="100"/>
      </iconSet>
    </cfRule>
    <cfRule type="iconSet" priority="319">
      <iconSet>
        <cfvo type="percent" val="0"/>
        <cfvo type="num" val="70"/>
        <cfvo type="num" val="90"/>
      </iconSet>
    </cfRule>
    <cfRule type="iconSet" priority="320">
      <iconSet>
        <cfvo type="percent" val="0"/>
        <cfvo type="num" val="70"/>
        <cfvo type="num" val="90"/>
      </iconSet>
    </cfRule>
    <cfRule type="iconSet" priority="304">
      <iconSet>
        <cfvo type="percent" val="0"/>
        <cfvo type="num" val="70"/>
        <cfvo type="num" val="90"/>
      </iconSet>
    </cfRule>
  </conditionalFormatting>
  <conditionalFormatting sqref="AA41">
    <cfRule type="iconSet" priority="488">
      <iconSet>
        <cfvo type="percent" val="0"/>
        <cfvo type="num" val="95"/>
        <cfvo type="num" val="100"/>
      </iconSet>
    </cfRule>
  </conditionalFormatting>
  <conditionalFormatting sqref="AG8">
    <cfRule type="iconSet" priority="191">
      <iconSet>
        <cfvo type="percent" val="0"/>
        <cfvo type="num" val="70"/>
        <cfvo type="num" val="90"/>
      </iconSet>
    </cfRule>
    <cfRule type="iconSet" priority="190">
      <iconSet>
        <cfvo type="percent" val="0"/>
        <cfvo type="num" val="95"/>
        <cfvo type="num" val="100"/>
      </iconSet>
    </cfRule>
    <cfRule type="iconSet" priority="192">
      <iconSet>
        <cfvo type="percent" val="0"/>
        <cfvo type="num" val="70"/>
        <cfvo type="num" val="90"/>
      </iconSet>
    </cfRule>
    <cfRule type="iconSet" priority="189">
      <iconSet>
        <cfvo type="percent" val="0"/>
        <cfvo type="num" val="95"/>
        <cfvo type="num" val="100"/>
      </iconSet>
    </cfRule>
    <cfRule type="iconSet" priority="188">
      <iconSet>
        <cfvo type="percent" val="0"/>
        <cfvo type="num" val="95"/>
        <cfvo type="num" val="100"/>
      </iconSet>
    </cfRule>
    <cfRule type="iconSet" priority="193">
      <iconSet>
        <cfvo type="percent" val="0"/>
        <cfvo type="num" val="95"/>
        <cfvo type="num" val="100"/>
      </iconSet>
    </cfRule>
    <cfRule type="iconSet" priority="187">
      <iconSet>
        <cfvo type="percent" val="0"/>
        <cfvo type="num" val="70"/>
        <cfvo type="num" val="90"/>
      </iconSet>
    </cfRule>
    <cfRule type="iconSet" priority="186">
      <iconSet>
        <cfvo type="percent" val="0"/>
        <cfvo type="num" val="70"/>
        <cfvo type="num" val="90"/>
      </iconSet>
    </cfRule>
    <cfRule type="iconSet" priority="185">
      <iconSet>
        <cfvo type="percent" val="0"/>
        <cfvo type="num" val="95"/>
        <cfvo type="num" val="100"/>
      </iconSet>
    </cfRule>
  </conditionalFormatting>
  <conditionalFormatting sqref="AG9">
    <cfRule type="iconSet" priority="39">
      <iconSet>
        <cfvo type="percent" val="0"/>
        <cfvo type="num" val="70"/>
        <cfvo type="num" val="90"/>
      </iconSet>
    </cfRule>
    <cfRule type="iconSet" priority="38">
      <iconSet>
        <cfvo type="percent" val="0"/>
        <cfvo type="num" val="70"/>
        <cfvo type="num" val="90"/>
      </iconSet>
    </cfRule>
    <cfRule type="iconSet" priority="37">
      <iconSet>
        <cfvo type="percent" val="0"/>
        <cfvo type="num" val="95"/>
        <cfvo type="num" val="100"/>
      </iconSet>
    </cfRule>
    <cfRule type="iconSet" priority="36">
      <iconSet>
        <cfvo type="percent" val="0"/>
        <cfvo type="num" val="95"/>
        <cfvo type="num" val="100"/>
      </iconSet>
    </cfRule>
    <cfRule type="iconSet" priority="35">
      <iconSet>
        <cfvo type="percent" val="0"/>
        <cfvo type="num" val="95"/>
        <cfvo type="num" val="100"/>
      </iconSet>
    </cfRule>
    <cfRule type="iconSet" priority="34">
      <iconSet>
        <cfvo type="percent" val="0"/>
        <cfvo type="num" val="70"/>
        <cfvo type="num" val="90"/>
      </iconSet>
    </cfRule>
    <cfRule type="iconSet" priority="33">
      <iconSet>
        <cfvo type="percent" val="0"/>
        <cfvo type="num" val="70"/>
        <cfvo type="num" val="90"/>
      </iconSet>
    </cfRule>
    <cfRule type="iconSet" priority="32">
      <iconSet>
        <cfvo type="percent" val="0"/>
        <cfvo type="num" val="95"/>
        <cfvo type="num" val="100"/>
      </iconSet>
    </cfRule>
    <cfRule type="iconSet" priority="40">
      <iconSet>
        <cfvo type="percent" val="0"/>
        <cfvo type="num" val="95"/>
        <cfvo type="num" val="100"/>
      </iconSet>
    </cfRule>
  </conditionalFormatting>
  <conditionalFormatting sqref="AG10">
    <cfRule type="iconSet" priority="180">
      <iconSet>
        <cfvo type="percent" val="0"/>
        <cfvo type="num" val="95"/>
        <cfvo type="num" val="100"/>
      </iconSet>
    </cfRule>
    <cfRule type="iconSet" priority="179">
      <iconSet>
        <cfvo type="percent" val="0"/>
        <cfvo type="num" val="95"/>
        <cfvo type="num" val="100"/>
      </iconSet>
    </cfRule>
    <cfRule type="iconSet" priority="177">
      <iconSet>
        <cfvo type="percent" val="0"/>
        <cfvo type="num" val="70"/>
        <cfvo type="num" val="90"/>
      </iconSet>
    </cfRule>
    <cfRule type="iconSet" priority="176">
      <iconSet>
        <cfvo type="percent" val="0"/>
        <cfvo type="num" val="95"/>
        <cfvo type="num" val="100"/>
      </iconSet>
    </cfRule>
    <cfRule type="iconSet" priority="184">
      <iconSet>
        <cfvo type="percent" val="0"/>
        <cfvo type="num" val="95"/>
        <cfvo type="num" val="100"/>
      </iconSet>
    </cfRule>
    <cfRule type="iconSet" priority="178">
      <iconSet>
        <cfvo type="percent" val="0"/>
        <cfvo type="num" val="70"/>
        <cfvo type="num" val="90"/>
      </iconSet>
    </cfRule>
    <cfRule type="iconSet" priority="183">
      <iconSet>
        <cfvo type="percent" val="0"/>
        <cfvo type="num" val="70"/>
        <cfvo type="num" val="90"/>
      </iconSet>
    </cfRule>
    <cfRule type="iconSet" priority="182">
      <iconSet>
        <cfvo type="percent" val="0"/>
        <cfvo type="num" val="70"/>
        <cfvo type="num" val="90"/>
      </iconSet>
    </cfRule>
    <cfRule type="iconSet" priority="181">
      <iconSet>
        <cfvo type="percent" val="0"/>
        <cfvo type="num" val="95"/>
        <cfvo type="num" val="100"/>
      </iconSet>
    </cfRule>
  </conditionalFormatting>
  <conditionalFormatting sqref="AG12">
    <cfRule type="iconSet" priority="168">
      <iconSet>
        <cfvo type="percent" val="0"/>
        <cfvo type="num" val="70"/>
        <cfvo type="num" val="90"/>
      </iconSet>
    </cfRule>
    <cfRule type="iconSet" priority="175">
      <iconSet>
        <cfvo type="percent" val="0"/>
        <cfvo type="num" val="95"/>
        <cfvo type="num" val="100"/>
      </iconSet>
    </cfRule>
    <cfRule type="iconSet" priority="167">
      <iconSet>
        <cfvo type="percent" val="0"/>
        <cfvo type="num" val="95"/>
        <cfvo type="num" val="100"/>
      </iconSet>
    </cfRule>
    <cfRule type="iconSet" priority="170">
      <iconSet>
        <cfvo type="percent" val="0"/>
        <cfvo type="num" val="95"/>
        <cfvo type="num" val="100"/>
      </iconSet>
    </cfRule>
    <cfRule type="iconSet" priority="171">
      <iconSet>
        <cfvo type="percent" val="0"/>
        <cfvo type="num" val="95"/>
        <cfvo type="num" val="100"/>
      </iconSet>
    </cfRule>
    <cfRule type="iconSet" priority="172">
      <iconSet>
        <cfvo type="percent" val="0"/>
        <cfvo type="num" val="95"/>
        <cfvo type="num" val="100"/>
      </iconSet>
    </cfRule>
    <cfRule type="iconSet" priority="173">
      <iconSet>
        <cfvo type="percent" val="0"/>
        <cfvo type="num" val="70"/>
        <cfvo type="num" val="90"/>
      </iconSet>
    </cfRule>
    <cfRule type="iconSet" priority="174">
      <iconSet>
        <cfvo type="percent" val="0"/>
        <cfvo type="num" val="70"/>
        <cfvo type="num" val="90"/>
      </iconSet>
    </cfRule>
    <cfRule type="iconSet" priority="169">
      <iconSet>
        <cfvo type="percent" val="0"/>
        <cfvo type="num" val="70"/>
        <cfvo type="num" val="90"/>
      </iconSet>
    </cfRule>
  </conditionalFormatting>
  <conditionalFormatting sqref="AG13">
    <cfRule type="iconSet" priority="165">
      <iconSet>
        <cfvo type="percent" val="0"/>
        <cfvo type="num" val="70"/>
        <cfvo type="num" val="90"/>
      </iconSet>
    </cfRule>
    <cfRule type="iconSet" priority="164">
      <iconSet>
        <cfvo type="percent" val="0"/>
        <cfvo type="num" val="70"/>
        <cfvo type="num" val="90"/>
      </iconSet>
    </cfRule>
    <cfRule type="iconSet" priority="163">
      <iconSet>
        <cfvo type="percent" val="0"/>
        <cfvo type="num" val="95"/>
        <cfvo type="num" val="100"/>
      </iconSet>
    </cfRule>
    <cfRule type="iconSet" priority="162">
      <iconSet>
        <cfvo type="percent" val="0"/>
        <cfvo type="num" val="95"/>
        <cfvo type="num" val="100"/>
      </iconSet>
    </cfRule>
    <cfRule type="iconSet" priority="161">
      <iconSet>
        <cfvo type="percent" val="0"/>
        <cfvo type="num" val="95"/>
        <cfvo type="num" val="100"/>
      </iconSet>
    </cfRule>
    <cfRule type="iconSet" priority="160">
      <iconSet>
        <cfvo type="percent" val="0"/>
        <cfvo type="num" val="70"/>
        <cfvo type="num" val="90"/>
      </iconSet>
    </cfRule>
    <cfRule type="iconSet" priority="159">
      <iconSet>
        <cfvo type="percent" val="0"/>
        <cfvo type="num" val="70"/>
        <cfvo type="num" val="90"/>
      </iconSet>
    </cfRule>
    <cfRule type="iconSet" priority="158">
      <iconSet>
        <cfvo type="percent" val="0"/>
        <cfvo type="num" val="95"/>
        <cfvo type="num" val="100"/>
      </iconSet>
    </cfRule>
    <cfRule type="iconSet" priority="166">
      <iconSet>
        <cfvo type="percent" val="0"/>
        <cfvo type="num" val="95"/>
        <cfvo type="num" val="100"/>
      </iconSet>
    </cfRule>
  </conditionalFormatting>
  <conditionalFormatting sqref="AG14">
    <cfRule type="iconSet" priority="157">
      <iconSet>
        <cfvo type="percent" val="0"/>
        <cfvo type="num" val="95"/>
        <cfvo type="num" val="100"/>
      </iconSet>
    </cfRule>
    <cfRule type="iconSet" priority="150">
      <iconSet>
        <cfvo type="percent" val="0"/>
        <cfvo type="num" val="70"/>
        <cfvo type="num" val="90"/>
      </iconSet>
    </cfRule>
    <cfRule type="iconSet" priority="151">
      <iconSet>
        <cfvo type="percent" val="0"/>
        <cfvo type="num" val="70"/>
        <cfvo type="num" val="90"/>
      </iconSet>
    </cfRule>
    <cfRule type="iconSet" priority="152">
      <iconSet>
        <cfvo type="percent" val="0"/>
        <cfvo type="num" val="95"/>
        <cfvo type="num" val="100"/>
      </iconSet>
    </cfRule>
    <cfRule type="iconSet" priority="153">
      <iconSet>
        <cfvo type="percent" val="0"/>
        <cfvo type="num" val="95"/>
        <cfvo type="num" val="100"/>
      </iconSet>
    </cfRule>
    <cfRule type="iconSet" priority="154">
      <iconSet>
        <cfvo type="percent" val="0"/>
        <cfvo type="num" val="95"/>
        <cfvo type="num" val="100"/>
      </iconSet>
    </cfRule>
    <cfRule type="iconSet" priority="155">
      <iconSet>
        <cfvo type="percent" val="0"/>
        <cfvo type="num" val="70"/>
        <cfvo type="num" val="90"/>
      </iconSet>
    </cfRule>
    <cfRule type="iconSet" priority="156">
      <iconSet>
        <cfvo type="percent" val="0"/>
        <cfvo type="num" val="70"/>
        <cfvo type="num" val="90"/>
      </iconSet>
    </cfRule>
    <cfRule type="iconSet" priority="149">
      <iconSet>
        <cfvo type="percent" val="0"/>
        <cfvo type="num" val="95"/>
        <cfvo type="num" val="100"/>
      </iconSet>
    </cfRule>
  </conditionalFormatting>
  <conditionalFormatting sqref="AG16">
    <cfRule type="iconSet" priority="148">
      <iconSet>
        <cfvo type="percent" val="0"/>
        <cfvo type="num" val="95"/>
        <cfvo type="num" val="100"/>
      </iconSet>
    </cfRule>
    <cfRule type="iconSet" priority="147">
      <iconSet>
        <cfvo type="percent" val="0"/>
        <cfvo type="num" val="70"/>
        <cfvo type="num" val="90"/>
      </iconSet>
    </cfRule>
    <cfRule type="iconSet" priority="146">
      <iconSet>
        <cfvo type="percent" val="0"/>
        <cfvo type="num" val="70"/>
        <cfvo type="num" val="90"/>
      </iconSet>
    </cfRule>
    <cfRule type="iconSet" priority="145">
      <iconSet>
        <cfvo type="percent" val="0"/>
        <cfvo type="num" val="95"/>
        <cfvo type="num" val="100"/>
      </iconSet>
    </cfRule>
    <cfRule type="iconSet" priority="144">
      <iconSet>
        <cfvo type="percent" val="0"/>
        <cfvo type="num" val="95"/>
        <cfvo type="num" val="100"/>
      </iconSet>
    </cfRule>
    <cfRule type="iconSet" priority="143">
      <iconSet>
        <cfvo type="percent" val="0"/>
        <cfvo type="num" val="95"/>
        <cfvo type="num" val="100"/>
      </iconSet>
    </cfRule>
    <cfRule type="iconSet" priority="142">
      <iconSet>
        <cfvo type="percent" val="0"/>
        <cfvo type="num" val="70"/>
        <cfvo type="num" val="90"/>
      </iconSet>
    </cfRule>
    <cfRule type="iconSet" priority="141">
      <iconSet>
        <cfvo type="percent" val="0"/>
        <cfvo type="num" val="70"/>
        <cfvo type="num" val="90"/>
      </iconSet>
    </cfRule>
    <cfRule type="iconSet" priority="140">
      <iconSet>
        <cfvo type="percent" val="0"/>
        <cfvo type="num" val="95"/>
        <cfvo type="num" val="100"/>
      </iconSet>
    </cfRule>
  </conditionalFormatting>
  <conditionalFormatting sqref="AG17">
    <cfRule type="iconSet" priority="138">
      <iconSet>
        <cfvo type="percent" val="0"/>
        <cfvo type="num" val="70"/>
        <cfvo type="num" val="90"/>
      </iconSet>
    </cfRule>
    <cfRule type="iconSet" priority="137">
      <iconSet>
        <cfvo type="percent" val="0"/>
        <cfvo type="num" val="70"/>
        <cfvo type="num" val="90"/>
      </iconSet>
    </cfRule>
    <cfRule type="iconSet" priority="136">
      <iconSet>
        <cfvo type="percent" val="0"/>
        <cfvo type="num" val="95"/>
        <cfvo type="num" val="100"/>
      </iconSet>
    </cfRule>
    <cfRule type="iconSet" priority="134">
      <iconSet>
        <cfvo type="percent" val="0"/>
        <cfvo type="num" val="95"/>
        <cfvo type="num" val="100"/>
      </iconSet>
    </cfRule>
    <cfRule type="iconSet" priority="133">
      <iconSet>
        <cfvo type="percent" val="0"/>
        <cfvo type="num" val="70"/>
        <cfvo type="num" val="90"/>
      </iconSet>
    </cfRule>
    <cfRule type="iconSet" priority="132">
      <iconSet>
        <cfvo type="percent" val="0"/>
        <cfvo type="num" val="70"/>
        <cfvo type="num" val="90"/>
      </iconSet>
    </cfRule>
    <cfRule type="iconSet" priority="131">
      <iconSet>
        <cfvo type="percent" val="0"/>
        <cfvo type="num" val="95"/>
        <cfvo type="num" val="100"/>
      </iconSet>
    </cfRule>
    <cfRule type="iconSet" priority="135">
      <iconSet>
        <cfvo type="percent" val="0"/>
        <cfvo type="num" val="95"/>
        <cfvo type="num" val="100"/>
      </iconSet>
    </cfRule>
    <cfRule type="iconSet" priority="139">
      <iconSet>
        <cfvo type="percent" val="0"/>
        <cfvo type="num" val="95"/>
        <cfvo type="num" val="100"/>
      </iconSet>
    </cfRule>
  </conditionalFormatting>
  <conditionalFormatting sqref="AG18">
    <cfRule type="iconSet" priority="130">
      <iconSet>
        <cfvo type="percent" val="0"/>
        <cfvo type="num" val="95"/>
        <cfvo type="num" val="100"/>
      </iconSet>
    </cfRule>
    <cfRule type="iconSet" priority="129">
      <iconSet>
        <cfvo type="percent" val="0"/>
        <cfvo type="num" val="70"/>
        <cfvo type="num" val="90"/>
      </iconSet>
    </cfRule>
    <cfRule type="iconSet" priority="128">
      <iconSet>
        <cfvo type="percent" val="0"/>
        <cfvo type="num" val="70"/>
        <cfvo type="num" val="90"/>
      </iconSet>
    </cfRule>
    <cfRule type="iconSet" priority="127">
      <iconSet>
        <cfvo type="percent" val="0"/>
        <cfvo type="num" val="95"/>
        <cfvo type="num" val="100"/>
      </iconSet>
    </cfRule>
    <cfRule type="iconSet" priority="126">
      <iconSet>
        <cfvo type="percent" val="0"/>
        <cfvo type="num" val="95"/>
        <cfvo type="num" val="100"/>
      </iconSet>
    </cfRule>
    <cfRule type="iconSet" priority="125">
      <iconSet>
        <cfvo type="percent" val="0"/>
        <cfvo type="num" val="95"/>
        <cfvo type="num" val="100"/>
      </iconSet>
    </cfRule>
    <cfRule type="iconSet" priority="124">
      <iconSet>
        <cfvo type="percent" val="0"/>
        <cfvo type="num" val="70"/>
        <cfvo type="num" val="90"/>
      </iconSet>
    </cfRule>
    <cfRule type="iconSet" priority="123">
      <iconSet>
        <cfvo type="percent" val="0"/>
        <cfvo type="num" val="70"/>
        <cfvo type="num" val="90"/>
      </iconSet>
    </cfRule>
    <cfRule type="iconSet" priority="122">
      <iconSet>
        <cfvo type="percent" val="0"/>
        <cfvo type="num" val="95"/>
        <cfvo type="num" val="100"/>
      </iconSet>
    </cfRule>
  </conditionalFormatting>
  <conditionalFormatting sqref="AG19">
    <cfRule type="iconSet" priority="241">
      <iconSet>
        <cfvo type="percent" val="0"/>
        <cfvo type="num" val="95"/>
        <cfvo type="num" val="100"/>
      </iconSet>
    </cfRule>
    <cfRule type="iconSet" priority="242">
      <iconSet>
        <cfvo type="percent" val="0"/>
        <cfvo type="num" val="70"/>
        <cfvo type="num" val="90"/>
      </iconSet>
    </cfRule>
    <cfRule type="iconSet" priority="243">
      <iconSet>
        <cfvo type="percent" val="0"/>
        <cfvo type="num" val="70"/>
        <cfvo type="num" val="90"/>
      </iconSet>
    </cfRule>
    <cfRule type="iconSet" priority="244">
      <iconSet>
        <cfvo type="percent" val="0"/>
        <cfvo type="num" val="95"/>
        <cfvo type="num" val="100"/>
      </iconSet>
    </cfRule>
    <cfRule type="iconSet" priority="245">
      <iconSet>
        <cfvo type="percent" val="0"/>
        <cfvo type="num" val="95"/>
        <cfvo type="num" val="100"/>
      </iconSet>
    </cfRule>
    <cfRule type="iconSet" priority="246">
      <iconSet>
        <cfvo type="percent" val="0"/>
        <cfvo type="num" val="70"/>
        <cfvo type="num" val="90"/>
      </iconSet>
    </cfRule>
    <cfRule type="iconSet" priority="248">
      <iconSet>
        <cfvo type="percent" val="0"/>
        <cfvo type="num" val="95"/>
        <cfvo type="num" val="100"/>
      </iconSet>
    </cfRule>
    <cfRule type="iconSet" priority="249">
      <iconSet>
        <cfvo type="percent" val="0"/>
        <cfvo type="num" val="95"/>
        <cfvo type="num" val="100"/>
      </iconSet>
    </cfRule>
    <cfRule type="iconSet" priority="250">
      <iconSet>
        <cfvo type="percent" val="0"/>
        <cfvo type="num" val="70"/>
        <cfvo type="num" val="90"/>
      </iconSet>
    </cfRule>
    <cfRule type="iconSet" priority="257">
      <iconSet>
        <cfvo type="percent" val="0"/>
        <cfvo type="num" val="95"/>
        <cfvo type="num" val="100"/>
      </iconSet>
    </cfRule>
    <cfRule type="iconSet" priority="256">
      <iconSet>
        <cfvo type="percent" val="0"/>
        <cfvo type="num" val="95"/>
        <cfvo type="num" val="100"/>
      </iconSet>
    </cfRule>
    <cfRule type="iconSet" priority="255">
      <iconSet>
        <cfvo type="percent" val="0"/>
        <cfvo type="num" val="70"/>
        <cfvo type="num" val="90"/>
      </iconSet>
    </cfRule>
    <cfRule type="iconSet" priority="251">
      <iconSet>
        <cfvo type="percent" val="0"/>
        <cfvo type="num" val="70"/>
        <cfvo type="num" val="90"/>
      </iconSet>
    </cfRule>
    <cfRule type="iconSet" priority="254">
      <iconSet>
        <cfvo type="percent" val="0"/>
        <cfvo type="num" val="70"/>
        <cfvo type="num" val="90"/>
      </iconSet>
    </cfRule>
    <cfRule type="iconSet" priority="253">
      <iconSet>
        <cfvo type="percent" val="0"/>
        <cfvo type="num" val="95"/>
        <cfvo type="num" val="100"/>
      </iconSet>
    </cfRule>
    <cfRule type="iconSet" priority="247">
      <iconSet>
        <cfvo type="percent" val="0"/>
        <cfvo type="num" val="70"/>
        <cfvo type="num" val="90"/>
      </iconSet>
    </cfRule>
    <cfRule type="iconSet" priority="235">
      <iconSet>
        <cfvo type="percent" val="0"/>
        <cfvo type="num" val="70"/>
        <cfvo type="num" val="90"/>
      </iconSet>
    </cfRule>
    <cfRule type="iconSet" priority="231">
      <iconSet>
        <cfvo type="percent" val="0"/>
        <cfvo type="num" val="70"/>
        <cfvo type="num" val="90"/>
      </iconSet>
    </cfRule>
    <cfRule type="iconSet" priority="232">
      <iconSet>
        <cfvo type="percent" val="0"/>
        <cfvo type="num" val="95"/>
        <cfvo type="num" val="100"/>
      </iconSet>
    </cfRule>
    <cfRule type="iconSet" priority="233">
      <iconSet>
        <cfvo type="percent" val="0"/>
        <cfvo type="num" val="95"/>
        <cfvo type="num" val="100"/>
      </iconSet>
    </cfRule>
    <cfRule type="iconSet" priority="234">
      <iconSet>
        <cfvo type="percent" val="0"/>
        <cfvo type="num" val="70"/>
        <cfvo type="num" val="90"/>
      </iconSet>
    </cfRule>
    <cfRule type="iconSet" priority="236">
      <iconSet>
        <cfvo type="percent" val="0"/>
        <cfvo type="num" val="95"/>
        <cfvo type="num" val="100"/>
      </iconSet>
    </cfRule>
    <cfRule type="iconSet" priority="237">
      <iconSet>
        <cfvo type="percent" val="0"/>
        <cfvo type="num" val="95"/>
        <cfvo type="num" val="100"/>
      </iconSet>
    </cfRule>
    <cfRule type="iconSet" priority="238">
      <iconSet>
        <cfvo type="percent" val="0"/>
        <cfvo type="num" val="70"/>
        <cfvo type="num" val="90"/>
      </iconSet>
    </cfRule>
    <cfRule type="iconSet" priority="239">
      <iconSet>
        <cfvo type="percent" val="0"/>
        <cfvo type="num" val="70"/>
        <cfvo type="num" val="90"/>
      </iconSet>
    </cfRule>
    <cfRule type="iconSet" priority="240">
      <iconSet>
        <cfvo type="percent" val="0"/>
        <cfvo type="num" val="95"/>
        <cfvo type="num" val="100"/>
      </iconSet>
    </cfRule>
    <cfRule type="iconSet" priority="252">
      <iconSet>
        <cfvo type="percent" val="0"/>
        <cfvo type="num" val="95"/>
        <cfvo type="num" val="100"/>
      </iconSet>
    </cfRule>
    <cfRule type="iconSet" priority="230">
      <iconSet>
        <cfvo type="percent" val="0"/>
        <cfvo type="num" val="70"/>
        <cfvo type="num" val="90"/>
      </iconSet>
    </cfRule>
    <cfRule type="iconSet" priority="229">
      <iconSet>
        <cfvo type="percent" val="0"/>
        <cfvo type="num" val="95"/>
        <cfvo type="num" val="100"/>
      </iconSet>
    </cfRule>
  </conditionalFormatting>
  <conditionalFormatting sqref="AG20">
    <cfRule type="iconSet" priority="119">
      <iconSet>
        <cfvo type="percent" val="0"/>
        <cfvo type="num" val="70"/>
        <cfvo type="num" val="90"/>
      </iconSet>
    </cfRule>
    <cfRule type="iconSet" priority="118">
      <iconSet>
        <cfvo type="percent" val="0"/>
        <cfvo type="num" val="95"/>
        <cfvo type="num" val="100"/>
      </iconSet>
    </cfRule>
    <cfRule type="iconSet" priority="117">
      <iconSet>
        <cfvo type="percent" val="0"/>
        <cfvo type="num" val="95"/>
        <cfvo type="num" val="100"/>
      </iconSet>
    </cfRule>
    <cfRule type="iconSet" priority="116">
      <iconSet>
        <cfvo type="percent" val="0"/>
        <cfvo type="num" val="95"/>
        <cfvo type="num" val="100"/>
      </iconSet>
    </cfRule>
    <cfRule type="iconSet" priority="115">
      <iconSet>
        <cfvo type="percent" val="0"/>
        <cfvo type="num" val="70"/>
        <cfvo type="num" val="90"/>
      </iconSet>
    </cfRule>
    <cfRule type="iconSet" priority="114">
      <iconSet>
        <cfvo type="percent" val="0"/>
        <cfvo type="num" val="70"/>
        <cfvo type="num" val="90"/>
      </iconSet>
    </cfRule>
    <cfRule type="iconSet" priority="113">
      <iconSet>
        <cfvo type="percent" val="0"/>
        <cfvo type="num" val="95"/>
        <cfvo type="num" val="100"/>
      </iconSet>
    </cfRule>
    <cfRule type="iconSet" priority="121">
      <iconSet>
        <cfvo type="percent" val="0"/>
        <cfvo type="num" val="95"/>
        <cfvo type="num" val="100"/>
      </iconSet>
    </cfRule>
    <cfRule type="iconSet" priority="120">
      <iconSet>
        <cfvo type="percent" val="0"/>
        <cfvo type="num" val="70"/>
        <cfvo type="num" val="90"/>
      </iconSet>
    </cfRule>
  </conditionalFormatting>
  <conditionalFormatting sqref="AG21">
    <cfRule type="iconSet" priority="110">
      <iconSet>
        <cfvo type="percent" val="0"/>
        <cfvo type="num" val="70"/>
        <cfvo type="num" val="90"/>
      </iconSet>
    </cfRule>
    <cfRule type="iconSet" priority="109">
      <iconSet>
        <cfvo type="percent" val="0"/>
        <cfvo type="num" val="95"/>
        <cfvo type="num" val="100"/>
      </iconSet>
    </cfRule>
    <cfRule type="iconSet" priority="108">
      <iconSet>
        <cfvo type="percent" val="0"/>
        <cfvo type="num" val="95"/>
        <cfvo type="num" val="100"/>
      </iconSet>
    </cfRule>
    <cfRule type="iconSet" priority="107">
      <iconSet>
        <cfvo type="percent" val="0"/>
        <cfvo type="num" val="95"/>
        <cfvo type="num" val="100"/>
      </iconSet>
    </cfRule>
    <cfRule type="iconSet" priority="106">
      <iconSet>
        <cfvo type="percent" val="0"/>
        <cfvo type="num" val="70"/>
        <cfvo type="num" val="90"/>
      </iconSet>
    </cfRule>
    <cfRule type="iconSet" priority="105">
      <iconSet>
        <cfvo type="percent" val="0"/>
        <cfvo type="num" val="70"/>
        <cfvo type="num" val="90"/>
      </iconSet>
    </cfRule>
    <cfRule type="iconSet" priority="104">
      <iconSet>
        <cfvo type="percent" val="0"/>
        <cfvo type="num" val="95"/>
        <cfvo type="num" val="100"/>
      </iconSet>
    </cfRule>
    <cfRule type="iconSet" priority="112">
      <iconSet>
        <cfvo type="percent" val="0"/>
        <cfvo type="num" val="95"/>
        <cfvo type="num" val="100"/>
      </iconSet>
    </cfRule>
    <cfRule type="iconSet" priority="111">
      <iconSet>
        <cfvo type="percent" val="0"/>
        <cfvo type="num" val="70"/>
        <cfvo type="num" val="90"/>
      </iconSet>
    </cfRule>
  </conditionalFormatting>
  <conditionalFormatting sqref="AG22">
    <cfRule type="iconSet" priority="103">
      <iconSet>
        <cfvo type="percent" val="0"/>
        <cfvo type="num" val="95"/>
        <cfvo type="num" val="100"/>
      </iconSet>
    </cfRule>
    <cfRule type="iconSet" priority="102">
      <iconSet>
        <cfvo type="percent" val="0"/>
        <cfvo type="num" val="70"/>
        <cfvo type="num" val="90"/>
      </iconSet>
    </cfRule>
    <cfRule type="iconSet" priority="101">
      <iconSet>
        <cfvo type="percent" val="0"/>
        <cfvo type="num" val="70"/>
        <cfvo type="num" val="90"/>
      </iconSet>
    </cfRule>
    <cfRule type="iconSet" priority="100">
      <iconSet>
        <cfvo type="percent" val="0"/>
        <cfvo type="num" val="95"/>
        <cfvo type="num" val="100"/>
      </iconSet>
    </cfRule>
    <cfRule type="iconSet" priority="99">
      <iconSet>
        <cfvo type="percent" val="0"/>
        <cfvo type="num" val="95"/>
        <cfvo type="num" val="100"/>
      </iconSet>
    </cfRule>
    <cfRule type="iconSet" priority="98">
      <iconSet>
        <cfvo type="percent" val="0"/>
        <cfvo type="num" val="95"/>
        <cfvo type="num" val="100"/>
      </iconSet>
    </cfRule>
    <cfRule type="iconSet" priority="97">
      <iconSet>
        <cfvo type="percent" val="0"/>
        <cfvo type="num" val="70"/>
        <cfvo type="num" val="90"/>
      </iconSet>
    </cfRule>
    <cfRule type="iconSet" priority="96">
      <iconSet>
        <cfvo type="percent" val="0"/>
        <cfvo type="num" val="70"/>
        <cfvo type="num" val="90"/>
      </iconSet>
    </cfRule>
    <cfRule type="iconSet" priority="95">
      <iconSet>
        <cfvo type="percent" val="0"/>
        <cfvo type="num" val="95"/>
        <cfvo type="num" val="100"/>
      </iconSet>
    </cfRule>
  </conditionalFormatting>
  <conditionalFormatting sqref="AG23">
    <cfRule type="iconSet" priority="92">
      <iconSet>
        <cfvo type="percent" val="0"/>
        <cfvo type="num" val="70"/>
        <cfvo type="num" val="90"/>
      </iconSet>
    </cfRule>
    <cfRule type="iconSet" priority="91">
      <iconSet>
        <cfvo type="percent" val="0"/>
        <cfvo type="num" val="95"/>
        <cfvo type="num" val="100"/>
      </iconSet>
    </cfRule>
    <cfRule type="iconSet" priority="90">
      <iconSet>
        <cfvo type="percent" val="0"/>
        <cfvo type="num" val="95"/>
        <cfvo type="num" val="100"/>
      </iconSet>
    </cfRule>
    <cfRule type="iconSet" priority="89">
      <iconSet>
        <cfvo type="percent" val="0"/>
        <cfvo type="num" val="95"/>
        <cfvo type="num" val="100"/>
      </iconSet>
    </cfRule>
    <cfRule type="iconSet" priority="88">
      <iconSet>
        <cfvo type="percent" val="0"/>
        <cfvo type="num" val="70"/>
        <cfvo type="num" val="90"/>
      </iconSet>
    </cfRule>
    <cfRule type="iconSet" priority="87">
      <iconSet>
        <cfvo type="percent" val="0"/>
        <cfvo type="num" val="70"/>
        <cfvo type="num" val="90"/>
      </iconSet>
    </cfRule>
    <cfRule type="iconSet" priority="86">
      <iconSet>
        <cfvo type="percent" val="0"/>
        <cfvo type="num" val="95"/>
        <cfvo type="num" val="100"/>
      </iconSet>
    </cfRule>
    <cfRule type="iconSet" priority="94">
      <iconSet>
        <cfvo type="percent" val="0"/>
        <cfvo type="num" val="95"/>
        <cfvo type="num" val="100"/>
      </iconSet>
    </cfRule>
    <cfRule type="iconSet" priority="93">
      <iconSet>
        <cfvo type="percent" val="0"/>
        <cfvo type="num" val="70"/>
        <cfvo type="num" val="90"/>
      </iconSet>
    </cfRule>
  </conditionalFormatting>
  <conditionalFormatting sqref="AG24">
    <cfRule type="iconSet" priority="83">
      <iconSet>
        <cfvo type="percent" val="0"/>
        <cfvo type="num" val="70"/>
        <cfvo type="num" val="90"/>
      </iconSet>
    </cfRule>
    <cfRule type="iconSet" priority="82">
      <iconSet>
        <cfvo type="percent" val="0"/>
        <cfvo type="num" val="95"/>
        <cfvo type="num" val="100"/>
      </iconSet>
    </cfRule>
    <cfRule type="iconSet" priority="81">
      <iconSet>
        <cfvo type="percent" val="0"/>
        <cfvo type="num" val="95"/>
        <cfvo type="num" val="100"/>
      </iconSet>
    </cfRule>
    <cfRule type="iconSet" priority="80">
      <iconSet>
        <cfvo type="percent" val="0"/>
        <cfvo type="num" val="95"/>
        <cfvo type="num" val="100"/>
      </iconSet>
    </cfRule>
    <cfRule type="iconSet" priority="79">
      <iconSet>
        <cfvo type="percent" val="0"/>
        <cfvo type="num" val="70"/>
        <cfvo type="num" val="90"/>
      </iconSet>
    </cfRule>
    <cfRule type="iconSet" priority="78">
      <iconSet>
        <cfvo type="percent" val="0"/>
        <cfvo type="num" val="70"/>
        <cfvo type="num" val="90"/>
      </iconSet>
    </cfRule>
    <cfRule type="iconSet" priority="77">
      <iconSet>
        <cfvo type="percent" val="0"/>
        <cfvo type="num" val="95"/>
        <cfvo type="num" val="100"/>
      </iconSet>
    </cfRule>
    <cfRule type="iconSet" priority="85">
      <iconSet>
        <cfvo type="percent" val="0"/>
        <cfvo type="num" val="95"/>
        <cfvo type="num" val="100"/>
      </iconSet>
    </cfRule>
    <cfRule type="iconSet" priority="84">
      <iconSet>
        <cfvo type="percent" val="0"/>
        <cfvo type="num" val="70"/>
        <cfvo type="num" val="90"/>
      </iconSet>
    </cfRule>
  </conditionalFormatting>
  <conditionalFormatting sqref="AG25">
    <cfRule type="iconSet" priority="228">
      <iconSet>
        <cfvo type="percent" val="0"/>
        <cfvo type="num" val="95"/>
        <cfvo type="num" val="100"/>
      </iconSet>
    </cfRule>
  </conditionalFormatting>
  <conditionalFormatting sqref="AG26">
    <cfRule type="iconSet" priority="73">
      <iconSet>
        <cfvo type="percent" val="0"/>
        <cfvo type="num" val="95"/>
        <cfvo type="num" val="100"/>
      </iconSet>
    </cfRule>
    <cfRule type="iconSet" priority="72">
      <iconSet>
        <cfvo type="percent" val="0"/>
        <cfvo type="num" val="95"/>
        <cfvo type="num" val="100"/>
      </iconSet>
    </cfRule>
    <cfRule type="iconSet" priority="71">
      <iconSet>
        <cfvo type="percent" val="0"/>
        <cfvo type="num" val="95"/>
        <cfvo type="num" val="100"/>
      </iconSet>
    </cfRule>
    <cfRule type="iconSet" priority="70">
      <iconSet>
        <cfvo type="percent" val="0"/>
        <cfvo type="num" val="70"/>
        <cfvo type="num" val="90"/>
      </iconSet>
    </cfRule>
    <cfRule type="iconSet" priority="69">
      <iconSet>
        <cfvo type="percent" val="0"/>
        <cfvo type="num" val="70"/>
        <cfvo type="num" val="90"/>
      </iconSet>
    </cfRule>
    <cfRule type="iconSet" priority="68">
      <iconSet>
        <cfvo type="percent" val="0"/>
        <cfvo type="num" val="95"/>
        <cfvo type="num" val="100"/>
      </iconSet>
    </cfRule>
    <cfRule type="iconSet" priority="76">
      <iconSet>
        <cfvo type="percent" val="0"/>
        <cfvo type="num" val="95"/>
        <cfvo type="num" val="100"/>
      </iconSet>
    </cfRule>
    <cfRule type="iconSet" priority="75">
      <iconSet>
        <cfvo type="percent" val="0"/>
        <cfvo type="num" val="70"/>
        <cfvo type="num" val="90"/>
      </iconSet>
    </cfRule>
    <cfRule type="iconSet" priority="74">
      <iconSet>
        <cfvo type="percent" val="0"/>
        <cfvo type="num" val="70"/>
        <cfvo type="num" val="90"/>
      </iconSet>
    </cfRule>
  </conditionalFormatting>
  <conditionalFormatting sqref="AG27">
    <cfRule type="iconSet" priority="262">
      <iconSet>
        <cfvo type="percent" val="0"/>
        <cfvo type="num" val="95"/>
        <cfvo type="num" val="100"/>
      </iconSet>
    </cfRule>
  </conditionalFormatting>
  <conditionalFormatting sqref="AG28:AG30">
    <cfRule type="iconSet" priority="64">
      <iconSet>
        <cfvo type="percent" val="0"/>
        <cfvo type="num" val="95"/>
        <cfvo type="num" val="100"/>
      </iconSet>
    </cfRule>
    <cfRule type="iconSet" priority="63">
      <iconSet>
        <cfvo type="percent" val="0"/>
        <cfvo type="num" val="95"/>
        <cfvo type="num" val="100"/>
      </iconSet>
    </cfRule>
    <cfRule type="iconSet" priority="62">
      <iconSet>
        <cfvo type="percent" val="0"/>
        <cfvo type="num" val="95"/>
        <cfvo type="num" val="100"/>
      </iconSet>
    </cfRule>
    <cfRule type="iconSet" priority="61">
      <iconSet>
        <cfvo type="percent" val="0"/>
        <cfvo type="num" val="70"/>
        <cfvo type="num" val="90"/>
      </iconSet>
    </cfRule>
    <cfRule type="iconSet" priority="60">
      <iconSet>
        <cfvo type="percent" val="0"/>
        <cfvo type="num" val="70"/>
        <cfvo type="num" val="90"/>
      </iconSet>
    </cfRule>
    <cfRule type="iconSet" priority="59">
      <iconSet>
        <cfvo type="percent" val="0"/>
        <cfvo type="num" val="95"/>
        <cfvo type="num" val="100"/>
      </iconSet>
    </cfRule>
    <cfRule type="iconSet" priority="67">
      <iconSet>
        <cfvo type="percent" val="0"/>
        <cfvo type="num" val="95"/>
        <cfvo type="num" val="100"/>
      </iconSet>
    </cfRule>
    <cfRule type="iconSet" priority="65">
      <iconSet>
        <cfvo type="percent" val="0"/>
        <cfvo type="num" val="70"/>
        <cfvo type="num" val="90"/>
      </iconSet>
    </cfRule>
    <cfRule type="iconSet" priority="66">
      <iconSet>
        <cfvo type="percent" val="0"/>
        <cfvo type="num" val="70"/>
        <cfvo type="num" val="90"/>
      </iconSet>
    </cfRule>
  </conditionalFormatting>
  <conditionalFormatting sqref="AG31:AG33">
    <cfRule type="iconSet" priority="58">
      <iconSet>
        <cfvo type="percent" val="0"/>
        <cfvo type="num" val="95"/>
        <cfvo type="num" val="100"/>
      </iconSet>
    </cfRule>
    <cfRule type="iconSet" priority="57">
      <iconSet>
        <cfvo type="percent" val="0"/>
        <cfvo type="num" val="70"/>
        <cfvo type="num" val="90"/>
      </iconSet>
    </cfRule>
    <cfRule type="iconSet" priority="56">
      <iconSet>
        <cfvo type="percent" val="0"/>
        <cfvo type="num" val="70"/>
        <cfvo type="num" val="90"/>
      </iconSet>
    </cfRule>
    <cfRule type="iconSet" priority="55">
      <iconSet>
        <cfvo type="percent" val="0"/>
        <cfvo type="num" val="95"/>
        <cfvo type="num" val="100"/>
      </iconSet>
    </cfRule>
    <cfRule type="iconSet" priority="54">
      <iconSet>
        <cfvo type="percent" val="0"/>
        <cfvo type="num" val="95"/>
        <cfvo type="num" val="100"/>
      </iconSet>
    </cfRule>
    <cfRule type="iconSet" priority="53">
      <iconSet>
        <cfvo type="percent" val="0"/>
        <cfvo type="num" val="95"/>
        <cfvo type="num" val="100"/>
      </iconSet>
    </cfRule>
    <cfRule type="iconSet" priority="52">
      <iconSet>
        <cfvo type="percent" val="0"/>
        <cfvo type="num" val="70"/>
        <cfvo type="num" val="90"/>
      </iconSet>
    </cfRule>
    <cfRule type="iconSet" priority="51">
      <iconSet>
        <cfvo type="percent" val="0"/>
        <cfvo type="num" val="70"/>
        <cfvo type="num" val="90"/>
      </iconSet>
    </cfRule>
    <cfRule type="iconSet" priority="50">
      <iconSet>
        <cfvo type="percent" val="0"/>
        <cfvo type="num" val="95"/>
        <cfvo type="num" val="100"/>
      </iconSet>
    </cfRule>
  </conditionalFormatting>
  <conditionalFormatting sqref="AG34">
    <cfRule type="iconSet" priority="194">
      <iconSet>
        <cfvo type="percent" val="0"/>
        <cfvo type="num" val="95"/>
        <cfvo type="num" val="100"/>
      </iconSet>
    </cfRule>
  </conditionalFormatting>
  <conditionalFormatting sqref="AG35:AG36">
    <cfRule type="iconSet" priority="44">
      <iconSet>
        <cfvo type="percent" val="0"/>
        <cfvo type="num" val="95"/>
        <cfvo type="num" val="100"/>
      </iconSet>
    </cfRule>
    <cfRule type="iconSet" priority="43">
      <iconSet>
        <cfvo type="percent" val="0"/>
        <cfvo type="num" val="70"/>
        <cfvo type="num" val="90"/>
      </iconSet>
    </cfRule>
    <cfRule type="iconSet" priority="42">
      <iconSet>
        <cfvo type="percent" val="0"/>
        <cfvo type="num" val="70"/>
        <cfvo type="num" val="90"/>
      </iconSet>
    </cfRule>
    <cfRule type="iconSet" priority="41">
      <iconSet>
        <cfvo type="percent" val="0"/>
        <cfvo type="num" val="95"/>
        <cfvo type="num" val="100"/>
      </iconSet>
    </cfRule>
    <cfRule type="iconSet" priority="49">
      <iconSet>
        <cfvo type="percent" val="0"/>
        <cfvo type="num" val="95"/>
        <cfvo type="num" val="100"/>
      </iconSet>
    </cfRule>
    <cfRule type="iconSet" priority="48">
      <iconSet>
        <cfvo type="percent" val="0"/>
        <cfvo type="num" val="70"/>
        <cfvo type="num" val="90"/>
      </iconSet>
    </cfRule>
    <cfRule type="iconSet" priority="47">
      <iconSet>
        <cfvo type="percent" val="0"/>
        <cfvo type="num" val="70"/>
        <cfvo type="num" val="90"/>
      </iconSet>
    </cfRule>
    <cfRule type="iconSet" priority="46">
      <iconSet>
        <cfvo type="percent" val="0"/>
        <cfvo type="num" val="95"/>
        <cfvo type="num" val="100"/>
      </iconSet>
    </cfRule>
    <cfRule type="iconSet" priority="45">
      <iconSet>
        <cfvo type="percent" val="0"/>
        <cfvo type="num" val="95"/>
        <cfvo type="num" val="100"/>
      </iconSet>
    </cfRule>
  </conditionalFormatting>
  <conditionalFormatting sqref="AG37">
    <cfRule type="iconSet" priority="289">
      <iconSet>
        <cfvo type="percent" val="0"/>
        <cfvo type="num" val="70"/>
        <cfvo type="num" val="90"/>
      </iconSet>
    </cfRule>
    <cfRule type="iconSet" priority="288">
      <iconSet>
        <cfvo type="percent" val="0"/>
        <cfvo type="num" val="70"/>
        <cfvo type="num" val="90"/>
      </iconSet>
    </cfRule>
    <cfRule type="iconSet" priority="287">
      <iconSet>
        <cfvo type="percent" val="0"/>
        <cfvo type="num" val="95"/>
        <cfvo type="num" val="100"/>
      </iconSet>
    </cfRule>
    <cfRule type="iconSet" priority="290">
      <iconSet>
        <cfvo type="percent" val="0"/>
        <cfvo type="num" val="95"/>
        <cfvo type="num" val="100"/>
      </iconSet>
    </cfRule>
  </conditionalFormatting>
  <conditionalFormatting sqref="AG37:AG38">
    <cfRule type="iconSet" priority="276">
      <iconSet>
        <cfvo type="percent" val="0"/>
        <cfvo type="num" val="70"/>
        <cfvo type="num" val="90"/>
      </iconSet>
    </cfRule>
    <cfRule type="iconSet" priority="277">
      <iconSet>
        <cfvo type="percent" val="0"/>
        <cfvo type="num" val="70"/>
        <cfvo type="num" val="90"/>
      </iconSet>
    </cfRule>
    <cfRule type="iconSet" priority="279">
      <iconSet>
        <cfvo type="percent" val="0"/>
        <cfvo type="num" val="95"/>
        <cfvo type="num" val="100"/>
      </iconSet>
    </cfRule>
    <cfRule type="iconSet" priority="281">
      <iconSet>
        <cfvo type="percent" val="0"/>
        <cfvo type="num" val="70"/>
        <cfvo type="num" val="90"/>
      </iconSet>
    </cfRule>
    <cfRule type="iconSet" priority="282">
      <iconSet>
        <cfvo type="percent" val="0"/>
        <cfvo type="num" val="95"/>
        <cfvo type="num" val="100"/>
      </iconSet>
    </cfRule>
    <cfRule type="iconSet" priority="280">
      <iconSet>
        <cfvo type="percent" val="0"/>
        <cfvo type="num" val="70"/>
        <cfvo type="num" val="90"/>
      </iconSet>
    </cfRule>
    <cfRule type="iconSet" priority="275">
      <iconSet>
        <cfvo type="percent" val="0"/>
        <cfvo type="num" val="95"/>
        <cfvo type="num" val="100"/>
      </iconSet>
    </cfRule>
    <cfRule type="iconSet" priority="278">
      <iconSet>
        <cfvo type="percent" val="0"/>
        <cfvo type="num" val="95"/>
        <cfvo type="num" val="100"/>
      </iconSet>
    </cfRule>
  </conditionalFormatting>
  <conditionalFormatting sqref="AG37:AG39">
    <cfRule type="iconSet" priority="293">
      <iconSet>
        <cfvo type="percent" val="0"/>
        <cfvo type="num" val="95"/>
        <cfvo type="num" val="100"/>
      </iconSet>
    </cfRule>
  </conditionalFormatting>
  <conditionalFormatting sqref="AG38">
    <cfRule type="iconSet" priority="271">
      <iconSet>
        <cfvo type="percent" val="0"/>
        <cfvo type="num" val="95"/>
        <cfvo type="num" val="100"/>
      </iconSet>
    </cfRule>
    <cfRule type="iconSet" priority="272">
      <iconSet>
        <cfvo type="percent" val="0"/>
        <cfvo type="num" val="70"/>
        <cfvo type="num" val="90"/>
      </iconSet>
    </cfRule>
    <cfRule type="iconSet" priority="273">
      <iconSet>
        <cfvo type="percent" val="0"/>
        <cfvo type="num" val="70"/>
        <cfvo type="num" val="90"/>
      </iconSet>
    </cfRule>
    <cfRule type="iconSet" priority="274">
      <iconSet>
        <cfvo type="percent" val="0"/>
        <cfvo type="num" val="95"/>
        <cfvo type="num" val="100"/>
      </iconSet>
    </cfRule>
    <cfRule type="iconSet" priority="284">
      <iconSet>
        <cfvo type="percent" val="0"/>
        <cfvo type="num" val="70"/>
        <cfvo type="num" val="90"/>
      </iconSet>
    </cfRule>
    <cfRule type="iconSet" priority="285">
      <iconSet>
        <cfvo type="percent" val="0"/>
        <cfvo type="num" val="70"/>
        <cfvo type="num" val="90"/>
      </iconSet>
    </cfRule>
    <cfRule type="iconSet" priority="286">
      <iconSet>
        <cfvo type="percent" val="0"/>
        <cfvo type="num" val="95"/>
        <cfvo type="num" val="100"/>
      </iconSet>
    </cfRule>
    <cfRule type="iconSet" priority="260">
      <iconSet>
        <cfvo type="percent" val="0"/>
        <cfvo type="num" val="70"/>
        <cfvo type="num" val="90"/>
      </iconSet>
    </cfRule>
    <cfRule type="iconSet" priority="258">
      <iconSet>
        <cfvo type="percent" val="0"/>
        <cfvo type="num" val="95"/>
        <cfvo type="num" val="100"/>
      </iconSet>
    </cfRule>
    <cfRule type="iconSet" priority="269">
      <iconSet>
        <cfvo type="percent" val="0"/>
        <cfvo type="num" val="70"/>
        <cfvo type="num" val="90"/>
      </iconSet>
    </cfRule>
    <cfRule type="iconSet" priority="268">
      <iconSet>
        <cfvo type="percent" val="0"/>
        <cfvo type="num" val="70"/>
        <cfvo type="num" val="90"/>
      </iconSet>
    </cfRule>
    <cfRule type="iconSet" priority="267">
      <iconSet>
        <cfvo type="percent" val="0"/>
        <cfvo type="num" val="95"/>
        <cfvo type="num" val="100"/>
      </iconSet>
    </cfRule>
    <cfRule type="iconSet" priority="266">
      <iconSet>
        <cfvo type="percent" val="0"/>
        <cfvo type="num" val="95"/>
        <cfvo type="num" val="100"/>
      </iconSet>
    </cfRule>
    <cfRule type="iconSet" priority="265">
      <iconSet>
        <cfvo type="percent" val="0"/>
        <cfvo type="num" val="70"/>
        <cfvo type="num" val="90"/>
      </iconSet>
    </cfRule>
    <cfRule type="iconSet" priority="264">
      <iconSet>
        <cfvo type="percent" val="0"/>
        <cfvo type="num" val="70"/>
        <cfvo type="num" val="90"/>
      </iconSet>
    </cfRule>
    <cfRule type="iconSet" priority="263">
      <iconSet>
        <cfvo type="percent" val="0"/>
        <cfvo type="num" val="95"/>
        <cfvo type="num" val="100"/>
      </iconSet>
    </cfRule>
    <cfRule type="iconSet" priority="261">
      <iconSet>
        <cfvo type="percent" val="0"/>
        <cfvo type="num" val="95"/>
        <cfvo type="num" val="100"/>
      </iconSet>
    </cfRule>
    <cfRule type="iconSet" priority="270">
      <iconSet>
        <cfvo type="percent" val="0"/>
        <cfvo type="num" val="95"/>
        <cfvo type="num" val="100"/>
      </iconSet>
    </cfRule>
    <cfRule type="iconSet" priority="196">
      <iconSet>
        <cfvo type="percent" val="0"/>
        <cfvo type="num" val="95"/>
        <cfvo type="num" val="100"/>
      </iconSet>
    </cfRule>
    <cfRule type="iconSet" priority="197">
      <iconSet>
        <cfvo type="percent" val="0"/>
        <cfvo type="num" val="70"/>
        <cfvo type="num" val="90"/>
      </iconSet>
    </cfRule>
    <cfRule type="iconSet" priority="198">
      <iconSet>
        <cfvo type="percent" val="0"/>
        <cfvo type="num" val="70"/>
        <cfvo type="num" val="90"/>
      </iconSet>
    </cfRule>
    <cfRule type="iconSet" priority="199">
      <iconSet>
        <cfvo type="percent" val="0"/>
        <cfvo type="num" val="95"/>
        <cfvo type="num" val="100"/>
      </iconSet>
    </cfRule>
    <cfRule type="iconSet" priority="259">
      <iconSet>
        <cfvo type="percent" val="0"/>
        <cfvo type="num" val="70"/>
        <cfvo type="num" val="90"/>
      </iconSet>
    </cfRule>
    <cfRule type="iconSet" priority="283">
      <iconSet>
        <cfvo type="percent" val="0"/>
        <cfvo type="num" val="95"/>
        <cfvo type="num" val="100"/>
      </iconSet>
    </cfRule>
  </conditionalFormatting>
  <conditionalFormatting sqref="AG39">
    <cfRule type="iconSet" priority="203">
      <iconSet>
        <cfvo type="percent" val="0"/>
        <cfvo type="num" val="95"/>
        <cfvo type="num" val="100"/>
      </iconSet>
    </cfRule>
    <cfRule type="iconSet" priority="209">
      <iconSet>
        <cfvo type="percent" val="0"/>
        <cfvo type="num" val="70"/>
        <cfvo type="num" val="90"/>
      </iconSet>
    </cfRule>
    <cfRule type="iconSet" priority="201">
      <iconSet>
        <cfvo type="percent" val="0"/>
        <cfvo type="num" val="70"/>
        <cfvo type="num" val="90"/>
      </iconSet>
    </cfRule>
    <cfRule type="iconSet" priority="227">
      <iconSet>
        <cfvo type="percent" val="0"/>
        <cfvo type="num" val="95"/>
        <cfvo type="num" val="100"/>
      </iconSet>
    </cfRule>
    <cfRule type="iconSet" priority="226">
      <iconSet>
        <cfvo type="percent" val="0"/>
        <cfvo type="num" val="70"/>
        <cfvo type="num" val="90"/>
      </iconSet>
    </cfRule>
    <cfRule type="iconSet" priority="224">
      <iconSet>
        <cfvo type="percent" val="0"/>
        <cfvo type="num" val="95"/>
        <cfvo type="num" val="100"/>
      </iconSet>
    </cfRule>
    <cfRule type="iconSet" priority="223">
      <iconSet>
        <cfvo type="percent" val="0"/>
        <cfvo type="num" val="95"/>
        <cfvo type="num" val="100"/>
      </iconSet>
    </cfRule>
    <cfRule type="iconSet" priority="225">
      <iconSet>
        <cfvo type="percent" val="0"/>
        <cfvo type="num" val="70"/>
        <cfvo type="num" val="90"/>
      </iconSet>
    </cfRule>
    <cfRule type="iconSet" priority="222">
      <iconSet>
        <cfvo type="percent" val="0"/>
        <cfvo type="num" val="70"/>
        <cfvo type="num" val="90"/>
      </iconSet>
    </cfRule>
    <cfRule type="iconSet" priority="221">
      <iconSet>
        <cfvo type="percent" val="0"/>
        <cfvo type="num" val="70"/>
        <cfvo type="num" val="90"/>
      </iconSet>
    </cfRule>
    <cfRule type="iconSet" priority="220">
      <iconSet>
        <cfvo type="percent" val="0"/>
        <cfvo type="num" val="95"/>
        <cfvo type="num" val="100"/>
      </iconSet>
    </cfRule>
    <cfRule type="iconSet" priority="219">
      <iconSet>
        <cfvo type="percent" val="0"/>
        <cfvo type="num" val="95"/>
        <cfvo type="num" val="100"/>
      </iconSet>
    </cfRule>
    <cfRule type="iconSet" priority="218">
      <iconSet>
        <cfvo type="percent" val="0"/>
        <cfvo type="num" val="70"/>
        <cfvo type="num" val="90"/>
      </iconSet>
    </cfRule>
    <cfRule type="iconSet" priority="217">
      <iconSet>
        <cfvo type="percent" val="0"/>
        <cfvo type="num" val="70"/>
        <cfvo type="num" val="90"/>
      </iconSet>
    </cfRule>
    <cfRule type="iconSet" priority="216">
      <iconSet>
        <cfvo type="percent" val="0"/>
        <cfvo type="num" val="95"/>
        <cfvo type="num" val="100"/>
      </iconSet>
    </cfRule>
    <cfRule type="iconSet" priority="215">
      <iconSet>
        <cfvo type="percent" val="0"/>
        <cfvo type="num" val="95"/>
        <cfvo type="num" val="100"/>
      </iconSet>
    </cfRule>
    <cfRule type="iconSet" priority="214">
      <iconSet>
        <cfvo type="percent" val="0"/>
        <cfvo type="num" val="70"/>
        <cfvo type="num" val="90"/>
      </iconSet>
    </cfRule>
    <cfRule type="iconSet" priority="213">
      <iconSet>
        <cfvo type="percent" val="0"/>
        <cfvo type="num" val="70"/>
        <cfvo type="num" val="90"/>
      </iconSet>
    </cfRule>
    <cfRule type="iconSet" priority="291">
      <iconSet>
        <cfvo type="percent" val="0"/>
        <cfvo type="num" val="70"/>
        <cfvo type="num" val="90"/>
      </iconSet>
    </cfRule>
    <cfRule type="iconSet" priority="292">
      <iconSet>
        <cfvo type="percent" val="0"/>
        <cfvo type="num" val="95"/>
        <cfvo type="num" val="100"/>
      </iconSet>
    </cfRule>
    <cfRule type="iconSet" priority="212">
      <iconSet>
        <cfvo type="percent" val="0"/>
        <cfvo type="num" val="95"/>
        <cfvo type="num" val="100"/>
      </iconSet>
    </cfRule>
    <cfRule type="iconSet" priority="211">
      <iconSet>
        <cfvo type="percent" val="0"/>
        <cfvo type="num" val="95"/>
        <cfvo type="num" val="100"/>
      </iconSet>
    </cfRule>
    <cfRule type="iconSet" priority="210">
      <iconSet>
        <cfvo type="percent" val="0"/>
        <cfvo type="num" val="70"/>
        <cfvo type="num" val="90"/>
      </iconSet>
    </cfRule>
    <cfRule type="iconSet" priority="208">
      <iconSet>
        <cfvo type="percent" val="0"/>
        <cfvo type="num" val="95"/>
        <cfvo type="num" val="100"/>
      </iconSet>
    </cfRule>
    <cfRule type="iconSet" priority="200">
      <iconSet>
        <cfvo type="percent" val="0"/>
        <cfvo type="num" val="95"/>
        <cfvo type="num" val="100"/>
      </iconSet>
    </cfRule>
    <cfRule type="iconSet" priority="207">
      <iconSet>
        <cfvo type="percent" val="0"/>
        <cfvo type="num" val="95"/>
        <cfvo type="num" val="100"/>
      </iconSet>
    </cfRule>
    <cfRule type="iconSet" priority="202">
      <iconSet>
        <cfvo type="percent" val="0"/>
        <cfvo type="num" val="70"/>
        <cfvo type="num" val="90"/>
      </iconSet>
    </cfRule>
    <cfRule type="iconSet" priority="206">
      <iconSet>
        <cfvo type="percent" val="0"/>
        <cfvo type="num" val="70"/>
        <cfvo type="num" val="90"/>
      </iconSet>
    </cfRule>
    <cfRule type="iconSet" priority="205">
      <iconSet>
        <cfvo type="percent" val="0"/>
        <cfvo type="num" val="70"/>
        <cfvo type="num" val="90"/>
      </iconSet>
    </cfRule>
    <cfRule type="iconSet" priority="204">
      <iconSet>
        <cfvo type="percent" val="0"/>
        <cfvo type="num" val="95"/>
        <cfvo type="num" val="100"/>
      </iconSet>
    </cfRule>
  </conditionalFormatting>
  <conditionalFormatting sqref="AG40">
    <cfRule type="iconSet" priority="31">
      <iconSet>
        <cfvo type="percent" val="0"/>
        <cfvo type="num" val="95"/>
        <cfvo type="num" val="100"/>
      </iconSet>
    </cfRule>
    <cfRule type="iconSet" priority="30">
      <iconSet>
        <cfvo type="percent" val="0"/>
        <cfvo type="num" val="95"/>
        <cfvo type="num" val="100"/>
      </iconSet>
    </cfRule>
    <cfRule type="iconSet" priority="29">
      <iconSet>
        <cfvo type="percent" val="0"/>
        <cfvo type="num" val="70"/>
        <cfvo type="num" val="90"/>
      </iconSet>
    </cfRule>
    <cfRule type="iconSet" priority="28">
      <iconSet>
        <cfvo type="percent" val="0"/>
        <cfvo type="num" val="95"/>
        <cfvo type="num" val="100"/>
      </iconSet>
    </cfRule>
    <cfRule type="iconSet" priority="27">
      <iconSet>
        <cfvo type="percent" val="0"/>
        <cfvo type="num" val="70"/>
        <cfvo type="num" val="90"/>
      </iconSet>
    </cfRule>
    <cfRule type="iconSet" priority="26">
      <iconSet>
        <cfvo type="percent" val="0"/>
        <cfvo type="num" val="70"/>
        <cfvo type="num" val="90"/>
      </iconSet>
    </cfRule>
    <cfRule type="iconSet" priority="25">
      <iconSet>
        <cfvo type="percent" val="0"/>
        <cfvo type="num" val="95"/>
        <cfvo type="num" val="100"/>
      </iconSet>
    </cfRule>
    <cfRule type="iconSet" priority="23">
      <iconSet>
        <cfvo type="percent" val="0"/>
        <cfvo type="num" val="70"/>
        <cfvo type="num" val="90"/>
      </iconSet>
    </cfRule>
    <cfRule type="iconSet" priority="22">
      <iconSet>
        <cfvo type="percent" val="0"/>
        <cfvo type="num" val="70"/>
        <cfvo type="num" val="90"/>
      </iconSet>
    </cfRule>
    <cfRule type="iconSet" priority="21">
      <iconSet>
        <cfvo type="percent" val="0"/>
        <cfvo type="num" val="95"/>
        <cfvo type="num" val="100"/>
      </iconSet>
    </cfRule>
    <cfRule type="iconSet" priority="20">
      <iconSet>
        <cfvo type="percent" val="0"/>
        <cfvo type="num" val="95"/>
        <cfvo type="num" val="100"/>
      </iconSet>
    </cfRule>
    <cfRule type="iconSet" priority="19">
      <iconSet>
        <cfvo type="percent" val="0"/>
        <cfvo type="num" val="70"/>
        <cfvo type="num" val="90"/>
      </iconSet>
    </cfRule>
    <cfRule type="iconSet" priority="17">
      <iconSet>
        <cfvo type="percent" val="0"/>
        <cfvo type="num" val="95"/>
        <cfvo type="num" val="100"/>
      </iconSet>
    </cfRule>
    <cfRule type="iconSet" priority="15">
      <iconSet>
        <cfvo type="percent" val="0"/>
        <cfvo type="num" val="70"/>
        <cfvo type="num" val="90"/>
      </iconSet>
    </cfRule>
    <cfRule type="iconSet" priority="14">
      <iconSet>
        <cfvo type="percent" val="0"/>
        <cfvo type="num" val="70"/>
        <cfvo type="num" val="90"/>
      </iconSet>
    </cfRule>
    <cfRule type="iconSet" priority="13">
      <iconSet>
        <cfvo type="percent" val="0"/>
        <cfvo type="num" val="95"/>
        <cfvo type="num" val="100"/>
      </iconSet>
    </cfRule>
    <cfRule type="iconSet" priority="6">
      <iconSet>
        <cfvo type="percent" val="0"/>
        <cfvo type="num" val="70"/>
        <cfvo type="num" val="90"/>
      </iconSet>
    </cfRule>
    <cfRule type="iconSet" priority="7">
      <iconSet>
        <cfvo type="percent" val="0"/>
        <cfvo type="num" val="70"/>
        <cfvo type="num" val="90"/>
      </iconSet>
    </cfRule>
    <cfRule type="iconSet" priority="1">
      <iconSet>
        <cfvo type="percent" val="0"/>
        <cfvo type="num" val="95"/>
        <cfvo type="num" val="100"/>
      </iconSet>
    </cfRule>
    <cfRule type="iconSet" priority="8">
      <iconSet>
        <cfvo type="percent" val="0"/>
        <cfvo type="num" val="95"/>
        <cfvo type="num" val="100"/>
      </iconSet>
    </cfRule>
    <cfRule type="iconSet" priority="2">
      <iconSet>
        <cfvo type="percent" val="0"/>
        <cfvo type="num" val="70"/>
        <cfvo type="num" val="90"/>
      </iconSet>
    </cfRule>
    <cfRule type="iconSet" priority="16">
      <iconSet>
        <cfvo type="percent" val="0"/>
        <cfvo type="num" val="95"/>
        <cfvo type="num" val="100"/>
      </iconSet>
    </cfRule>
    <cfRule type="iconSet" priority="3">
      <iconSet>
        <cfvo type="percent" val="0"/>
        <cfvo type="num" val="70"/>
        <cfvo type="num" val="90"/>
      </iconSet>
    </cfRule>
    <cfRule type="iconSet" priority="4">
      <iconSet>
        <cfvo type="percent" val="0"/>
        <cfvo type="num" val="95"/>
        <cfvo type="num" val="100"/>
      </iconSet>
    </cfRule>
    <cfRule type="iconSet" priority="5">
      <iconSet>
        <cfvo type="percent" val="0"/>
        <cfvo type="num" val="95"/>
        <cfvo type="num" val="100"/>
      </iconSet>
    </cfRule>
    <cfRule type="iconSet" priority="12">
      <iconSet>
        <cfvo type="percent" val="0"/>
        <cfvo type="num" val="95"/>
        <cfvo type="num" val="100"/>
      </iconSet>
    </cfRule>
    <cfRule type="iconSet" priority="10">
      <iconSet>
        <cfvo type="percent" val="0"/>
        <cfvo type="num" val="70"/>
        <cfvo type="num" val="90"/>
      </iconSet>
    </cfRule>
    <cfRule type="iconSet" priority="11">
      <iconSet>
        <cfvo type="percent" val="0"/>
        <cfvo type="num" val="70"/>
        <cfvo type="num" val="90"/>
      </iconSet>
    </cfRule>
    <cfRule type="iconSet" priority="24">
      <iconSet>
        <cfvo type="percent" val="0"/>
        <cfvo type="num" val="95"/>
        <cfvo type="num" val="100"/>
      </iconSet>
    </cfRule>
    <cfRule type="iconSet" priority="9">
      <iconSet>
        <cfvo type="percent" val="0"/>
        <cfvo type="num" val="95"/>
        <cfvo type="num" val="100"/>
      </iconSet>
    </cfRule>
    <cfRule type="iconSet" priority="18">
      <iconSet>
        <cfvo type="percent" val="0"/>
        <cfvo type="num" val="70"/>
        <cfvo type="num" val="90"/>
      </iconSet>
    </cfRule>
  </conditionalFormatting>
  <conditionalFormatting sqref="AG41">
    <cfRule type="iconSet" priority="195">
      <iconSet>
        <cfvo type="percent" val="0"/>
        <cfvo type="num" val="95"/>
        <cfvo type="num" val="100"/>
      </iconSet>
    </cfRule>
  </conditionalFormatting>
  <printOptions horizontalCentered="1"/>
  <pageMargins left="0.11811023622047245" right="0.11811023622047245" top="0.35433070866141736" bottom="0.15748031496062992" header="0.31496062992125984" footer="0.31496062992125984"/>
  <pageSetup paperSize="9" scale="75" orientation="portrait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N9"/>
  <sheetViews>
    <sheetView workbookViewId="0"/>
  </sheetViews>
  <sheetFormatPr defaultRowHeight="15"/>
  <cols>
    <col min="1" max="1" width="2.85546875" customWidth="1"/>
    <col min="2" max="2" width="30" customWidth="1"/>
    <col min="3" max="14" width="10.85546875" customWidth="1"/>
  </cols>
  <sheetData>
    <row r="1" spans="2:14" ht="15.75" thickBot="1"/>
    <row r="2" spans="2:14" ht="15.75" thickBot="1">
      <c r="B2" s="749" t="s">
        <v>106</v>
      </c>
      <c r="C2" s="751" t="s">
        <v>107</v>
      </c>
      <c r="D2" s="751"/>
      <c r="E2" s="751"/>
      <c r="F2" s="751"/>
      <c r="G2" s="751"/>
      <c r="H2" s="751"/>
      <c r="I2" s="751"/>
      <c r="J2" s="751"/>
      <c r="K2" s="751"/>
      <c r="L2" s="751"/>
      <c r="M2" s="751"/>
      <c r="N2" s="751"/>
    </row>
    <row r="3" spans="2:14" ht="15.75" thickBot="1">
      <c r="B3" s="750"/>
      <c r="C3" s="453" t="s">
        <v>108</v>
      </c>
      <c r="D3" s="453" t="s">
        <v>109</v>
      </c>
      <c r="E3" s="453" t="s">
        <v>110</v>
      </c>
      <c r="F3" s="453" t="s">
        <v>111</v>
      </c>
      <c r="G3" s="453" t="s">
        <v>112</v>
      </c>
      <c r="H3" s="453" t="s">
        <v>113</v>
      </c>
      <c r="I3" s="453" t="s">
        <v>114</v>
      </c>
      <c r="J3" s="453" t="s">
        <v>115</v>
      </c>
      <c r="K3" s="453" t="s">
        <v>116</v>
      </c>
      <c r="L3" s="453" t="s">
        <v>117</v>
      </c>
      <c r="M3" s="453" t="s">
        <v>118</v>
      </c>
      <c r="N3" s="453" t="s">
        <v>119</v>
      </c>
    </row>
    <row r="4" spans="2:14">
      <c r="B4" s="233" t="s">
        <v>90</v>
      </c>
      <c r="C4" s="239">
        <v>80.400000000000006</v>
      </c>
      <c r="D4" s="234">
        <v>87.04</v>
      </c>
      <c r="E4" s="234">
        <v>93.39</v>
      </c>
      <c r="F4" s="234"/>
      <c r="G4" s="234"/>
      <c r="H4" s="234"/>
      <c r="I4" s="234"/>
      <c r="J4" s="234"/>
      <c r="K4" s="234"/>
      <c r="L4" s="234"/>
      <c r="M4" s="234"/>
      <c r="N4" s="234"/>
    </row>
    <row r="5" spans="2:14">
      <c r="B5" s="235" t="s">
        <v>120</v>
      </c>
      <c r="C5" s="236">
        <v>75.72</v>
      </c>
      <c r="D5" s="236">
        <v>87.05</v>
      </c>
      <c r="E5" s="236">
        <v>93.36</v>
      </c>
      <c r="F5" s="236"/>
      <c r="G5" s="236"/>
      <c r="H5" s="236"/>
      <c r="I5" s="236"/>
      <c r="J5" s="236"/>
      <c r="K5" s="236"/>
      <c r="L5" s="236"/>
      <c r="M5" s="236"/>
      <c r="N5" s="236"/>
    </row>
    <row r="6" spans="2:14">
      <c r="B6" s="235" t="s">
        <v>87</v>
      </c>
      <c r="C6" s="236">
        <v>66.709999999999994</v>
      </c>
      <c r="D6" s="236">
        <v>77.27</v>
      </c>
      <c r="E6" s="236">
        <v>90.08</v>
      </c>
      <c r="F6" s="236"/>
      <c r="G6" s="236"/>
      <c r="H6" s="236"/>
      <c r="I6" s="236"/>
      <c r="J6" s="236"/>
      <c r="K6" s="236"/>
      <c r="L6" s="236"/>
      <c r="M6" s="236"/>
      <c r="N6" s="236"/>
    </row>
    <row r="7" spans="2:14">
      <c r="B7" s="235" t="s">
        <v>88</v>
      </c>
      <c r="C7" s="236">
        <v>74.87</v>
      </c>
      <c r="D7" s="236">
        <v>75.95</v>
      </c>
      <c r="E7" s="236">
        <v>87.94</v>
      </c>
      <c r="F7" s="236"/>
      <c r="G7" s="236"/>
      <c r="H7" s="236"/>
      <c r="I7" s="236"/>
      <c r="J7" s="236"/>
      <c r="K7" s="236"/>
      <c r="L7" s="236"/>
      <c r="M7" s="236"/>
      <c r="N7" s="236"/>
    </row>
    <row r="8" spans="2:14">
      <c r="B8" s="235" t="s">
        <v>121</v>
      </c>
      <c r="C8" s="236">
        <v>88.26</v>
      </c>
      <c r="D8" s="236">
        <v>86.77</v>
      </c>
      <c r="E8" s="236">
        <v>86.59</v>
      </c>
      <c r="F8" s="236"/>
      <c r="G8" s="236"/>
      <c r="H8" s="236"/>
      <c r="I8" s="236"/>
      <c r="J8" s="236"/>
      <c r="K8" s="236"/>
      <c r="L8" s="236"/>
      <c r="M8" s="236"/>
      <c r="N8" s="236"/>
    </row>
    <row r="9" spans="2:14" ht="15.75" thickBot="1">
      <c r="B9" s="237" t="s">
        <v>89</v>
      </c>
      <c r="C9" s="238">
        <v>65.25</v>
      </c>
      <c r="D9" s="238">
        <v>74.42</v>
      </c>
      <c r="E9" s="238">
        <v>79.989999999999995</v>
      </c>
      <c r="F9" s="238"/>
      <c r="G9" s="238"/>
      <c r="H9" s="238"/>
      <c r="I9" s="238"/>
      <c r="J9" s="238"/>
      <c r="K9" s="238"/>
      <c r="L9" s="238"/>
      <c r="M9" s="238"/>
      <c r="N9" s="238"/>
    </row>
  </sheetData>
  <mergeCells count="2">
    <mergeCell ref="B2:B3"/>
    <mergeCell ref="C2:N2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Y152"/>
  <sheetViews>
    <sheetView topLeftCell="B1" workbookViewId="0"/>
  </sheetViews>
  <sheetFormatPr defaultColWidth="8.85546875" defaultRowHeight="15"/>
  <cols>
    <col min="1" max="1" width="5.7109375" hidden="1" customWidth="1"/>
    <col min="2" max="2" width="15.5703125" customWidth="1"/>
    <col min="3" max="3" width="24.7109375" bestFit="1" customWidth="1"/>
    <col min="4" max="15" width="15.7109375" style="105" customWidth="1"/>
    <col min="16" max="16" width="11" customWidth="1"/>
    <col min="17" max="17" width="15.5703125" customWidth="1"/>
    <col min="18" max="18" width="24.7109375" bestFit="1" customWidth="1"/>
    <col min="19" max="19" width="19.7109375" style="105" bestFit="1" customWidth="1"/>
    <col min="20" max="20" width="17" style="105" bestFit="1" customWidth="1"/>
    <col min="21" max="21" width="18.7109375" style="105" bestFit="1" customWidth="1"/>
    <col min="22" max="30" width="15.42578125" style="105" bestFit="1" customWidth="1"/>
    <col min="31" max="31" width="12.28515625" bestFit="1" customWidth="1"/>
    <col min="32" max="32" width="15.5703125" customWidth="1"/>
    <col min="33" max="33" width="26" bestFit="1" customWidth="1"/>
    <col min="34" max="35" width="15.28515625" style="105" bestFit="1" customWidth="1"/>
    <col min="36" max="36" width="14.85546875" style="105" bestFit="1" customWidth="1"/>
    <col min="37" max="40" width="15.42578125" style="105" bestFit="1" customWidth="1"/>
    <col min="41" max="41" width="16" style="105" bestFit="1" customWidth="1"/>
    <col min="42" max="42" width="16.42578125" style="105" bestFit="1" customWidth="1"/>
    <col min="43" max="43" width="16" style="105" bestFit="1" customWidth="1"/>
    <col min="44" max="45" width="15.42578125" style="105" bestFit="1" customWidth="1"/>
    <col min="46" max="46" width="12" bestFit="1" customWidth="1"/>
    <col min="47" max="47" width="1.85546875" style="141" customWidth="1"/>
    <col min="49" max="49" width="22.7109375" customWidth="1"/>
    <col min="50" max="50" width="13.42578125" bestFit="1" customWidth="1"/>
    <col min="51" max="61" width="10.42578125" customWidth="1"/>
    <col min="63" max="63" width="22.28515625" customWidth="1"/>
    <col min="64" max="75" width="10.42578125" customWidth="1"/>
    <col min="77" max="77" width="22.28515625" customWidth="1"/>
    <col min="78" max="89" width="10.42578125" customWidth="1"/>
  </cols>
  <sheetData>
    <row r="1" spans="1:47" s="30" customFormat="1" ht="15.75">
      <c r="A1" s="28"/>
      <c r="B1" s="29" t="s">
        <v>122</v>
      </c>
      <c r="C1" s="28"/>
      <c r="D1" s="28"/>
      <c r="E1" s="28"/>
      <c r="F1" s="28"/>
      <c r="G1" s="28"/>
      <c r="H1" s="28"/>
      <c r="I1" s="563"/>
      <c r="J1" s="28"/>
      <c r="K1" s="28"/>
      <c r="L1" s="28"/>
      <c r="M1" s="28"/>
      <c r="N1" s="28"/>
      <c r="O1" s="28"/>
      <c r="Q1" s="29"/>
      <c r="R1" s="28"/>
      <c r="S1" s="562"/>
      <c r="T1" s="562"/>
      <c r="U1" s="563"/>
      <c r="V1" s="563"/>
      <c r="W1" s="563"/>
      <c r="X1" s="563"/>
      <c r="Y1" s="28"/>
      <c r="Z1" s="28"/>
      <c r="AA1" s="28"/>
      <c r="AB1" s="28"/>
      <c r="AC1" s="28"/>
      <c r="AD1" s="28"/>
      <c r="AF1" s="29"/>
      <c r="AG1" s="28"/>
      <c r="AH1" s="28"/>
      <c r="AI1" s="28"/>
      <c r="AJ1" s="28"/>
      <c r="AK1" s="28"/>
      <c r="AL1" s="28"/>
      <c r="AM1" s="563"/>
      <c r="AN1" s="28"/>
      <c r="AO1" s="28"/>
      <c r="AP1" s="28"/>
      <c r="AQ1" s="28"/>
      <c r="AR1" s="28"/>
      <c r="AS1" s="28"/>
      <c r="AU1" s="567"/>
    </row>
    <row r="2" spans="1:47" s="30" customFormat="1" ht="15.75">
      <c r="A2" s="28"/>
      <c r="B2" s="29" t="s">
        <v>123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Q2" s="29"/>
      <c r="R2" s="28"/>
      <c r="S2" s="562"/>
      <c r="T2" s="562"/>
      <c r="U2" s="563"/>
      <c r="V2" s="563"/>
      <c r="W2" s="563"/>
      <c r="X2" s="563"/>
      <c r="Y2" s="28"/>
      <c r="Z2" s="28"/>
      <c r="AA2" s="28"/>
      <c r="AB2" s="28"/>
      <c r="AC2" s="28"/>
      <c r="AD2" s="28"/>
      <c r="AF2" s="29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U2" s="567"/>
    </row>
    <row r="3" spans="1:47" s="30" customFormat="1" ht="15.75">
      <c r="A3" s="28"/>
      <c r="B3" s="29" t="s">
        <v>124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Q3" s="29"/>
      <c r="R3" s="28"/>
      <c r="S3" s="562"/>
      <c r="T3" s="562"/>
      <c r="U3" s="563"/>
      <c r="V3" s="563"/>
      <c r="W3" s="563"/>
      <c r="X3" s="563"/>
      <c r="Y3" s="28"/>
      <c r="Z3" s="28"/>
      <c r="AA3" s="28"/>
      <c r="AB3" s="28"/>
      <c r="AC3" s="28"/>
      <c r="AD3" s="28"/>
      <c r="AF3" s="29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U3" s="567"/>
    </row>
    <row r="4" spans="1:47">
      <c r="D4"/>
      <c r="E4"/>
      <c r="F4"/>
      <c r="G4"/>
      <c r="H4"/>
      <c r="I4"/>
      <c r="J4"/>
      <c r="K4"/>
      <c r="L4"/>
      <c r="M4"/>
      <c r="N4"/>
      <c r="O4"/>
      <c r="S4" s="574"/>
      <c r="T4" s="574"/>
      <c r="U4" s="574"/>
      <c r="V4" s="574"/>
      <c r="W4" s="574"/>
      <c r="X4" s="574"/>
      <c r="Y4"/>
      <c r="Z4"/>
      <c r="AA4"/>
      <c r="AB4"/>
      <c r="AC4" s="577"/>
      <c r="AD4" s="577"/>
      <c r="AH4"/>
      <c r="AI4"/>
      <c r="AJ4"/>
      <c r="AK4"/>
      <c r="AL4"/>
      <c r="AM4"/>
      <c r="AN4"/>
      <c r="AO4"/>
      <c r="AP4"/>
      <c r="AQ4"/>
      <c r="AR4"/>
      <c r="AS4"/>
      <c r="AU4" s="567"/>
    </row>
    <row r="5" spans="1:47" s="167" customFormat="1" ht="15.75">
      <c r="A5" s="579">
        <v>1</v>
      </c>
      <c r="B5" s="315" t="s">
        <v>125</v>
      </c>
      <c r="D5" s="578"/>
      <c r="E5" s="578"/>
      <c r="F5" s="578"/>
      <c r="G5" s="578"/>
      <c r="H5" s="578"/>
      <c r="I5" s="578"/>
      <c r="J5" s="578"/>
      <c r="K5" s="578"/>
      <c r="L5" s="578"/>
      <c r="M5" s="578"/>
      <c r="N5" s="578"/>
      <c r="O5" s="578"/>
      <c r="Q5" s="572"/>
      <c r="S5" s="581"/>
      <c r="T5" s="581"/>
      <c r="U5" s="581"/>
      <c r="V5" s="581"/>
      <c r="W5" s="581"/>
      <c r="X5" s="581"/>
      <c r="Y5" s="578"/>
      <c r="Z5" s="578"/>
      <c r="AA5" s="578"/>
      <c r="AB5" s="578"/>
      <c r="AC5" s="578"/>
      <c r="AD5" s="578"/>
      <c r="AF5" s="572"/>
      <c r="AH5" s="578"/>
      <c r="AI5" s="578"/>
      <c r="AJ5" s="578"/>
      <c r="AK5" s="578"/>
      <c r="AL5" s="578"/>
      <c r="AM5" s="578"/>
      <c r="AN5" s="578"/>
      <c r="AO5" s="578"/>
      <c r="AP5" s="578"/>
      <c r="AQ5" s="578"/>
      <c r="AR5" s="578"/>
      <c r="AS5" s="578"/>
      <c r="AU5" s="567"/>
    </row>
    <row r="6" spans="1:47">
      <c r="B6" s="21" t="s">
        <v>100</v>
      </c>
      <c r="D6"/>
      <c r="E6"/>
      <c r="F6"/>
      <c r="G6"/>
      <c r="H6"/>
      <c r="I6"/>
      <c r="J6"/>
      <c r="K6"/>
      <c r="L6"/>
      <c r="M6"/>
      <c r="N6"/>
      <c r="O6"/>
      <c r="Q6" t="s">
        <v>126</v>
      </c>
      <c r="S6" s="574"/>
      <c r="T6" s="573"/>
      <c r="U6" s="573"/>
      <c r="V6" s="573"/>
      <c r="W6" s="573"/>
      <c r="X6" s="573"/>
      <c r="Y6" s="573"/>
      <c r="Z6"/>
      <c r="AA6"/>
      <c r="AB6"/>
      <c r="AC6"/>
      <c r="AD6"/>
      <c r="AF6" t="s">
        <v>127</v>
      </c>
      <c r="AH6"/>
      <c r="AI6"/>
      <c r="AJ6"/>
      <c r="AK6"/>
      <c r="AL6"/>
      <c r="AM6"/>
      <c r="AN6"/>
      <c r="AO6"/>
      <c r="AP6"/>
      <c r="AQ6"/>
      <c r="AR6"/>
      <c r="AS6"/>
      <c r="AU6" s="567"/>
    </row>
    <row r="7" spans="1:47">
      <c r="B7" s="755" t="s">
        <v>72</v>
      </c>
      <c r="C7" s="756"/>
      <c r="D7" s="552" t="s">
        <v>74</v>
      </c>
      <c r="E7" s="552" t="s">
        <v>75</v>
      </c>
      <c r="F7" s="552" t="s">
        <v>76</v>
      </c>
      <c r="G7" s="552" t="s">
        <v>77</v>
      </c>
      <c r="H7" s="552" t="s">
        <v>78</v>
      </c>
      <c r="I7" s="552" t="s">
        <v>79</v>
      </c>
      <c r="J7" s="552" t="s">
        <v>80</v>
      </c>
      <c r="K7" s="552" t="s">
        <v>81</v>
      </c>
      <c r="L7" s="552" t="s">
        <v>82</v>
      </c>
      <c r="M7" s="552" t="s">
        <v>83</v>
      </c>
      <c r="N7" s="552" t="s">
        <v>84</v>
      </c>
      <c r="O7" s="552" t="s">
        <v>85</v>
      </c>
      <c r="Q7" s="755" t="s">
        <v>72</v>
      </c>
      <c r="R7" s="756"/>
      <c r="S7" s="552" t="s">
        <v>74</v>
      </c>
      <c r="T7" s="552" t="s">
        <v>75</v>
      </c>
      <c r="U7" s="552" t="s">
        <v>76</v>
      </c>
      <c r="V7" s="552" t="s">
        <v>77</v>
      </c>
      <c r="W7" s="552" t="s">
        <v>78</v>
      </c>
      <c r="X7" s="552" t="s">
        <v>79</v>
      </c>
      <c r="Y7" s="552" t="s">
        <v>80</v>
      </c>
      <c r="Z7" s="552" t="s">
        <v>81</v>
      </c>
      <c r="AA7" s="552" t="s">
        <v>82</v>
      </c>
      <c r="AB7" s="552" t="s">
        <v>83</v>
      </c>
      <c r="AC7" s="552" t="s">
        <v>84</v>
      </c>
      <c r="AD7" s="552" t="s">
        <v>85</v>
      </c>
      <c r="AF7" s="755" t="s">
        <v>72</v>
      </c>
      <c r="AG7" s="756"/>
      <c r="AH7" s="552" t="s">
        <v>74</v>
      </c>
      <c r="AI7" s="552" t="s">
        <v>75</v>
      </c>
      <c r="AJ7" s="552" t="s">
        <v>76</v>
      </c>
      <c r="AK7" s="552" t="s">
        <v>77</v>
      </c>
      <c r="AL7" s="552" t="s">
        <v>78</v>
      </c>
      <c r="AM7" s="552" t="s">
        <v>79</v>
      </c>
      <c r="AN7" s="552" t="s">
        <v>80</v>
      </c>
      <c r="AO7" s="552" t="s">
        <v>81</v>
      </c>
      <c r="AP7" s="552" t="s">
        <v>82</v>
      </c>
      <c r="AQ7" s="552" t="s">
        <v>83</v>
      </c>
      <c r="AR7" s="552" t="s">
        <v>84</v>
      </c>
      <c r="AS7" s="552" t="s">
        <v>85</v>
      </c>
      <c r="AU7" s="567"/>
    </row>
    <row r="8" spans="1:47">
      <c r="B8" s="759" t="s">
        <v>128</v>
      </c>
      <c r="C8" s="566" t="s">
        <v>129</v>
      </c>
      <c r="D8" s="565">
        <v>6.54</v>
      </c>
      <c r="E8" s="565">
        <v>12.76</v>
      </c>
      <c r="F8" s="565">
        <v>19.68</v>
      </c>
      <c r="G8" s="565">
        <v>26.37</v>
      </c>
      <c r="H8" s="565">
        <v>33.24</v>
      </c>
      <c r="I8" s="565">
        <v>39.700000000000003</v>
      </c>
      <c r="J8" s="565">
        <v>46.24</v>
      </c>
      <c r="K8" s="565">
        <v>52.96</v>
      </c>
      <c r="L8" s="565">
        <v>59.74</v>
      </c>
      <c r="M8" s="565">
        <v>66.819999999999993</v>
      </c>
      <c r="N8" s="565">
        <v>73.760000000000005</v>
      </c>
      <c r="O8" s="565">
        <v>80.8</v>
      </c>
      <c r="Q8" s="759" t="s">
        <v>128</v>
      </c>
      <c r="R8" s="566" t="s">
        <v>129</v>
      </c>
      <c r="S8" s="565">
        <v>7.5138379950000003</v>
      </c>
      <c r="T8" s="565">
        <v>6.6075825760000004</v>
      </c>
      <c r="U8" s="565">
        <v>6.2866504499999998</v>
      </c>
      <c r="V8" s="565">
        <v>5.3273308750000004</v>
      </c>
      <c r="W8" s="565">
        <v>6.0775351679999998</v>
      </c>
      <c r="X8" s="565">
        <v>5.822720253</v>
      </c>
      <c r="Y8" s="565">
        <v>6.0798251319999999</v>
      </c>
      <c r="Z8" s="565">
        <v>6.0595865580000003</v>
      </c>
      <c r="AA8" s="565">
        <v>6.0901055519999998</v>
      </c>
      <c r="AB8" s="565">
        <v>6.5045151360000002</v>
      </c>
      <c r="AC8" s="565"/>
      <c r="AD8" s="565"/>
      <c r="AF8" s="759" t="s">
        <v>128</v>
      </c>
      <c r="AG8" s="566" t="s">
        <v>129</v>
      </c>
      <c r="AH8" s="565">
        <v>7.5138379950000003</v>
      </c>
      <c r="AI8" s="565">
        <v>14.121420571000002</v>
      </c>
      <c r="AJ8" s="565">
        <v>20.408071021000001</v>
      </c>
      <c r="AK8" s="565">
        <v>25.735401896000003</v>
      </c>
      <c r="AL8" s="565">
        <v>31.812937064000003</v>
      </c>
      <c r="AM8" s="565">
        <v>37.635657317000003</v>
      </c>
      <c r="AN8" s="565">
        <v>43.715482449000007</v>
      </c>
      <c r="AO8" s="565">
        <v>49.775069007000006</v>
      </c>
      <c r="AP8" s="565">
        <v>55.865174559000003</v>
      </c>
      <c r="AQ8" s="565">
        <v>62.369689695000005</v>
      </c>
      <c r="AR8" s="565">
        <v>0</v>
      </c>
      <c r="AS8" s="565">
        <v>0</v>
      </c>
      <c r="AU8" s="567"/>
    </row>
    <row r="9" spans="1:47">
      <c r="B9" s="760"/>
      <c r="C9" s="566" t="s">
        <v>130</v>
      </c>
      <c r="D9" s="570"/>
      <c r="E9" s="570"/>
      <c r="F9" s="570"/>
      <c r="G9" s="570"/>
      <c r="H9" s="570"/>
      <c r="I9" s="570"/>
      <c r="J9" s="570"/>
      <c r="K9" s="570"/>
      <c r="L9" s="570"/>
      <c r="M9" s="570"/>
      <c r="N9" s="570"/>
      <c r="O9" s="570"/>
      <c r="Q9" s="760"/>
      <c r="R9" s="566" t="s">
        <v>130</v>
      </c>
      <c r="S9" s="570">
        <v>5758.6688750000003</v>
      </c>
      <c r="T9" s="570">
        <v>4805.807006</v>
      </c>
      <c r="U9" s="570">
        <v>5685.7965050000003</v>
      </c>
      <c r="V9" s="570">
        <v>5644.9556730000004</v>
      </c>
      <c r="W9" s="570">
        <v>6466.539374</v>
      </c>
      <c r="X9" s="570">
        <v>6206.776116</v>
      </c>
      <c r="Y9" s="570">
        <v>6472.3053470000004</v>
      </c>
      <c r="Z9" s="570">
        <v>6395.7096929999998</v>
      </c>
      <c r="AA9" s="570">
        <v>6431.5954300000003</v>
      </c>
      <c r="AB9" s="570">
        <v>6901.6411529999996</v>
      </c>
      <c r="AC9" s="570"/>
      <c r="AD9" s="570"/>
      <c r="AF9" s="760"/>
      <c r="AG9" s="566" t="s">
        <v>130</v>
      </c>
      <c r="AH9" s="570">
        <v>5758.6688750000003</v>
      </c>
      <c r="AI9" s="570">
        <v>10564.475881</v>
      </c>
      <c r="AJ9" s="570">
        <v>16250.272386000001</v>
      </c>
      <c r="AK9" s="570">
        <v>21895.228059000001</v>
      </c>
      <c r="AL9" s="570">
        <v>28361.767433000001</v>
      </c>
      <c r="AM9" s="570">
        <v>34568.543549000002</v>
      </c>
      <c r="AN9" s="570">
        <v>41040.848896000003</v>
      </c>
      <c r="AO9" s="570">
        <v>47436.558589</v>
      </c>
      <c r="AP9" s="570">
        <v>53868.154019000001</v>
      </c>
      <c r="AQ9" s="570">
        <v>60769.795171999998</v>
      </c>
      <c r="AR9" s="570">
        <v>0</v>
      </c>
      <c r="AS9" s="570">
        <v>0</v>
      </c>
      <c r="AT9" s="583"/>
      <c r="AU9" s="567"/>
    </row>
    <row r="10" spans="1:47">
      <c r="B10" s="761"/>
      <c r="C10" s="589" t="s">
        <v>131</v>
      </c>
      <c r="D10" s="590"/>
      <c r="E10" s="590"/>
      <c r="F10" s="590"/>
      <c r="G10" s="590"/>
      <c r="H10" s="590"/>
      <c r="I10" s="590"/>
      <c r="J10" s="590"/>
      <c r="K10" s="590"/>
      <c r="L10" s="590"/>
      <c r="M10" s="590"/>
      <c r="N10" s="590"/>
      <c r="O10" s="590"/>
      <c r="Q10" s="761"/>
      <c r="R10" s="589" t="s">
        <v>131</v>
      </c>
      <c r="S10" s="590">
        <v>766.40844250728355</v>
      </c>
      <c r="T10" s="590">
        <v>727.31698026077004</v>
      </c>
      <c r="U10" s="590">
        <v>904.42383431704877</v>
      </c>
      <c r="V10" s="590">
        <v>1059.6217515774258</v>
      </c>
      <c r="W10" s="590">
        <v>1064.0069033328216</v>
      </c>
      <c r="X10" s="590">
        <v>1065.958151227019</v>
      </c>
      <c r="Y10" s="590">
        <v>1064.5545236053347</v>
      </c>
      <c r="Z10" s="590">
        <v>1055.4696482644088</v>
      </c>
      <c r="AA10" s="590">
        <v>1056.0728997361721</v>
      </c>
      <c r="AB10" s="590">
        <v>1061.0539000519898</v>
      </c>
      <c r="AC10" s="590">
        <v>0</v>
      </c>
      <c r="AD10" s="590">
        <v>0</v>
      </c>
      <c r="AF10" s="761"/>
      <c r="AG10" s="589" t="s">
        <v>131</v>
      </c>
      <c r="AH10" s="590">
        <v>766.40844250728355</v>
      </c>
      <c r="AI10" s="590">
        <v>748.1170770237801</v>
      </c>
      <c r="AJ10" s="590">
        <v>796.26694601750421</v>
      </c>
      <c r="AK10" s="590">
        <v>850.78244153642413</v>
      </c>
      <c r="AL10" s="590">
        <v>891.51678689531002</v>
      </c>
      <c r="AM10" s="590">
        <v>918.50510960480585</v>
      </c>
      <c r="AN10" s="590">
        <v>938.81724727342714</v>
      </c>
      <c r="AO10" s="590">
        <v>953.01843945869496</v>
      </c>
      <c r="AP10" s="590">
        <v>964.25285420184412</v>
      </c>
      <c r="AQ10" s="590">
        <v>974.34820453935549</v>
      </c>
      <c r="AR10" s="590">
        <v>0</v>
      </c>
      <c r="AS10" s="590">
        <v>0</v>
      </c>
      <c r="AU10"/>
    </row>
    <row r="11" spans="1:47">
      <c r="B11" s="759" t="s">
        <v>87</v>
      </c>
      <c r="C11" s="566" t="s">
        <v>129</v>
      </c>
      <c r="D11" s="565">
        <v>4.2699999999999996</v>
      </c>
      <c r="E11" s="565">
        <v>8.33</v>
      </c>
      <c r="F11" s="565">
        <v>12.85</v>
      </c>
      <c r="G11" s="565">
        <v>17.22</v>
      </c>
      <c r="H11" s="565">
        <v>21.7</v>
      </c>
      <c r="I11" s="565">
        <v>25.92</v>
      </c>
      <c r="J11" s="565">
        <v>30.2</v>
      </c>
      <c r="K11" s="565">
        <v>34.58</v>
      </c>
      <c r="L11" s="565">
        <v>39.01</v>
      </c>
      <c r="M11" s="565">
        <v>43.63</v>
      </c>
      <c r="N11" s="565">
        <v>48.16</v>
      </c>
      <c r="O11" s="565">
        <v>52.76</v>
      </c>
      <c r="Q11" s="759" t="s">
        <v>87</v>
      </c>
      <c r="R11" s="566" t="s">
        <v>129</v>
      </c>
      <c r="S11" s="565">
        <v>5.0476841700000001</v>
      </c>
      <c r="T11" s="565">
        <v>4.2129476490000002</v>
      </c>
      <c r="U11" s="565">
        <v>4.2964539790000007</v>
      </c>
      <c r="V11" s="565">
        <v>3.7453335440000002</v>
      </c>
      <c r="W11" s="565">
        <v>4.1215168660000003</v>
      </c>
      <c r="X11" s="597">
        <v>4.2631920409999999</v>
      </c>
      <c r="Y11" s="598">
        <v>4.3133183129999999</v>
      </c>
      <c r="Z11" s="598">
        <v>4.4597583090000006</v>
      </c>
      <c r="AA11" s="565">
        <v>4.3609504220000002</v>
      </c>
      <c r="AB11" s="565">
        <v>4.506606906</v>
      </c>
      <c r="AC11" s="565"/>
      <c r="AD11" s="565"/>
      <c r="AF11" s="759" t="s">
        <v>87</v>
      </c>
      <c r="AG11" s="566" t="s">
        <v>129</v>
      </c>
      <c r="AH11" s="565">
        <v>5.0476841700000001</v>
      </c>
      <c r="AI11" s="565">
        <v>9.2606318190000003</v>
      </c>
      <c r="AJ11" s="565">
        <v>13.557085798000001</v>
      </c>
      <c r="AK11" s="565">
        <v>17.302419342</v>
      </c>
      <c r="AL11" s="565">
        <v>21.423936208000001</v>
      </c>
      <c r="AM11" s="565">
        <v>25.687128249000001</v>
      </c>
      <c r="AN11" s="565">
        <v>30.000446562</v>
      </c>
      <c r="AO11" s="565">
        <v>34.460204871000002</v>
      </c>
      <c r="AP11" s="565">
        <v>38.821155293000004</v>
      </c>
      <c r="AQ11" s="565">
        <v>43.327762199000006</v>
      </c>
      <c r="AR11" s="565">
        <v>0</v>
      </c>
      <c r="AS11" s="565">
        <v>0</v>
      </c>
      <c r="AU11"/>
    </row>
    <row r="12" spans="1:47">
      <c r="B12" s="760"/>
      <c r="C12" s="566" t="s">
        <v>130</v>
      </c>
      <c r="D12" s="570"/>
      <c r="E12" s="570"/>
      <c r="F12" s="570"/>
      <c r="G12" s="570"/>
      <c r="H12" s="570"/>
      <c r="I12" s="570"/>
      <c r="J12" s="570"/>
      <c r="K12" s="570"/>
      <c r="L12" s="570"/>
      <c r="M12" s="570"/>
      <c r="N12" s="570"/>
      <c r="O12" s="570"/>
      <c r="Q12" s="760"/>
      <c r="R12" s="566" t="s">
        <v>130</v>
      </c>
      <c r="S12" s="570">
        <v>3590.4370370000001</v>
      </c>
      <c r="T12" s="570">
        <v>2787.8466570000001</v>
      </c>
      <c r="U12" s="570">
        <v>3850.805484</v>
      </c>
      <c r="V12" s="570">
        <v>3929.375661</v>
      </c>
      <c r="W12" s="570">
        <v>4350.1470939999999</v>
      </c>
      <c r="X12" s="570">
        <v>4541.8531750000002</v>
      </c>
      <c r="Y12" s="570">
        <v>4551.091711</v>
      </c>
      <c r="Z12" s="570">
        <v>4715.1306699999996</v>
      </c>
      <c r="AA12" s="570">
        <v>4593.0558289999999</v>
      </c>
      <c r="AB12" s="570">
        <v>4708.9169160000001</v>
      </c>
      <c r="AC12" s="570"/>
      <c r="AD12" s="570"/>
      <c r="AF12" s="760"/>
      <c r="AG12" s="566" t="s">
        <v>130</v>
      </c>
      <c r="AH12" s="570">
        <v>3590.4370370000001</v>
      </c>
      <c r="AI12" s="570">
        <v>6378.2836939999997</v>
      </c>
      <c r="AJ12" s="570">
        <v>10229.089178</v>
      </c>
      <c r="AK12" s="570">
        <v>14158.464839</v>
      </c>
      <c r="AL12" s="570">
        <v>18508.611933</v>
      </c>
      <c r="AM12" s="570">
        <v>23050.465108</v>
      </c>
      <c r="AN12" s="570">
        <v>27601.556819000001</v>
      </c>
      <c r="AO12" s="570">
        <v>32316.687489</v>
      </c>
      <c r="AP12" s="570">
        <v>36909.743318000001</v>
      </c>
      <c r="AQ12" s="570">
        <v>41618.660234000003</v>
      </c>
      <c r="AR12" s="570">
        <v>0</v>
      </c>
      <c r="AS12" s="570">
        <v>0</v>
      </c>
      <c r="AU12"/>
    </row>
    <row r="13" spans="1:47">
      <c r="B13" s="761"/>
      <c r="C13" s="589" t="s">
        <v>131</v>
      </c>
      <c r="D13" s="590"/>
      <c r="E13" s="590"/>
      <c r="F13" s="590"/>
      <c r="G13" s="590"/>
      <c r="H13" s="590"/>
      <c r="I13" s="590"/>
      <c r="J13" s="590"/>
      <c r="K13" s="590"/>
      <c r="L13" s="590"/>
      <c r="M13" s="590"/>
      <c r="N13" s="590"/>
      <c r="O13" s="590"/>
      <c r="Q13" s="761"/>
      <c r="R13" s="589" t="s">
        <v>131</v>
      </c>
      <c r="S13" s="590">
        <v>711.30382093616606</v>
      </c>
      <c r="T13" s="590">
        <v>661.73304044300971</v>
      </c>
      <c r="U13" s="590">
        <v>896.27527789702401</v>
      </c>
      <c r="V13" s="590">
        <v>1049.1390459188433</v>
      </c>
      <c r="W13" s="590">
        <v>1055.472350455741</v>
      </c>
      <c r="X13" s="590">
        <v>1065.3644338139259</v>
      </c>
      <c r="Y13" s="590">
        <v>1055.1254001549967</v>
      </c>
      <c r="Z13" s="590">
        <v>1057.261479951648</v>
      </c>
      <c r="AA13" s="590">
        <v>1053.2235830586565</v>
      </c>
      <c r="AB13" s="590">
        <v>1044.891869697055</v>
      </c>
      <c r="AC13" s="590">
        <v>0</v>
      </c>
      <c r="AD13" s="590">
        <v>0</v>
      </c>
      <c r="AF13" s="761"/>
      <c r="AG13" s="589" t="s">
        <v>131</v>
      </c>
      <c r="AH13" s="590">
        <v>711.30382093616606</v>
      </c>
      <c r="AI13" s="590">
        <v>688.75254071905772</v>
      </c>
      <c r="AJ13" s="590">
        <v>754.51976408595419</v>
      </c>
      <c r="AK13" s="590">
        <v>818.29393676938889</v>
      </c>
      <c r="AL13" s="590">
        <v>863.92209878260485</v>
      </c>
      <c r="AM13" s="590">
        <v>897.35469393692756</v>
      </c>
      <c r="AN13" s="590">
        <v>920.03819883006179</v>
      </c>
      <c r="AO13" s="590">
        <v>937.79731171001015</v>
      </c>
      <c r="AP13" s="590">
        <v>950.76365037120217</v>
      </c>
      <c r="AQ13" s="590">
        <v>960.55411407701433</v>
      </c>
      <c r="AR13" s="590">
        <v>0</v>
      </c>
      <c r="AS13" s="590">
        <v>0</v>
      </c>
      <c r="AU13"/>
    </row>
    <row r="14" spans="1:47">
      <c r="B14" s="759" t="s">
        <v>88</v>
      </c>
      <c r="C14" s="566" t="s">
        <v>129</v>
      </c>
      <c r="D14" s="565">
        <v>2.19</v>
      </c>
      <c r="E14" s="565">
        <v>4.28</v>
      </c>
      <c r="F14" s="565">
        <v>6.6</v>
      </c>
      <c r="G14" s="565">
        <v>8.84</v>
      </c>
      <c r="H14" s="565">
        <v>11.15</v>
      </c>
      <c r="I14" s="565">
        <v>13.31</v>
      </c>
      <c r="J14" s="565">
        <v>15.51</v>
      </c>
      <c r="K14" s="565">
        <v>17.760000000000002</v>
      </c>
      <c r="L14" s="565">
        <v>20.04</v>
      </c>
      <c r="M14" s="565">
        <v>22.41</v>
      </c>
      <c r="N14" s="565">
        <v>24.74</v>
      </c>
      <c r="O14" s="565">
        <v>27.1</v>
      </c>
      <c r="Q14" s="759" t="s">
        <v>88</v>
      </c>
      <c r="R14" s="566" t="s">
        <v>129</v>
      </c>
      <c r="S14" s="565">
        <v>3.349951645</v>
      </c>
      <c r="T14" s="565">
        <v>2.7952298939999998</v>
      </c>
      <c r="U14" s="565">
        <v>2.4283222979999999</v>
      </c>
      <c r="V14" s="565">
        <v>1.3904715360000002</v>
      </c>
      <c r="W14" s="565">
        <v>1.718491021</v>
      </c>
      <c r="X14" s="565">
        <v>1.95663857</v>
      </c>
      <c r="Y14" s="598">
        <v>2.0255425800000002</v>
      </c>
      <c r="Z14" s="598">
        <v>2.1538006009999999</v>
      </c>
      <c r="AA14" s="570">
        <v>2.2264042050000001</v>
      </c>
      <c r="AB14" s="598">
        <v>2.2760170619999998</v>
      </c>
      <c r="AC14" s="565"/>
      <c r="AD14" s="565"/>
      <c r="AF14" s="759" t="s">
        <v>88</v>
      </c>
      <c r="AG14" s="566" t="s">
        <v>129</v>
      </c>
      <c r="AH14" s="565">
        <v>3.349951645</v>
      </c>
      <c r="AI14" s="565">
        <v>6.1451815389999993</v>
      </c>
      <c r="AJ14" s="565">
        <v>8.5735038369999987</v>
      </c>
      <c r="AK14" s="565">
        <v>9.9639753729999985</v>
      </c>
      <c r="AL14" s="565">
        <v>11.682466393999999</v>
      </c>
      <c r="AM14" s="565">
        <v>13.639104963999998</v>
      </c>
      <c r="AN14" s="565">
        <v>15.664647543999997</v>
      </c>
      <c r="AO14" s="565">
        <v>17.818448144999998</v>
      </c>
      <c r="AP14" s="565">
        <v>20.044852349999999</v>
      </c>
      <c r="AQ14" s="565">
        <v>22.320869412</v>
      </c>
      <c r="AR14" s="565">
        <v>0</v>
      </c>
      <c r="AS14" s="565">
        <v>0</v>
      </c>
      <c r="AU14"/>
    </row>
    <row r="15" spans="1:47">
      <c r="B15" s="760"/>
      <c r="C15" s="566" t="s">
        <v>130</v>
      </c>
      <c r="D15" s="570"/>
      <c r="E15" s="570"/>
      <c r="F15" s="570"/>
      <c r="G15" s="570"/>
      <c r="H15" s="570"/>
      <c r="I15" s="570"/>
      <c r="J15" s="570"/>
      <c r="K15" s="570"/>
      <c r="L15" s="570"/>
      <c r="M15" s="570"/>
      <c r="N15" s="570"/>
      <c r="O15" s="570"/>
      <c r="Q15" s="760"/>
      <c r="R15" s="566" t="s">
        <v>130</v>
      </c>
      <c r="S15" s="570">
        <v>2094.2916749999999</v>
      </c>
      <c r="T15" s="570">
        <v>1685.6908599999999</v>
      </c>
      <c r="U15" s="570">
        <v>1628.1596320000001</v>
      </c>
      <c r="V15" s="570">
        <v>1396.817528</v>
      </c>
      <c r="W15" s="570">
        <v>1668.089514</v>
      </c>
      <c r="X15" s="565">
        <v>1935.3136050000001</v>
      </c>
      <c r="Y15" s="565">
        <v>1935.112259</v>
      </c>
      <c r="Z15" s="570">
        <v>2062.280217</v>
      </c>
      <c r="AA15" s="570">
        <v>2148.6192769999998</v>
      </c>
      <c r="AB15" s="570">
        <v>2175.3659440000001</v>
      </c>
      <c r="AC15" s="570"/>
      <c r="AD15" s="570"/>
      <c r="AF15" s="760"/>
      <c r="AG15" s="566" t="s">
        <v>130</v>
      </c>
      <c r="AH15" s="570">
        <v>2094.2916749999999</v>
      </c>
      <c r="AI15" s="570">
        <v>3779.9825350000001</v>
      </c>
      <c r="AJ15" s="570">
        <v>5408.142167</v>
      </c>
      <c r="AK15" s="570">
        <v>6804.9596949999996</v>
      </c>
      <c r="AL15" s="570">
        <v>8473.0492089999989</v>
      </c>
      <c r="AM15" s="570">
        <v>10408.362813999998</v>
      </c>
      <c r="AN15" s="570">
        <v>12343.475072999998</v>
      </c>
      <c r="AO15" s="570">
        <v>14405.755289999997</v>
      </c>
      <c r="AP15" s="570">
        <v>16554.374566999999</v>
      </c>
      <c r="AQ15" s="570">
        <v>18729.740511</v>
      </c>
      <c r="AR15" s="570">
        <v>0</v>
      </c>
      <c r="AS15" s="570">
        <v>0</v>
      </c>
      <c r="AU15"/>
    </row>
    <row r="16" spans="1:47">
      <c r="B16" s="761"/>
      <c r="C16" s="589" t="s">
        <v>131</v>
      </c>
      <c r="D16" s="590"/>
      <c r="E16" s="590"/>
      <c r="F16" s="590"/>
      <c r="G16" s="590"/>
      <c r="H16" s="590"/>
      <c r="I16" s="590"/>
      <c r="J16" s="590"/>
      <c r="K16" s="590"/>
      <c r="L16" s="590"/>
      <c r="M16" s="590"/>
      <c r="N16" s="590"/>
      <c r="O16" s="590"/>
      <c r="Q16" s="761"/>
      <c r="R16" s="589" t="s">
        <v>131</v>
      </c>
      <c r="S16" s="590">
        <v>625.17071794927358</v>
      </c>
      <c r="T16" s="590">
        <v>603.05982832337304</v>
      </c>
      <c r="U16" s="590">
        <v>670.48745273268503</v>
      </c>
      <c r="V16" s="590">
        <v>1004.5639136333963</v>
      </c>
      <c r="W16" s="590">
        <v>970.6710675912226</v>
      </c>
      <c r="X16" s="590">
        <v>989.10122424909582</v>
      </c>
      <c r="Y16" s="590">
        <v>955.35501356875932</v>
      </c>
      <c r="Z16" s="590">
        <v>957.50749444609335</v>
      </c>
      <c r="AA16" s="590">
        <v>965.06253095223542</v>
      </c>
      <c r="AB16" s="590">
        <v>955.77752044110127</v>
      </c>
      <c r="AC16" s="590">
        <v>0</v>
      </c>
      <c r="AD16" s="590">
        <v>0</v>
      </c>
      <c r="AF16" s="761"/>
      <c r="AG16" s="589" t="s">
        <v>131</v>
      </c>
      <c r="AH16" s="590">
        <v>625.17071794927358</v>
      </c>
      <c r="AI16" s="590">
        <v>615.11324132746677</v>
      </c>
      <c r="AJ16" s="590">
        <v>630.79719445164346</v>
      </c>
      <c r="AK16" s="590">
        <v>682.95629407513593</v>
      </c>
      <c r="AL16" s="590">
        <v>725.27914254062603</v>
      </c>
      <c r="AM16" s="590">
        <v>763.12652783834096</v>
      </c>
      <c r="AN16" s="590">
        <v>787.98294301411829</v>
      </c>
      <c r="AO16" s="590">
        <v>808.47418208203328</v>
      </c>
      <c r="AP16" s="590">
        <v>825.86662540320481</v>
      </c>
      <c r="AQ16" s="590">
        <v>839.11339497065637</v>
      </c>
      <c r="AR16" s="590">
        <v>0</v>
      </c>
      <c r="AS16" s="590">
        <v>0</v>
      </c>
      <c r="AU16"/>
    </row>
    <row r="17" spans="1:50">
      <c r="B17" s="759" t="s">
        <v>121</v>
      </c>
      <c r="C17" s="566" t="s">
        <v>129</v>
      </c>
      <c r="D17" s="565">
        <v>2.82</v>
      </c>
      <c r="E17" s="565">
        <v>5.5</v>
      </c>
      <c r="F17" s="565">
        <v>8.49</v>
      </c>
      <c r="G17" s="565">
        <v>11.37</v>
      </c>
      <c r="H17" s="565">
        <v>14.33</v>
      </c>
      <c r="I17" s="565">
        <v>17.11</v>
      </c>
      <c r="J17" s="565">
        <v>19.940000000000001</v>
      </c>
      <c r="K17" s="565">
        <v>22.83</v>
      </c>
      <c r="L17" s="565">
        <v>25.75</v>
      </c>
      <c r="M17" s="565">
        <v>28.8</v>
      </c>
      <c r="N17" s="565">
        <v>31.8</v>
      </c>
      <c r="O17" s="565">
        <v>34.83</v>
      </c>
      <c r="Q17" s="759" t="s">
        <v>121</v>
      </c>
      <c r="R17" s="566" t="s">
        <v>129</v>
      </c>
      <c r="S17" s="565">
        <v>3.2428241830000002</v>
      </c>
      <c r="T17" s="565">
        <v>2.5461385230000002</v>
      </c>
      <c r="U17" s="565">
        <v>2.7160147859999997</v>
      </c>
      <c r="V17" s="565">
        <v>2.4894413790000001</v>
      </c>
      <c r="W17" s="565">
        <v>2.7981959540000001</v>
      </c>
      <c r="X17" s="565">
        <v>2.8152356279999999</v>
      </c>
      <c r="Y17" s="565">
        <v>2.7164542730000001</v>
      </c>
      <c r="Z17" s="565">
        <v>2.618596234</v>
      </c>
      <c r="AA17" s="565">
        <v>2.7242466740000002</v>
      </c>
      <c r="AB17" s="598">
        <v>2.7727625499999999</v>
      </c>
      <c r="AC17" s="598"/>
      <c r="AD17" s="598"/>
      <c r="AF17" s="759" t="s">
        <v>121</v>
      </c>
      <c r="AG17" s="566" t="s">
        <v>129</v>
      </c>
      <c r="AH17" s="565">
        <v>3.2428241830000002</v>
      </c>
      <c r="AI17" s="565">
        <v>5.7889627060000004</v>
      </c>
      <c r="AJ17" s="565">
        <v>8.5049774920000001</v>
      </c>
      <c r="AK17" s="565">
        <v>10.994418871000001</v>
      </c>
      <c r="AL17" s="565">
        <v>13.792614825000001</v>
      </c>
      <c r="AM17" s="565">
        <v>16.607850453000001</v>
      </c>
      <c r="AN17" s="565">
        <v>19.324304726000001</v>
      </c>
      <c r="AO17" s="565">
        <v>21.942900960000003</v>
      </c>
      <c r="AP17" s="565">
        <v>24.667147634000003</v>
      </c>
      <c r="AQ17" s="565">
        <v>27.439910184000002</v>
      </c>
      <c r="AR17" s="565">
        <v>0</v>
      </c>
      <c r="AS17" s="565">
        <v>0</v>
      </c>
      <c r="AU17"/>
    </row>
    <row r="18" spans="1:50">
      <c r="B18" s="760"/>
      <c r="C18" s="566" t="s">
        <v>130</v>
      </c>
      <c r="D18" s="570"/>
      <c r="E18" s="570"/>
      <c r="F18" s="570"/>
      <c r="G18" s="570"/>
      <c r="H18" s="570"/>
      <c r="I18" s="570"/>
      <c r="J18" s="570"/>
      <c r="K18" s="570"/>
      <c r="L18" s="570"/>
      <c r="M18" s="570"/>
      <c r="N18" s="570"/>
      <c r="O18" s="570"/>
      <c r="Q18" s="760"/>
      <c r="R18" s="566" t="s">
        <v>130</v>
      </c>
      <c r="S18" s="570">
        <v>1776.4605389999999</v>
      </c>
      <c r="T18" s="570">
        <v>1336.4275379999999</v>
      </c>
      <c r="U18" s="570">
        <v>1865.9663419999999</v>
      </c>
      <c r="V18" s="570">
        <v>2166.671257</v>
      </c>
      <c r="W18" s="570">
        <v>2408.7866589999999</v>
      </c>
      <c r="X18" s="570">
        <v>2391.1408160000001</v>
      </c>
      <c r="Y18" s="570">
        <v>2329.840541</v>
      </c>
      <c r="Z18" s="570">
        <v>2143.2015609999999</v>
      </c>
      <c r="AA18" s="570">
        <v>2273.9831089999998</v>
      </c>
      <c r="AB18" s="570">
        <v>2295.688267</v>
      </c>
      <c r="AC18" s="570"/>
      <c r="AD18" s="570"/>
      <c r="AF18" s="760"/>
      <c r="AG18" s="566" t="s">
        <v>130</v>
      </c>
      <c r="AH18" s="570">
        <v>1776.4605389999999</v>
      </c>
      <c r="AI18" s="570">
        <v>3112.8880769999996</v>
      </c>
      <c r="AJ18" s="570">
        <v>4978.8544189999993</v>
      </c>
      <c r="AK18" s="570">
        <v>7145.5256759999993</v>
      </c>
      <c r="AL18" s="570">
        <v>9554.3123349999987</v>
      </c>
      <c r="AM18" s="570">
        <v>11945.453150999998</v>
      </c>
      <c r="AN18" s="570">
        <v>14275.293691999997</v>
      </c>
      <c r="AO18" s="570">
        <v>16418.495252999997</v>
      </c>
      <c r="AP18" s="570">
        <v>18692.478361999998</v>
      </c>
      <c r="AQ18" s="570">
        <v>20988.166628999999</v>
      </c>
      <c r="AR18" s="570">
        <v>0</v>
      </c>
      <c r="AS18" s="570">
        <v>0</v>
      </c>
      <c r="AU18"/>
    </row>
    <row r="19" spans="1:50">
      <c r="B19" s="761"/>
      <c r="C19" s="589" t="s">
        <v>131</v>
      </c>
      <c r="D19" s="590"/>
      <c r="E19" s="590"/>
      <c r="F19" s="590"/>
      <c r="G19" s="590"/>
      <c r="H19" s="590"/>
      <c r="I19" s="590"/>
      <c r="J19" s="590"/>
      <c r="K19" s="590"/>
      <c r="L19" s="590"/>
      <c r="M19" s="590"/>
      <c r="N19" s="590"/>
      <c r="O19" s="590"/>
      <c r="Q19" s="761"/>
      <c r="R19" s="589" t="s">
        <v>131</v>
      </c>
      <c r="S19" s="590">
        <v>547.8127825470209</v>
      </c>
      <c r="T19" s="590">
        <v>524.88406499790415</v>
      </c>
      <c r="U19" s="590">
        <v>687.02363168946317</v>
      </c>
      <c r="V19" s="590">
        <v>870.34435728321682</v>
      </c>
      <c r="W19" s="590">
        <v>860.83558785676087</v>
      </c>
      <c r="X19" s="590">
        <v>849.35725884469377</v>
      </c>
      <c r="Y19" s="590">
        <v>857.6770697586486</v>
      </c>
      <c r="Z19" s="590">
        <v>818.45438146307208</v>
      </c>
      <c r="AA19" s="590">
        <v>834.71997257176406</v>
      </c>
      <c r="AB19" s="590">
        <v>827.94261160228098</v>
      </c>
      <c r="AC19" s="590">
        <v>0</v>
      </c>
      <c r="AD19" s="590">
        <v>0</v>
      </c>
      <c r="AF19" s="761"/>
      <c r="AG19" s="589" t="s">
        <v>131</v>
      </c>
      <c r="AH19" s="590">
        <v>547.8127825470209</v>
      </c>
      <c r="AI19" s="590">
        <v>537.72812766156369</v>
      </c>
      <c r="AJ19" s="590">
        <v>585.40477310883387</v>
      </c>
      <c r="AK19" s="590">
        <v>649.9229981902696</v>
      </c>
      <c r="AL19" s="590">
        <v>692.71218374649266</v>
      </c>
      <c r="AM19" s="590">
        <v>719.26545730920884</v>
      </c>
      <c r="AN19" s="590">
        <v>738.7222409504451</v>
      </c>
      <c r="AO19" s="590">
        <v>748.23722182082872</v>
      </c>
      <c r="AP19" s="590">
        <v>757.78840096757642</v>
      </c>
      <c r="AQ19" s="590">
        <v>764.87738072984052</v>
      </c>
      <c r="AR19" s="590">
        <v>0</v>
      </c>
      <c r="AS19" s="590">
        <v>0</v>
      </c>
      <c r="AU19"/>
    </row>
    <row r="20" spans="1:50">
      <c r="B20" s="759" t="s">
        <v>89</v>
      </c>
      <c r="C20" s="566" t="s">
        <v>129</v>
      </c>
      <c r="D20" s="565">
        <v>2.91</v>
      </c>
      <c r="E20" s="565">
        <v>5.68</v>
      </c>
      <c r="F20" s="565">
        <v>8.77</v>
      </c>
      <c r="G20" s="565">
        <v>11.75</v>
      </c>
      <c r="H20" s="565">
        <v>14.81</v>
      </c>
      <c r="I20" s="565">
        <v>17.68</v>
      </c>
      <c r="J20" s="565">
        <v>20.6</v>
      </c>
      <c r="K20" s="565">
        <v>23.59</v>
      </c>
      <c r="L20" s="565">
        <v>26.61</v>
      </c>
      <c r="M20" s="565">
        <v>29.76</v>
      </c>
      <c r="N20" s="565">
        <v>32.86</v>
      </c>
      <c r="O20" s="565">
        <v>35.99</v>
      </c>
      <c r="Q20" s="759" t="s">
        <v>89</v>
      </c>
      <c r="R20" s="566" t="s">
        <v>129</v>
      </c>
      <c r="S20" s="565">
        <v>3.8265327429999996</v>
      </c>
      <c r="T20" s="565">
        <v>3.0600966129999998</v>
      </c>
      <c r="U20" s="565">
        <v>2.9960407500000001</v>
      </c>
      <c r="V20" s="565">
        <v>2.5332330219999997</v>
      </c>
      <c r="W20" s="565">
        <v>2.7785355909999998</v>
      </c>
      <c r="X20" s="565">
        <v>2.887387661</v>
      </c>
      <c r="Y20" s="598">
        <v>3.0526140929999999</v>
      </c>
      <c r="Z20" s="570">
        <v>2.9289135060000002</v>
      </c>
      <c r="AA20" s="570">
        <v>2.8941227889999999</v>
      </c>
      <c r="AB20" s="598">
        <v>3.121190006</v>
      </c>
      <c r="AC20" s="598"/>
      <c r="AD20" s="570"/>
      <c r="AF20" s="759" t="s">
        <v>89</v>
      </c>
      <c r="AG20" s="566" t="s">
        <v>129</v>
      </c>
      <c r="AH20" s="565">
        <v>3.8265327429999996</v>
      </c>
      <c r="AI20" s="565">
        <v>6.8866293559999994</v>
      </c>
      <c r="AJ20" s="565">
        <v>9.8826701059999991</v>
      </c>
      <c r="AK20" s="565">
        <v>12.415903127999998</v>
      </c>
      <c r="AL20" s="565">
        <v>15.194438718999997</v>
      </c>
      <c r="AM20" s="565">
        <v>18.081826379999995</v>
      </c>
      <c r="AN20" s="565">
        <v>21.134440472999994</v>
      </c>
      <c r="AO20" s="565">
        <v>24.063353978999995</v>
      </c>
      <c r="AP20" s="565">
        <v>26.957476767999996</v>
      </c>
      <c r="AQ20" s="565">
        <v>30.078666773999995</v>
      </c>
      <c r="AR20" s="565">
        <v>0</v>
      </c>
      <c r="AS20" s="565">
        <v>0</v>
      </c>
      <c r="AU20"/>
    </row>
    <row r="21" spans="1:50">
      <c r="B21" s="760"/>
      <c r="C21" s="566" t="s">
        <v>130</v>
      </c>
      <c r="D21" s="570"/>
      <c r="E21" s="570"/>
      <c r="F21" s="570"/>
      <c r="G21" s="570"/>
      <c r="H21" s="570"/>
      <c r="I21" s="570"/>
      <c r="J21" s="570"/>
      <c r="K21" s="570"/>
      <c r="L21" s="570"/>
      <c r="M21" s="570"/>
      <c r="N21" s="570"/>
      <c r="O21" s="570"/>
      <c r="Q21" s="760"/>
      <c r="R21" s="566" t="s">
        <v>130</v>
      </c>
      <c r="S21" s="570">
        <v>2338.0715989999999</v>
      </c>
      <c r="T21" s="570">
        <v>1779.942937</v>
      </c>
      <c r="U21" s="570">
        <v>2315.2552260000002</v>
      </c>
      <c r="V21" s="570">
        <v>2456.7947389999999</v>
      </c>
      <c r="W21" s="570">
        <v>2671.172928</v>
      </c>
      <c r="X21" s="570">
        <v>2741.3748380000002</v>
      </c>
      <c r="Y21" s="570">
        <v>3020.970362</v>
      </c>
      <c r="Z21" s="570">
        <v>2782.4470980000001</v>
      </c>
      <c r="AA21" s="570">
        <v>2752.9710709999999</v>
      </c>
      <c r="AB21" s="570">
        <v>2981.2819159999999</v>
      </c>
      <c r="AC21" s="570"/>
      <c r="AD21" s="570"/>
      <c r="AF21" s="760"/>
      <c r="AG21" s="566" t="s">
        <v>130</v>
      </c>
      <c r="AH21" s="570">
        <v>2338.0715989999999</v>
      </c>
      <c r="AI21" s="570">
        <v>4118.0145359999997</v>
      </c>
      <c r="AJ21" s="570">
        <v>6433.2697619999999</v>
      </c>
      <c r="AK21" s="570">
        <v>8890.0645010000007</v>
      </c>
      <c r="AL21" s="570">
        <v>11561.237429000001</v>
      </c>
      <c r="AM21" s="570">
        <v>14302.612267</v>
      </c>
      <c r="AN21" s="570">
        <v>17323.582629</v>
      </c>
      <c r="AO21" s="570">
        <v>20106.029727000001</v>
      </c>
      <c r="AP21" s="570">
        <v>22859.000798000001</v>
      </c>
      <c r="AQ21" s="570">
        <v>25840.282714000001</v>
      </c>
      <c r="AR21" s="570">
        <v>0</v>
      </c>
      <c r="AS21" s="570">
        <v>0</v>
      </c>
      <c r="AU21"/>
    </row>
    <row r="22" spans="1:50">
      <c r="B22" s="761"/>
      <c r="C22" s="589" t="s">
        <v>131</v>
      </c>
      <c r="D22" s="590"/>
      <c r="E22" s="590"/>
      <c r="F22" s="590"/>
      <c r="G22" s="590"/>
      <c r="H22" s="590"/>
      <c r="I22" s="590"/>
      <c r="J22" s="590"/>
      <c r="K22" s="590"/>
      <c r="L22" s="590"/>
      <c r="M22" s="590"/>
      <c r="N22" s="590"/>
      <c r="O22" s="590"/>
      <c r="Q22" s="761"/>
      <c r="R22" s="589" t="s">
        <v>131</v>
      </c>
      <c r="S22" s="590">
        <v>611.01570430231129</v>
      </c>
      <c r="T22" s="590">
        <v>581.66233361338652</v>
      </c>
      <c r="U22" s="590">
        <v>772.77160732877223</v>
      </c>
      <c r="V22" s="590">
        <v>969.82579875749002</v>
      </c>
      <c r="W22" s="590">
        <v>961.35998280973615</v>
      </c>
      <c r="X22" s="590">
        <v>949.43082116329663</v>
      </c>
      <c r="Y22" s="590">
        <v>989.6338908109733</v>
      </c>
      <c r="Z22" s="590">
        <v>949.99292136829661</v>
      </c>
      <c r="AA22" s="590">
        <v>951.22815157100786</v>
      </c>
      <c r="AB22" s="590">
        <v>955.1747603538879</v>
      </c>
      <c r="AC22" s="590">
        <v>0</v>
      </c>
      <c r="AD22" s="590">
        <v>0</v>
      </c>
      <c r="AF22" s="761"/>
      <c r="AG22" s="589" t="s">
        <v>131</v>
      </c>
      <c r="AH22" s="590">
        <v>611.01570430231129</v>
      </c>
      <c r="AI22" s="590">
        <v>597.9724366045873</v>
      </c>
      <c r="AJ22" s="590">
        <v>650.96473857750368</v>
      </c>
      <c r="AK22" s="590">
        <v>716.02237947164519</v>
      </c>
      <c r="AL22" s="590">
        <v>760.88611384790192</v>
      </c>
      <c r="AM22" s="590">
        <v>790.99378383700662</v>
      </c>
      <c r="AN22" s="590">
        <v>819.68494274222678</v>
      </c>
      <c r="AO22" s="590">
        <v>835.54560783781278</v>
      </c>
      <c r="AP22" s="590">
        <v>847.96514876848153</v>
      </c>
      <c r="AQ22" s="590">
        <v>859.09002909451908</v>
      </c>
      <c r="AR22" s="590">
        <v>0</v>
      </c>
      <c r="AS22" s="590">
        <v>0</v>
      </c>
      <c r="AU22"/>
    </row>
    <row r="23" spans="1:50">
      <c r="B23" s="759" t="s">
        <v>90</v>
      </c>
      <c r="C23" s="566" t="s">
        <v>129</v>
      </c>
      <c r="D23" s="565">
        <v>18.739999999999998</v>
      </c>
      <c r="E23" s="565">
        <v>36.549999999999997</v>
      </c>
      <c r="F23" s="565">
        <v>56.39</v>
      </c>
      <c r="G23" s="565">
        <v>75.55</v>
      </c>
      <c r="H23" s="565">
        <v>95.22</v>
      </c>
      <c r="I23" s="565">
        <v>113.73</v>
      </c>
      <c r="J23" s="565">
        <v>132.49</v>
      </c>
      <c r="K23" s="565">
        <v>151.71</v>
      </c>
      <c r="L23" s="565">
        <v>171.15</v>
      </c>
      <c r="M23" s="565">
        <v>191.42</v>
      </c>
      <c r="N23" s="565">
        <v>211.32</v>
      </c>
      <c r="O23" s="565">
        <v>231.47</v>
      </c>
      <c r="Q23" s="759" t="s">
        <v>90</v>
      </c>
      <c r="R23" s="566" t="s">
        <v>129</v>
      </c>
      <c r="S23" s="565">
        <v>22.980830736000001</v>
      </c>
      <c r="T23" s="565">
        <v>19.221995255</v>
      </c>
      <c r="U23" s="565">
        <v>18.723482262999998</v>
      </c>
      <c r="V23" s="565">
        <v>15.485810356</v>
      </c>
      <c r="W23" s="565">
        <v>17.494274600000001</v>
      </c>
      <c r="X23" s="565">
        <v>17.745174153000001</v>
      </c>
      <c r="Y23" s="565">
        <v>18.187754390999999</v>
      </c>
      <c r="Z23" s="565">
        <v>18.220655208</v>
      </c>
      <c r="AA23" s="565">
        <v>18.295829641999998</v>
      </c>
      <c r="AB23" s="565">
        <v>19.18109166</v>
      </c>
      <c r="AC23" s="565">
        <v>0</v>
      </c>
      <c r="AD23" s="565">
        <v>0</v>
      </c>
      <c r="AF23" s="759" t="s">
        <v>90</v>
      </c>
      <c r="AG23" s="566" t="s">
        <v>129</v>
      </c>
      <c r="AH23" s="565">
        <v>22.980830736000001</v>
      </c>
      <c r="AI23" s="565">
        <v>42.202825991000005</v>
      </c>
      <c r="AJ23" s="565">
        <v>60.926308253999998</v>
      </c>
      <c r="AK23" s="565">
        <v>76.412118610000007</v>
      </c>
      <c r="AL23" s="565">
        <v>93.906393210000005</v>
      </c>
      <c r="AM23" s="565">
        <v>111.651567363</v>
      </c>
      <c r="AN23" s="565">
        <v>129.839321754</v>
      </c>
      <c r="AO23" s="565">
        <v>148.05997696200001</v>
      </c>
      <c r="AP23" s="565">
        <v>166.35580660400001</v>
      </c>
      <c r="AQ23" s="565">
        <v>185.536898264</v>
      </c>
      <c r="AR23" s="565">
        <v>185.536898264</v>
      </c>
      <c r="AS23" s="565">
        <v>185.536898264</v>
      </c>
      <c r="AT23" s="585"/>
      <c r="AU23"/>
    </row>
    <row r="24" spans="1:50">
      <c r="B24" s="760"/>
      <c r="C24" s="566" t="s">
        <v>130</v>
      </c>
      <c r="D24" s="570"/>
      <c r="E24" s="570"/>
      <c r="F24" s="570"/>
      <c r="G24" s="570"/>
      <c r="H24" s="570"/>
      <c r="I24" s="570"/>
      <c r="J24" s="570"/>
      <c r="K24" s="570"/>
      <c r="L24" s="570"/>
      <c r="M24" s="570"/>
      <c r="N24" s="570"/>
      <c r="O24" s="570"/>
      <c r="Q24" s="760"/>
      <c r="R24" s="566" t="s">
        <v>130</v>
      </c>
      <c r="S24" s="570">
        <v>15557.929725000002</v>
      </c>
      <c r="T24" s="570">
        <v>12395.714997999999</v>
      </c>
      <c r="U24" s="570">
        <v>15345.983189000002</v>
      </c>
      <c r="V24" s="570">
        <v>15594.614858000001</v>
      </c>
      <c r="W24" s="570">
        <v>17564.735568999997</v>
      </c>
      <c r="X24" s="570">
        <v>17816.458549999999</v>
      </c>
      <c r="Y24" s="570">
        <v>18309.320220000001</v>
      </c>
      <c r="Z24" s="570">
        <v>18098.769238999997</v>
      </c>
      <c r="AA24" s="570">
        <v>18200.224716000001</v>
      </c>
      <c r="AB24" s="570">
        <v>19062.894196000001</v>
      </c>
      <c r="AC24" s="570">
        <v>0</v>
      </c>
      <c r="AD24" s="570">
        <v>0</v>
      </c>
      <c r="AF24" s="760"/>
      <c r="AG24" s="566" t="s">
        <v>130</v>
      </c>
      <c r="AH24" s="570">
        <v>15557.929725000002</v>
      </c>
      <c r="AI24" s="570">
        <v>27953.644722999998</v>
      </c>
      <c r="AJ24" s="570">
        <v>43299.627911999996</v>
      </c>
      <c r="AK24" s="570">
        <v>58894.242769999997</v>
      </c>
      <c r="AL24" s="570">
        <v>76458.978338999994</v>
      </c>
      <c r="AM24" s="570">
        <v>94275.43688899999</v>
      </c>
      <c r="AN24" s="570">
        <v>112584.75710899998</v>
      </c>
      <c r="AO24" s="570">
        <v>130683.526348</v>
      </c>
      <c r="AP24" s="570">
        <v>148883.75106399998</v>
      </c>
      <c r="AQ24" s="570">
        <v>167946.64525999999</v>
      </c>
      <c r="AR24" s="570">
        <v>0</v>
      </c>
      <c r="AS24" s="570">
        <v>0</v>
      </c>
      <c r="AU24"/>
    </row>
    <row r="25" spans="1:50">
      <c r="B25" s="761"/>
      <c r="C25" s="589" t="s">
        <v>131</v>
      </c>
      <c r="D25" s="590"/>
      <c r="E25" s="590"/>
      <c r="F25" s="590"/>
      <c r="G25" s="590"/>
      <c r="H25" s="590"/>
      <c r="I25" s="590"/>
      <c r="J25" s="590"/>
      <c r="K25" s="590"/>
      <c r="L25" s="590"/>
      <c r="M25" s="590"/>
      <c r="N25" s="590"/>
      <c r="O25" s="590"/>
      <c r="Q25" s="761"/>
      <c r="R25" s="589" t="s">
        <v>131</v>
      </c>
      <c r="S25" s="590">
        <v>676.99596693117564</v>
      </c>
      <c r="T25" s="590">
        <v>644.87140037013808</v>
      </c>
      <c r="U25" s="590">
        <v>819.61159646705426</v>
      </c>
      <c r="V25" s="590">
        <v>1007.0260773894757</v>
      </c>
      <c r="W25" s="590">
        <v>1004.0276587975815</v>
      </c>
      <c r="X25" s="590">
        <v>1004.0171145340913</v>
      </c>
      <c r="Y25" s="590">
        <v>1006.6839383459103</v>
      </c>
      <c r="Z25" s="590">
        <v>993.31056059133994</v>
      </c>
      <c r="AA25" s="590">
        <v>994.77449627206158</v>
      </c>
      <c r="AB25" s="590">
        <v>993.83781350430195</v>
      </c>
      <c r="AC25" s="590">
        <v>0</v>
      </c>
      <c r="AD25" s="590">
        <v>0</v>
      </c>
      <c r="AF25" s="761"/>
      <c r="AG25" s="589" t="s">
        <v>131</v>
      </c>
      <c r="AH25" s="590">
        <v>676.99596693117564</v>
      </c>
      <c r="AI25" s="590">
        <v>662.36428643336046</v>
      </c>
      <c r="AJ25" s="590">
        <v>710.68852114730328</v>
      </c>
      <c r="AK25" s="590">
        <v>770.74479600010125</v>
      </c>
      <c r="AL25" s="590">
        <v>814.20418488459154</v>
      </c>
      <c r="AM25" s="590">
        <v>844.37181775060105</v>
      </c>
      <c r="AN25" s="590">
        <v>867.1083273394529</v>
      </c>
      <c r="AO25" s="590">
        <v>882.63911037579237</v>
      </c>
      <c r="AP25" s="590">
        <v>894.97177227127872</v>
      </c>
      <c r="AQ25" s="590">
        <v>905.19269660867735</v>
      </c>
      <c r="AR25" s="590">
        <v>0</v>
      </c>
      <c r="AS25" s="590">
        <v>0</v>
      </c>
      <c r="AU25"/>
    </row>
    <row r="26" spans="1:50">
      <c r="D26"/>
      <c r="E26" s="573"/>
      <c r="F26"/>
      <c r="G26"/>
      <c r="H26"/>
      <c r="I26"/>
      <c r="J26"/>
      <c r="K26"/>
      <c r="L26"/>
      <c r="M26"/>
      <c r="N26"/>
      <c r="O26"/>
      <c r="S26" s="584"/>
      <c r="T26"/>
      <c r="U26"/>
      <c r="V26"/>
      <c r="W26"/>
      <c r="X26"/>
      <c r="Y26"/>
      <c r="Z26"/>
      <c r="AA26"/>
      <c r="AB26"/>
      <c r="AC26"/>
      <c r="AD26"/>
      <c r="AH26" s="568"/>
      <c r="AI26"/>
      <c r="AJ26"/>
      <c r="AK26"/>
      <c r="AL26"/>
      <c r="AM26"/>
      <c r="AN26"/>
      <c r="AO26"/>
      <c r="AP26"/>
      <c r="AQ26"/>
      <c r="AR26"/>
      <c r="AS26"/>
      <c r="AU26"/>
    </row>
    <row r="27" spans="1:50">
      <c r="A27" s="105">
        <v>2</v>
      </c>
      <c r="B27" s="21" t="s">
        <v>67</v>
      </c>
      <c r="D27"/>
      <c r="E27"/>
      <c r="F27"/>
      <c r="G27"/>
      <c r="H27"/>
      <c r="I27"/>
      <c r="J27"/>
      <c r="K27"/>
      <c r="L27"/>
      <c r="M27"/>
      <c r="N27"/>
      <c r="O27"/>
      <c r="Q27" t="s">
        <v>67</v>
      </c>
      <c r="S27"/>
      <c r="T27"/>
      <c r="U27"/>
      <c r="V27"/>
      <c r="W27"/>
      <c r="X27"/>
      <c r="Y27"/>
      <c r="Z27"/>
      <c r="AA27"/>
      <c r="AB27"/>
      <c r="AC27"/>
      <c r="AD27"/>
      <c r="AF27" t="s">
        <v>67</v>
      </c>
      <c r="AH27"/>
      <c r="AI27"/>
      <c r="AJ27"/>
      <c r="AK27"/>
      <c r="AL27"/>
      <c r="AM27"/>
      <c r="AN27"/>
      <c r="AO27"/>
      <c r="AP27"/>
      <c r="AQ27"/>
      <c r="AR27"/>
      <c r="AS27"/>
      <c r="AU27"/>
    </row>
    <row r="28" spans="1:50">
      <c r="A28" s="105"/>
      <c r="B28" s="21" t="s">
        <v>100</v>
      </c>
      <c r="D28"/>
      <c r="E28"/>
      <c r="F28"/>
      <c r="G28"/>
      <c r="H28"/>
      <c r="I28"/>
      <c r="J28"/>
      <c r="K28"/>
      <c r="L28"/>
      <c r="M28"/>
      <c r="N28"/>
      <c r="O28"/>
      <c r="Q28" t="s">
        <v>126</v>
      </c>
      <c r="S28"/>
      <c r="T28" s="577"/>
      <c r="U28" s="577"/>
      <c r="V28" s="577"/>
      <c r="W28" s="577"/>
      <c r="X28" s="577"/>
      <c r="Y28" s="577"/>
      <c r="Z28" s="577"/>
      <c r="AA28" s="577"/>
      <c r="AB28" s="577"/>
      <c r="AC28" s="577"/>
      <c r="AD28" s="577"/>
      <c r="AF28" t="s">
        <v>127</v>
      </c>
      <c r="AH28"/>
      <c r="AI28"/>
      <c r="AJ28"/>
      <c r="AK28"/>
      <c r="AL28"/>
      <c r="AM28"/>
      <c r="AN28"/>
      <c r="AO28"/>
      <c r="AP28"/>
      <c r="AQ28"/>
      <c r="AR28"/>
      <c r="AS28"/>
      <c r="AU28"/>
    </row>
    <row r="29" spans="1:50">
      <c r="A29" s="105"/>
      <c r="B29" s="755" t="s">
        <v>72</v>
      </c>
      <c r="C29" s="756"/>
      <c r="D29" s="552" t="s">
        <v>74</v>
      </c>
      <c r="E29" s="552" t="s">
        <v>75</v>
      </c>
      <c r="F29" s="552" t="s">
        <v>76</v>
      </c>
      <c r="G29" s="552" t="s">
        <v>77</v>
      </c>
      <c r="H29" s="552" t="s">
        <v>78</v>
      </c>
      <c r="I29" s="552" t="s">
        <v>79</v>
      </c>
      <c r="J29" s="552" t="s">
        <v>80</v>
      </c>
      <c r="K29" s="552" t="s">
        <v>81</v>
      </c>
      <c r="L29" s="552" t="s">
        <v>82</v>
      </c>
      <c r="M29" s="552" t="s">
        <v>83</v>
      </c>
      <c r="N29" s="552" t="s">
        <v>84</v>
      </c>
      <c r="O29" s="552" t="s">
        <v>85</v>
      </c>
      <c r="Q29" s="755" t="s">
        <v>72</v>
      </c>
      <c r="R29" s="756"/>
      <c r="S29" s="552" t="s">
        <v>74</v>
      </c>
      <c r="T29" s="552" t="s">
        <v>75</v>
      </c>
      <c r="U29" s="552" t="s">
        <v>76</v>
      </c>
      <c r="V29" s="552" t="s">
        <v>77</v>
      </c>
      <c r="W29" s="552" t="s">
        <v>78</v>
      </c>
      <c r="X29" s="552" t="s">
        <v>79</v>
      </c>
      <c r="Y29" s="552" t="s">
        <v>80</v>
      </c>
      <c r="Z29" s="552" t="s">
        <v>81</v>
      </c>
      <c r="AA29" s="552" t="s">
        <v>82</v>
      </c>
      <c r="AB29" s="552" t="s">
        <v>83</v>
      </c>
      <c r="AC29" s="552" t="s">
        <v>84</v>
      </c>
      <c r="AD29" s="552" t="s">
        <v>85</v>
      </c>
      <c r="AF29" s="755" t="s">
        <v>72</v>
      </c>
      <c r="AG29" s="756"/>
      <c r="AH29" s="552" t="s">
        <v>74</v>
      </c>
      <c r="AI29" s="552" t="s">
        <v>75</v>
      </c>
      <c r="AJ29" s="552" t="s">
        <v>76</v>
      </c>
      <c r="AK29" s="552" t="s">
        <v>77</v>
      </c>
      <c r="AL29" s="552" t="s">
        <v>78</v>
      </c>
      <c r="AM29" s="552" t="s">
        <v>79</v>
      </c>
      <c r="AN29" s="552" t="s">
        <v>80</v>
      </c>
      <c r="AO29" s="552" t="s">
        <v>81</v>
      </c>
      <c r="AP29" s="552" t="s">
        <v>82</v>
      </c>
      <c r="AQ29" s="552" t="s">
        <v>83</v>
      </c>
      <c r="AR29" s="552" t="s">
        <v>84</v>
      </c>
      <c r="AS29" s="552" t="s">
        <v>85</v>
      </c>
      <c r="AU29"/>
    </row>
    <row r="30" spans="1:50">
      <c r="A30" s="105"/>
      <c r="B30" s="762" t="s">
        <v>128</v>
      </c>
      <c r="C30" s="402" t="s">
        <v>132</v>
      </c>
      <c r="D30" s="571"/>
      <c r="E30" s="571"/>
      <c r="F30" s="571"/>
      <c r="G30" s="571"/>
      <c r="H30" s="571"/>
      <c r="I30" s="571"/>
      <c r="J30" s="571"/>
      <c r="K30" s="571"/>
      <c r="L30" s="571"/>
      <c r="M30" s="571"/>
      <c r="N30" s="571"/>
      <c r="O30" s="571"/>
      <c r="Q30" s="762" t="s">
        <v>128</v>
      </c>
      <c r="R30" s="402" t="s">
        <v>132</v>
      </c>
      <c r="S30" s="571">
        <v>601323</v>
      </c>
      <c r="T30" s="571">
        <v>124702.2</v>
      </c>
      <c r="U30" s="571">
        <v>87940.200000000012</v>
      </c>
      <c r="V30" s="571">
        <v>1229737.2</v>
      </c>
      <c r="W30" s="571">
        <v>4141732.1999999997</v>
      </c>
      <c r="X30" s="571">
        <v>3751348.8000000003</v>
      </c>
      <c r="Y30" s="571">
        <v>639718.79999999993</v>
      </c>
      <c r="Z30" s="571">
        <v>279409.19999999995</v>
      </c>
      <c r="AA30" s="571">
        <v>739663.2</v>
      </c>
      <c r="AB30" s="571">
        <v>4153693.8</v>
      </c>
      <c r="AC30" s="583"/>
      <c r="AD30" s="571"/>
      <c r="AF30" s="762" t="s">
        <v>128</v>
      </c>
      <c r="AG30" s="580" t="s">
        <v>132</v>
      </c>
      <c r="AH30" s="571">
        <v>601323</v>
      </c>
      <c r="AI30" s="571">
        <v>726025.2</v>
      </c>
      <c r="AJ30" s="571">
        <v>813965.39999999991</v>
      </c>
      <c r="AK30" s="571">
        <v>2043702.5999999999</v>
      </c>
      <c r="AL30" s="571">
        <v>6185434.7999999998</v>
      </c>
      <c r="AM30" s="571">
        <v>9936783.5999999996</v>
      </c>
      <c r="AN30" s="571">
        <v>10576502.4</v>
      </c>
      <c r="AO30" s="571">
        <v>10855911.6</v>
      </c>
      <c r="AP30" s="571">
        <v>11595574.799999999</v>
      </c>
      <c r="AQ30" s="571">
        <v>15749268.599999998</v>
      </c>
      <c r="AR30" s="571">
        <v>0</v>
      </c>
      <c r="AS30" s="571">
        <v>0</v>
      </c>
      <c r="AU30"/>
    </row>
    <row r="31" spans="1:50">
      <c r="A31" s="105"/>
      <c r="B31" s="762"/>
      <c r="C31" s="569" t="s">
        <v>133</v>
      </c>
      <c r="D31" s="571"/>
      <c r="E31" s="571"/>
      <c r="F31" s="571"/>
      <c r="G31" s="571"/>
      <c r="H31" s="571"/>
      <c r="I31" s="571"/>
      <c r="J31" s="571"/>
      <c r="K31" s="571"/>
      <c r="L31" s="571"/>
      <c r="M31" s="571"/>
      <c r="N31" s="571"/>
      <c r="O31" s="571"/>
      <c r="Q31" s="762"/>
      <c r="R31" s="569" t="s">
        <v>133</v>
      </c>
      <c r="S31" s="571">
        <v>46737</v>
      </c>
      <c r="T31" s="583">
        <v>46863</v>
      </c>
      <c r="U31" s="571">
        <v>46970</v>
      </c>
      <c r="V31" s="571">
        <v>47063</v>
      </c>
      <c r="W31" s="571">
        <v>47155</v>
      </c>
      <c r="X31" s="571">
        <v>47250</v>
      </c>
      <c r="Y31" s="571">
        <v>47346</v>
      </c>
      <c r="Z31" s="571">
        <v>47446</v>
      </c>
      <c r="AA31" s="571">
        <v>47552</v>
      </c>
      <c r="AB31" s="571">
        <v>47718</v>
      </c>
      <c r="AC31" s="571"/>
      <c r="AD31" s="571"/>
      <c r="AF31" s="762"/>
      <c r="AG31" s="580" t="s">
        <v>133</v>
      </c>
      <c r="AH31" s="571">
        <v>46737</v>
      </c>
      <c r="AI31" s="571">
        <v>46863</v>
      </c>
      <c r="AJ31" s="571">
        <v>46970</v>
      </c>
      <c r="AK31" s="571">
        <v>47063</v>
      </c>
      <c r="AL31" s="571">
        <v>47155</v>
      </c>
      <c r="AM31" s="571">
        <v>47250</v>
      </c>
      <c r="AN31" s="571">
        <v>47346</v>
      </c>
      <c r="AO31" s="571">
        <v>47446</v>
      </c>
      <c r="AP31" s="571">
        <v>47552</v>
      </c>
      <c r="AQ31" s="571">
        <v>47718</v>
      </c>
      <c r="AR31" s="571">
        <v>0</v>
      </c>
      <c r="AS31" s="571">
        <v>0</v>
      </c>
      <c r="AU31"/>
      <c r="AX31" s="575"/>
    </row>
    <row r="32" spans="1:50">
      <c r="A32" s="105"/>
      <c r="B32" s="762"/>
      <c r="C32" s="591" t="s">
        <v>134</v>
      </c>
      <c r="D32" s="592">
        <v>32.44</v>
      </c>
      <c r="E32" s="592">
        <v>64.87</v>
      </c>
      <c r="F32" s="592">
        <v>97.31</v>
      </c>
      <c r="G32" s="592">
        <v>129.75</v>
      </c>
      <c r="H32" s="592">
        <v>162.18</v>
      </c>
      <c r="I32" s="592">
        <v>194.62</v>
      </c>
      <c r="J32" s="592">
        <v>227.06</v>
      </c>
      <c r="K32" s="592">
        <v>259.49</v>
      </c>
      <c r="L32" s="592">
        <v>291.93</v>
      </c>
      <c r="M32" s="592">
        <v>324.37</v>
      </c>
      <c r="N32" s="592">
        <v>356.8</v>
      </c>
      <c r="O32" s="592">
        <v>389.24</v>
      </c>
      <c r="Q32" s="762"/>
      <c r="R32" s="591" t="s">
        <v>134</v>
      </c>
      <c r="S32" s="603">
        <v>12.866101803710123</v>
      </c>
      <c r="T32" s="603">
        <v>2.6609948146725562</v>
      </c>
      <c r="U32" s="592">
        <v>1.8722631466893764</v>
      </c>
      <c r="V32" s="592">
        <v>26.129596498310775</v>
      </c>
      <c r="W32" s="592">
        <v>87.832301982822599</v>
      </c>
      <c r="X32" s="592">
        <v>79.393625396825399</v>
      </c>
      <c r="Y32" s="592">
        <v>13.511570143201114</v>
      </c>
      <c r="Z32" s="592">
        <v>5.8889938034818519</v>
      </c>
      <c r="AA32" s="592">
        <v>15.554828398384926</v>
      </c>
      <c r="AB32" s="602">
        <v>87.046686784861052</v>
      </c>
      <c r="AC32" s="592">
        <v>0</v>
      </c>
      <c r="AD32" s="592">
        <v>0</v>
      </c>
      <c r="AF32" s="762"/>
      <c r="AG32" s="593" t="s">
        <v>134</v>
      </c>
      <c r="AH32" s="592">
        <v>12.866101803710123</v>
      </c>
      <c r="AI32" s="592">
        <v>15.49250368094232</v>
      </c>
      <c r="AJ32" s="592">
        <v>17.329474132424949</v>
      </c>
      <c r="AK32" s="592">
        <v>43.424826296666168</v>
      </c>
      <c r="AL32" s="592">
        <v>131.17240589545116</v>
      </c>
      <c r="AM32" s="592">
        <v>210.30229841269841</v>
      </c>
      <c r="AN32" s="592">
        <v>223.38745406158915</v>
      </c>
      <c r="AO32" s="592">
        <v>228.80562323483539</v>
      </c>
      <c r="AP32" s="592">
        <v>243.85041218034991</v>
      </c>
      <c r="AQ32" s="592">
        <v>330.04879919527218</v>
      </c>
      <c r="AR32" s="592">
        <v>0</v>
      </c>
      <c r="AS32" s="592">
        <v>0</v>
      </c>
      <c r="AU32"/>
    </row>
    <row r="33" spans="1:51">
      <c r="A33" s="105"/>
      <c r="B33" s="762" t="s">
        <v>87</v>
      </c>
      <c r="C33" s="402" t="s">
        <v>132</v>
      </c>
      <c r="D33" s="571"/>
      <c r="E33" s="571"/>
      <c r="F33" s="571"/>
      <c r="G33" s="571"/>
      <c r="H33" s="571"/>
      <c r="I33" s="571"/>
      <c r="J33" s="571"/>
      <c r="K33" s="571"/>
      <c r="L33" s="571"/>
      <c r="M33" s="571"/>
      <c r="N33" s="571"/>
      <c r="O33" s="571"/>
      <c r="Q33" s="762" t="s">
        <v>87</v>
      </c>
      <c r="R33" s="402" t="s">
        <v>132</v>
      </c>
      <c r="S33" s="571">
        <v>944224.8</v>
      </c>
      <c r="T33" s="571">
        <v>146822.39999999999</v>
      </c>
      <c r="U33" s="571">
        <v>29361.600000000002</v>
      </c>
      <c r="V33" s="571">
        <v>461679</v>
      </c>
      <c r="W33" s="571">
        <v>1637719.2</v>
      </c>
      <c r="X33" s="571">
        <v>1542110.4</v>
      </c>
      <c r="Y33" s="571">
        <v>905589.6</v>
      </c>
      <c r="Z33" s="571">
        <v>11126.4</v>
      </c>
      <c r="AA33" s="571">
        <v>469104</v>
      </c>
      <c r="AB33" s="571">
        <v>778915.2</v>
      </c>
      <c r="AC33" s="583"/>
      <c r="AD33" s="571"/>
      <c r="AF33" s="762" t="s">
        <v>87</v>
      </c>
      <c r="AG33" s="580" t="s">
        <v>132</v>
      </c>
      <c r="AH33" s="571">
        <v>944224.8</v>
      </c>
      <c r="AI33" s="571">
        <v>1091047.2</v>
      </c>
      <c r="AJ33" s="571">
        <v>1120408.8</v>
      </c>
      <c r="AK33" s="571">
        <v>1582087.8</v>
      </c>
      <c r="AL33" s="571">
        <v>3219807</v>
      </c>
      <c r="AM33" s="571">
        <v>4761917.4000000004</v>
      </c>
      <c r="AN33" s="571">
        <v>5667507</v>
      </c>
      <c r="AO33" s="571">
        <v>5678633.4000000004</v>
      </c>
      <c r="AP33" s="571">
        <v>6147737.4000000004</v>
      </c>
      <c r="AQ33" s="571">
        <v>6926652.6000000006</v>
      </c>
      <c r="AR33" s="571">
        <v>0</v>
      </c>
      <c r="AS33" s="571">
        <v>0</v>
      </c>
      <c r="AU33"/>
    </row>
    <row r="34" spans="1:51">
      <c r="A34" s="105"/>
      <c r="B34" s="762"/>
      <c r="C34" s="569" t="s">
        <v>133</v>
      </c>
      <c r="D34" s="571"/>
      <c r="E34" s="571"/>
      <c r="F34" s="571"/>
      <c r="G34" s="571"/>
      <c r="H34" s="571"/>
      <c r="I34" s="571"/>
      <c r="J34" s="571"/>
      <c r="K34" s="571"/>
      <c r="L34" s="571"/>
      <c r="M34" s="571"/>
      <c r="N34" s="571"/>
      <c r="O34" s="571"/>
      <c r="Q34" s="762"/>
      <c r="R34" s="569" t="s">
        <v>133</v>
      </c>
      <c r="S34" s="571">
        <v>35785</v>
      </c>
      <c r="T34" s="571">
        <v>35893</v>
      </c>
      <c r="U34" s="571">
        <v>35986</v>
      </c>
      <c r="V34" s="571">
        <v>36089</v>
      </c>
      <c r="W34" s="571">
        <v>36170</v>
      </c>
      <c r="X34" s="571">
        <v>36277</v>
      </c>
      <c r="Y34" s="571">
        <v>36362</v>
      </c>
      <c r="Z34" s="571">
        <v>36498</v>
      </c>
      <c r="AA34" s="571">
        <v>36621</v>
      </c>
      <c r="AB34" s="571">
        <v>36783</v>
      </c>
      <c r="AC34" s="571"/>
      <c r="AD34" s="571"/>
      <c r="AF34" s="762"/>
      <c r="AG34" s="580" t="s">
        <v>133</v>
      </c>
      <c r="AH34" s="571">
        <v>35785</v>
      </c>
      <c r="AI34" s="571">
        <v>35893</v>
      </c>
      <c r="AJ34" s="571">
        <v>35986</v>
      </c>
      <c r="AK34" s="571">
        <v>36089</v>
      </c>
      <c r="AL34" s="571">
        <v>36170</v>
      </c>
      <c r="AM34" s="571">
        <v>36277</v>
      </c>
      <c r="AN34" s="571">
        <v>36362</v>
      </c>
      <c r="AO34" s="571">
        <v>36498</v>
      </c>
      <c r="AP34" s="571">
        <v>36621</v>
      </c>
      <c r="AQ34" s="571">
        <v>36783</v>
      </c>
      <c r="AR34" s="571">
        <v>0</v>
      </c>
      <c r="AS34" s="571">
        <v>0</v>
      </c>
      <c r="AU34"/>
      <c r="AX34" s="575"/>
    </row>
    <row r="35" spans="1:51">
      <c r="A35" s="105"/>
      <c r="B35" s="762"/>
      <c r="C35" s="591" t="s">
        <v>134</v>
      </c>
      <c r="D35" s="592">
        <v>25.22</v>
      </c>
      <c r="E35" s="592">
        <v>50.45</v>
      </c>
      <c r="F35" s="592">
        <v>75.67</v>
      </c>
      <c r="G35" s="592">
        <v>100.89</v>
      </c>
      <c r="H35" s="592">
        <v>126.12</v>
      </c>
      <c r="I35" s="592">
        <v>151.34</v>
      </c>
      <c r="J35" s="592">
        <v>176.56</v>
      </c>
      <c r="K35" s="592">
        <v>201.78</v>
      </c>
      <c r="L35" s="592">
        <v>227.01</v>
      </c>
      <c r="M35" s="592">
        <v>252.23</v>
      </c>
      <c r="N35" s="592">
        <v>277.45</v>
      </c>
      <c r="O35" s="592">
        <v>302.68</v>
      </c>
      <c r="Q35" s="762"/>
      <c r="R35" s="591" t="s">
        <v>134</v>
      </c>
      <c r="S35" s="592">
        <v>26.386050020958503</v>
      </c>
      <c r="T35" s="592">
        <v>4.0905580475301591</v>
      </c>
      <c r="U35" s="592">
        <v>0.81591730117267836</v>
      </c>
      <c r="V35" s="592">
        <v>12.792790046828674</v>
      </c>
      <c r="W35" s="592">
        <v>45.27838540226707</v>
      </c>
      <c r="X35" s="592">
        <v>42.509314441657246</v>
      </c>
      <c r="Y35" s="592">
        <v>24.904834717562288</v>
      </c>
      <c r="Z35" s="592">
        <v>0.30484958079894786</v>
      </c>
      <c r="AA35" s="603">
        <v>12.809699352830343</v>
      </c>
      <c r="AB35" s="592">
        <v>21.175956284153003</v>
      </c>
      <c r="AC35" s="592">
        <v>0</v>
      </c>
      <c r="AD35" s="602">
        <v>0</v>
      </c>
      <c r="AF35" s="762"/>
      <c r="AG35" s="593" t="s">
        <v>134</v>
      </c>
      <c r="AH35" s="592">
        <v>26.386050020958503</v>
      </c>
      <c r="AI35" s="592">
        <v>30.397213941437048</v>
      </c>
      <c r="AJ35" s="592">
        <v>31.13457455677208</v>
      </c>
      <c r="AK35" s="592">
        <v>43.83850480755909</v>
      </c>
      <c r="AL35" s="592">
        <v>89.018717168924525</v>
      </c>
      <c r="AM35" s="592">
        <v>131.2654684786504</v>
      </c>
      <c r="AN35" s="592">
        <v>155.86345635553599</v>
      </c>
      <c r="AO35" s="592">
        <v>155.5875226039783</v>
      </c>
      <c r="AP35" s="592">
        <v>167.87464569509299</v>
      </c>
      <c r="AQ35" s="592">
        <v>188.31124704347118</v>
      </c>
      <c r="AR35" s="592">
        <v>0</v>
      </c>
      <c r="AS35" s="592">
        <v>0</v>
      </c>
      <c r="AU35"/>
    </row>
    <row r="36" spans="1:51">
      <c r="A36" s="105"/>
      <c r="B36" s="762" t="s">
        <v>88</v>
      </c>
      <c r="C36" s="402" t="s">
        <v>132</v>
      </c>
      <c r="D36" s="571"/>
      <c r="E36" s="571"/>
      <c r="F36" s="571"/>
      <c r="G36" s="571"/>
      <c r="H36" s="571"/>
      <c r="I36" s="571"/>
      <c r="J36" s="571"/>
      <c r="K36" s="571"/>
      <c r="L36" s="571"/>
      <c r="M36" s="571"/>
      <c r="N36" s="571"/>
      <c r="O36" s="571"/>
      <c r="Q36" s="762" t="s">
        <v>88</v>
      </c>
      <c r="R36" s="402" t="s">
        <v>132</v>
      </c>
      <c r="S36" s="571">
        <v>329472.59999999998</v>
      </c>
      <c r="T36" s="571">
        <v>2916</v>
      </c>
      <c r="U36" s="571">
        <v>76846.8</v>
      </c>
      <c r="V36" s="571">
        <v>319051.2</v>
      </c>
      <c r="W36" s="571">
        <v>383077.2</v>
      </c>
      <c r="X36" s="571">
        <v>342031.8</v>
      </c>
      <c r="Y36" s="571">
        <v>455848.2</v>
      </c>
      <c r="Z36" s="571">
        <v>6705.6</v>
      </c>
      <c r="AA36" s="571">
        <v>261202.19999999998</v>
      </c>
      <c r="AB36" s="571">
        <v>591444.6</v>
      </c>
      <c r="AC36" s="571"/>
      <c r="AD36" s="571"/>
      <c r="AF36" s="762" t="s">
        <v>88</v>
      </c>
      <c r="AG36" s="580" t="s">
        <v>132</v>
      </c>
      <c r="AH36" s="571">
        <v>329472.59999999998</v>
      </c>
      <c r="AI36" s="571">
        <v>332388.59999999998</v>
      </c>
      <c r="AJ36" s="571">
        <v>409235.39999999997</v>
      </c>
      <c r="AK36" s="571">
        <v>728286.6</v>
      </c>
      <c r="AL36" s="571">
        <v>1111363.8</v>
      </c>
      <c r="AM36" s="571">
        <v>1453395.6</v>
      </c>
      <c r="AN36" s="571">
        <v>1909243.8</v>
      </c>
      <c r="AO36" s="571">
        <v>1915949.4000000001</v>
      </c>
      <c r="AP36" s="571">
        <v>2177151.6</v>
      </c>
      <c r="AQ36" s="571">
        <v>2768596.2</v>
      </c>
      <c r="AR36" s="571">
        <v>0</v>
      </c>
      <c r="AS36" s="571">
        <v>0</v>
      </c>
      <c r="AU36"/>
    </row>
    <row r="37" spans="1:51">
      <c r="A37" s="105"/>
      <c r="B37" s="762"/>
      <c r="C37" s="569" t="s">
        <v>133</v>
      </c>
      <c r="D37" s="571"/>
      <c r="E37" s="571"/>
      <c r="F37" s="571"/>
      <c r="G37" s="571"/>
      <c r="H37" s="571"/>
      <c r="I37" s="571"/>
      <c r="J37" s="571"/>
      <c r="K37" s="571"/>
      <c r="L37" s="571"/>
      <c r="M37" s="571"/>
      <c r="N37" s="571"/>
      <c r="O37" s="571"/>
      <c r="Q37" s="762"/>
      <c r="R37" s="569" t="s">
        <v>133</v>
      </c>
      <c r="S37" s="571">
        <v>21705</v>
      </c>
      <c r="T37" s="571">
        <v>21751</v>
      </c>
      <c r="U37" s="571">
        <v>21798</v>
      </c>
      <c r="V37" s="571">
        <v>21849</v>
      </c>
      <c r="W37" s="571">
        <v>21902</v>
      </c>
      <c r="X37" s="571">
        <v>21961</v>
      </c>
      <c r="Y37" s="571">
        <v>21999</v>
      </c>
      <c r="Z37" s="571">
        <v>22037</v>
      </c>
      <c r="AA37" s="571">
        <v>22094</v>
      </c>
      <c r="AB37" s="571">
        <v>22155</v>
      </c>
      <c r="AC37" s="571"/>
      <c r="AD37" s="571"/>
      <c r="AF37" s="762"/>
      <c r="AG37" s="580" t="s">
        <v>133</v>
      </c>
      <c r="AH37" s="571">
        <v>21705</v>
      </c>
      <c r="AI37" s="571">
        <v>21751</v>
      </c>
      <c r="AJ37" s="571">
        <v>21798</v>
      </c>
      <c r="AK37" s="571">
        <v>21849</v>
      </c>
      <c r="AL37" s="571">
        <v>21902</v>
      </c>
      <c r="AM37" s="571">
        <v>21961</v>
      </c>
      <c r="AN37" s="571">
        <v>21999</v>
      </c>
      <c r="AO37" s="571">
        <v>22037</v>
      </c>
      <c r="AP37" s="571">
        <v>22094</v>
      </c>
      <c r="AQ37" s="571">
        <v>22155</v>
      </c>
      <c r="AR37" s="571">
        <v>0</v>
      </c>
      <c r="AS37" s="571">
        <v>0</v>
      </c>
      <c r="AU37"/>
      <c r="AX37" s="575"/>
    </row>
    <row r="38" spans="1:51">
      <c r="A38" s="105"/>
      <c r="B38" s="762"/>
      <c r="C38" s="591" t="s">
        <v>134</v>
      </c>
      <c r="D38" s="592">
        <v>14.65</v>
      </c>
      <c r="E38" s="592">
        <v>29.3</v>
      </c>
      <c r="F38" s="592">
        <v>43.94</v>
      </c>
      <c r="G38" s="592">
        <v>58.59</v>
      </c>
      <c r="H38" s="592">
        <v>73.239999999999995</v>
      </c>
      <c r="I38" s="592">
        <v>87.89</v>
      </c>
      <c r="J38" s="592">
        <v>102.54</v>
      </c>
      <c r="K38" s="592">
        <v>117.18</v>
      </c>
      <c r="L38" s="592">
        <v>131.83000000000001</v>
      </c>
      <c r="M38" s="592">
        <v>146.47999999999999</v>
      </c>
      <c r="N38" s="592">
        <v>161.13</v>
      </c>
      <c r="O38" s="592">
        <v>175.78</v>
      </c>
      <c r="Q38" s="762"/>
      <c r="R38" s="591" t="s">
        <v>134</v>
      </c>
      <c r="S38" s="592">
        <v>15.179571527297856</v>
      </c>
      <c r="T38" s="592">
        <v>0.13406280171026619</v>
      </c>
      <c r="U38" s="592">
        <v>3.5254060005505092</v>
      </c>
      <c r="V38" s="592">
        <v>14.602553892626666</v>
      </c>
      <c r="W38" s="592">
        <v>17.490512281983381</v>
      </c>
      <c r="X38" s="592">
        <v>15.574509357497382</v>
      </c>
      <c r="Y38" s="592">
        <v>20.721314605209329</v>
      </c>
      <c r="Z38" s="592">
        <v>0.30428824250124792</v>
      </c>
      <c r="AA38" s="592">
        <v>11.822313750339458</v>
      </c>
      <c r="AB38" s="602">
        <v>26.695761679079215</v>
      </c>
      <c r="AC38" s="592">
        <v>0</v>
      </c>
      <c r="AD38" s="592">
        <v>0</v>
      </c>
      <c r="AF38" s="762"/>
      <c r="AG38" s="593" t="s">
        <v>134</v>
      </c>
      <c r="AH38" s="592">
        <v>15.179571527297856</v>
      </c>
      <c r="AI38" s="592">
        <v>15.281531883591558</v>
      </c>
      <c r="AJ38" s="592">
        <v>18.773988439306358</v>
      </c>
      <c r="AK38" s="592">
        <v>33.332720032953453</v>
      </c>
      <c r="AL38" s="592">
        <v>50.742571454661679</v>
      </c>
      <c r="AM38" s="592">
        <v>66.18075679613861</v>
      </c>
      <c r="AN38" s="592">
        <v>86.78775398881767</v>
      </c>
      <c r="AO38" s="592">
        <v>86.942387802332448</v>
      </c>
      <c r="AP38" s="592">
        <v>98.540400108626784</v>
      </c>
      <c r="AQ38" s="592">
        <v>124.96484766418416</v>
      </c>
      <c r="AR38" s="592">
        <v>0</v>
      </c>
      <c r="AS38" s="592">
        <v>0</v>
      </c>
      <c r="AU38"/>
    </row>
    <row r="39" spans="1:51">
      <c r="A39" s="105"/>
      <c r="B39" s="762" t="s">
        <v>121</v>
      </c>
      <c r="C39" s="402" t="s">
        <v>132</v>
      </c>
      <c r="D39" s="571"/>
      <c r="E39" s="571"/>
      <c r="F39" s="571"/>
      <c r="G39" s="571"/>
      <c r="H39" s="571"/>
      <c r="I39" s="571"/>
      <c r="J39" s="571"/>
      <c r="K39" s="571"/>
      <c r="L39" s="571"/>
      <c r="M39" s="571"/>
      <c r="N39" s="571"/>
      <c r="O39" s="571"/>
      <c r="Q39" s="762" t="s">
        <v>121</v>
      </c>
      <c r="R39" s="402" t="s">
        <v>132</v>
      </c>
      <c r="S39" s="571">
        <v>21018.6</v>
      </c>
      <c r="T39" s="571">
        <v>9666</v>
      </c>
      <c r="U39" s="571">
        <v>24330</v>
      </c>
      <c r="V39" s="571">
        <v>305365.80000000005</v>
      </c>
      <c r="W39" s="571">
        <v>921459.6</v>
      </c>
      <c r="X39" s="571">
        <v>409921.2</v>
      </c>
      <c r="Y39" s="243">
        <v>388913.4</v>
      </c>
      <c r="Z39" s="571">
        <v>4813.8</v>
      </c>
      <c r="AA39" s="571">
        <v>90725.4</v>
      </c>
      <c r="AB39" s="571">
        <v>274821</v>
      </c>
      <c r="AC39" s="571"/>
      <c r="AD39" s="571"/>
      <c r="AF39" s="762" t="s">
        <v>121</v>
      </c>
      <c r="AG39" s="580" t="s">
        <v>132</v>
      </c>
      <c r="AH39" s="571">
        <v>21018.6</v>
      </c>
      <c r="AI39" s="571">
        <v>30684.6</v>
      </c>
      <c r="AJ39" s="571">
        <v>55014.6</v>
      </c>
      <c r="AK39" s="571">
        <v>360380.4</v>
      </c>
      <c r="AL39" s="571">
        <v>1281840</v>
      </c>
      <c r="AM39" s="571">
        <v>1691761.2</v>
      </c>
      <c r="AN39" s="571">
        <v>2080674.6</v>
      </c>
      <c r="AO39" s="571">
        <v>2085488.4000000001</v>
      </c>
      <c r="AP39" s="571">
        <v>2176213.8000000003</v>
      </c>
      <c r="AQ39" s="571">
        <v>2451034.8000000003</v>
      </c>
      <c r="AR39" s="571">
        <v>0</v>
      </c>
      <c r="AS39" s="571">
        <v>0</v>
      </c>
      <c r="AU39"/>
      <c r="AX39" s="575"/>
    </row>
    <row r="40" spans="1:51">
      <c r="A40" s="105"/>
      <c r="B40" s="762"/>
      <c r="C40" s="569" t="s">
        <v>133</v>
      </c>
      <c r="D40" s="571"/>
      <c r="E40" s="571"/>
      <c r="F40" s="571"/>
      <c r="G40" s="571"/>
      <c r="H40" s="571"/>
      <c r="I40" s="571"/>
      <c r="J40" s="571"/>
      <c r="K40" s="571"/>
      <c r="L40" s="571"/>
      <c r="M40" s="571"/>
      <c r="N40" s="571"/>
      <c r="O40" s="571"/>
      <c r="Q40" s="762"/>
      <c r="R40" s="569" t="s">
        <v>133</v>
      </c>
      <c r="S40" s="571">
        <v>22738</v>
      </c>
      <c r="T40" s="571">
        <v>22826</v>
      </c>
      <c r="U40" s="571">
        <v>22869</v>
      </c>
      <c r="V40" s="571">
        <v>22908</v>
      </c>
      <c r="W40" s="571">
        <v>22948</v>
      </c>
      <c r="X40" s="571">
        <v>23000</v>
      </c>
      <c r="Y40" s="571">
        <v>23047</v>
      </c>
      <c r="Z40" s="571">
        <v>23067</v>
      </c>
      <c r="AA40" s="571">
        <v>23111</v>
      </c>
      <c r="AB40" s="571">
        <v>23195</v>
      </c>
      <c r="AC40" s="571"/>
      <c r="AD40" s="571"/>
      <c r="AF40" s="762"/>
      <c r="AG40" s="580" t="s">
        <v>133</v>
      </c>
      <c r="AH40" s="571">
        <v>22738</v>
      </c>
      <c r="AI40" s="571">
        <v>22826</v>
      </c>
      <c r="AJ40" s="571">
        <v>22869</v>
      </c>
      <c r="AK40" s="571">
        <v>22908</v>
      </c>
      <c r="AL40" s="571">
        <v>22948</v>
      </c>
      <c r="AM40" s="571">
        <v>23000</v>
      </c>
      <c r="AN40" s="571">
        <v>23047</v>
      </c>
      <c r="AO40" s="571">
        <v>23067</v>
      </c>
      <c r="AP40" s="571">
        <v>23111</v>
      </c>
      <c r="AQ40" s="571">
        <v>23195</v>
      </c>
      <c r="AR40" s="571">
        <v>0</v>
      </c>
      <c r="AS40" s="571">
        <v>0</v>
      </c>
      <c r="AU40"/>
    </row>
    <row r="41" spans="1:51">
      <c r="A41" s="105"/>
      <c r="B41" s="762"/>
      <c r="C41" s="591" t="s">
        <v>134</v>
      </c>
      <c r="D41" s="592">
        <v>17.309999999999999</v>
      </c>
      <c r="E41" s="592">
        <v>34.619999999999997</v>
      </c>
      <c r="F41" s="592">
        <v>51.92</v>
      </c>
      <c r="G41" s="592">
        <v>69.23</v>
      </c>
      <c r="H41" s="592">
        <v>86.54</v>
      </c>
      <c r="I41" s="592">
        <v>103.85</v>
      </c>
      <c r="J41" s="592">
        <v>121.16</v>
      </c>
      <c r="K41" s="592">
        <v>138.47</v>
      </c>
      <c r="L41" s="592">
        <v>155.77000000000001</v>
      </c>
      <c r="M41" s="592">
        <v>173.08</v>
      </c>
      <c r="N41" s="592">
        <v>190.39</v>
      </c>
      <c r="O41" s="592">
        <v>207.7</v>
      </c>
      <c r="Q41" s="762"/>
      <c r="R41" s="591" t="s">
        <v>134</v>
      </c>
      <c r="S41" s="603">
        <v>0.92438209165273988</v>
      </c>
      <c r="T41" s="614">
        <v>0.42346447034083939</v>
      </c>
      <c r="U41" s="592">
        <v>1.0638856093401547</v>
      </c>
      <c r="V41" s="592">
        <v>13.330094290204297</v>
      </c>
      <c r="W41" s="592">
        <v>40.154244378595081</v>
      </c>
      <c r="X41" s="592">
        <v>17.822660869565219</v>
      </c>
      <c r="Y41" s="592">
        <v>16.874794984162797</v>
      </c>
      <c r="Z41" s="592">
        <v>0.20868773572636234</v>
      </c>
      <c r="AA41" s="592">
        <v>3.9256371424862615</v>
      </c>
      <c r="AB41" s="592">
        <v>11.84828626859237</v>
      </c>
      <c r="AC41" s="592">
        <v>0</v>
      </c>
      <c r="AD41" s="602">
        <v>0</v>
      </c>
      <c r="AF41" s="762"/>
      <c r="AG41" s="593" t="s">
        <v>134</v>
      </c>
      <c r="AH41" s="592">
        <v>0.92438209165273988</v>
      </c>
      <c r="AI41" s="592">
        <v>1.3442828353631824</v>
      </c>
      <c r="AJ41" s="592">
        <v>2.4056408238226421</v>
      </c>
      <c r="AK41" s="592">
        <v>15.731639601885805</v>
      </c>
      <c r="AL41" s="592">
        <v>55.858462611120792</v>
      </c>
      <c r="AM41" s="592">
        <v>73.554834782608694</v>
      </c>
      <c r="AN41" s="592">
        <v>90.279628585065311</v>
      </c>
      <c r="AO41" s="592">
        <v>90.410040317336467</v>
      </c>
      <c r="AP41" s="592">
        <v>94.163549824758789</v>
      </c>
      <c r="AQ41" s="592">
        <v>105.67082560896746</v>
      </c>
      <c r="AR41" s="592">
        <v>0</v>
      </c>
      <c r="AS41" s="592">
        <v>0</v>
      </c>
      <c r="AU41"/>
    </row>
    <row r="42" spans="1:51">
      <c r="A42" s="105"/>
      <c r="B42" s="762" t="s">
        <v>89</v>
      </c>
      <c r="C42" s="402" t="s">
        <v>132</v>
      </c>
      <c r="D42" s="571"/>
      <c r="E42" s="571"/>
      <c r="F42" s="571"/>
      <c r="G42" s="571"/>
      <c r="H42" s="571"/>
      <c r="I42" s="571"/>
      <c r="J42" s="571"/>
      <c r="K42" s="571"/>
      <c r="L42" s="571"/>
      <c r="M42" s="571"/>
      <c r="N42" s="571"/>
      <c r="O42" s="571"/>
      <c r="Q42" s="762" t="s">
        <v>89</v>
      </c>
      <c r="R42" s="402" t="s">
        <v>132</v>
      </c>
      <c r="S42" s="571">
        <v>39313.800000000003</v>
      </c>
      <c r="T42" s="571">
        <v>12226.2</v>
      </c>
      <c r="U42" s="571">
        <v>53164.800000000003</v>
      </c>
      <c r="V42" s="571">
        <v>53568.6</v>
      </c>
      <c r="W42" s="571">
        <v>1122787.8</v>
      </c>
      <c r="X42" s="571">
        <v>313221.59999999998</v>
      </c>
      <c r="Y42" s="571">
        <v>1299536.3999999999</v>
      </c>
      <c r="Z42" s="571">
        <v>440695.2</v>
      </c>
      <c r="AA42" s="571">
        <v>4797.5999999999995</v>
      </c>
      <c r="AB42" s="571">
        <v>209952.6</v>
      </c>
      <c r="AC42" s="571"/>
      <c r="AD42" s="571"/>
      <c r="AF42" s="762" t="s">
        <v>89</v>
      </c>
      <c r="AG42" s="580" t="s">
        <v>132</v>
      </c>
      <c r="AH42" s="571">
        <v>39313.800000000003</v>
      </c>
      <c r="AI42" s="571">
        <v>51540</v>
      </c>
      <c r="AJ42" s="571">
        <v>104704.8</v>
      </c>
      <c r="AK42" s="571">
        <v>158273.4</v>
      </c>
      <c r="AL42" s="571">
        <v>1281061.2</v>
      </c>
      <c r="AM42" s="571">
        <v>1594282.7999999998</v>
      </c>
      <c r="AN42" s="571">
        <v>2893819.1999999997</v>
      </c>
      <c r="AO42" s="571">
        <v>3334514.4</v>
      </c>
      <c r="AP42" s="571">
        <v>3339312</v>
      </c>
      <c r="AQ42" s="571">
        <v>3549264.6</v>
      </c>
      <c r="AR42" s="571">
        <v>0</v>
      </c>
      <c r="AS42" s="571">
        <v>0</v>
      </c>
      <c r="AU42"/>
      <c r="AY42" s="575"/>
    </row>
    <row r="43" spans="1:51">
      <c r="A43" s="105"/>
      <c r="B43" s="762"/>
      <c r="C43" s="569" t="s">
        <v>133</v>
      </c>
      <c r="D43" s="571"/>
      <c r="E43" s="571"/>
      <c r="F43" s="571"/>
      <c r="G43" s="571"/>
      <c r="H43" s="571"/>
      <c r="I43" s="571"/>
      <c r="J43" s="571"/>
      <c r="K43" s="571"/>
      <c r="L43" s="571"/>
      <c r="M43" s="571"/>
      <c r="N43" s="571"/>
      <c r="O43" s="571"/>
      <c r="Q43" s="762"/>
      <c r="R43" s="569" t="s">
        <v>133</v>
      </c>
      <c r="S43" s="571">
        <v>29532</v>
      </c>
      <c r="T43" s="571">
        <v>29631</v>
      </c>
      <c r="U43" s="571">
        <v>29740</v>
      </c>
      <c r="V43" s="571">
        <v>29882</v>
      </c>
      <c r="W43" s="571">
        <v>29977</v>
      </c>
      <c r="X43" s="571">
        <v>30072</v>
      </c>
      <c r="Y43" s="571">
        <v>30175</v>
      </c>
      <c r="Z43" s="571">
        <v>30244</v>
      </c>
      <c r="AA43" s="571">
        <v>30382</v>
      </c>
      <c r="AB43" s="571">
        <v>30535</v>
      </c>
      <c r="AC43" s="571"/>
      <c r="AD43" s="571"/>
      <c r="AF43" s="762"/>
      <c r="AG43" s="580" t="s">
        <v>133</v>
      </c>
      <c r="AH43" s="571">
        <v>29532</v>
      </c>
      <c r="AI43" s="571">
        <v>29631</v>
      </c>
      <c r="AJ43" s="571">
        <v>29740</v>
      </c>
      <c r="AK43" s="571">
        <v>29882</v>
      </c>
      <c r="AL43" s="571">
        <v>29977</v>
      </c>
      <c r="AM43" s="571">
        <v>30072</v>
      </c>
      <c r="AN43" s="571">
        <v>30175</v>
      </c>
      <c r="AO43" s="571">
        <v>30244</v>
      </c>
      <c r="AP43" s="571">
        <v>30382</v>
      </c>
      <c r="AQ43" s="571">
        <v>30535</v>
      </c>
      <c r="AR43" s="571">
        <v>0</v>
      </c>
      <c r="AS43" s="571">
        <v>0</v>
      </c>
      <c r="AU43"/>
    </row>
    <row r="44" spans="1:51">
      <c r="A44" s="105"/>
      <c r="B44" s="762"/>
      <c r="C44" s="591" t="s">
        <v>134</v>
      </c>
      <c r="D44" s="592">
        <v>17.89</v>
      </c>
      <c r="E44" s="592">
        <v>35.78</v>
      </c>
      <c r="F44" s="592">
        <v>53.68</v>
      </c>
      <c r="G44" s="592">
        <v>71.569999999999993</v>
      </c>
      <c r="H44" s="592">
        <v>89.46</v>
      </c>
      <c r="I44" s="592">
        <v>107.35</v>
      </c>
      <c r="J44" s="592">
        <v>125.25</v>
      </c>
      <c r="K44" s="592">
        <v>143.13999999999999</v>
      </c>
      <c r="L44" s="592">
        <v>161.03</v>
      </c>
      <c r="M44" s="592">
        <v>178.92</v>
      </c>
      <c r="N44" s="592">
        <v>196.81</v>
      </c>
      <c r="O44" s="592">
        <v>214.71</v>
      </c>
      <c r="Q44" s="762"/>
      <c r="R44" s="591" t="s">
        <v>134</v>
      </c>
      <c r="S44" s="592">
        <v>1.331227143437627</v>
      </c>
      <c r="T44" s="592">
        <v>0.41261516654854713</v>
      </c>
      <c r="U44" s="592">
        <v>1.7876529926025555</v>
      </c>
      <c r="V44" s="592">
        <v>1.7926711732815741</v>
      </c>
      <c r="W44" s="592">
        <v>37.454975481202254</v>
      </c>
      <c r="X44" s="592">
        <v>10.415722266560255</v>
      </c>
      <c r="Y44" s="592">
        <v>43.066657829328911</v>
      </c>
      <c r="Z44" s="592">
        <v>14.571326544107922</v>
      </c>
      <c r="AA44" s="602">
        <v>0.15790928839444407</v>
      </c>
      <c r="AB44" s="592">
        <v>6.8758015392172922</v>
      </c>
      <c r="AC44" s="603">
        <v>0</v>
      </c>
      <c r="AD44" s="592">
        <v>0</v>
      </c>
      <c r="AF44" s="762"/>
      <c r="AG44" s="593" t="s">
        <v>134</v>
      </c>
      <c r="AH44" s="592">
        <v>1.331227143437627</v>
      </c>
      <c r="AI44" s="592">
        <v>1.7393945530019237</v>
      </c>
      <c r="AJ44" s="592">
        <v>3.5206724949562878</v>
      </c>
      <c r="AK44" s="592">
        <v>5.2966133458269189</v>
      </c>
      <c r="AL44" s="592">
        <v>42.734803349234411</v>
      </c>
      <c r="AM44" s="592">
        <v>53.015522745411005</v>
      </c>
      <c r="AN44" s="592">
        <v>95.901216238608114</v>
      </c>
      <c r="AO44" s="592">
        <v>110.25374950403385</v>
      </c>
      <c r="AP44" s="592">
        <v>109.91086827726943</v>
      </c>
      <c r="AQ44" s="592">
        <v>116.23594563615524</v>
      </c>
      <c r="AR44" s="592">
        <v>0</v>
      </c>
      <c r="AS44" s="592">
        <v>0</v>
      </c>
      <c r="AU44"/>
    </row>
    <row r="45" spans="1:51">
      <c r="A45" s="105"/>
      <c r="B45" s="762" t="s">
        <v>90</v>
      </c>
      <c r="C45" s="402" t="s">
        <v>132</v>
      </c>
      <c r="D45" s="571"/>
      <c r="E45" s="571"/>
      <c r="F45" s="571"/>
      <c r="G45" s="571"/>
      <c r="H45" s="571"/>
      <c r="I45" s="571"/>
      <c r="J45" s="571"/>
      <c r="K45" s="571"/>
      <c r="L45" s="571"/>
      <c r="M45" s="571"/>
      <c r="N45" s="571"/>
      <c r="O45" s="571"/>
      <c r="Q45" s="762" t="s">
        <v>90</v>
      </c>
      <c r="R45" s="402" t="s">
        <v>132</v>
      </c>
      <c r="S45" s="571">
        <v>1935352.8</v>
      </c>
      <c r="T45" s="571">
        <v>296332.79999999999</v>
      </c>
      <c r="U45" s="571">
        <v>271643.40000000002</v>
      </c>
      <c r="V45" s="571">
        <v>2369401.8000000003</v>
      </c>
      <c r="W45" s="571">
        <v>8206775.9999999991</v>
      </c>
      <c r="X45" s="571">
        <v>6358633.7999999998</v>
      </c>
      <c r="Y45" s="571">
        <v>3689606.4</v>
      </c>
      <c r="Z45" s="571">
        <v>742750.2</v>
      </c>
      <c r="AA45" s="571">
        <v>1565492.4</v>
      </c>
      <c r="AB45" s="571">
        <v>6008827.1999999993</v>
      </c>
      <c r="AC45" s="571">
        <v>0</v>
      </c>
      <c r="AD45" s="571">
        <v>0</v>
      </c>
      <c r="AF45" s="762" t="s">
        <v>90</v>
      </c>
      <c r="AG45" s="580" t="s">
        <v>132</v>
      </c>
      <c r="AH45" s="571">
        <v>1935352.8</v>
      </c>
      <c r="AI45" s="571">
        <v>2231685.6</v>
      </c>
      <c r="AJ45" s="571">
        <v>2503329</v>
      </c>
      <c r="AK45" s="571">
        <v>4872730.8000000007</v>
      </c>
      <c r="AL45" s="571">
        <v>13079506.800000001</v>
      </c>
      <c r="AM45" s="571">
        <v>19438140.600000001</v>
      </c>
      <c r="AN45" s="571">
        <v>23127747</v>
      </c>
      <c r="AO45" s="571">
        <v>23870497.199999996</v>
      </c>
      <c r="AP45" s="571">
        <v>25435989.600000001</v>
      </c>
      <c r="AQ45" s="571">
        <v>31444816.800000001</v>
      </c>
      <c r="AR45" s="571">
        <v>0</v>
      </c>
      <c r="AS45" s="571">
        <v>0</v>
      </c>
      <c r="AU45"/>
    </row>
    <row r="46" spans="1:51">
      <c r="A46" s="105"/>
      <c r="B46" s="762"/>
      <c r="C46" s="569" t="s">
        <v>133</v>
      </c>
      <c r="D46" s="571"/>
      <c r="E46" s="571"/>
      <c r="F46" s="571"/>
      <c r="G46" s="571"/>
      <c r="H46" s="571"/>
      <c r="I46" s="571"/>
      <c r="J46" s="571"/>
      <c r="K46" s="571"/>
      <c r="L46" s="571"/>
      <c r="M46" s="571"/>
      <c r="N46" s="571"/>
      <c r="O46" s="571"/>
      <c r="Q46" s="762"/>
      <c r="R46" s="569" t="s">
        <v>133</v>
      </c>
      <c r="S46" s="571">
        <v>156497</v>
      </c>
      <c r="T46" s="571">
        <v>156964</v>
      </c>
      <c r="U46" s="571">
        <v>157363</v>
      </c>
      <c r="V46" s="571">
        <v>157791</v>
      </c>
      <c r="W46" s="571">
        <v>158152</v>
      </c>
      <c r="X46" s="571">
        <v>158560</v>
      </c>
      <c r="Y46" s="571">
        <v>158929</v>
      </c>
      <c r="Z46" s="571">
        <v>159292</v>
      </c>
      <c r="AA46" s="571">
        <v>159760</v>
      </c>
      <c r="AB46" s="571">
        <v>160386</v>
      </c>
      <c r="AC46" s="571">
        <v>0</v>
      </c>
      <c r="AD46" s="571">
        <v>0</v>
      </c>
      <c r="AF46" s="762"/>
      <c r="AG46" s="580" t="s">
        <v>133</v>
      </c>
      <c r="AH46" s="571">
        <v>156497</v>
      </c>
      <c r="AI46" s="571">
        <v>156964</v>
      </c>
      <c r="AJ46" s="571">
        <v>157363</v>
      </c>
      <c r="AK46" s="571">
        <v>157791</v>
      </c>
      <c r="AL46" s="571">
        <v>158152</v>
      </c>
      <c r="AM46" s="571">
        <v>158560</v>
      </c>
      <c r="AN46" s="571">
        <v>158929</v>
      </c>
      <c r="AO46" s="571">
        <v>159292</v>
      </c>
      <c r="AP46" s="571">
        <v>159760</v>
      </c>
      <c r="AQ46" s="571">
        <v>160386</v>
      </c>
      <c r="AR46" s="571">
        <v>0</v>
      </c>
      <c r="AS46" s="571">
        <v>0</v>
      </c>
      <c r="AU46"/>
    </row>
    <row r="47" spans="1:51">
      <c r="A47" s="105"/>
      <c r="B47" s="762"/>
      <c r="C47" s="591" t="s">
        <v>134</v>
      </c>
      <c r="D47" s="592">
        <v>23.39</v>
      </c>
      <c r="E47" s="592">
        <v>46.78</v>
      </c>
      <c r="F47" s="592">
        <v>70.17</v>
      </c>
      <c r="G47" s="592">
        <v>93.56</v>
      </c>
      <c r="H47" s="592">
        <v>116.95</v>
      </c>
      <c r="I47" s="592">
        <v>140.34</v>
      </c>
      <c r="J47" s="592">
        <v>163.72</v>
      </c>
      <c r="K47" s="592">
        <v>187.11</v>
      </c>
      <c r="L47" s="592">
        <v>210.5</v>
      </c>
      <c r="M47" s="592">
        <v>233.89</v>
      </c>
      <c r="N47" s="592">
        <v>257.27999999999997</v>
      </c>
      <c r="O47" s="592">
        <v>280.67</v>
      </c>
      <c r="Q47" s="762"/>
      <c r="R47" s="591" t="s">
        <v>134</v>
      </c>
      <c r="S47" s="604">
        <v>12.366708627002435</v>
      </c>
      <c r="T47" s="604">
        <v>1.8879029586401976</v>
      </c>
      <c r="U47" s="604">
        <v>1.7262215387352811</v>
      </c>
      <c r="V47" s="604">
        <v>15.016076962564407</v>
      </c>
      <c r="W47" s="604">
        <v>51.891699124892504</v>
      </c>
      <c r="X47" s="604">
        <v>40.102382694248234</v>
      </c>
      <c r="Y47" s="604">
        <v>23.215438340390993</v>
      </c>
      <c r="Z47" s="604">
        <v>4.6628217361826074</v>
      </c>
      <c r="AA47" s="604">
        <v>9.799026039058587</v>
      </c>
      <c r="AB47" s="604">
        <v>37.464786203284568</v>
      </c>
      <c r="AC47" s="604">
        <v>0</v>
      </c>
      <c r="AD47" s="604">
        <v>0</v>
      </c>
      <c r="AF47" s="762"/>
      <c r="AG47" s="593" t="s">
        <v>134</v>
      </c>
      <c r="AH47" s="603">
        <v>12.366708627002435</v>
      </c>
      <c r="AI47" s="603">
        <v>14.217818098417473</v>
      </c>
      <c r="AJ47" s="603">
        <v>15.90798980700673</v>
      </c>
      <c r="AK47" s="603">
        <v>30.880917162575816</v>
      </c>
      <c r="AL47" s="603">
        <v>82.702127067631139</v>
      </c>
      <c r="AM47" s="603">
        <v>122.59170408678104</v>
      </c>
      <c r="AN47" s="603">
        <v>145.52251005165829</v>
      </c>
      <c r="AO47" s="603">
        <v>149.85371016749113</v>
      </c>
      <c r="AP47" s="603">
        <v>159.21375563345018</v>
      </c>
      <c r="AQ47" s="603">
        <v>196.05711720474355</v>
      </c>
      <c r="AR47" s="603">
        <v>0</v>
      </c>
      <c r="AS47" s="603">
        <v>0</v>
      </c>
      <c r="AU47"/>
    </row>
    <row r="48" spans="1:51">
      <c r="A48" s="105"/>
      <c r="D48"/>
      <c r="E48"/>
      <c r="F48"/>
      <c r="G48"/>
      <c r="H48"/>
      <c r="I48"/>
      <c r="J48"/>
      <c r="K48"/>
      <c r="L48"/>
      <c r="M48"/>
      <c r="N48"/>
      <c r="O48"/>
      <c r="S48"/>
      <c r="T48"/>
      <c r="U48"/>
      <c r="V48"/>
      <c r="W48"/>
      <c r="X48"/>
      <c r="Y48"/>
      <c r="Z48"/>
      <c r="AA48"/>
      <c r="AB48"/>
      <c r="AC48"/>
      <c r="AD48"/>
      <c r="AH48"/>
      <c r="AI48"/>
      <c r="AJ48"/>
      <c r="AK48"/>
      <c r="AL48"/>
      <c r="AM48"/>
      <c r="AN48"/>
      <c r="AO48"/>
      <c r="AP48"/>
      <c r="AQ48"/>
      <c r="AR48"/>
      <c r="AS48"/>
      <c r="AU48"/>
    </row>
    <row r="49" spans="1:45">
      <c r="A49" s="105"/>
      <c r="B49" t="s">
        <v>135</v>
      </c>
      <c r="D49"/>
      <c r="E49"/>
      <c r="F49"/>
      <c r="G49"/>
      <c r="H49"/>
      <c r="I49"/>
      <c r="J49"/>
      <c r="K49"/>
      <c r="L49"/>
      <c r="M49"/>
      <c r="N49"/>
      <c r="O49"/>
      <c r="Q49" t="s">
        <v>135</v>
      </c>
      <c r="S49"/>
      <c r="T49"/>
      <c r="U49"/>
      <c r="V49"/>
      <c r="W49"/>
      <c r="X49"/>
      <c r="Y49"/>
      <c r="Z49"/>
      <c r="AA49"/>
      <c r="AB49"/>
      <c r="AC49"/>
      <c r="AD49"/>
      <c r="AF49" t="s">
        <v>135</v>
      </c>
      <c r="AH49"/>
      <c r="AI49"/>
      <c r="AJ49"/>
      <c r="AK49"/>
      <c r="AL49"/>
      <c r="AM49"/>
      <c r="AN49"/>
      <c r="AO49"/>
      <c r="AP49"/>
      <c r="AQ49"/>
      <c r="AR49"/>
      <c r="AS49"/>
    </row>
    <row r="50" spans="1:45">
      <c r="A50" s="105"/>
      <c r="B50" t="s">
        <v>100</v>
      </c>
      <c r="D50"/>
      <c r="E50"/>
      <c r="F50"/>
      <c r="G50"/>
      <c r="H50"/>
      <c r="I50"/>
      <c r="J50"/>
      <c r="K50"/>
      <c r="L50"/>
      <c r="M50"/>
      <c r="N50"/>
      <c r="O50"/>
      <c r="Q50" t="s">
        <v>126</v>
      </c>
      <c r="S50"/>
      <c r="T50"/>
      <c r="U50"/>
      <c r="V50"/>
      <c r="W50"/>
      <c r="X50"/>
      <c r="Y50"/>
      <c r="Z50"/>
      <c r="AA50"/>
      <c r="AB50"/>
      <c r="AC50"/>
      <c r="AD50"/>
      <c r="AF50" t="s">
        <v>127</v>
      </c>
      <c r="AH50"/>
      <c r="AI50"/>
      <c r="AJ50"/>
      <c r="AK50"/>
      <c r="AL50"/>
      <c r="AM50"/>
      <c r="AN50"/>
      <c r="AO50"/>
      <c r="AP50"/>
      <c r="AQ50"/>
      <c r="AR50"/>
      <c r="AS50"/>
    </row>
    <row r="51" spans="1:45">
      <c r="A51" s="105"/>
      <c r="B51" s="755" t="s">
        <v>72</v>
      </c>
      <c r="C51" s="756"/>
      <c r="D51" s="552" t="s">
        <v>74</v>
      </c>
      <c r="E51" s="552" t="s">
        <v>75</v>
      </c>
      <c r="F51" s="552" t="s">
        <v>76</v>
      </c>
      <c r="G51" s="552" t="s">
        <v>77</v>
      </c>
      <c r="H51" s="552" t="s">
        <v>78</v>
      </c>
      <c r="I51" s="552" t="s">
        <v>79</v>
      </c>
      <c r="J51" s="552" t="s">
        <v>80</v>
      </c>
      <c r="K51" s="552" t="s">
        <v>81</v>
      </c>
      <c r="L51" s="552" t="s">
        <v>82</v>
      </c>
      <c r="M51" s="552" t="s">
        <v>83</v>
      </c>
      <c r="N51" s="552" t="s">
        <v>84</v>
      </c>
      <c r="O51" s="552" t="s">
        <v>85</v>
      </c>
      <c r="Q51" s="755" t="s">
        <v>72</v>
      </c>
      <c r="R51" s="756"/>
      <c r="S51" s="552" t="s">
        <v>74</v>
      </c>
      <c r="T51" s="552" t="s">
        <v>75</v>
      </c>
      <c r="U51" s="552" t="s">
        <v>76</v>
      </c>
      <c r="V51" s="552" t="s">
        <v>77</v>
      </c>
      <c r="W51" s="552" t="s">
        <v>78</v>
      </c>
      <c r="X51" s="552" t="s">
        <v>79</v>
      </c>
      <c r="Y51" s="552" t="s">
        <v>80</v>
      </c>
      <c r="Z51" s="552" t="s">
        <v>81</v>
      </c>
      <c r="AA51" s="552" t="s">
        <v>82</v>
      </c>
      <c r="AB51" s="552" t="s">
        <v>83</v>
      </c>
      <c r="AC51" s="552" t="s">
        <v>84</v>
      </c>
      <c r="AD51" s="552" t="s">
        <v>85</v>
      </c>
      <c r="AF51" s="755" t="s">
        <v>72</v>
      </c>
      <c r="AG51" s="756"/>
      <c r="AH51" s="552" t="s">
        <v>74</v>
      </c>
      <c r="AI51" s="552" t="s">
        <v>75</v>
      </c>
      <c r="AJ51" s="552" t="s">
        <v>76</v>
      </c>
      <c r="AK51" s="552" t="s">
        <v>77</v>
      </c>
      <c r="AL51" s="552" t="s">
        <v>78</v>
      </c>
      <c r="AM51" s="552" t="s">
        <v>79</v>
      </c>
      <c r="AN51" s="552" t="s">
        <v>80</v>
      </c>
      <c r="AO51" s="552" t="s">
        <v>81</v>
      </c>
      <c r="AP51" s="552" t="s">
        <v>82</v>
      </c>
      <c r="AQ51" s="552" t="s">
        <v>83</v>
      </c>
      <c r="AR51" s="552" t="s">
        <v>84</v>
      </c>
      <c r="AS51" s="552" t="s">
        <v>85</v>
      </c>
    </row>
    <row r="52" spans="1:45">
      <c r="A52" s="105"/>
      <c r="B52" s="762" t="s">
        <v>128</v>
      </c>
      <c r="C52" s="402" t="s">
        <v>136</v>
      </c>
      <c r="D52" s="571"/>
      <c r="E52" s="571"/>
      <c r="F52" s="571"/>
      <c r="G52" s="571"/>
      <c r="H52" s="571"/>
      <c r="I52" s="571"/>
      <c r="J52" s="571"/>
      <c r="K52" s="571"/>
      <c r="L52" s="571"/>
      <c r="M52" s="571"/>
      <c r="N52" s="571"/>
      <c r="O52" s="571"/>
      <c r="Q52" s="762" t="s">
        <v>128</v>
      </c>
      <c r="R52" s="402" t="s">
        <v>136</v>
      </c>
      <c r="S52" s="571">
        <v>5656</v>
      </c>
      <c r="T52" s="571">
        <v>588</v>
      </c>
      <c r="U52" s="571">
        <v>4394</v>
      </c>
      <c r="V52" s="571">
        <v>16438</v>
      </c>
      <c r="W52" s="583">
        <v>30518</v>
      </c>
      <c r="X52" s="571">
        <v>22601</v>
      </c>
      <c r="Y52" s="571">
        <v>12961</v>
      </c>
      <c r="Z52" s="571">
        <v>1463</v>
      </c>
      <c r="AA52" s="571">
        <v>15802</v>
      </c>
      <c r="AB52" s="571">
        <v>36996</v>
      </c>
      <c r="AC52" s="571"/>
      <c r="AD52" s="571"/>
      <c r="AF52" s="762" t="s">
        <v>128</v>
      </c>
      <c r="AG52" s="402" t="s">
        <v>136</v>
      </c>
      <c r="AH52" s="571">
        <v>5656</v>
      </c>
      <c r="AI52" s="571">
        <v>6244</v>
      </c>
      <c r="AJ52" s="571">
        <v>10638</v>
      </c>
      <c r="AK52" s="571">
        <v>27076</v>
      </c>
      <c r="AL52" s="571">
        <v>57594</v>
      </c>
      <c r="AM52" s="571">
        <v>80195</v>
      </c>
      <c r="AN52" s="571">
        <v>93156</v>
      </c>
      <c r="AO52" s="571">
        <v>94619</v>
      </c>
      <c r="AP52" s="571">
        <v>110421</v>
      </c>
      <c r="AQ52" s="571">
        <v>147417</v>
      </c>
      <c r="AR52" s="571">
        <v>0</v>
      </c>
      <c r="AS52" s="571">
        <v>0</v>
      </c>
    </row>
    <row r="53" spans="1:45">
      <c r="A53" s="105"/>
      <c r="B53" s="762"/>
      <c r="C53" s="569" t="s">
        <v>133</v>
      </c>
      <c r="D53" s="571"/>
      <c r="E53" s="571"/>
      <c r="F53" s="571"/>
      <c r="G53" s="571"/>
      <c r="H53" s="571"/>
      <c r="I53" s="571"/>
      <c r="J53" s="571"/>
      <c r="K53" s="571"/>
      <c r="L53" s="571"/>
      <c r="M53" s="571"/>
      <c r="N53" s="571"/>
      <c r="O53" s="571"/>
      <c r="Q53" s="762"/>
      <c r="R53" s="569" t="s">
        <v>133</v>
      </c>
      <c r="S53" s="571">
        <v>46737</v>
      </c>
      <c r="T53" s="571">
        <v>46863</v>
      </c>
      <c r="U53" s="571">
        <v>46970</v>
      </c>
      <c r="V53" s="571">
        <v>47063</v>
      </c>
      <c r="W53" s="571">
        <v>47155</v>
      </c>
      <c r="X53" s="571">
        <v>47250</v>
      </c>
      <c r="Y53" s="571">
        <v>47346</v>
      </c>
      <c r="Z53" s="571">
        <v>47446</v>
      </c>
      <c r="AA53" s="571">
        <v>47552</v>
      </c>
      <c r="AB53" s="571">
        <v>47718</v>
      </c>
      <c r="AC53" s="571">
        <v>0</v>
      </c>
      <c r="AD53" s="571">
        <v>0</v>
      </c>
      <c r="AF53" s="762"/>
      <c r="AG53" s="569" t="s">
        <v>133</v>
      </c>
      <c r="AH53" s="571">
        <v>46737</v>
      </c>
      <c r="AI53" s="571">
        <v>46863</v>
      </c>
      <c r="AJ53" s="571">
        <v>46970</v>
      </c>
      <c r="AK53" s="571">
        <v>47063</v>
      </c>
      <c r="AL53" s="571">
        <v>47155</v>
      </c>
      <c r="AM53" s="571">
        <v>47250</v>
      </c>
      <c r="AN53" s="571">
        <v>47346</v>
      </c>
      <c r="AO53" s="571">
        <v>47446</v>
      </c>
      <c r="AP53" s="571">
        <v>47552</v>
      </c>
      <c r="AQ53" s="571">
        <v>47718</v>
      </c>
      <c r="AR53" s="571">
        <v>0</v>
      </c>
      <c r="AS53" s="571">
        <v>0</v>
      </c>
    </row>
    <row r="54" spans="1:45">
      <c r="A54" s="105"/>
      <c r="B54" s="762"/>
      <c r="C54" s="591" t="s">
        <v>137</v>
      </c>
      <c r="D54" s="602">
        <v>0.28999999999999998</v>
      </c>
      <c r="E54" s="602">
        <v>0.59</v>
      </c>
      <c r="F54" s="602">
        <v>0.88</v>
      </c>
      <c r="G54" s="602">
        <v>1.18</v>
      </c>
      <c r="H54" s="602">
        <v>1.47</v>
      </c>
      <c r="I54" s="602">
        <v>1.76</v>
      </c>
      <c r="J54" s="602">
        <v>2.06</v>
      </c>
      <c r="K54" s="602">
        <v>2.35</v>
      </c>
      <c r="L54" s="602">
        <v>2.65</v>
      </c>
      <c r="M54" s="602">
        <v>2.94</v>
      </c>
      <c r="N54" s="602">
        <v>3.23</v>
      </c>
      <c r="O54" s="602">
        <v>3.53</v>
      </c>
      <c r="Q54" s="762"/>
      <c r="R54" s="591" t="s">
        <v>137</v>
      </c>
      <c r="S54" s="603">
        <v>0.12101760917474377</v>
      </c>
      <c r="T54" s="592">
        <v>1.2547212086294092E-2</v>
      </c>
      <c r="U54" s="603">
        <v>9.3549073876942723E-2</v>
      </c>
      <c r="V54" s="602">
        <v>0.3492765017104732</v>
      </c>
      <c r="W54" s="603">
        <v>0.6471848160322341</v>
      </c>
      <c r="X54" s="603">
        <v>0.47832804232804232</v>
      </c>
      <c r="Y54" s="592">
        <v>0.27375068643602418</v>
      </c>
      <c r="Z54" s="592">
        <v>3.0835054588374152E-2</v>
      </c>
      <c r="AA54" s="592">
        <v>0.33230989232839836</v>
      </c>
      <c r="AB54" s="602">
        <v>0.77530491638375454</v>
      </c>
      <c r="AC54" s="602">
        <v>0</v>
      </c>
      <c r="AD54" s="592">
        <v>0</v>
      </c>
      <c r="AF54" s="762"/>
      <c r="AG54" s="591" t="s">
        <v>138</v>
      </c>
      <c r="AH54" s="592">
        <v>0.12101760917474377</v>
      </c>
      <c r="AI54" s="592">
        <v>0.13323944263064677</v>
      </c>
      <c r="AJ54" s="592">
        <v>0.22648499041941664</v>
      </c>
      <c r="AK54" s="592">
        <v>0.57531394088774623</v>
      </c>
      <c r="AL54" s="592">
        <v>1.2213763121620189</v>
      </c>
      <c r="AM54" s="592">
        <v>1.6972486772486772</v>
      </c>
      <c r="AN54" s="592">
        <v>1.9675579774426561</v>
      </c>
      <c r="AO54" s="592">
        <v>1.9942460902921215</v>
      </c>
      <c r="AP54" s="592">
        <v>2.3221105316285331</v>
      </c>
      <c r="AQ54" s="592">
        <v>3.0893373569722118</v>
      </c>
      <c r="AR54" s="592">
        <v>0</v>
      </c>
      <c r="AS54" s="592">
        <v>0</v>
      </c>
    </row>
    <row r="55" spans="1:45">
      <c r="A55" s="105"/>
      <c r="B55" s="762" t="s">
        <v>87</v>
      </c>
      <c r="C55" s="402" t="s">
        <v>136</v>
      </c>
      <c r="D55" s="609"/>
      <c r="E55" s="609"/>
      <c r="F55" s="609"/>
      <c r="G55" s="609"/>
      <c r="H55" s="609"/>
      <c r="I55" s="609"/>
      <c r="J55" s="609"/>
      <c r="K55" s="609"/>
      <c r="L55" s="609"/>
      <c r="M55" s="609"/>
      <c r="N55" s="609"/>
      <c r="O55" s="609"/>
      <c r="Q55" s="762" t="s">
        <v>87</v>
      </c>
      <c r="R55" s="402" t="s">
        <v>136</v>
      </c>
      <c r="S55" s="571">
        <v>11743</v>
      </c>
      <c r="T55" s="571">
        <v>1524</v>
      </c>
      <c r="U55" s="571">
        <v>3191</v>
      </c>
      <c r="V55" s="571">
        <v>5084</v>
      </c>
      <c r="W55" s="571">
        <v>15127</v>
      </c>
      <c r="X55" s="571">
        <v>12709</v>
      </c>
      <c r="Y55" s="571">
        <v>10326</v>
      </c>
      <c r="Z55" s="571">
        <v>416</v>
      </c>
      <c r="AA55" s="571">
        <v>4445</v>
      </c>
      <c r="AB55" s="571">
        <v>13523</v>
      </c>
      <c r="AC55" s="571"/>
      <c r="AD55" s="571"/>
      <c r="AF55" s="762" t="s">
        <v>87</v>
      </c>
      <c r="AG55" s="402" t="s">
        <v>136</v>
      </c>
      <c r="AH55" s="571">
        <v>11743</v>
      </c>
      <c r="AI55" s="571">
        <v>13267</v>
      </c>
      <c r="AJ55" s="571">
        <v>16458</v>
      </c>
      <c r="AK55" s="571">
        <v>21542</v>
      </c>
      <c r="AL55" s="571">
        <v>36669</v>
      </c>
      <c r="AM55" s="571">
        <v>49378</v>
      </c>
      <c r="AN55" s="571">
        <v>59704</v>
      </c>
      <c r="AO55" s="571">
        <v>60120</v>
      </c>
      <c r="AP55" s="571">
        <v>64565</v>
      </c>
      <c r="AQ55" s="571">
        <v>78088</v>
      </c>
      <c r="AR55" s="571">
        <v>0</v>
      </c>
      <c r="AS55" s="571">
        <v>0</v>
      </c>
    </row>
    <row r="56" spans="1:45">
      <c r="A56" s="105"/>
      <c r="B56" s="762"/>
      <c r="C56" s="569" t="s">
        <v>133</v>
      </c>
      <c r="D56" s="609"/>
      <c r="E56" s="609"/>
      <c r="F56" s="609"/>
      <c r="G56" s="609"/>
      <c r="H56" s="609"/>
      <c r="I56" s="609"/>
      <c r="J56" s="609"/>
      <c r="K56" s="609"/>
      <c r="L56" s="609"/>
      <c r="M56" s="609"/>
      <c r="N56" s="609"/>
      <c r="O56" s="609"/>
      <c r="Q56" s="762"/>
      <c r="R56" s="569" t="s">
        <v>133</v>
      </c>
      <c r="S56" s="571">
        <v>35785</v>
      </c>
      <c r="T56" s="571">
        <v>35893</v>
      </c>
      <c r="U56" s="571">
        <v>35986</v>
      </c>
      <c r="V56" s="571">
        <v>36089</v>
      </c>
      <c r="W56" s="571">
        <v>36170</v>
      </c>
      <c r="X56" s="571">
        <v>36277</v>
      </c>
      <c r="Y56" s="571">
        <v>36362</v>
      </c>
      <c r="Z56" s="571">
        <v>36498</v>
      </c>
      <c r="AA56" s="571">
        <v>36621</v>
      </c>
      <c r="AB56" s="571">
        <v>36783</v>
      </c>
      <c r="AC56" s="571">
        <v>0</v>
      </c>
      <c r="AD56" s="571">
        <v>0</v>
      </c>
      <c r="AF56" s="762"/>
      <c r="AG56" s="569" t="s">
        <v>133</v>
      </c>
      <c r="AH56" s="571">
        <v>35785</v>
      </c>
      <c r="AI56" s="571">
        <v>35893</v>
      </c>
      <c r="AJ56" s="571">
        <v>35986</v>
      </c>
      <c r="AK56" s="571">
        <v>36089</v>
      </c>
      <c r="AL56" s="571">
        <v>36170</v>
      </c>
      <c r="AM56" s="571">
        <v>36277</v>
      </c>
      <c r="AN56" s="571">
        <v>36362</v>
      </c>
      <c r="AO56" s="571">
        <v>36498</v>
      </c>
      <c r="AP56" s="571">
        <v>36621</v>
      </c>
      <c r="AQ56" s="571">
        <v>36783</v>
      </c>
      <c r="AR56" s="571">
        <v>0</v>
      </c>
      <c r="AS56" s="571">
        <v>0</v>
      </c>
    </row>
    <row r="57" spans="1:45">
      <c r="A57" s="105"/>
      <c r="B57" s="762"/>
      <c r="C57" s="591" t="s">
        <v>137</v>
      </c>
      <c r="D57" s="602">
        <v>0.27</v>
      </c>
      <c r="E57" s="602">
        <v>0.53</v>
      </c>
      <c r="F57" s="602">
        <v>0.8</v>
      </c>
      <c r="G57" s="602">
        <v>1.07</v>
      </c>
      <c r="H57" s="602">
        <v>1.33</v>
      </c>
      <c r="I57" s="602">
        <v>1.6</v>
      </c>
      <c r="J57" s="602">
        <v>1.86</v>
      </c>
      <c r="K57" s="602">
        <v>2.13</v>
      </c>
      <c r="L57" s="602">
        <v>2.4</v>
      </c>
      <c r="M57" s="602">
        <v>2.66</v>
      </c>
      <c r="N57" s="602">
        <v>2.93</v>
      </c>
      <c r="O57" s="602">
        <v>3.2</v>
      </c>
      <c r="Q57" s="762"/>
      <c r="R57" s="591" t="s">
        <v>137</v>
      </c>
      <c r="S57" s="592">
        <v>0.32815425457593966</v>
      </c>
      <c r="T57" s="603">
        <v>4.2459532499373134E-2</v>
      </c>
      <c r="U57" s="602">
        <v>8.8673372978380488E-2</v>
      </c>
      <c r="V57" s="592">
        <v>0.14087395051123611</v>
      </c>
      <c r="W57" s="592">
        <v>0.41821951893834669</v>
      </c>
      <c r="X57" s="592">
        <v>0.35033216638641562</v>
      </c>
      <c r="Y57" s="592">
        <v>0.283977779000055</v>
      </c>
      <c r="Z57" s="592">
        <v>1.1397884815606335E-2</v>
      </c>
      <c r="AA57" s="613">
        <v>0.12137844406215013</v>
      </c>
      <c r="AB57" s="602">
        <v>0.36764266101188048</v>
      </c>
      <c r="AC57" s="603">
        <v>0</v>
      </c>
      <c r="AD57" s="603">
        <v>0</v>
      </c>
      <c r="AF57" s="762"/>
      <c r="AG57" s="591" t="s">
        <v>138</v>
      </c>
      <c r="AH57" s="592">
        <v>0.32815425457593966</v>
      </c>
      <c r="AI57" s="592">
        <v>0.36962638954670829</v>
      </c>
      <c r="AJ57" s="592">
        <v>0.45734452287000499</v>
      </c>
      <c r="AK57" s="592">
        <v>0.59691318684363659</v>
      </c>
      <c r="AL57" s="592">
        <v>1.0137959635056677</v>
      </c>
      <c r="AM57" s="592">
        <v>1.3611379110731316</v>
      </c>
      <c r="AN57" s="592">
        <v>1.6419338870249161</v>
      </c>
      <c r="AO57" s="592">
        <v>1.6472135459477231</v>
      </c>
      <c r="AP57" s="592">
        <v>1.763059446765517</v>
      </c>
      <c r="AQ57" s="592">
        <v>2.1229372264361253</v>
      </c>
      <c r="AR57" s="592">
        <v>0</v>
      </c>
      <c r="AS57" s="592">
        <v>0</v>
      </c>
    </row>
    <row r="58" spans="1:45">
      <c r="A58" s="105"/>
      <c r="B58" s="762" t="s">
        <v>88</v>
      </c>
      <c r="C58" s="402" t="s">
        <v>136</v>
      </c>
      <c r="D58" s="609"/>
      <c r="E58" s="609"/>
      <c r="F58" s="609"/>
      <c r="G58" s="609"/>
      <c r="H58" s="609"/>
      <c r="I58" s="609"/>
      <c r="J58" s="609"/>
      <c r="K58" s="609"/>
      <c r="L58" s="609"/>
      <c r="M58" s="609"/>
      <c r="N58" s="609"/>
      <c r="O58" s="609"/>
      <c r="Q58" s="762" t="s">
        <v>88</v>
      </c>
      <c r="R58" s="402" t="s">
        <v>136</v>
      </c>
      <c r="S58" s="571">
        <v>3224</v>
      </c>
      <c r="T58" s="571">
        <v>242</v>
      </c>
      <c r="U58" s="571">
        <v>3124</v>
      </c>
      <c r="V58" s="571">
        <v>2117</v>
      </c>
      <c r="W58" s="571">
        <v>9271</v>
      </c>
      <c r="X58" s="571">
        <v>7125</v>
      </c>
      <c r="Y58" s="571">
        <v>5974</v>
      </c>
      <c r="Z58" s="571">
        <v>252</v>
      </c>
      <c r="AA58" s="571">
        <v>4077</v>
      </c>
      <c r="AB58" s="571">
        <v>10920</v>
      </c>
      <c r="AC58" s="571"/>
      <c r="AD58" s="571"/>
      <c r="AF58" s="762" t="s">
        <v>88</v>
      </c>
      <c r="AG58" s="402" t="s">
        <v>136</v>
      </c>
      <c r="AH58" s="571">
        <v>3224</v>
      </c>
      <c r="AI58" s="571">
        <v>3466</v>
      </c>
      <c r="AJ58" s="571">
        <v>6590</v>
      </c>
      <c r="AK58" s="571">
        <v>8707</v>
      </c>
      <c r="AL58" s="571">
        <v>17978</v>
      </c>
      <c r="AM58" s="571">
        <v>25103</v>
      </c>
      <c r="AN58" s="571">
        <v>31077</v>
      </c>
      <c r="AO58" s="571">
        <v>31329</v>
      </c>
      <c r="AP58" s="571">
        <v>35406</v>
      </c>
      <c r="AQ58" s="571">
        <v>46326</v>
      </c>
      <c r="AR58" s="571">
        <v>0</v>
      </c>
      <c r="AS58" s="571">
        <v>0</v>
      </c>
    </row>
    <row r="59" spans="1:45">
      <c r="A59" s="105"/>
      <c r="B59" s="762"/>
      <c r="C59" s="569" t="s">
        <v>133</v>
      </c>
      <c r="D59" s="609"/>
      <c r="E59" s="609"/>
      <c r="F59" s="609"/>
      <c r="G59" s="609"/>
      <c r="H59" s="609"/>
      <c r="I59" s="609"/>
      <c r="J59" s="609"/>
      <c r="K59" s="609"/>
      <c r="L59" s="609"/>
      <c r="M59" s="609"/>
      <c r="N59" s="609"/>
      <c r="O59" s="609"/>
      <c r="Q59" s="762"/>
      <c r="R59" s="569" t="s">
        <v>133</v>
      </c>
      <c r="S59" s="571">
        <v>21705</v>
      </c>
      <c r="T59" s="571">
        <v>21751</v>
      </c>
      <c r="U59" s="571">
        <v>21798</v>
      </c>
      <c r="V59" s="571">
        <v>21849</v>
      </c>
      <c r="W59" s="571">
        <v>21902</v>
      </c>
      <c r="X59" s="571">
        <v>21961</v>
      </c>
      <c r="Y59" s="571">
        <v>21999</v>
      </c>
      <c r="Z59" s="571">
        <v>22037</v>
      </c>
      <c r="AA59" s="571">
        <v>22094</v>
      </c>
      <c r="AB59" s="571">
        <v>22155</v>
      </c>
      <c r="AC59" s="571">
        <v>0</v>
      </c>
      <c r="AD59" s="571">
        <v>0</v>
      </c>
      <c r="AF59" s="762"/>
      <c r="AG59" s="569" t="s">
        <v>133</v>
      </c>
      <c r="AH59" s="571">
        <v>21705</v>
      </c>
      <c r="AI59" s="571">
        <v>21751</v>
      </c>
      <c r="AJ59" s="571">
        <v>21798</v>
      </c>
      <c r="AK59" s="571">
        <v>21849</v>
      </c>
      <c r="AL59" s="571">
        <v>21902</v>
      </c>
      <c r="AM59" s="571">
        <v>21961</v>
      </c>
      <c r="AN59" s="571">
        <v>21999</v>
      </c>
      <c r="AO59" s="571">
        <v>22037</v>
      </c>
      <c r="AP59" s="571">
        <v>22094</v>
      </c>
      <c r="AQ59" s="571">
        <v>22155</v>
      </c>
      <c r="AR59" s="571">
        <v>0</v>
      </c>
      <c r="AS59" s="571">
        <v>0</v>
      </c>
    </row>
    <row r="60" spans="1:45">
      <c r="A60" s="105"/>
      <c r="B60" s="762"/>
      <c r="C60" s="591" t="s">
        <v>137</v>
      </c>
      <c r="D60" s="602">
        <v>0.23</v>
      </c>
      <c r="E60" s="602">
        <v>0.47</v>
      </c>
      <c r="F60" s="602">
        <v>0.7</v>
      </c>
      <c r="G60" s="602">
        <v>0.94</v>
      </c>
      <c r="H60" s="602">
        <v>1.17</v>
      </c>
      <c r="I60" s="602">
        <v>1.4</v>
      </c>
      <c r="J60" s="602">
        <v>1.64</v>
      </c>
      <c r="K60" s="602">
        <v>1.87</v>
      </c>
      <c r="L60" s="602">
        <v>2.1</v>
      </c>
      <c r="M60" s="602">
        <v>2.34</v>
      </c>
      <c r="N60" s="602">
        <v>2.57</v>
      </c>
      <c r="O60" s="602">
        <v>2.81</v>
      </c>
      <c r="Q60" s="762"/>
      <c r="R60" s="591" t="s">
        <v>137</v>
      </c>
      <c r="S60" s="592">
        <v>0.1485372034093527</v>
      </c>
      <c r="T60" s="592">
        <v>1.112592524481633E-2</v>
      </c>
      <c r="U60" s="592">
        <v>0.14331590054133406</v>
      </c>
      <c r="V60" s="592">
        <v>9.6892306284040455E-2</v>
      </c>
      <c r="W60" s="592">
        <v>0.42329467628527073</v>
      </c>
      <c r="X60" s="592">
        <v>0.324438777833432</v>
      </c>
      <c r="Y60" s="592">
        <v>0.27155779808173097</v>
      </c>
      <c r="Z60" s="592">
        <v>1.143531333666107E-2</v>
      </c>
      <c r="AA60" s="592">
        <v>0.18452973658006699</v>
      </c>
      <c r="AB60" s="602">
        <v>0.49289099526066349</v>
      </c>
      <c r="AC60" s="602">
        <v>0</v>
      </c>
      <c r="AD60" s="592">
        <v>0</v>
      </c>
      <c r="AF60" s="762"/>
      <c r="AG60" s="591" t="s">
        <v>138</v>
      </c>
      <c r="AH60" s="592">
        <v>0.1485372034093527</v>
      </c>
      <c r="AI60" s="592">
        <v>0.15934899544848513</v>
      </c>
      <c r="AJ60" s="592">
        <v>0.3023213138820075</v>
      </c>
      <c r="AK60" s="592">
        <v>0.39850794086685887</v>
      </c>
      <c r="AL60" s="592">
        <v>0.82083827960916811</v>
      </c>
      <c r="AM60" s="603">
        <v>1.1430718091161605</v>
      </c>
      <c r="AN60" s="592">
        <v>1.4126551206873039</v>
      </c>
      <c r="AO60" s="592">
        <v>1.4216544901756138</v>
      </c>
      <c r="AP60" s="592">
        <v>1.6025165203222593</v>
      </c>
      <c r="AQ60" s="592">
        <v>2.0909952606635072</v>
      </c>
      <c r="AR60" s="592">
        <v>0</v>
      </c>
      <c r="AS60" s="592">
        <v>0</v>
      </c>
    </row>
    <row r="61" spans="1:45">
      <c r="A61" s="105"/>
      <c r="B61" s="762" t="s">
        <v>121</v>
      </c>
      <c r="C61" s="402" t="s">
        <v>136</v>
      </c>
      <c r="D61" s="609"/>
      <c r="E61" s="609"/>
      <c r="F61" s="609"/>
      <c r="G61" s="609"/>
      <c r="H61" s="609"/>
      <c r="I61" s="609"/>
      <c r="J61" s="609"/>
      <c r="K61" s="609"/>
      <c r="L61" s="609"/>
      <c r="M61" s="609"/>
      <c r="N61" s="609"/>
      <c r="O61" s="609"/>
      <c r="Q61" s="762" t="s">
        <v>121</v>
      </c>
      <c r="R61" s="402" t="s">
        <v>136</v>
      </c>
      <c r="S61" s="571">
        <v>424</v>
      </c>
      <c r="T61" s="571">
        <v>939</v>
      </c>
      <c r="U61" s="571">
        <v>2405</v>
      </c>
      <c r="V61" s="571">
        <v>3369</v>
      </c>
      <c r="W61" s="571">
        <v>6494</v>
      </c>
      <c r="X61" s="571">
        <v>4710</v>
      </c>
      <c r="Y61" s="571">
        <v>4748</v>
      </c>
      <c r="Z61" s="571">
        <v>171</v>
      </c>
      <c r="AA61" s="571">
        <v>1578</v>
      </c>
      <c r="AB61" s="571">
        <v>6401</v>
      </c>
      <c r="AC61" s="571"/>
      <c r="AD61" s="571"/>
      <c r="AF61" s="762" t="s">
        <v>121</v>
      </c>
      <c r="AG61" s="402" t="s">
        <v>136</v>
      </c>
      <c r="AH61" s="571">
        <v>424</v>
      </c>
      <c r="AI61" s="571">
        <v>1363</v>
      </c>
      <c r="AJ61" s="571">
        <v>3768</v>
      </c>
      <c r="AK61" s="571">
        <v>7137</v>
      </c>
      <c r="AL61" s="571">
        <v>13631</v>
      </c>
      <c r="AM61" s="571">
        <v>18341</v>
      </c>
      <c r="AN61" s="571">
        <v>23089</v>
      </c>
      <c r="AO61" s="571">
        <v>23260</v>
      </c>
      <c r="AP61" s="571">
        <v>24838</v>
      </c>
      <c r="AQ61" s="571">
        <v>31239</v>
      </c>
      <c r="AR61" s="571">
        <v>0</v>
      </c>
      <c r="AS61" s="571">
        <v>0</v>
      </c>
    </row>
    <row r="62" spans="1:45">
      <c r="A62" s="105"/>
      <c r="B62" s="762"/>
      <c r="C62" s="569" t="s">
        <v>133</v>
      </c>
      <c r="D62" s="609"/>
      <c r="E62" s="609"/>
      <c r="F62" s="609"/>
      <c r="G62" s="609"/>
      <c r="H62" s="609"/>
      <c r="I62" s="609"/>
      <c r="J62" s="609"/>
      <c r="K62" s="609"/>
      <c r="L62" s="609"/>
      <c r="M62" s="609"/>
      <c r="N62" s="609"/>
      <c r="O62" s="609"/>
      <c r="Q62" s="762"/>
      <c r="R62" s="569" t="s">
        <v>133</v>
      </c>
      <c r="S62" s="571">
        <v>22738</v>
      </c>
      <c r="T62" s="571">
        <v>22826</v>
      </c>
      <c r="U62" s="571">
        <v>22869</v>
      </c>
      <c r="V62" s="571">
        <v>22908</v>
      </c>
      <c r="W62" s="571">
        <v>22948</v>
      </c>
      <c r="X62" s="571">
        <v>23000</v>
      </c>
      <c r="Y62" s="571">
        <v>23047</v>
      </c>
      <c r="Z62" s="571">
        <v>23067</v>
      </c>
      <c r="AA62" s="571">
        <v>23111</v>
      </c>
      <c r="AB62" s="571">
        <v>23195</v>
      </c>
      <c r="AC62" s="571">
        <v>0</v>
      </c>
      <c r="AD62" s="571">
        <v>0</v>
      </c>
      <c r="AF62" s="762"/>
      <c r="AG62" s="569" t="s">
        <v>133</v>
      </c>
      <c r="AH62" s="571">
        <v>22738</v>
      </c>
      <c r="AI62" s="571">
        <v>22826</v>
      </c>
      <c r="AJ62" s="571">
        <v>22869</v>
      </c>
      <c r="AK62" s="571">
        <v>22908</v>
      </c>
      <c r="AL62" s="571">
        <v>22948</v>
      </c>
      <c r="AM62" s="571">
        <v>23000</v>
      </c>
      <c r="AN62" s="571">
        <v>23047</v>
      </c>
      <c r="AO62" s="571">
        <v>23067</v>
      </c>
      <c r="AP62" s="571">
        <v>23111</v>
      </c>
      <c r="AQ62" s="571">
        <v>23195</v>
      </c>
      <c r="AR62" s="571">
        <v>0</v>
      </c>
      <c r="AS62" s="571">
        <v>0</v>
      </c>
    </row>
    <row r="63" spans="1:45">
      <c r="A63" s="105"/>
      <c r="B63" s="762"/>
      <c r="C63" s="591" t="s">
        <v>137</v>
      </c>
      <c r="D63" s="602">
        <v>0.17</v>
      </c>
      <c r="E63" s="602">
        <v>0.34</v>
      </c>
      <c r="F63" s="602">
        <v>0.51</v>
      </c>
      <c r="G63" s="602">
        <v>0.68</v>
      </c>
      <c r="H63" s="602">
        <v>0.85</v>
      </c>
      <c r="I63" s="602">
        <v>1.02</v>
      </c>
      <c r="J63" s="602">
        <v>1.19</v>
      </c>
      <c r="K63" s="602">
        <v>1.37</v>
      </c>
      <c r="L63" s="602">
        <v>1.54</v>
      </c>
      <c r="M63" s="602">
        <v>1.71</v>
      </c>
      <c r="N63" s="602">
        <v>1.88</v>
      </c>
      <c r="O63" s="602">
        <v>2.0499999999999998</v>
      </c>
      <c r="Q63" s="762"/>
      <c r="R63" s="591" t="s">
        <v>137</v>
      </c>
      <c r="S63" s="602">
        <v>1.8647198522297476E-2</v>
      </c>
      <c r="T63" s="592">
        <v>4.1137299570665031E-2</v>
      </c>
      <c r="U63" s="592">
        <v>0.10516419607328699</v>
      </c>
      <c r="V63" s="592">
        <v>0.14706652697747513</v>
      </c>
      <c r="W63" s="592">
        <v>0.2829876241938295</v>
      </c>
      <c r="X63" s="592">
        <v>0.20478260869565218</v>
      </c>
      <c r="Y63" s="592">
        <v>0.20601379789126567</v>
      </c>
      <c r="Z63" s="592">
        <v>7.4131876706984004E-3</v>
      </c>
      <c r="AA63" s="592">
        <v>6.8279174419107788E-2</v>
      </c>
      <c r="AB63" s="602">
        <v>0.27596464755335204</v>
      </c>
      <c r="AC63" s="603">
        <v>0</v>
      </c>
      <c r="AD63" s="592">
        <v>0</v>
      </c>
      <c r="AF63" s="762"/>
      <c r="AG63" s="591" t="s">
        <v>138</v>
      </c>
      <c r="AH63" s="592">
        <v>1.8647198522297476E-2</v>
      </c>
      <c r="AI63" s="592">
        <v>5.9712608428984494E-2</v>
      </c>
      <c r="AJ63" s="592">
        <v>0.16476452840089204</v>
      </c>
      <c r="AK63" s="592">
        <v>0.3115505500261917</v>
      </c>
      <c r="AL63" s="592">
        <v>0.59399511940038352</v>
      </c>
      <c r="AM63" s="592">
        <v>0.7974347826086956</v>
      </c>
      <c r="AN63" s="592">
        <v>1.0018223629973533</v>
      </c>
      <c r="AO63" s="592">
        <v>1.0083669311137122</v>
      </c>
      <c r="AP63" s="592">
        <v>1.0747263207996192</v>
      </c>
      <c r="AQ63" s="592">
        <v>1.3467988790687648</v>
      </c>
      <c r="AR63" s="592">
        <v>0</v>
      </c>
      <c r="AS63" s="592">
        <v>0</v>
      </c>
    </row>
    <row r="64" spans="1:45">
      <c r="A64" s="105"/>
      <c r="B64" s="762" t="s">
        <v>89</v>
      </c>
      <c r="C64" s="402" t="s">
        <v>136</v>
      </c>
      <c r="D64" s="609"/>
      <c r="E64" s="609"/>
      <c r="F64" s="609"/>
      <c r="G64" s="609"/>
      <c r="H64" s="609"/>
      <c r="I64" s="609"/>
      <c r="J64" s="609"/>
      <c r="K64" s="609"/>
      <c r="L64" s="609"/>
      <c r="M64" s="609"/>
      <c r="N64" s="609"/>
      <c r="O64" s="609"/>
      <c r="Q64" s="762" t="s">
        <v>89</v>
      </c>
      <c r="R64" s="402" t="s">
        <v>136</v>
      </c>
      <c r="S64" s="571">
        <v>1884</v>
      </c>
      <c r="T64" s="571">
        <v>548</v>
      </c>
      <c r="U64" s="571">
        <v>4685</v>
      </c>
      <c r="V64" s="571">
        <v>4588</v>
      </c>
      <c r="W64" s="571">
        <v>13583</v>
      </c>
      <c r="X64" s="571">
        <v>7160</v>
      </c>
      <c r="Y64" s="571">
        <v>8587</v>
      </c>
      <c r="Z64" s="571">
        <v>2924</v>
      </c>
      <c r="AA64" s="571">
        <v>169</v>
      </c>
      <c r="AB64" s="571">
        <v>1795</v>
      </c>
      <c r="AC64" s="571"/>
      <c r="AD64" s="571"/>
      <c r="AF64" s="762" t="s">
        <v>89</v>
      </c>
      <c r="AG64" s="402" t="s">
        <v>136</v>
      </c>
      <c r="AH64" s="571">
        <v>1884</v>
      </c>
      <c r="AI64" s="571">
        <v>2432</v>
      </c>
      <c r="AJ64" s="571">
        <v>7117</v>
      </c>
      <c r="AK64" s="571">
        <v>11705</v>
      </c>
      <c r="AL64" s="571">
        <v>25288</v>
      </c>
      <c r="AM64" s="571">
        <v>32448</v>
      </c>
      <c r="AN64" s="571">
        <v>41035</v>
      </c>
      <c r="AO64" s="571">
        <v>43959</v>
      </c>
      <c r="AP64" s="571">
        <v>44128</v>
      </c>
      <c r="AQ64" s="571">
        <v>45923</v>
      </c>
      <c r="AR64" s="571">
        <v>0</v>
      </c>
      <c r="AS64" s="571">
        <v>0</v>
      </c>
    </row>
    <row r="65" spans="1:47">
      <c r="A65" s="105"/>
      <c r="B65" s="762"/>
      <c r="C65" s="569" t="s">
        <v>133</v>
      </c>
      <c r="D65" s="609"/>
      <c r="E65" s="609"/>
      <c r="F65" s="609"/>
      <c r="G65" s="609"/>
      <c r="H65" s="609"/>
      <c r="I65" s="609"/>
      <c r="J65" s="609"/>
      <c r="K65" s="609"/>
      <c r="L65" s="609"/>
      <c r="M65" s="609"/>
      <c r="N65" s="609"/>
      <c r="O65" s="609"/>
      <c r="Q65" s="762"/>
      <c r="R65" s="569" t="s">
        <v>133</v>
      </c>
      <c r="S65" s="571">
        <v>29532</v>
      </c>
      <c r="T65" s="571">
        <v>29631</v>
      </c>
      <c r="U65" s="571">
        <v>29740</v>
      </c>
      <c r="V65" s="571">
        <v>29882</v>
      </c>
      <c r="W65" s="571">
        <v>29977</v>
      </c>
      <c r="X65" s="571">
        <v>30072</v>
      </c>
      <c r="Y65" s="571">
        <v>30175</v>
      </c>
      <c r="Z65" s="571">
        <v>30244</v>
      </c>
      <c r="AA65" s="571">
        <v>30382</v>
      </c>
      <c r="AB65" s="571">
        <v>30535</v>
      </c>
      <c r="AC65" s="571">
        <v>0</v>
      </c>
      <c r="AD65" s="571">
        <v>0</v>
      </c>
      <c r="AF65" s="762"/>
      <c r="AG65" s="569" t="s">
        <v>133</v>
      </c>
      <c r="AH65" s="571">
        <v>29532</v>
      </c>
      <c r="AI65" s="571">
        <v>29631</v>
      </c>
      <c r="AJ65" s="571">
        <v>29740</v>
      </c>
      <c r="AK65" s="571">
        <v>29882</v>
      </c>
      <c r="AL65" s="571">
        <v>29977</v>
      </c>
      <c r="AM65" s="571">
        <v>30072</v>
      </c>
      <c r="AN65" s="571">
        <v>30175</v>
      </c>
      <c r="AO65" s="571">
        <v>30244</v>
      </c>
      <c r="AP65" s="571">
        <v>30382</v>
      </c>
      <c r="AQ65" s="571">
        <v>30535</v>
      </c>
      <c r="AR65" s="571">
        <v>0</v>
      </c>
      <c r="AS65" s="571">
        <v>0</v>
      </c>
    </row>
    <row r="66" spans="1:47">
      <c r="A66" s="105"/>
      <c r="B66" s="762"/>
      <c r="C66" s="591" t="s">
        <v>137</v>
      </c>
      <c r="D66" s="602">
        <v>0.22</v>
      </c>
      <c r="E66" s="602">
        <v>0.44</v>
      </c>
      <c r="F66" s="602">
        <v>0.65</v>
      </c>
      <c r="G66" s="602">
        <v>0.87</v>
      </c>
      <c r="H66" s="602">
        <v>1.0900000000000001</v>
      </c>
      <c r="I66" s="602">
        <v>1.31</v>
      </c>
      <c r="J66" s="602">
        <v>1.53</v>
      </c>
      <c r="K66" s="602">
        <v>1.75</v>
      </c>
      <c r="L66" s="602">
        <v>1.96</v>
      </c>
      <c r="M66" s="602">
        <v>2.1800000000000002</v>
      </c>
      <c r="N66" s="602">
        <v>2.4</v>
      </c>
      <c r="O66" s="602">
        <v>2.62</v>
      </c>
      <c r="Q66" s="762"/>
      <c r="R66" s="591" t="s">
        <v>137</v>
      </c>
      <c r="S66" s="592">
        <v>6.3795205201137753E-2</v>
      </c>
      <c r="T66" s="592">
        <v>1.8494144645810132E-2</v>
      </c>
      <c r="U66" s="592">
        <v>0.15753194351042368</v>
      </c>
      <c r="V66" s="602">
        <v>0.15353724650291145</v>
      </c>
      <c r="W66" s="592">
        <v>0.45311405410814959</v>
      </c>
      <c r="X66" s="592">
        <v>0.23809523809523808</v>
      </c>
      <c r="Y66" s="592">
        <v>0.28457332228666116</v>
      </c>
      <c r="Z66" s="592">
        <v>9.6680333289247453E-2</v>
      </c>
      <c r="AA66" s="592">
        <v>5.5625041142781913E-3</v>
      </c>
      <c r="AB66" s="603">
        <v>5.87850008187326E-2</v>
      </c>
      <c r="AC66" s="602">
        <v>0</v>
      </c>
      <c r="AD66" s="592">
        <v>0</v>
      </c>
      <c r="AF66" s="762"/>
      <c r="AG66" s="591" t="s">
        <v>138</v>
      </c>
      <c r="AH66" s="592">
        <v>6.3795205201137753E-2</v>
      </c>
      <c r="AI66" s="592">
        <v>8.2076203975566128E-2</v>
      </c>
      <c r="AJ66" s="592">
        <v>0.23930733019502354</v>
      </c>
      <c r="AK66" s="592">
        <v>0.39170738237065794</v>
      </c>
      <c r="AL66" s="592">
        <v>0.84358007805984592</v>
      </c>
      <c r="AM66" s="592">
        <v>1.0790103750997606</v>
      </c>
      <c r="AN66" s="592">
        <v>1.3599005799502899</v>
      </c>
      <c r="AO66" s="592">
        <v>1.4534783758762069</v>
      </c>
      <c r="AP66" s="592">
        <v>1.452438944111645</v>
      </c>
      <c r="AQ66" s="592">
        <v>1.5039462911413133</v>
      </c>
      <c r="AR66" s="592">
        <v>0</v>
      </c>
      <c r="AS66" s="592">
        <v>0</v>
      </c>
    </row>
    <row r="67" spans="1:47">
      <c r="A67" s="105"/>
      <c r="B67" s="762" t="s">
        <v>90</v>
      </c>
      <c r="C67" s="402" t="s">
        <v>136</v>
      </c>
      <c r="D67" s="609"/>
      <c r="E67" s="609"/>
      <c r="F67" s="609"/>
      <c r="G67" s="609"/>
      <c r="H67" s="609"/>
      <c r="I67" s="609"/>
      <c r="J67" s="609"/>
      <c r="K67" s="609"/>
      <c r="L67" s="609"/>
      <c r="M67" s="609"/>
      <c r="N67" s="609"/>
      <c r="O67" s="609"/>
      <c r="Q67" s="762" t="s">
        <v>90</v>
      </c>
      <c r="R67" s="402" t="s">
        <v>136</v>
      </c>
      <c r="S67" s="571">
        <v>22931</v>
      </c>
      <c r="T67" s="571">
        <v>3841</v>
      </c>
      <c r="U67" s="571">
        <v>17799</v>
      </c>
      <c r="V67" s="571">
        <v>31596</v>
      </c>
      <c r="W67" s="571">
        <v>74993</v>
      </c>
      <c r="X67" s="571">
        <v>54305</v>
      </c>
      <c r="Y67" s="571">
        <v>42596</v>
      </c>
      <c r="Z67" s="571">
        <v>5226</v>
      </c>
      <c r="AA67" s="571">
        <v>26071</v>
      </c>
      <c r="AB67" s="571">
        <v>69635</v>
      </c>
      <c r="AC67" s="571">
        <v>0</v>
      </c>
      <c r="AD67" s="571">
        <v>0</v>
      </c>
      <c r="AF67" s="762" t="s">
        <v>90</v>
      </c>
      <c r="AG67" s="402" t="s">
        <v>136</v>
      </c>
      <c r="AH67" s="571">
        <v>22931</v>
      </c>
      <c r="AI67" s="571">
        <v>26772</v>
      </c>
      <c r="AJ67" s="571">
        <v>44571</v>
      </c>
      <c r="AK67" s="571">
        <v>76167</v>
      </c>
      <c r="AL67" s="571">
        <v>151160</v>
      </c>
      <c r="AM67" s="571">
        <v>205465</v>
      </c>
      <c r="AN67" s="571">
        <v>248061</v>
      </c>
      <c r="AO67" s="571">
        <v>253287</v>
      </c>
      <c r="AP67" s="571">
        <v>279358</v>
      </c>
      <c r="AQ67" s="571">
        <v>348993</v>
      </c>
      <c r="AR67" s="571">
        <v>0</v>
      </c>
      <c r="AS67" s="571">
        <v>0</v>
      </c>
    </row>
    <row r="68" spans="1:47">
      <c r="A68" s="105"/>
      <c r="B68" s="762"/>
      <c r="C68" s="569" t="s">
        <v>133</v>
      </c>
      <c r="D68" s="609"/>
      <c r="E68" s="609"/>
      <c r="F68" s="609"/>
      <c r="G68" s="609"/>
      <c r="H68" s="609"/>
      <c r="I68" s="609"/>
      <c r="J68" s="609"/>
      <c r="K68" s="609"/>
      <c r="L68" s="609"/>
      <c r="M68" s="609"/>
      <c r="N68" s="609"/>
      <c r="O68" s="609"/>
      <c r="Q68" s="762"/>
      <c r="R68" s="569" t="s">
        <v>133</v>
      </c>
      <c r="S68" s="571">
        <v>156497</v>
      </c>
      <c r="T68" s="571">
        <v>156964</v>
      </c>
      <c r="U68" s="571">
        <v>157363</v>
      </c>
      <c r="V68" s="571">
        <v>157791</v>
      </c>
      <c r="W68" s="571">
        <v>158152</v>
      </c>
      <c r="X68" s="571">
        <v>158560</v>
      </c>
      <c r="Y68" s="571">
        <v>158929</v>
      </c>
      <c r="Z68" s="571">
        <v>159292</v>
      </c>
      <c r="AA68" s="571">
        <v>159760</v>
      </c>
      <c r="AB68" s="571">
        <v>160386</v>
      </c>
      <c r="AC68" s="571">
        <v>0</v>
      </c>
      <c r="AD68" s="571">
        <v>0</v>
      </c>
      <c r="AF68" s="762"/>
      <c r="AG68" s="569" t="s">
        <v>133</v>
      </c>
      <c r="AH68" s="571">
        <v>156497</v>
      </c>
      <c r="AI68" s="571">
        <v>156964</v>
      </c>
      <c r="AJ68" s="571">
        <v>157363</v>
      </c>
      <c r="AK68" s="571">
        <v>157791</v>
      </c>
      <c r="AL68" s="571">
        <v>158152</v>
      </c>
      <c r="AM68" s="571">
        <v>158560</v>
      </c>
      <c r="AN68" s="571">
        <v>158929</v>
      </c>
      <c r="AO68" s="571">
        <v>159292</v>
      </c>
      <c r="AP68" s="571">
        <v>159760</v>
      </c>
      <c r="AQ68" s="571">
        <v>160386</v>
      </c>
      <c r="AR68" s="571">
        <v>0</v>
      </c>
      <c r="AS68" s="571">
        <v>0</v>
      </c>
    </row>
    <row r="69" spans="1:47">
      <c r="A69" s="105"/>
      <c r="B69" s="762"/>
      <c r="C69" s="591" t="s">
        <v>137</v>
      </c>
      <c r="D69" s="602">
        <v>0.25</v>
      </c>
      <c r="E69" s="602">
        <v>0.49</v>
      </c>
      <c r="F69" s="602">
        <v>0.74</v>
      </c>
      <c r="G69" s="602">
        <v>0.99</v>
      </c>
      <c r="H69" s="602">
        <v>1.24</v>
      </c>
      <c r="I69" s="602">
        <v>1.48</v>
      </c>
      <c r="J69" s="602">
        <v>1.73</v>
      </c>
      <c r="K69" s="602">
        <v>1.98</v>
      </c>
      <c r="L69" s="602">
        <v>2.2200000000000002</v>
      </c>
      <c r="M69" s="602">
        <v>2.4700000000000002</v>
      </c>
      <c r="N69" s="602">
        <v>2.72</v>
      </c>
      <c r="O69" s="602">
        <v>2.97</v>
      </c>
      <c r="Q69" s="762"/>
      <c r="R69" s="591" t="s">
        <v>137</v>
      </c>
      <c r="S69" s="603">
        <v>0.14652677048122328</v>
      </c>
      <c r="T69" s="603">
        <v>2.4470579241099868E-2</v>
      </c>
      <c r="U69" s="603">
        <v>0.11310790973735885</v>
      </c>
      <c r="V69" s="603">
        <v>0.20023955738920471</v>
      </c>
      <c r="W69" s="603">
        <v>0.4741830643937478</v>
      </c>
      <c r="X69" s="602">
        <v>0.34248864783047428</v>
      </c>
      <c r="Y69" s="602">
        <v>0.26801905253289204</v>
      </c>
      <c r="Z69" s="592">
        <v>3.2807673957260877E-2</v>
      </c>
      <c r="AA69" s="592">
        <v>0.16318853279919879</v>
      </c>
      <c r="AB69" s="602">
        <v>0.43417131171049844</v>
      </c>
      <c r="AC69" s="592">
        <v>0</v>
      </c>
      <c r="AD69" s="592">
        <v>0</v>
      </c>
      <c r="AF69" s="762"/>
      <c r="AG69" s="591" t="s">
        <v>138</v>
      </c>
      <c r="AH69" s="603">
        <v>0.14652677048122328</v>
      </c>
      <c r="AI69" s="603">
        <v>0.17056140261461228</v>
      </c>
      <c r="AJ69" s="603">
        <v>0.28323684728938825</v>
      </c>
      <c r="AK69" s="603">
        <v>0.48270813924748562</v>
      </c>
      <c r="AL69" s="603">
        <v>0.95578936719105667</v>
      </c>
      <c r="AM69" s="603">
        <v>1.2958186175580222</v>
      </c>
      <c r="AN69" s="603">
        <v>1.5608290494497543</v>
      </c>
      <c r="AO69" s="603">
        <v>1.5900798533510785</v>
      </c>
      <c r="AP69" s="603">
        <v>1.7486104156234352</v>
      </c>
      <c r="AQ69" s="603">
        <v>2.1759567543301785</v>
      </c>
      <c r="AR69" s="603">
        <v>0</v>
      </c>
      <c r="AS69" s="603">
        <v>0</v>
      </c>
    </row>
    <row r="70" spans="1:47">
      <c r="A70" s="105"/>
      <c r="B70" s="125"/>
      <c r="C70" s="263"/>
      <c r="D70" s="576"/>
      <c r="E70" s="576"/>
      <c r="F70" s="576"/>
      <c r="G70" s="576"/>
      <c r="H70" s="576"/>
      <c r="I70" s="576"/>
      <c r="J70" s="576"/>
      <c r="K70" s="576"/>
      <c r="L70" s="576"/>
      <c r="M70" s="576"/>
      <c r="N70" s="576"/>
      <c r="O70" s="576"/>
      <c r="Q70" s="125"/>
      <c r="R70" s="263"/>
      <c r="S70" s="576"/>
      <c r="T70" s="576"/>
      <c r="U70" s="576"/>
      <c r="V70" s="576"/>
      <c r="W70" s="576"/>
      <c r="X70" s="576"/>
      <c r="Y70" s="576"/>
      <c r="Z70" s="576"/>
      <c r="AA70" s="576"/>
      <c r="AB70" s="605"/>
      <c r="AC70" s="576"/>
      <c r="AD70" s="576"/>
      <c r="AF70" s="125"/>
      <c r="AG70" s="263"/>
      <c r="AH70" s="606"/>
      <c r="AI70" s="606"/>
      <c r="AJ70" s="606"/>
      <c r="AK70" s="606"/>
      <c r="AL70" s="606"/>
      <c r="AM70" s="606"/>
      <c r="AN70" s="606"/>
      <c r="AO70" s="606"/>
      <c r="AP70" s="606"/>
      <c r="AQ70" s="606"/>
      <c r="AR70" s="606"/>
      <c r="AS70" s="606"/>
      <c r="AU70"/>
    </row>
    <row r="71" spans="1:47">
      <c r="A71" s="105"/>
      <c r="B71" t="s">
        <v>139</v>
      </c>
      <c r="D71"/>
      <c r="E71"/>
      <c r="F71"/>
      <c r="G71"/>
      <c r="H71"/>
      <c r="I71"/>
      <c r="J71"/>
      <c r="K71"/>
      <c r="L71"/>
      <c r="M71"/>
      <c r="N71"/>
      <c r="O71"/>
      <c r="Q71" t="s">
        <v>139</v>
      </c>
      <c r="S71"/>
      <c r="T71"/>
      <c r="U71"/>
      <c r="V71"/>
      <c r="W71"/>
      <c r="X71"/>
      <c r="Y71"/>
      <c r="Z71"/>
      <c r="AA71"/>
      <c r="AB71"/>
      <c r="AC71"/>
      <c r="AD71"/>
      <c r="AF71" t="s">
        <v>139</v>
      </c>
      <c r="AH71"/>
      <c r="AI71"/>
      <c r="AJ71"/>
      <c r="AK71"/>
      <c r="AL71"/>
      <c r="AM71"/>
      <c r="AN71"/>
      <c r="AO71"/>
      <c r="AP71"/>
      <c r="AQ71"/>
      <c r="AR71"/>
      <c r="AS71"/>
    </row>
    <row r="72" spans="1:47">
      <c r="A72" s="105"/>
      <c r="B72" t="s">
        <v>100</v>
      </c>
      <c r="D72"/>
      <c r="E72"/>
      <c r="F72"/>
      <c r="G72"/>
      <c r="H72"/>
      <c r="I72"/>
      <c r="J72"/>
      <c r="K72"/>
      <c r="L72"/>
      <c r="M72"/>
      <c r="N72"/>
      <c r="O72"/>
      <c r="Q72" t="s">
        <v>126</v>
      </c>
      <c r="S72"/>
      <c r="T72"/>
      <c r="U72"/>
      <c r="V72"/>
      <c r="W72"/>
      <c r="X72"/>
      <c r="Y72"/>
      <c r="Z72"/>
      <c r="AA72"/>
      <c r="AB72"/>
      <c r="AC72"/>
      <c r="AD72"/>
      <c r="AF72" t="s">
        <v>127</v>
      </c>
      <c r="AH72"/>
      <c r="AI72"/>
      <c r="AJ72"/>
      <c r="AK72"/>
      <c r="AL72"/>
      <c r="AM72"/>
      <c r="AN72"/>
      <c r="AO72"/>
      <c r="AP72"/>
      <c r="AQ72"/>
      <c r="AR72"/>
      <c r="AS72"/>
    </row>
    <row r="73" spans="1:47">
      <c r="A73" s="105"/>
      <c r="B73" s="755" t="s">
        <v>72</v>
      </c>
      <c r="C73" s="756"/>
      <c r="D73" s="552" t="s">
        <v>74</v>
      </c>
      <c r="E73" s="552" t="s">
        <v>75</v>
      </c>
      <c r="F73" s="552" t="s">
        <v>76</v>
      </c>
      <c r="G73" s="552" t="s">
        <v>77</v>
      </c>
      <c r="H73" s="552" t="s">
        <v>78</v>
      </c>
      <c r="I73" s="552" t="s">
        <v>79</v>
      </c>
      <c r="J73" s="552" t="s">
        <v>80</v>
      </c>
      <c r="K73" s="552" t="s">
        <v>81</v>
      </c>
      <c r="L73" s="552" t="s">
        <v>82</v>
      </c>
      <c r="M73" s="552" t="s">
        <v>83</v>
      </c>
      <c r="N73" s="552" t="s">
        <v>84</v>
      </c>
      <c r="O73" s="552" t="s">
        <v>85</v>
      </c>
      <c r="Q73" s="755" t="s">
        <v>72</v>
      </c>
      <c r="R73" s="756"/>
      <c r="S73" s="552" t="s">
        <v>74</v>
      </c>
      <c r="T73" s="552" t="s">
        <v>75</v>
      </c>
      <c r="U73" s="552" t="s">
        <v>76</v>
      </c>
      <c r="V73" s="552" t="s">
        <v>77</v>
      </c>
      <c r="W73" s="552" t="s">
        <v>78</v>
      </c>
      <c r="X73" s="552" t="s">
        <v>79</v>
      </c>
      <c r="Y73" s="552" t="s">
        <v>80</v>
      </c>
      <c r="Z73" s="552" t="s">
        <v>81</v>
      </c>
      <c r="AA73" s="552" t="s">
        <v>82</v>
      </c>
      <c r="AB73" s="552" t="s">
        <v>83</v>
      </c>
      <c r="AC73" s="552" t="s">
        <v>84</v>
      </c>
      <c r="AD73" s="552" t="s">
        <v>85</v>
      </c>
      <c r="AF73" s="755" t="s">
        <v>72</v>
      </c>
      <c r="AG73" s="756"/>
      <c r="AH73" s="552" t="s">
        <v>74</v>
      </c>
      <c r="AI73" s="552" t="s">
        <v>75</v>
      </c>
      <c r="AJ73" s="552" t="s">
        <v>76</v>
      </c>
      <c r="AK73" s="552" t="s">
        <v>77</v>
      </c>
      <c r="AL73" s="552" t="s">
        <v>78</v>
      </c>
      <c r="AM73" s="552" t="s">
        <v>79</v>
      </c>
      <c r="AN73" s="552" t="s">
        <v>80</v>
      </c>
      <c r="AO73" s="552" t="s">
        <v>81</v>
      </c>
      <c r="AP73" s="552" t="s">
        <v>82</v>
      </c>
      <c r="AQ73" s="552" t="s">
        <v>83</v>
      </c>
      <c r="AR73" s="552" t="s">
        <v>84</v>
      </c>
      <c r="AS73" s="552" t="s">
        <v>85</v>
      </c>
    </row>
    <row r="74" spans="1:47">
      <c r="A74" s="105"/>
      <c r="B74" s="607" t="s">
        <v>128</v>
      </c>
      <c r="C74" s="402" t="s">
        <v>140</v>
      </c>
      <c r="D74" s="611">
        <v>4.04</v>
      </c>
      <c r="E74" s="611">
        <v>8.08</v>
      </c>
      <c r="F74" s="611">
        <v>12.12</v>
      </c>
      <c r="G74" s="611">
        <v>16.16</v>
      </c>
      <c r="H74" s="611">
        <v>20.190000000000001</v>
      </c>
      <c r="I74" s="611">
        <v>24.23</v>
      </c>
      <c r="J74" s="611">
        <v>28.27</v>
      </c>
      <c r="K74" s="611">
        <v>32.31</v>
      </c>
      <c r="L74" s="611">
        <v>36.35</v>
      </c>
      <c r="M74" s="611">
        <v>40.39</v>
      </c>
      <c r="N74" s="611">
        <v>44.43</v>
      </c>
      <c r="O74" s="611">
        <v>48.47</v>
      </c>
      <c r="Q74" s="607" t="s">
        <v>128</v>
      </c>
      <c r="R74" s="402" t="s">
        <v>140</v>
      </c>
      <c r="S74" s="610">
        <v>1.7090000000000001</v>
      </c>
      <c r="T74" s="610">
        <v>0.48199999999999998</v>
      </c>
      <c r="U74" s="610">
        <v>0.22800000000000001</v>
      </c>
      <c r="V74" s="610">
        <v>2.8260000000000001</v>
      </c>
      <c r="W74" s="243">
        <v>6.7009999999999996</v>
      </c>
      <c r="X74" s="571">
        <v>5.7050000000000001</v>
      </c>
      <c r="Y74" s="571">
        <v>1.224</v>
      </c>
      <c r="Z74" s="571">
        <v>1.3779999999999999</v>
      </c>
      <c r="AA74" s="571">
        <v>2.29</v>
      </c>
      <c r="AB74" s="571">
        <v>6.44</v>
      </c>
      <c r="AC74" s="571"/>
      <c r="AD74" s="402"/>
      <c r="AF74" s="607" t="s">
        <v>128</v>
      </c>
      <c r="AG74" s="402" t="s">
        <v>140</v>
      </c>
      <c r="AH74" s="571">
        <v>1.7090000000000001</v>
      </c>
      <c r="AI74" s="571">
        <v>2.1909999999999998</v>
      </c>
      <c r="AJ74" s="571">
        <v>2.419</v>
      </c>
      <c r="AK74" s="571">
        <v>5.2450000000000001</v>
      </c>
      <c r="AL74" s="571">
        <v>11.946</v>
      </c>
      <c r="AM74" s="610">
        <v>17.651</v>
      </c>
      <c r="AN74" s="571">
        <v>18.875</v>
      </c>
      <c r="AO74" s="571">
        <v>20.253</v>
      </c>
      <c r="AP74" s="571">
        <v>22.542999999999999</v>
      </c>
      <c r="AQ74" s="571">
        <v>28.983000000000001</v>
      </c>
      <c r="AR74" s="571">
        <v>0</v>
      </c>
      <c r="AS74" s="571">
        <v>0</v>
      </c>
    </row>
    <row r="75" spans="1:47">
      <c r="A75" s="105"/>
      <c r="B75" s="556" t="s">
        <v>87</v>
      </c>
      <c r="C75" s="402" t="s">
        <v>140</v>
      </c>
      <c r="D75" s="611">
        <v>2.4500000000000002</v>
      </c>
      <c r="E75" s="611">
        <v>4.9000000000000004</v>
      </c>
      <c r="F75" s="611">
        <v>7.35</v>
      </c>
      <c r="G75" s="611">
        <v>9.8000000000000007</v>
      </c>
      <c r="H75" s="611">
        <v>12.25</v>
      </c>
      <c r="I75" s="611">
        <v>14.69</v>
      </c>
      <c r="J75" s="611">
        <v>17.14</v>
      </c>
      <c r="K75" s="611">
        <v>19.59</v>
      </c>
      <c r="L75" s="611">
        <v>22.04</v>
      </c>
      <c r="M75" s="611">
        <v>24.49</v>
      </c>
      <c r="N75" s="611">
        <v>26.94</v>
      </c>
      <c r="O75" s="611">
        <v>29.39</v>
      </c>
      <c r="Q75" s="556" t="s">
        <v>87</v>
      </c>
      <c r="R75" s="402" t="s">
        <v>140</v>
      </c>
      <c r="S75" s="610">
        <v>2.7029999999999998</v>
      </c>
      <c r="T75" s="610">
        <v>0.65200000000000002</v>
      </c>
      <c r="U75" s="610">
        <v>7.0000000000000007E-2</v>
      </c>
      <c r="V75" s="610">
        <v>1.2769999999999999</v>
      </c>
      <c r="W75" s="612">
        <v>3.1419999999999999</v>
      </c>
      <c r="X75" s="571">
        <v>2.8359999999999999</v>
      </c>
      <c r="Y75" s="571">
        <v>1.8260000000000001</v>
      </c>
      <c r="Z75" s="571">
        <v>2.1999999999999999E-2</v>
      </c>
      <c r="AA75" s="571">
        <v>1.4830000000000001</v>
      </c>
      <c r="AB75" s="571">
        <v>1.9139999999999999</v>
      </c>
      <c r="AC75" s="571"/>
      <c r="AD75" s="571"/>
      <c r="AF75" s="556" t="s">
        <v>87</v>
      </c>
      <c r="AG75" s="402" t="s">
        <v>140</v>
      </c>
      <c r="AH75" s="571">
        <v>2.7029999999999998</v>
      </c>
      <c r="AI75" s="571">
        <v>3.355</v>
      </c>
      <c r="AJ75" s="571">
        <v>3.5830000000000002</v>
      </c>
      <c r="AK75" s="571">
        <v>4.8600000000000003</v>
      </c>
      <c r="AL75" s="571">
        <v>8.0020000000000007</v>
      </c>
      <c r="AM75" s="609">
        <v>10.838000000000001</v>
      </c>
      <c r="AN75" s="571">
        <v>12.664000000000001</v>
      </c>
      <c r="AO75" s="571">
        <v>12.686000000000002</v>
      </c>
      <c r="AP75" s="571">
        <v>14.169000000000002</v>
      </c>
      <c r="AQ75" s="571">
        <v>16.083000000000002</v>
      </c>
      <c r="AR75" s="571">
        <v>0</v>
      </c>
      <c r="AS75" s="571">
        <v>0</v>
      </c>
    </row>
    <row r="76" spans="1:47">
      <c r="A76" s="105"/>
      <c r="B76" s="556" t="s">
        <v>88</v>
      </c>
      <c r="C76" s="402" t="s">
        <v>140</v>
      </c>
      <c r="D76" s="611">
        <v>0.59</v>
      </c>
      <c r="E76" s="611">
        <v>1.18</v>
      </c>
      <c r="F76" s="611">
        <v>1.77</v>
      </c>
      <c r="G76" s="611">
        <v>2.36</v>
      </c>
      <c r="H76" s="611">
        <v>2.95</v>
      </c>
      <c r="I76" s="611">
        <v>3.54</v>
      </c>
      <c r="J76" s="611">
        <v>4.13</v>
      </c>
      <c r="K76" s="611">
        <v>4.72</v>
      </c>
      <c r="L76" s="611">
        <v>5.31</v>
      </c>
      <c r="M76" s="611">
        <v>5.9</v>
      </c>
      <c r="N76" s="611">
        <v>6.49</v>
      </c>
      <c r="O76" s="611">
        <v>7.08</v>
      </c>
      <c r="Q76" s="556" t="s">
        <v>88</v>
      </c>
      <c r="R76" s="402" t="s">
        <v>140</v>
      </c>
      <c r="S76" s="610">
        <v>0.79600000000000004</v>
      </c>
      <c r="T76" s="610">
        <v>6.0000000000000001E-3</v>
      </c>
      <c r="U76" s="610">
        <v>0.253</v>
      </c>
      <c r="V76" s="610">
        <v>0.83899999999999997</v>
      </c>
      <c r="W76" s="612">
        <v>0.64800000000000002</v>
      </c>
      <c r="X76" s="571">
        <v>0.496</v>
      </c>
      <c r="Y76" s="571">
        <v>0.61499999999999999</v>
      </c>
      <c r="Z76" s="571">
        <v>1.2999999999999999E-2</v>
      </c>
      <c r="AA76" s="571">
        <v>0.495</v>
      </c>
      <c r="AB76" s="571">
        <v>0.90400000000000003</v>
      </c>
      <c r="AC76" s="571"/>
      <c r="AD76" s="571"/>
      <c r="AF76" s="556" t="s">
        <v>88</v>
      </c>
      <c r="AG76" s="402" t="s">
        <v>140</v>
      </c>
      <c r="AH76" s="571">
        <v>0.79600000000000004</v>
      </c>
      <c r="AI76" s="571">
        <v>0.80200000000000005</v>
      </c>
      <c r="AJ76" s="571">
        <v>1.0550000000000002</v>
      </c>
      <c r="AK76" s="571">
        <v>1.8940000000000001</v>
      </c>
      <c r="AL76" s="571">
        <v>2.5420000000000003</v>
      </c>
      <c r="AM76" s="610">
        <v>3.0380000000000003</v>
      </c>
      <c r="AN76" s="571">
        <v>3.6530000000000005</v>
      </c>
      <c r="AO76" s="571">
        <v>3.6660000000000004</v>
      </c>
      <c r="AP76" s="571">
        <v>4.1610000000000005</v>
      </c>
      <c r="AQ76" s="571">
        <v>5.0650000000000004</v>
      </c>
      <c r="AR76" s="571">
        <v>0</v>
      </c>
      <c r="AS76" s="571">
        <v>0</v>
      </c>
    </row>
    <row r="77" spans="1:47">
      <c r="A77" s="105"/>
      <c r="B77" s="556" t="s">
        <v>121</v>
      </c>
      <c r="C77" s="402" t="s">
        <v>140</v>
      </c>
      <c r="D77" s="611">
        <v>0.86</v>
      </c>
      <c r="E77" s="611">
        <v>1.72</v>
      </c>
      <c r="F77" s="611">
        <v>2.58</v>
      </c>
      <c r="G77" s="611">
        <v>3.45</v>
      </c>
      <c r="H77" s="611">
        <v>4.3099999999999996</v>
      </c>
      <c r="I77" s="611">
        <v>5.17</v>
      </c>
      <c r="J77" s="611">
        <v>6.03</v>
      </c>
      <c r="K77" s="611">
        <v>6.89</v>
      </c>
      <c r="L77" s="611">
        <v>7.75</v>
      </c>
      <c r="M77" s="611">
        <v>8.61</v>
      </c>
      <c r="N77" s="611">
        <v>9.4700000000000006</v>
      </c>
      <c r="O77" s="611">
        <v>10.34</v>
      </c>
      <c r="Q77" s="556" t="s">
        <v>121</v>
      </c>
      <c r="R77" s="402" t="s">
        <v>140</v>
      </c>
      <c r="S77" s="610">
        <v>0.154</v>
      </c>
      <c r="T77" s="610">
        <v>2.1000000000000001E-2</v>
      </c>
      <c r="U77" s="610">
        <v>6.7000000000000004E-2</v>
      </c>
      <c r="V77" s="610">
        <v>0.64500000000000002</v>
      </c>
      <c r="W77" s="612">
        <v>2.2109999999999999</v>
      </c>
      <c r="X77" s="571">
        <v>1.03</v>
      </c>
      <c r="Y77" s="571">
        <v>0.86499999999999999</v>
      </c>
      <c r="Z77" s="571">
        <v>8.9999999999999993E-3</v>
      </c>
      <c r="AA77" s="571">
        <v>0.26200000000000001</v>
      </c>
      <c r="AB77" s="571">
        <v>0.623</v>
      </c>
      <c r="AC77" s="571"/>
      <c r="AD77" s="571"/>
      <c r="AF77" s="556" t="s">
        <v>121</v>
      </c>
      <c r="AG77" s="402" t="s">
        <v>140</v>
      </c>
      <c r="AH77" s="571">
        <v>0.154</v>
      </c>
      <c r="AI77" s="571">
        <v>0.17499999999999999</v>
      </c>
      <c r="AJ77" s="571">
        <v>0.24199999999999999</v>
      </c>
      <c r="AK77" s="571">
        <v>0.88700000000000001</v>
      </c>
      <c r="AL77" s="571">
        <v>3.0979999999999999</v>
      </c>
      <c r="AM77" s="610">
        <v>4.1280000000000001</v>
      </c>
      <c r="AN77" s="571">
        <v>4.9930000000000003</v>
      </c>
      <c r="AO77" s="571">
        <v>5.0020000000000007</v>
      </c>
      <c r="AP77" s="571">
        <v>5.2640000000000011</v>
      </c>
      <c r="AQ77" s="571">
        <v>5.8870000000000013</v>
      </c>
      <c r="AR77" s="571">
        <v>0</v>
      </c>
      <c r="AS77" s="571">
        <v>0</v>
      </c>
    </row>
    <row r="78" spans="1:47">
      <c r="A78" s="105"/>
      <c r="B78" s="556" t="s">
        <v>89</v>
      </c>
      <c r="C78" s="402" t="s">
        <v>140</v>
      </c>
      <c r="D78" s="611">
        <v>1.05</v>
      </c>
      <c r="E78" s="611">
        <v>2.1</v>
      </c>
      <c r="F78" s="611">
        <v>3.15</v>
      </c>
      <c r="G78" s="611">
        <v>4.2</v>
      </c>
      <c r="H78" s="611">
        <v>5.25</v>
      </c>
      <c r="I78" s="611">
        <v>6.3</v>
      </c>
      <c r="J78" s="611">
        <v>7.35</v>
      </c>
      <c r="K78" s="611">
        <v>8.4</v>
      </c>
      <c r="L78" s="611">
        <v>9.4499999999999993</v>
      </c>
      <c r="M78" s="611">
        <v>10.5</v>
      </c>
      <c r="N78" s="611">
        <v>11.55</v>
      </c>
      <c r="O78" s="611">
        <v>12.6</v>
      </c>
      <c r="Q78" s="556" t="s">
        <v>89</v>
      </c>
      <c r="R78" s="402" t="s">
        <v>140</v>
      </c>
      <c r="S78" s="610">
        <v>8.2000000000000003E-2</v>
      </c>
      <c r="T78" s="610">
        <v>2.4E-2</v>
      </c>
      <c r="U78" s="610">
        <v>0.113</v>
      </c>
      <c r="V78" s="610">
        <v>8.6999999999999994E-2</v>
      </c>
      <c r="W78" s="612">
        <v>1.6559999999999999</v>
      </c>
      <c r="X78" s="571">
        <v>0.46200000000000002</v>
      </c>
      <c r="Y78" s="571">
        <v>1.7889999999999999</v>
      </c>
      <c r="Z78" s="571">
        <v>0.58599999999999997</v>
      </c>
      <c r="AA78" s="571">
        <v>4.0000000000000001E-3</v>
      </c>
      <c r="AB78" s="571">
        <v>0.309</v>
      </c>
      <c r="AC78" s="571"/>
      <c r="AD78" s="571"/>
      <c r="AF78" s="556" t="s">
        <v>89</v>
      </c>
      <c r="AG78" s="402" t="s">
        <v>140</v>
      </c>
      <c r="AH78" s="571">
        <v>8.2000000000000003E-2</v>
      </c>
      <c r="AI78" s="571">
        <v>0.10600000000000001</v>
      </c>
      <c r="AJ78" s="571">
        <v>0.21900000000000003</v>
      </c>
      <c r="AK78" s="571">
        <v>0.30600000000000005</v>
      </c>
      <c r="AL78" s="571">
        <v>1.962</v>
      </c>
      <c r="AM78" s="610">
        <v>2.4239999999999999</v>
      </c>
      <c r="AN78" s="571">
        <v>4.2130000000000001</v>
      </c>
      <c r="AO78" s="571">
        <v>4.7990000000000004</v>
      </c>
      <c r="AP78" s="571">
        <v>4.8029999999999999</v>
      </c>
      <c r="AQ78" s="571">
        <v>5.1120000000000001</v>
      </c>
      <c r="AR78" s="571">
        <v>0</v>
      </c>
      <c r="AS78" s="571">
        <v>0</v>
      </c>
    </row>
    <row r="79" spans="1:47">
      <c r="A79" s="105"/>
      <c r="B79" s="608" t="s">
        <v>90</v>
      </c>
      <c r="C79" s="402" t="s">
        <v>140</v>
      </c>
      <c r="D79" s="611">
        <v>8.99</v>
      </c>
      <c r="E79" s="611">
        <v>17.98</v>
      </c>
      <c r="F79" s="611">
        <v>26.97</v>
      </c>
      <c r="G79" s="611">
        <v>35.96</v>
      </c>
      <c r="H79" s="611">
        <v>44.94</v>
      </c>
      <c r="I79" s="611">
        <v>53.93</v>
      </c>
      <c r="J79" s="611">
        <v>62.92</v>
      </c>
      <c r="K79" s="611">
        <v>71.91</v>
      </c>
      <c r="L79" s="611">
        <v>80.900000000000006</v>
      </c>
      <c r="M79" s="611">
        <v>89.89</v>
      </c>
      <c r="N79" s="611">
        <v>98.88</v>
      </c>
      <c r="O79" s="611">
        <v>107.87</v>
      </c>
      <c r="Q79" s="556" t="s">
        <v>90</v>
      </c>
      <c r="R79" s="402" t="s">
        <v>140</v>
      </c>
      <c r="S79" s="571">
        <v>5.444</v>
      </c>
      <c r="T79" s="610">
        <v>1.1849999999999998</v>
      </c>
      <c r="U79" s="610">
        <v>0.73100000000000009</v>
      </c>
      <c r="V79" s="610">
        <v>5.6739999999999995</v>
      </c>
      <c r="W79" s="610">
        <v>14.358000000000001</v>
      </c>
      <c r="X79" s="610">
        <v>10.529</v>
      </c>
      <c r="Y79" s="610">
        <v>6.319</v>
      </c>
      <c r="Z79" s="610">
        <v>2.0079999999999996</v>
      </c>
      <c r="AA79" s="610">
        <v>4.5339999999999989</v>
      </c>
      <c r="AB79" s="610">
        <v>10.19</v>
      </c>
      <c r="AC79" s="610">
        <v>0</v>
      </c>
      <c r="AD79" s="610">
        <v>0</v>
      </c>
      <c r="AF79" s="556" t="s">
        <v>90</v>
      </c>
      <c r="AG79" s="402" t="s">
        <v>140</v>
      </c>
      <c r="AH79" s="571">
        <v>5.444</v>
      </c>
      <c r="AI79" s="571">
        <v>6.6289999999999996</v>
      </c>
      <c r="AJ79" s="571">
        <v>7.3599999999999994</v>
      </c>
      <c r="AK79" s="571">
        <v>13.033999999999999</v>
      </c>
      <c r="AL79" s="571">
        <v>27.391999999999999</v>
      </c>
      <c r="AM79" s="571">
        <v>37.920999999999999</v>
      </c>
      <c r="AN79" s="571">
        <v>44.24</v>
      </c>
      <c r="AO79" s="610">
        <v>46.248000000000005</v>
      </c>
      <c r="AP79" s="571">
        <v>50.782000000000004</v>
      </c>
      <c r="AQ79" s="571">
        <v>60.972000000000001</v>
      </c>
      <c r="AR79" s="571">
        <v>0</v>
      </c>
      <c r="AS79" s="571">
        <v>0</v>
      </c>
    </row>
    <row r="80" spans="1:47">
      <c r="A80" s="105"/>
      <c r="B80" s="125"/>
      <c r="C80" s="263"/>
      <c r="D80" s="576"/>
      <c r="E80" s="576"/>
      <c r="F80" s="576"/>
      <c r="G80" s="576"/>
      <c r="H80" s="576"/>
      <c r="I80" s="576"/>
      <c r="J80" s="576"/>
      <c r="K80" s="576"/>
      <c r="L80" s="576"/>
      <c r="M80" s="576"/>
      <c r="N80" s="576"/>
      <c r="O80" s="576"/>
      <c r="Q80" s="125"/>
      <c r="R80" s="263"/>
      <c r="S80" s="576"/>
      <c r="T80" s="576"/>
      <c r="U80" s="576"/>
      <c r="V80" s="576"/>
      <c r="W80" s="576"/>
      <c r="X80" s="576"/>
      <c r="Y80" s="576"/>
      <c r="Z80" s="576"/>
      <c r="AA80" s="576"/>
      <c r="AB80" s="605"/>
      <c r="AC80" s="576"/>
      <c r="AD80" s="576"/>
      <c r="AF80" s="125"/>
      <c r="AG80" s="263"/>
      <c r="AH80" s="606"/>
      <c r="AI80" s="606"/>
      <c r="AJ80" s="606"/>
      <c r="AK80" s="606"/>
      <c r="AL80" s="606"/>
      <c r="AM80" s="606"/>
      <c r="AN80" s="606"/>
      <c r="AO80" s="606"/>
      <c r="AP80" s="606"/>
      <c r="AQ80" s="606"/>
      <c r="AR80" s="606"/>
      <c r="AS80" s="606"/>
      <c r="AU80"/>
    </row>
    <row r="81" spans="1:47">
      <c r="A81" s="105"/>
      <c r="B81" s="125"/>
      <c r="C81" s="263"/>
      <c r="D81" s="576"/>
      <c r="E81" s="576"/>
      <c r="F81" s="576"/>
      <c r="G81" s="576"/>
      <c r="H81" s="576"/>
      <c r="I81" s="576"/>
      <c r="J81" s="576"/>
      <c r="K81" s="576"/>
      <c r="L81" s="576"/>
      <c r="M81" s="576"/>
      <c r="N81" s="576"/>
      <c r="O81" s="576"/>
      <c r="Q81" s="125"/>
      <c r="R81" s="263"/>
      <c r="S81" s="576"/>
      <c r="T81" s="576"/>
      <c r="U81" s="576"/>
      <c r="V81" s="576"/>
      <c r="W81" s="576"/>
      <c r="X81" s="576"/>
      <c r="Y81" s="576"/>
      <c r="Z81" s="576"/>
      <c r="AA81" s="576"/>
      <c r="AB81" s="576"/>
      <c r="AC81" s="576"/>
      <c r="AD81" s="576"/>
      <c r="AF81" s="125"/>
      <c r="AG81" s="263"/>
      <c r="AH81" s="606"/>
      <c r="AI81" s="606"/>
      <c r="AJ81" s="606"/>
      <c r="AK81" s="606"/>
      <c r="AL81" s="606"/>
      <c r="AM81" s="606"/>
      <c r="AN81" s="606"/>
      <c r="AO81" s="606"/>
      <c r="AP81" s="606"/>
      <c r="AQ81" s="606"/>
      <c r="AR81" s="606"/>
      <c r="AS81" s="606"/>
      <c r="AU81"/>
    </row>
    <row r="82" spans="1:47">
      <c r="A82" s="105"/>
      <c r="D82"/>
      <c r="E82"/>
      <c r="F82"/>
      <c r="G82"/>
      <c r="H82"/>
      <c r="I82"/>
      <c r="J82"/>
      <c r="K82"/>
      <c r="L82"/>
      <c r="M82"/>
      <c r="N82"/>
      <c r="O82"/>
      <c r="S82"/>
      <c r="T82"/>
      <c r="U82"/>
      <c r="V82"/>
      <c r="W82"/>
      <c r="X82"/>
      <c r="Y82"/>
      <c r="Z82"/>
      <c r="AA82"/>
      <c r="AB82"/>
      <c r="AC82"/>
      <c r="AD82"/>
      <c r="AH82"/>
      <c r="AI82"/>
      <c r="AJ82"/>
      <c r="AK82"/>
      <c r="AL82"/>
      <c r="AM82"/>
      <c r="AN82"/>
      <c r="AO82"/>
      <c r="AP82"/>
      <c r="AQ82"/>
      <c r="AR82"/>
      <c r="AS82"/>
      <c r="AU82"/>
    </row>
    <row r="83" spans="1:47" ht="13.15" customHeight="1">
      <c r="A83" s="105">
        <v>3</v>
      </c>
      <c r="B83" s="21" t="s">
        <v>141</v>
      </c>
      <c r="D83"/>
      <c r="E83"/>
      <c r="F83"/>
      <c r="G83"/>
      <c r="H83"/>
      <c r="I83"/>
      <c r="J83"/>
      <c r="K83"/>
      <c r="L83"/>
      <c r="M83"/>
      <c r="N83"/>
      <c r="O83"/>
      <c r="Q83" t="s">
        <v>141</v>
      </c>
      <c r="S83"/>
      <c r="T83"/>
      <c r="U83"/>
      <c r="V83"/>
      <c r="W83" s="586"/>
      <c r="X83" s="586"/>
      <c r="Y83"/>
      <c r="Z83"/>
      <c r="AA83"/>
      <c r="AB83"/>
      <c r="AC83"/>
      <c r="AD83"/>
      <c r="AF83" t="s">
        <v>141</v>
      </c>
      <c r="AH83"/>
      <c r="AI83"/>
      <c r="AJ83"/>
      <c r="AK83"/>
      <c r="AL83"/>
      <c r="AM83"/>
      <c r="AN83"/>
      <c r="AO83"/>
      <c r="AP83"/>
      <c r="AQ83"/>
      <c r="AR83"/>
      <c r="AS83"/>
      <c r="AU83"/>
    </row>
    <row r="84" spans="1:47">
      <c r="B84" s="21" t="s">
        <v>100</v>
      </c>
      <c r="D84"/>
      <c r="E84"/>
      <c r="F84"/>
      <c r="G84"/>
      <c r="H84"/>
      <c r="I84"/>
      <c r="J84"/>
      <c r="K84"/>
      <c r="L84"/>
      <c r="M84"/>
      <c r="N84"/>
      <c r="O84"/>
      <c r="Q84" t="s">
        <v>126</v>
      </c>
      <c r="S84"/>
      <c r="T84"/>
      <c r="U84"/>
      <c r="V84"/>
      <c r="W84"/>
      <c r="X84"/>
      <c r="Y84"/>
      <c r="Z84"/>
      <c r="AA84"/>
      <c r="AB84"/>
      <c r="AC84"/>
      <c r="AD84"/>
      <c r="AF84" t="s">
        <v>127</v>
      </c>
      <c r="AH84"/>
      <c r="AI84"/>
      <c r="AJ84"/>
      <c r="AK84"/>
      <c r="AL84"/>
      <c r="AM84"/>
      <c r="AN84"/>
      <c r="AO84"/>
      <c r="AP84"/>
      <c r="AQ84"/>
      <c r="AR84"/>
      <c r="AS84"/>
      <c r="AU84"/>
    </row>
    <row r="85" spans="1:47">
      <c r="B85" s="755" t="s">
        <v>72</v>
      </c>
      <c r="C85" s="756"/>
      <c r="D85" s="552" t="s">
        <v>74</v>
      </c>
      <c r="E85" s="552" t="s">
        <v>75</v>
      </c>
      <c r="F85" s="552" t="s">
        <v>76</v>
      </c>
      <c r="G85" s="552" t="s">
        <v>77</v>
      </c>
      <c r="H85" s="552" t="s">
        <v>78</v>
      </c>
      <c r="I85" s="552" t="s">
        <v>79</v>
      </c>
      <c r="J85" s="552" t="s">
        <v>80</v>
      </c>
      <c r="K85" s="552" t="s">
        <v>81</v>
      </c>
      <c r="L85" s="552" t="s">
        <v>82</v>
      </c>
      <c r="M85" s="552" t="s">
        <v>83</v>
      </c>
      <c r="N85" s="552" t="s">
        <v>84</v>
      </c>
      <c r="O85" s="552" t="s">
        <v>85</v>
      </c>
      <c r="Q85" s="755" t="s">
        <v>72</v>
      </c>
      <c r="R85" s="756"/>
      <c r="S85" s="552" t="s">
        <v>74</v>
      </c>
      <c r="T85" s="552" t="s">
        <v>75</v>
      </c>
      <c r="U85" s="552" t="s">
        <v>76</v>
      </c>
      <c r="V85" s="552" t="s">
        <v>77</v>
      </c>
      <c r="W85" s="552" t="s">
        <v>78</v>
      </c>
      <c r="X85" s="552" t="s">
        <v>79</v>
      </c>
      <c r="Y85" s="552" t="s">
        <v>80</v>
      </c>
      <c r="Z85" s="552" t="s">
        <v>81</v>
      </c>
      <c r="AA85" s="552" t="s">
        <v>82</v>
      </c>
      <c r="AB85" s="552" t="s">
        <v>83</v>
      </c>
      <c r="AC85" s="552" t="s">
        <v>84</v>
      </c>
      <c r="AD85" s="552" t="s">
        <v>85</v>
      </c>
      <c r="AF85" s="755" t="s">
        <v>72</v>
      </c>
      <c r="AG85" s="756"/>
      <c r="AH85" s="552" t="s">
        <v>74</v>
      </c>
      <c r="AI85" s="552" t="s">
        <v>75</v>
      </c>
      <c r="AJ85" s="552" t="s">
        <v>76</v>
      </c>
      <c r="AK85" s="552" t="s">
        <v>77</v>
      </c>
      <c r="AL85" s="552" t="s">
        <v>78</v>
      </c>
      <c r="AM85" s="552" t="s">
        <v>79</v>
      </c>
      <c r="AN85" s="552" t="s">
        <v>80</v>
      </c>
      <c r="AO85" s="552" t="s">
        <v>81</v>
      </c>
      <c r="AP85" s="552" t="s">
        <v>82</v>
      </c>
      <c r="AQ85" s="552" t="s">
        <v>83</v>
      </c>
      <c r="AR85" s="552" t="s">
        <v>84</v>
      </c>
      <c r="AS85" s="552" t="s">
        <v>85</v>
      </c>
      <c r="AU85"/>
    </row>
    <row r="86" spans="1:47">
      <c r="B86" s="762" t="s">
        <v>128</v>
      </c>
      <c r="C86" s="569" t="s">
        <v>142</v>
      </c>
      <c r="D86" s="564"/>
      <c r="E86" s="564"/>
      <c r="F86" s="564"/>
      <c r="G86" s="564"/>
      <c r="H86" s="564"/>
      <c r="I86" s="564"/>
      <c r="J86" s="564"/>
      <c r="K86" s="564"/>
      <c r="L86" s="564"/>
      <c r="M86" s="564"/>
      <c r="N86" s="564"/>
      <c r="O86" s="564"/>
      <c r="Q86" s="762" t="s">
        <v>128</v>
      </c>
      <c r="R86" s="569" t="s">
        <v>142</v>
      </c>
      <c r="S86" s="571">
        <v>7016666.2749999966</v>
      </c>
      <c r="T86" s="571">
        <v>6257261.4750000015</v>
      </c>
      <c r="U86" s="571">
        <v>6881436.6699999999</v>
      </c>
      <c r="V86" s="571">
        <v>6762863.7800000003</v>
      </c>
      <c r="W86" s="571">
        <v>7317520.25</v>
      </c>
      <c r="X86" s="571">
        <v>6412591.0100000026</v>
      </c>
      <c r="Y86" s="571">
        <v>6791574.6882999958</v>
      </c>
      <c r="Z86" s="571">
        <v>6576037.2008999996</v>
      </c>
      <c r="AA86" s="571">
        <v>6699246.9903000016</v>
      </c>
      <c r="AB86" s="571">
        <v>7024875.3335999995</v>
      </c>
      <c r="AC86" s="571"/>
      <c r="AD86" s="571"/>
      <c r="AF86" s="762" t="s">
        <v>128</v>
      </c>
      <c r="AG86" s="569" t="s">
        <v>142</v>
      </c>
      <c r="AH86" s="571">
        <v>7016666.2749999966</v>
      </c>
      <c r="AI86" s="571">
        <v>13273927.749999998</v>
      </c>
      <c r="AJ86" s="571">
        <v>20155364.419999998</v>
      </c>
      <c r="AK86" s="571">
        <v>26918228.199999999</v>
      </c>
      <c r="AL86" s="571">
        <v>34235748.450000003</v>
      </c>
      <c r="AM86" s="571">
        <v>40648339.460000008</v>
      </c>
      <c r="AN86" s="571">
        <v>47439914.148300007</v>
      </c>
      <c r="AO86" s="571">
        <v>54015951.34920001</v>
      </c>
      <c r="AP86" s="571">
        <v>60715198.33950001</v>
      </c>
      <c r="AQ86" s="571">
        <v>67740073.67310001</v>
      </c>
      <c r="AR86" s="571">
        <v>0</v>
      </c>
      <c r="AS86" s="571">
        <v>0</v>
      </c>
      <c r="AU86"/>
    </row>
    <row r="87" spans="1:47">
      <c r="B87" s="762"/>
      <c r="C87" s="569" t="s">
        <v>143</v>
      </c>
      <c r="D87" s="564"/>
      <c r="E87" s="564"/>
      <c r="F87" s="564"/>
      <c r="G87" s="564"/>
      <c r="H87" s="564"/>
      <c r="I87" s="564"/>
      <c r="J87" s="564"/>
      <c r="K87" s="564"/>
      <c r="L87" s="564"/>
      <c r="M87" s="564"/>
      <c r="N87" s="564"/>
      <c r="O87" s="564"/>
      <c r="Q87" s="762"/>
      <c r="R87" s="569" t="s">
        <v>143</v>
      </c>
      <c r="S87" s="571">
        <v>60661.656000000003</v>
      </c>
      <c r="T87" s="571">
        <v>60760.872000000003</v>
      </c>
      <c r="U87" s="571">
        <v>60866.35</v>
      </c>
      <c r="V87" s="571">
        <v>60969.1</v>
      </c>
      <c r="W87" s="571">
        <v>61078.608</v>
      </c>
      <c r="X87" s="571">
        <v>61167.527999999998</v>
      </c>
      <c r="Y87" s="571">
        <v>61281.72</v>
      </c>
      <c r="Z87" s="571">
        <v>61392.743999999999</v>
      </c>
      <c r="AA87" s="571">
        <v>61476.447999999997</v>
      </c>
      <c r="AB87" s="571">
        <v>61604.28</v>
      </c>
      <c r="AC87" s="571"/>
      <c r="AD87" s="571"/>
      <c r="AF87" s="762"/>
      <c r="AG87" s="569" t="s">
        <v>143</v>
      </c>
      <c r="AH87" s="571">
        <v>60661.656000000003</v>
      </c>
      <c r="AI87" s="571">
        <v>121422.52800000001</v>
      </c>
      <c r="AJ87" s="571">
        <v>182288.878</v>
      </c>
      <c r="AK87" s="571">
        <v>243257.978</v>
      </c>
      <c r="AL87" s="571">
        <v>304336.58600000001</v>
      </c>
      <c r="AM87" s="571">
        <v>365504.114</v>
      </c>
      <c r="AN87" s="571">
        <v>426785.83400000003</v>
      </c>
      <c r="AO87" s="571">
        <v>488178.57800000004</v>
      </c>
      <c r="AP87" s="571">
        <v>549655.02600000007</v>
      </c>
      <c r="AQ87" s="571">
        <v>611259.3060000001</v>
      </c>
      <c r="AR87" s="571">
        <v>0</v>
      </c>
      <c r="AS87" s="571">
        <v>0</v>
      </c>
      <c r="AU87"/>
    </row>
    <row r="88" spans="1:47">
      <c r="B88" s="762"/>
      <c r="C88" s="569" t="s">
        <v>144</v>
      </c>
      <c r="D88" s="564"/>
      <c r="E88" s="564"/>
      <c r="F88" s="564"/>
      <c r="G88" s="564"/>
      <c r="H88" s="564"/>
      <c r="I88" s="564"/>
      <c r="J88" s="564"/>
      <c r="K88" s="564"/>
      <c r="L88" s="564"/>
      <c r="M88" s="564"/>
      <c r="N88" s="564"/>
      <c r="O88" s="564"/>
      <c r="Q88" s="762"/>
      <c r="R88" s="569" t="s">
        <v>144</v>
      </c>
      <c r="S88" s="571">
        <v>7471810.9950000001</v>
      </c>
      <c r="T88" s="571">
        <v>6546925.5759999994</v>
      </c>
      <c r="U88" s="571">
        <v>6242950</v>
      </c>
      <c r="V88" s="571">
        <v>5286155.875</v>
      </c>
      <c r="W88" s="571">
        <v>6041871.1679999996</v>
      </c>
      <c r="X88" s="571">
        <v>5733166.2530000005</v>
      </c>
      <c r="Y88" s="571">
        <v>5976394.1320000002</v>
      </c>
      <c r="Z88" s="571">
        <v>5999696.5580000002</v>
      </c>
      <c r="AA88" s="571">
        <v>6021804.5520000001</v>
      </c>
      <c r="AB88" s="571">
        <v>6504515.1359999999</v>
      </c>
      <c r="AC88" s="571"/>
      <c r="AD88" s="571"/>
      <c r="AF88" s="762"/>
      <c r="AG88" s="569" t="s">
        <v>144</v>
      </c>
      <c r="AH88" s="571">
        <v>7471810.9950000001</v>
      </c>
      <c r="AI88" s="571">
        <v>14018736.570999999</v>
      </c>
      <c r="AJ88" s="571">
        <v>20261686.570999999</v>
      </c>
      <c r="AK88" s="571">
        <v>25547842.445999999</v>
      </c>
      <c r="AL88" s="571">
        <v>31589713.614</v>
      </c>
      <c r="AM88" s="571">
        <v>37322879.866999999</v>
      </c>
      <c r="AN88" s="571">
        <v>43299273.998999998</v>
      </c>
      <c r="AO88" s="571">
        <v>49298970.556999996</v>
      </c>
      <c r="AP88" s="571">
        <v>55320775.108999997</v>
      </c>
      <c r="AQ88" s="571">
        <v>61825290.244999997</v>
      </c>
      <c r="AR88" s="571">
        <v>0</v>
      </c>
      <c r="AS88" s="571">
        <v>0</v>
      </c>
      <c r="AU88"/>
    </row>
    <row r="89" spans="1:47">
      <c r="B89" s="762"/>
      <c r="C89" s="591" t="s">
        <v>145</v>
      </c>
      <c r="D89" s="594">
        <v>10.36</v>
      </c>
      <c r="E89" s="594">
        <v>10.36</v>
      </c>
      <c r="F89" s="594">
        <v>10.36</v>
      </c>
      <c r="G89" s="594">
        <v>10.17</v>
      </c>
      <c r="H89" s="594">
        <v>9.98</v>
      </c>
      <c r="I89" s="594">
        <v>9.7899999999999991</v>
      </c>
      <c r="J89" s="594">
        <v>9.7200000000000006</v>
      </c>
      <c r="K89" s="594">
        <v>9.65</v>
      </c>
      <c r="L89" s="594">
        <v>9.58</v>
      </c>
      <c r="M89" s="594">
        <v>9.51</v>
      </c>
      <c r="N89" s="594">
        <v>9.44</v>
      </c>
      <c r="O89" s="594">
        <v>9.3699999999999992</v>
      </c>
      <c r="Q89" s="762"/>
      <c r="R89" s="591" t="s">
        <v>145</v>
      </c>
      <c r="S89" s="594">
        <v>-7.3511601633070995</v>
      </c>
      <c r="T89" s="594">
        <v>-5.6002929460447115</v>
      </c>
      <c r="U89" s="594">
        <v>8.3938913877994068</v>
      </c>
      <c r="V89" s="594">
        <v>20.934013327117473</v>
      </c>
      <c r="W89" s="594">
        <v>16.598115652635201</v>
      </c>
      <c r="X89" s="594">
        <v>9.641301433942564</v>
      </c>
      <c r="Y89" s="594">
        <v>11.100501296094926</v>
      </c>
      <c r="Z89" s="594">
        <v>7.8306719254800354</v>
      </c>
      <c r="AA89" s="594">
        <v>9.1945556148604961</v>
      </c>
      <c r="AB89" s="594">
        <v>6.5304492366685629</v>
      </c>
      <c r="AC89" s="594">
        <v>0</v>
      </c>
      <c r="AD89" s="594">
        <v>0</v>
      </c>
      <c r="AF89" s="762"/>
      <c r="AG89" s="591" t="s">
        <v>145</v>
      </c>
      <c r="AH89" s="594">
        <v>-7.3511601633070995</v>
      </c>
      <c r="AI89" s="594">
        <v>-6.5258103352265229</v>
      </c>
      <c r="AJ89" s="594">
        <v>-1.4319315839986146</v>
      </c>
      <c r="AK89" s="594">
        <v>4.1872286973182007</v>
      </c>
      <c r="AL89" s="594">
        <v>6.8399212986973561</v>
      </c>
      <c r="AM89" s="594">
        <v>7.2818607557456394</v>
      </c>
      <c r="AN89" s="594">
        <v>7.8285434996578616</v>
      </c>
      <c r="AO89" s="594">
        <v>7.8288026195481271</v>
      </c>
      <c r="AP89" s="594">
        <v>7.9794982755546888</v>
      </c>
      <c r="AQ89" s="594">
        <v>7.8292269767726559</v>
      </c>
      <c r="AR89" s="594">
        <v>0</v>
      </c>
      <c r="AS89" s="594">
        <v>0</v>
      </c>
      <c r="AU89"/>
    </row>
    <row r="90" spans="1:47" ht="13.9" customHeight="1">
      <c r="B90" s="762" t="s">
        <v>87</v>
      </c>
      <c r="C90" s="569" t="s">
        <v>142</v>
      </c>
      <c r="D90" s="564"/>
      <c r="E90" s="564"/>
      <c r="F90" s="564"/>
      <c r="G90" s="564"/>
      <c r="H90" s="564"/>
      <c r="I90" s="564"/>
      <c r="J90" s="564"/>
      <c r="K90" s="564"/>
      <c r="L90" s="564"/>
      <c r="M90" s="564"/>
      <c r="N90" s="564"/>
      <c r="O90" s="564"/>
      <c r="Q90" s="762" t="s">
        <v>87</v>
      </c>
      <c r="R90" s="569" t="s">
        <v>142</v>
      </c>
      <c r="S90" s="571">
        <v>4449874.2200000007</v>
      </c>
      <c r="T90" s="571">
        <v>4442618.1150000002</v>
      </c>
      <c r="U90" s="571">
        <v>5102551.21</v>
      </c>
      <c r="V90" s="571">
        <v>4774566.55</v>
      </c>
      <c r="W90" s="571">
        <v>5045961.4450000003</v>
      </c>
      <c r="X90" s="571">
        <v>4823509.51</v>
      </c>
      <c r="Y90" s="571">
        <v>5143693.6734000007</v>
      </c>
      <c r="Z90" s="571">
        <v>5066765.0011</v>
      </c>
      <c r="AA90" s="571">
        <v>5057535.9800000004</v>
      </c>
      <c r="AB90" s="571">
        <v>5063452.3810000001</v>
      </c>
      <c r="AC90" s="571"/>
      <c r="AD90" s="571"/>
      <c r="AF90" s="762" t="s">
        <v>87</v>
      </c>
      <c r="AG90" s="569" t="s">
        <v>142</v>
      </c>
      <c r="AH90" s="571">
        <v>4449874.2200000007</v>
      </c>
      <c r="AI90" s="571">
        <v>8892492.3350000009</v>
      </c>
      <c r="AJ90" s="571">
        <v>13995043.545000002</v>
      </c>
      <c r="AK90" s="571">
        <v>18769610.095000003</v>
      </c>
      <c r="AL90" s="571">
        <v>23815571.540000003</v>
      </c>
      <c r="AM90" s="571">
        <v>28639081.050000004</v>
      </c>
      <c r="AN90" s="571">
        <v>33782774.723400004</v>
      </c>
      <c r="AO90" s="571">
        <v>38849539.7245</v>
      </c>
      <c r="AP90" s="571">
        <v>43907075.704500005</v>
      </c>
      <c r="AQ90" s="571">
        <v>48970528.085500002</v>
      </c>
      <c r="AR90" s="571">
        <v>0</v>
      </c>
      <c r="AS90" s="571">
        <v>0</v>
      </c>
      <c r="AU90"/>
    </row>
    <row r="91" spans="1:47" ht="13.9" customHeight="1">
      <c r="B91" s="762"/>
      <c r="C91" s="569" t="s">
        <v>143</v>
      </c>
      <c r="D91" s="564"/>
      <c r="E91" s="564"/>
      <c r="F91" s="564"/>
      <c r="G91" s="564"/>
      <c r="H91" s="564"/>
      <c r="I91" s="564"/>
      <c r="J91" s="564"/>
      <c r="K91" s="564"/>
      <c r="L91" s="564"/>
      <c r="M91" s="564"/>
      <c r="N91" s="564"/>
      <c r="O91" s="564"/>
      <c r="Q91" s="762"/>
      <c r="R91" s="569" t="s">
        <v>143</v>
      </c>
      <c r="S91" s="571">
        <v>46063.44</v>
      </c>
      <c r="T91" s="571">
        <v>46566.792000000001</v>
      </c>
      <c r="U91" s="571">
        <v>46670.04</v>
      </c>
      <c r="V91" s="571">
        <v>46805.760000000002</v>
      </c>
      <c r="W91" s="571">
        <v>46901.951999999997</v>
      </c>
      <c r="X91" s="571">
        <v>46965.600000000006</v>
      </c>
      <c r="Y91" s="571">
        <v>47043.288000000008</v>
      </c>
      <c r="Z91" s="571">
        <v>47267.064000000006</v>
      </c>
      <c r="AA91" s="571">
        <v>47372.968000000001</v>
      </c>
      <c r="AB91" s="571">
        <v>47457.207999999999</v>
      </c>
      <c r="AC91" s="571"/>
      <c r="AD91" s="571"/>
      <c r="AF91" s="762"/>
      <c r="AG91" s="569" t="s">
        <v>143</v>
      </c>
      <c r="AH91" s="571">
        <v>46063.44</v>
      </c>
      <c r="AI91" s="571">
        <v>92630.232000000004</v>
      </c>
      <c r="AJ91" s="571">
        <v>139300.272</v>
      </c>
      <c r="AK91" s="571">
        <v>186106.03200000001</v>
      </c>
      <c r="AL91" s="571">
        <v>233007.984</v>
      </c>
      <c r="AM91" s="571">
        <v>279973.58400000003</v>
      </c>
      <c r="AN91" s="571">
        <v>327016.87200000003</v>
      </c>
      <c r="AO91" s="571">
        <v>374283.93600000005</v>
      </c>
      <c r="AP91" s="571">
        <v>421656.90400000004</v>
      </c>
      <c r="AQ91" s="571">
        <v>469114.11200000002</v>
      </c>
      <c r="AR91" s="571">
        <v>0</v>
      </c>
      <c r="AS91" s="571">
        <v>0</v>
      </c>
      <c r="AU91"/>
    </row>
    <row r="92" spans="1:47" ht="13.9" customHeight="1">
      <c r="B92" s="762"/>
      <c r="C92" s="569" t="s">
        <v>144</v>
      </c>
      <c r="D92" s="564"/>
      <c r="E92" s="564"/>
      <c r="F92" s="564"/>
      <c r="G92" s="564"/>
      <c r="H92" s="564"/>
      <c r="I92" s="564"/>
      <c r="J92" s="564"/>
      <c r="K92" s="564"/>
      <c r="L92" s="564"/>
      <c r="M92" s="564"/>
      <c r="N92" s="564"/>
      <c r="O92" s="564"/>
      <c r="Q92" s="762"/>
      <c r="R92" s="569" t="s">
        <v>144</v>
      </c>
      <c r="S92" s="571">
        <v>5024820.17</v>
      </c>
      <c r="T92" s="571">
        <v>4188626.6490000002</v>
      </c>
      <c r="U92" s="571">
        <v>4270932</v>
      </c>
      <c r="V92" s="571">
        <v>3722369.5439999998</v>
      </c>
      <c r="W92" s="571">
        <v>4101468.8659999999</v>
      </c>
      <c r="X92" s="571">
        <v>4242295.0410000002</v>
      </c>
      <c r="Y92" s="571">
        <v>4293714.3130000001</v>
      </c>
      <c r="Z92" s="571">
        <v>4437258.3090000004</v>
      </c>
      <c r="AA92" s="571">
        <v>4337942.4220000003</v>
      </c>
      <c r="AB92" s="571">
        <v>4483417.9059999995</v>
      </c>
      <c r="AC92" s="571"/>
      <c r="AD92" s="571"/>
      <c r="AF92" s="762"/>
      <c r="AG92" s="569" t="s">
        <v>144</v>
      </c>
      <c r="AH92" s="571">
        <v>5024820.17</v>
      </c>
      <c r="AI92" s="571">
        <v>9213446.8190000001</v>
      </c>
      <c r="AJ92" s="571">
        <v>13484378.819</v>
      </c>
      <c r="AK92" s="571">
        <v>17206748.362999998</v>
      </c>
      <c r="AL92" s="571">
        <v>21308217.228999998</v>
      </c>
      <c r="AM92" s="571">
        <v>25550512.27</v>
      </c>
      <c r="AN92" s="571">
        <v>29844226.583000001</v>
      </c>
      <c r="AO92" s="571">
        <v>34281484.892000005</v>
      </c>
      <c r="AP92" s="571">
        <v>38619427.314000003</v>
      </c>
      <c r="AQ92" s="571">
        <v>43102845.219999999</v>
      </c>
      <c r="AR92" s="571">
        <v>0</v>
      </c>
      <c r="AS92" s="571">
        <v>0</v>
      </c>
      <c r="AU92"/>
    </row>
    <row r="93" spans="1:47" ht="13.9" customHeight="1">
      <c r="B93" s="762"/>
      <c r="C93" s="591" t="s">
        <v>145</v>
      </c>
      <c r="D93" s="594">
        <v>11.44</v>
      </c>
      <c r="E93" s="594">
        <v>11.44</v>
      </c>
      <c r="F93" s="594">
        <v>11.44</v>
      </c>
      <c r="G93" s="594">
        <v>11.23</v>
      </c>
      <c r="H93" s="594">
        <v>11.03</v>
      </c>
      <c r="I93" s="594">
        <v>10.82</v>
      </c>
      <c r="J93" s="594">
        <v>10.74</v>
      </c>
      <c r="K93" s="594">
        <v>10.66</v>
      </c>
      <c r="L93" s="594">
        <v>10.58</v>
      </c>
      <c r="M93" s="594">
        <v>10.51</v>
      </c>
      <c r="N93" s="594">
        <v>10.43</v>
      </c>
      <c r="O93" s="594">
        <v>10.35</v>
      </c>
      <c r="Q93" s="762"/>
      <c r="R93" s="591" t="s">
        <v>145</v>
      </c>
      <c r="S93" s="594">
        <v>-13.955661650139845</v>
      </c>
      <c r="T93" s="594">
        <v>4.6689737589565388</v>
      </c>
      <c r="U93" s="594">
        <v>15.383464813869061</v>
      </c>
      <c r="V93" s="594">
        <v>21.057225519246355</v>
      </c>
      <c r="W93" s="594">
        <v>17.788297369759249</v>
      </c>
      <c r="X93" s="594">
        <v>11.07593688563081</v>
      </c>
      <c r="Y93" s="594">
        <v>15.610106732294133</v>
      </c>
      <c r="Z93" s="594">
        <v>11.491348581858336</v>
      </c>
      <c r="AA93" s="594">
        <v>13.291464315000281</v>
      </c>
      <c r="AB93" s="594">
        <v>10.518066072832708</v>
      </c>
      <c r="AC93" s="594">
        <v>0</v>
      </c>
      <c r="AD93" s="594">
        <v>0</v>
      </c>
      <c r="AF93" s="762"/>
      <c r="AG93" s="591" t="s">
        <v>145</v>
      </c>
      <c r="AH93" s="594">
        <v>-13.955661650139845</v>
      </c>
      <c r="AI93" s="594">
        <v>-4.650942620126532</v>
      </c>
      <c r="AJ93" s="594">
        <v>2.653542683207148</v>
      </c>
      <c r="AK93" s="594">
        <v>7.3350255707589476</v>
      </c>
      <c r="AL93" s="594">
        <v>9.5498288721732809</v>
      </c>
      <c r="AM93" s="594">
        <v>9.8068621374288316</v>
      </c>
      <c r="AN93" s="594">
        <v>10.690451858883089</v>
      </c>
      <c r="AO93" s="594">
        <v>10.794904975039504</v>
      </c>
      <c r="AP93" s="594">
        <v>11.082476818198327</v>
      </c>
      <c r="AQ93" s="594">
        <v>11.02411790225006</v>
      </c>
      <c r="AR93" s="594">
        <v>0</v>
      </c>
      <c r="AS93" s="594">
        <v>0</v>
      </c>
      <c r="AU93"/>
    </row>
    <row r="94" spans="1:47" ht="13.9" customHeight="1">
      <c r="B94" s="762" t="s">
        <v>88</v>
      </c>
      <c r="C94" s="569" t="s">
        <v>142</v>
      </c>
      <c r="D94" s="564"/>
      <c r="E94" s="564"/>
      <c r="F94" s="564"/>
      <c r="G94" s="564"/>
      <c r="H94" s="564"/>
      <c r="I94" s="564"/>
      <c r="J94" s="564"/>
      <c r="K94" s="564"/>
      <c r="L94" s="564"/>
      <c r="M94" s="564"/>
      <c r="N94" s="564"/>
      <c r="O94" s="564"/>
      <c r="Q94" s="762" t="s">
        <v>88</v>
      </c>
      <c r="R94" s="569" t="s">
        <v>142</v>
      </c>
      <c r="S94" s="571">
        <v>2368984.1800000039</v>
      </c>
      <c r="T94" s="571">
        <v>2194537.2049999977</v>
      </c>
      <c r="U94" s="571">
        <v>2397068.15</v>
      </c>
      <c r="V94" s="571">
        <v>2108800.31</v>
      </c>
      <c r="W94" s="571">
        <v>2218708.9750000001</v>
      </c>
      <c r="X94" s="571">
        <v>2233892.4299999969</v>
      </c>
      <c r="Y94" s="571">
        <v>2369124.042900004</v>
      </c>
      <c r="Z94" s="571">
        <v>2441233.31</v>
      </c>
      <c r="AA94" s="571">
        <v>2505917.859999998</v>
      </c>
      <c r="AB94" s="571">
        <v>2511511.2486999999</v>
      </c>
      <c r="AC94" s="571"/>
      <c r="AD94" s="571"/>
      <c r="AF94" s="762" t="s">
        <v>88</v>
      </c>
      <c r="AG94" s="569" t="s">
        <v>142</v>
      </c>
      <c r="AH94" s="571">
        <v>2368984.1800000039</v>
      </c>
      <c r="AI94" s="571">
        <v>4563521.3850000016</v>
      </c>
      <c r="AJ94" s="571">
        <v>6960589.535000002</v>
      </c>
      <c r="AK94" s="571">
        <v>9069389.8450000025</v>
      </c>
      <c r="AL94" s="571">
        <v>11288098.820000002</v>
      </c>
      <c r="AM94" s="571">
        <v>13521991.25</v>
      </c>
      <c r="AN94" s="571">
        <v>15891115.292900003</v>
      </c>
      <c r="AO94" s="571">
        <v>18332348.602900002</v>
      </c>
      <c r="AP94" s="571">
        <v>20838266.462900002</v>
      </c>
      <c r="AQ94" s="571">
        <v>23349777.711600002</v>
      </c>
      <c r="AR94" s="571">
        <v>0</v>
      </c>
      <c r="AS94" s="571">
        <v>0</v>
      </c>
      <c r="AU94"/>
    </row>
    <row r="95" spans="1:47" ht="13.9" customHeight="1">
      <c r="B95" s="762"/>
      <c r="C95" s="569" t="s">
        <v>143</v>
      </c>
      <c r="D95" s="564"/>
      <c r="E95" s="564"/>
      <c r="F95" s="564"/>
      <c r="G95" s="564"/>
      <c r="H95" s="564"/>
      <c r="I95" s="564"/>
      <c r="J95" s="564"/>
      <c r="K95" s="564"/>
      <c r="L95" s="564"/>
      <c r="M95" s="564"/>
      <c r="N95" s="564"/>
      <c r="O95" s="564"/>
      <c r="Q95" s="762"/>
      <c r="R95" s="569" t="s">
        <v>143</v>
      </c>
      <c r="S95" s="571">
        <v>25796.952000000005</v>
      </c>
      <c r="T95" s="571">
        <v>25897.104000000003</v>
      </c>
      <c r="U95" s="571">
        <v>26006.26</v>
      </c>
      <c r="V95" s="571">
        <v>26064.07</v>
      </c>
      <c r="W95" s="571">
        <v>26129.592000000001</v>
      </c>
      <c r="X95" s="571">
        <v>26187.624</v>
      </c>
      <c r="Y95" s="571">
        <v>26242.848000000005</v>
      </c>
      <c r="Z95" s="571">
        <v>26366.904000000002</v>
      </c>
      <c r="AA95" s="571">
        <v>26419.32</v>
      </c>
      <c r="AB95" s="571">
        <v>26576.352000000003</v>
      </c>
      <c r="AC95" s="571"/>
      <c r="AD95" s="571"/>
      <c r="AF95" s="762"/>
      <c r="AG95" s="569" t="s">
        <v>143</v>
      </c>
      <c r="AH95" s="571">
        <v>25796.952000000005</v>
      </c>
      <c r="AI95" s="571">
        <v>51694.056000000011</v>
      </c>
      <c r="AJ95" s="571">
        <v>77700.316000000006</v>
      </c>
      <c r="AK95" s="571">
        <v>103764.386</v>
      </c>
      <c r="AL95" s="571">
        <v>129893.978</v>
      </c>
      <c r="AM95" s="571">
        <v>156081.60200000001</v>
      </c>
      <c r="AN95" s="571">
        <v>182324.45</v>
      </c>
      <c r="AO95" s="571">
        <v>208691.35400000002</v>
      </c>
      <c r="AP95" s="571">
        <v>235110.67400000003</v>
      </c>
      <c r="AQ95" s="571">
        <v>261687.02600000004</v>
      </c>
      <c r="AR95" s="571">
        <v>0</v>
      </c>
      <c r="AS95" s="571">
        <v>0</v>
      </c>
      <c r="AU95"/>
    </row>
    <row r="96" spans="1:47" ht="13.9" customHeight="1">
      <c r="B96" s="762"/>
      <c r="C96" s="569" t="s">
        <v>144</v>
      </c>
      <c r="D96" s="564"/>
      <c r="E96" s="564"/>
      <c r="F96" s="564"/>
      <c r="G96" s="564"/>
      <c r="H96" s="564"/>
      <c r="I96" s="564"/>
      <c r="J96" s="564"/>
      <c r="K96" s="564"/>
      <c r="L96" s="564"/>
      <c r="M96" s="564"/>
      <c r="N96" s="564"/>
      <c r="O96" s="564"/>
      <c r="Q96" s="762"/>
      <c r="R96" s="569" t="s">
        <v>144</v>
      </c>
      <c r="S96" s="571">
        <v>3339865.645</v>
      </c>
      <c r="T96" s="571">
        <v>2785378.8939999999</v>
      </c>
      <c r="U96" s="571">
        <v>2418373</v>
      </c>
      <c r="V96" s="571">
        <v>1351580.5360000001</v>
      </c>
      <c r="W96" s="571">
        <v>1680582.0209999999</v>
      </c>
      <c r="X96" s="571">
        <v>1944171.57</v>
      </c>
      <c r="Y96" s="571">
        <v>2016687.58</v>
      </c>
      <c r="Z96" s="571">
        <v>2144934.6009999998</v>
      </c>
      <c r="AA96" s="571">
        <v>2217045.2050000001</v>
      </c>
      <c r="AB96" s="571">
        <v>2266660.0619999999</v>
      </c>
      <c r="AC96" s="571"/>
      <c r="AD96" s="571"/>
      <c r="AF96" s="762"/>
      <c r="AG96" s="569" t="s">
        <v>144</v>
      </c>
      <c r="AH96" s="571">
        <v>3339865.645</v>
      </c>
      <c r="AI96" s="571">
        <v>6125244.5389999999</v>
      </c>
      <c r="AJ96" s="571">
        <v>8543617.5390000008</v>
      </c>
      <c r="AK96" s="571">
        <v>9895198.0750000011</v>
      </c>
      <c r="AL96" s="571">
        <v>11575780.096000001</v>
      </c>
      <c r="AM96" s="571">
        <v>13519951.666000001</v>
      </c>
      <c r="AN96" s="571">
        <v>15536639.246000001</v>
      </c>
      <c r="AO96" s="571">
        <v>17681573.847000003</v>
      </c>
      <c r="AP96" s="571">
        <v>19898619.052000001</v>
      </c>
      <c r="AQ96" s="571">
        <v>22165279.114</v>
      </c>
      <c r="AR96" s="571">
        <v>0</v>
      </c>
      <c r="AS96" s="571">
        <v>0</v>
      </c>
      <c r="AU96"/>
    </row>
    <row r="97" spans="1:47" ht="13.9" customHeight="1">
      <c r="B97" s="762"/>
      <c r="C97" s="591" t="s">
        <v>145</v>
      </c>
      <c r="D97" s="594">
        <v>8.6199999999999992</v>
      </c>
      <c r="E97" s="594">
        <v>8.6199999999999992</v>
      </c>
      <c r="F97" s="594">
        <v>8.6199999999999992</v>
      </c>
      <c r="G97" s="594">
        <v>8.4700000000000006</v>
      </c>
      <c r="H97" s="594">
        <v>8.31</v>
      </c>
      <c r="I97" s="594">
        <v>8.15</v>
      </c>
      <c r="J97" s="594">
        <v>8.1</v>
      </c>
      <c r="K97" s="594">
        <v>8.0399999999999991</v>
      </c>
      <c r="L97" s="594">
        <v>7.98</v>
      </c>
      <c r="M97" s="594">
        <v>7.92</v>
      </c>
      <c r="N97" s="594">
        <v>7.86</v>
      </c>
      <c r="O97" s="594">
        <v>7.8</v>
      </c>
      <c r="Q97" s="762"/>
      <c r="R97" s="591" t="s">
        <v>145</v>
      </c>
      <c r="S97" s="594">
        <v>-42.071974368355406</v>
      </c>
      <c r="T97" s="594">
        <v>-28.103364645394681</v>
      </c>
      <c r="U97" s="594">
        <v>-1.9737073391092312</v>
      </c>
      <c r="V97" s="594">
        <v>34.67164247524223</v>
      </c>
      <c r="W97" s="594">
        <v>23.076364127476428</v>
      </c>
      <c r="X97" s="594">
        <v>11.797042349080227</v>
      </c>
      <c r="Y97" s="594">
        <v>13.768532545924259</v>
      </c>
      <c r="Z97" s="594">
        <v>11.05718998238641</v>
      </c>
      <c r="AA97" s="594">
        <v>10.473341492525948</v>
      </c>
      <c r="AB97" s="594">
        <v>8.6909757944736548</v>
      </c>
      <c r="AC97" s="594">
        <v>0</v>
      </c>
      <c r="AD97" s="594">
        <v>0</v>
      </c>
      <c r="AF97" s="762"/>
      <c r="AG97" s="591" t="s">
        <v>145</v>
      </c>
      <c r="AH97" s="594">
        <v>-42.071974368355406</v>
      </c>
      <c r="AI97" s="594">
        <v>-35.354654309349698</v>
      </c>
      <c r="AJ97" s="594">
        <v>-23.859018142778591</v>
      </c>
      <c r="AK97" s="594">
        <v>-10.249560685854476</v>
      </c>
      <c r="AL97" s="594">
        <v>-3.699252289146763</v>
      </c>
      <c r="AM97" s="594">
        <v>-1.1391962555810786</v>
      </c>
      <c r="AN97" s="594">
        <v>1.0833197905053189</v>
      </c>
      <c r="AO97" s="594">
        <v>2.4114935378769062</v>
      </c>
      <c r="AP97" s="594">
        <v>3.3809757551298412</v>
      </c>
      <c r="AQ97" s="594">
        <v>3.9521214420022299</v>
      </c>
      <c r="AR97" s="594">
        <v>0</v>
      </c>
      <c r="AS97" s="594">
        <v>0</v>
      </c>
      <c r="AU97"/>
    </row>
    <row r="98" spans="1:47" ht="13.9" customHeight="1">
      <c r="B98" s="762" t="s">
        <v>121</v>
      </c>
      <c r="C98" s="569" t="s">
        <v>142</v>
      </c>
      <c r="D98" s="564"/>
      <c r="E98" s="564"/>
      <c r="F98" s="564"/>
      <c r="G98" s="564"/>
      <c r="H98" s="564"/>
      <c r="I98" s="564"/>
      <c r="J98" s="564"/>
      <c r="K98" s="564"/>
      <c r="L98" s="564"/>
      <c r="M98" s="564"/>
      <c r="N98" s="564"/>
      <c r="O98" s="564"/>
      <c r="Q98" s="762" t="s">
        <v>121</v>
      </c>
      <c r="R98" s="569" t="s">
        <v>142</v>
      </c>
      <c r="S98" s="596">
        <v>2895890.1249999991</v>
      </c>
      <c r="T98" s="596">
        <v>2632389.7850000011</v>
      </c>
      <c r="U98" s="596">
        <v>3190012.14</v>
      </c>
      <c r="V98" s="596">
        <v>3170447.94</v>
      </c>
      <c r="W98" s="596">
        <v>3353437.75</v>
      </c>
      <c r="X98" s="596">
        <v>3164248.8299999987</v>
      </c>
      <c r="Y98" s="596">
        <v>3028316.8675000006</v>
      </c>
      <c r="Z98" s="596">
        <v>2990318.2374999989</v>
      </c>
      <c r="AA98" s="596">
        <v>3079895.0999999996</v>
      </c>
      <c r="AB98" s="596">
        <v>3159407.145</v>
      </c>
      <c r="AC98" s="596"/>
      <c r="AD98" s="596"/>
      <c r="AF98" s="762" t="s">
        <v>121</v>
      </c>
      <c r="AG98" s="569" t="s">
        <v>142</v>
      </c>
      <c r="AH98" s="596">
        <v>2895890.1249999991</v>
      </c>
      <c r="AI98" s="596">
        <v>5528279.9100000001</v>
      </c>
      <c r="AJ98" s="596">
        <v>8718292.0500000007</v>
      </c>
      <c r="AK98" s="596">
        <v>11888739.99</v>
      </c>
      <c r="AL98" s="596">
        <v>15242177.74</v>
      </c>
      <c r="AM98" s="596">
        <v>18406426.57</v>
      </c>
      <c r="AN98" s="596">
        <v>21434743.4375</v>
      </c>
      <c r="AO98" s="596">
        <v>24425061.674999997</v>
      </c>
      <c r="AP98" s="596">
        <v>27504956.774999999</v>
      </c>
      <c r="AQ98" s="596">
        <v>30664363.919999998</v>
      </c>
      <c r="AR98" s="596">
        <v>0</v>
      </c>
      <c r="AS98" s="596">
        <v>0</v>
      </c>
      <c r="AU98"/>
    </row>
    <row r="99" spans="1:47" ht="13.9" customHeight="1">
      <c r="B99" s="762"/>
      <c r="C99" s="569" t="s">
        <v>143</v>
      </c>
      <c r="D99" s="564"/>
      <c r="E99" s="564"/>
      <c r="F99" s="564"/>
      <c r="G99" s="564"/>
      <c r="H99" s="564"/>
      <c r="I99" s="564"/>
      <c r="J99" s="564"/>
      <c r="K99" s="564"/>
      <c r="L99" s="564"/>
      <c r="M99" s="564"/>
      <c r="N99" s="564"/>
      <c r="O99" s="564"/>
      <c r="Q99" s="762"/>
      <c r="R99" s="569" t="s">
        <v>143</v>
      </c>
      <c r="S99" s="596">
        <v>27447.191999999999</v>
      </c>
      <c r="T99" s="596">
        <v>27547.344000000001</v>
      </c>
      <c r="U99" s="596">
        <v>27650.3</v>
      </c>
      <c r="V99" s="596">
        <v>27754.2</v>
      </c>
      <c r="W99" s="596">
        <v>27774.792000000001</v>
      </c>
      <c r="X99" s="596">
        <v>27801.936000000002</v>
      </c>
      <c r="Y99" s="596">
        <v>27824.400000000001</v>
      </c>
      <c r="Z99" s="596">
        <v>27986.04</v>
      </c>
      <c r="AA99" s="596">
        <v>28027.952000000001</v>
      </c>
      <c r="AB99" s="596">
        <v>28076.527999999998</v>
      </c>
      <c r="AC99" s="596"/>
      <c r="AD99" s="596"/>
      <c r="AF99" s="762"/>
      <c r="AG99" s="569" t="s">
        <v>143</v>
      </c>
      <c r="AH99" s="596">
        <v>27447.191999999999</v>
      </c>
      <c r="AI99" s="596">
        <v>54994.536</v>
      </c>
      <c r="AJ99" s="596">
        <v>82644.835999999996</v>
      </c>
      <c r="AK99" s="596">
        <v>110399.03599999999</v>
      </c>
      <c r="AL99" s="596">
        <v>138173.82799999998</v>
      </c>
      <c r="AM99" s="596">
        <v>165975.76399999997</v>
      </c>
      <c r="AN99" s="596">
        <v>193800.16399999996</v>
      </c>
      <c r="AO99" s="596">
        <v>221786.20399999997</v>
      </c>
      <c r="AP99" s="596">
        <v>249814.15599999996</v>
      </c>
      <c r="AQ99" s="596">
        <v>277890.68399999995</v>
      </c>
      <c r="AR99" s="596">
        <v>0</v>
      </c>
      <c r="AS99" s="596">
        <v>0</v>
      </c>
      <c r="AU99"/>
    </row>
    <row r="100" spans="1:47" ht="13.9" customHeight="1">
      <c r="B100" s="762"/>
      <c r="C100" s="569" t="s">
        <v>144</v>
      </c>
      <c r="D100" s="564"/>
      <c r="E100" s="564"/>
      <c r="F100" s="564"/>
      <c r="G100" s="564"/>
      <c r="H100" s="564"/>
      <c r="I100" s="564"/>
      <c r="J100" s="564"/>
      <c r="K100" s="564"/>
      <c r="L100" s="564"/>
      <c r="M100" s="564"/>
      <c r="N100" s="564"/>
      <c r="O100" s="564"/>
      <c r="Q100" s="762"/>
      <c r="R100" s="569" t="s">
        <v>144</v>
      </c>
      <c r="S100" s="596">
        <v>3234246.1830000002</v>
      </c>
      <c r="T100" s="596">
        <v>2506182.5229999996</v>
      </c>
      <c r="U100" s="596">
        <v>2680131</v>
      </c>
      <c r="V100" s="596">
        <v>2480217.3789999997</v>
      </c>
      <c r="W100" s="596">
        <v>2790014.9539999999</v>
      </c>
      <c r="X100" s="596">
        <v>2806945.628</v>
      </c>
      <c r="Y100" s="596">
        <v>2707512.273</v>
      </c>
      <c r="Z100" s="596">
        <v>2609979.2340000002</v>
      </c>
      <c r="AA100" s="596">
        <v>2715996.6740000001</v>
      </c>
      <c r="AB100" s="596">
        <v>2759705.55</v>
      </c>
      <c r="AC100" s="596"/>
      <c r="AD100" s="596"/>
      <c r="AF100" s="762"/>
      <c r="AG100" s="569" t="s">
        <v>144</v>
      </c>
      <c r="AH100" s="596">
        <v>3234246.1830000002</v>
      </c>
      <c r="AI100" s="596">
        <v>5740428.7060000002</v>
      </c>
      <c r="AJ100" s="596">
        <v>8420559.7060000002</v>
      </c>
      <c r="AK100" s="596">
        <v>10900777.085000001</v>
      </c>
      <c r="AL100" s="596">
        <v>13690792.039000001</v>
      </c>
      <c r="AM100" s="596">
        <v>16497737.667000001</v>
      </c>
      <c r="AN100" s="596">
        <v>19205249.940000001</v>
      </c>
      <c r="AO100" s="596">
        <v>21815229.174000002</v>
      </c>
      <c r="AP100" s="596">
        <v>24531225.848000001</v>
      </c>
      <c r="AQ100" s="596">
        <v>27290931.398000002</v>
      </c>
      <c r="AR100" s="596">
        <v>0</v>
      </c>
      <c r="AS100" s="596">
        <v>0</v>
      </c>
      <c r="AU100"/>
    </row>
    <row r="101" spans="1:47" ht="13.9" customHeight="1">
      <c r="B101" s="762"/>
      <c r="C101" s="591" t="s">
        <v>145</v>
      </c>
      <c r="D101" s="594">
        <v>10.62</v>
      </c>
      <c r="E101" s="594">
        <v>10.62</v>
      </c>
      <c r="F101" s="594">
        <v>10.62</v>
      </c>
      <c r="G101" s="594">
        <v>10.42</v>
      </c>
      <c r="H101" s="594">
        <v>10.23</v>
      </c>
      <c r="I101" s="594">
        <v>10.039999999999999</v>
      </c>
      <c r="J101" s="594">
        <v>9.9600000000000009</v>
      </c>
      <c r="K101" s="594">
        <v>9.89</v>
      </c>
      <c r="L101" s="594">
        <v>9.82</v>
      </c>
      <c r="M101" s="594">
        <v>9.75</v>
      </c>
      <c r="N101" s="594">
        <v>9.67</v>
      </c>
      <c r="O101" s="594">
        <v>9.6</v>
      </c>
      <c r="Q101" s="762"/>
      <c r="R101" s="569" t="s">
        <v>145</v>
      </c>
      <c r="S101" s="594">
        <v>-12.631806947440765</v>
      </c>
      <c r="T101" s="594">
        <v>3.7479220806200404</v>
      </c>
      <c r="U101" s="594">
        <v>15.116896702468358</v>
      </c>
      <c r="V101" s="594">
        <v>20.895355279039844</v>
      </c>
      <c r="W101" s="594">
        <v>15.97310115567227</v>
      </c>
      <c r="X101" s="594">
        <v>10.4132539412205</v>
      </c>
      <c r="Y101" s="594">
        <v>9.6746875349892907</v>
      </c>
      <c r="Z101" s="594">
        <v>11.783125925572957</v>
      </c>
      <c r="AA101" s="594">
        <v>10.905256935536523</v>
      </c>
      <c r="AB101" s="594">
        <v>11.762493719371527</v>
      </c>
      <c r="AC101" s="594">
        <v>0</v>
      </c>
      <c r="AD101" s="594">
        <v>0</v>
      </c>
      <c r="AF101" s="762"/>
      <c r="AG101" s="591" t="s">
        <v>145</v>
      </c>
      <c r="AH101" s="594">
        <v>-12.631806947440765</v>
      </c>
      <c r="AI101" s="594">
        <v>-4.8323047376231782</v>
      </c>
      <c r="AJ101" s="594">
        <v>2.4670830796497727</v>
      </c>
      <c r="AK101" s="594">
        <v>7.3814707844409595</v>
      </c>
      <c r="AL101" s="594">
        <v>9.2717188915289448</v>
      </c>
      <c r="AM101" s="594">
        <v>9.4679601842999137</v>
      </c>
      <c r="AN101" s="594">
        <v>9.4971667817519112</v>
      </c>
      <c r="AO101" s="594">
        <v>9.7770328229887475</v>
      </c>
      <c r="AP101" s="594">
        <v>9.9033668486832145</v>
      </c>
      <c r="AQ101" s="594">
        <v>10.094916190258923</v>
      </c>
      <c r="AR101" s="594">
        <v>0</v>
      </c>
      <c r="AS101" s="594">
        <v>0</v>
      </c>
      <c r="AU101"/>
    </row>
    <row r="102" spans="1:47" ht="13.9" customHeight="1">
      <c r="B102" s="762" t="s">
        <v>89</v>
      </c>
      <c r="C102" s="569" t="s">
        <v>142</v>
      </c>
      <c r="D102" s="564"/>
      <c r="E102" s="564"/>
      <c r="F102" s="564"/>
      <c r="G102" s="564"/>
      <c r="H102" s="564"/>
      <c r="I102" s="564"/>
      <c r="J102" s="564"/>
      <c r="K102" s="564"/>
      <c r="L102" s="564"/>
      <c r="M102" s="564"/>
      <c r="N102" s="564"/>
      <c r="O102" s="564"/>
      <c r="Q102" s="762" t="s">
        <v>89</v>
      </c>
      <c r="R102" s="569" t="s">
        <v>142</v>
      </c>
      <c r="S102" s="596">
        <v>3227200.850000001</v>
      </c>
      <c r="T102" s="596">
        <v>2950915.399999999</v>
      </c>
      <c r="U102" s="596">
        <v>3446256.03</v>
      </c>
      <c r="V102" s="596">
        <v>3253528.28</v>
      </c>
      <c r="W102" s="596">
        <v>3311683.75</v>
      </c>
      <c r="X102" s="596">
        <v>3162196.8600000008</v>
      </c>
      <c r="Y102" s="596">
        <v>3279861.1947999997</v>
      </c>
      <c r="Z102" s="596">
        <v>3231677.1109000011</v>
      </c>
      <c r="AA102" s="596">
        <v>3173585.3100000005</v>
      </c>
      <c r="AB102" s="596">
        <v>3370841.0255</v>
      </c>
      <c r="AC102" s="596"/>
      <c r="AD102" s="596"/>
      <c r="AF102" s="762" t="s">
        <v>89</v>
      </c>
      <c r="AG102" s="569" t="s">
        <v>142</v>
      </c>
      <c r="AH102" s="596">
        <v>3227200.850000001</v>
      </c>
      <c r="AI102" s="596">
        <v>6178116.25</v>
      </c>
      <c r="AJ102" s="596">
        <v>9624372.2799999993</v>
      </c>
      <c r="AK102" s="596">
        <v>12877900.559999999</v>
      </c>
      <c r="AL102" s="596">
        <v>16189584.309999999</v>
      </c>
      <c r="AM102" s="596">
        <v>19351781.169999998</v>
      </c>
      <c r="AN102" s="596">
        <v>22631642.364799999</v>
      </c>
      <c r="AO102" s="596">
        <v>25863319.475699998</v>
      </c>
      <c r="AP102" s="596">
        <v>29036904.785700001</v>
      </c>
      <c r="AQ102" s="596">
        <v>32407745.8112</v>
      </c>
      <c r="AR102" s="596">
        <v>0</v>
      </c>
      <c r="AS102" s="596">
        <v>0</v>
      </c>
      <c r="AU102"/>
    </row>
    <row r="103" spans="1:47" ht="13.9" customHeight="1">
      <c r="B103" s="762"/>
      <c r="C103" s="569" t="s">
        <v>143</v>
      </c>
      <c r="D103" s="564"/>
      <c r="E103" s="564"/>
      <c r="F103" s="564"/>
      <c r="G103" s="564"/>
      <c r="H103" s="564"/>
      <c r="I103" s="564"/>
      <c r="J103" s="564"/>
      <c r="K103" s="564"/>
      <c r="L103" s="564"/>
      <c r="M103" s="564"/>
      <c r="N103" s="564"/>
      <c r="O103" s="564"/>
      <c r="Q103" s="762"/>
      <c r="R103" s="569" t="s">
        <v>143</v>
      </c>
      <c r="S103" s="596">
        <v>35385.911999999997</v>
      </c>
      <c r="T103" s="596">
        <v>35478.576000000001</v>
      </c>
      <c r="U103" s="596">
        <v>35584.06</v>
      </c>
      <c r="V103" s="596">
        <v>35657.78</v>
      </c>
      <c r="W103" s="596">
        <v>35817.623999999996</v>
      </c>
      <c r="X103" s="596">
        <v>36030.311999999998</v>
      </c>
      <c r="Y103" s="596">
        <v>36149.184000000001</v>
      </c>
      <c r="Z103" s="596">
        <v>36339.551999999996</v>
      </c>
      <c r="AA103" s="596">
        <v>36408.487999999998</v>
      </c>
      <c r="AB103" s="596">
        <v>36549.671999999999</v>
      </c>
      <c r="AC103" s="596"/>
      <c r="AD103" s="596"/>
      <c r="AF103" s="762"/>
      <c r="AG103" s="569" t="s">
        <v>143</v>
      </c>
      <c r="AH103" s="596">
        <v>35385.911999999997</v>
      </c>
      <c r="AI103" s="596">
        <v>70864.487999999998</v>
      </c>
      <c r="AJ103" s="596">
        <v>106448.548</v>
      </c>
      <c r="AK103" s="596">
        <v>142106.32799999998</v>
      </c>
      <c r="AL103" s="596">
        <v>177923.95199999999</v>
      </c>
      <c r="AM103" s="596">
        <v>3168242.1894999989</v>
      </c>
      <c r="AN103" s="596">
        <v>3204391.3734999988</v>
      </c>
      <c r="AO103" s="596">
        <v>3240730.925499999</v>
      </c>
      <c r="AP103" s="596">
        <v>3277139.4134999989</v>
      </c>
      <c r="AQ103" s="596">
        <v>3313689.0854999986</v>
      </c>
      <c r="AR103" s="596">
        <v>0</v>
      </c>
      <c r="AS103" s="596">
        <v>0</v>
      </c>
      <c r="AU103"/>
    </row>
    <row r="104" spans="1:47" ht="13.9" customHeight="1">
      <c r="B104" s="762"/>
      <c r="C104" s="569" t="s">
        <v>144</v>
      </c>
      <c r="D104" s="564"/>
      <c r="E104" s="564"/>
      <c r="F104" s="564"/>
      <c r="G104" s="564"/>
      <c r="H104" s="564"/>
      <c r="I104" s="564"/>
      <c r="J104" s="564"/>
      <c r="K104" s="564"/>
      <c r="L104" s="564"/>
      <c r="M104" s="564"/>
      <c r="N104" s="564"/>
      <c r="O104" s="564"/>
      <c r="Q104" s="762"/>
      <c r="R104" s="569" t="s">
        <v>144</v>
      </c>
      <c r="S104" s="596">
        <v>3822574.7429999998</v>
      </c>
      <c r="T104" s="596">
        <v>3055884.6129999999</v>
      </c>
      <c r="U104" s="596">
        <v>2991582</v>
      </c>
      <c r="V104" s="596">
        <v>2529214.0219999999</v>
      </c>
      <c r="W104" s="596">
        <v>2774782.591</v>
      </c>
      <c r="X104" s="596">
        <v>2881688.6610000003</v>
      </c>
      <c r="Y104" s="596">
        <v>3046430.0930000003</v>
      </c>
      <c r="Z104" s="596">
        <v>2923099.5060000001</v>
      </c>
      <c r="AA104" s="596">
        <v>2888353.7889999999</v>
      </c>
      <c r="AB104" s="596">
        <v>3115289.0060000001</v>
      </c>
      <c r="AC104" s="596"/>
      <c r="AD104" s="596"/>
      <c r="AF104" s="762"/>
      <c r="AG104" s="569" t="s">
        <v>144</v>
      </c>
      <c r="AH104" s="596">
        <v>3822574.7429999998</v>
      </c>
      <c r="AI104" s="596">
        <v>6878459.3559999997</v>
      </c>
      <c r="AJ104" s="596">
        <v>9870041.3559999987</v>
      </c>
      <c r="AK104" s="596">
        <v>12399255.377999999</v>
      </c>
      <c r="AL104" s="596">
        <v>15174037.968999999</v>
      </c>
      <c r="AM104" s="596">
        <v>18055726.629999999</v>
      </c>
      <c r="AN104" s="596">
        <v>21102156.722999997</v>
      </c>
      <c r="AO104" s="596">
        <v>24025256.228999998</v>
      </c>
      <c r="AP104" s="596">
        <v>26913610.017999999</v>
      </c>
      <c r="AQ104" s="596">
        <v>30028899.024</v>
      </c>
      <c r="AR104" s="596">
        <v>0</v>
      </c>
      <c r="AS104" s="596">
        <v>0</v>
      </c>
      <c r="AU104"/>
    </row>
    <row r="105" spans="1:47" ht="13.9" customHeight="1">
      <c r="B105" s="762"/>
      <c r="C105" s="591" t="s">
        <v>145</v>
      </c>
      <c r="D105" s="594">
        <v>6.91</v>
      </c>
      <c r="E105" s="594">
        <v>6.91</v>
      </c>
      <c r="F105" s="594">
        <v>6.91</v>
      </c>
      <c r="G105" s="594">
        <v>6.78</v>
      </c>
      <c r="H105" s="594">
        <v>6.66</v>
      </c>
      <c r="I105" s="594">
        <v>6.53</v>
      </c>
      <c r="J105" s="594">
        <v>6.49</v>
      </c>
      <c r="K105" s="594">
        <v>6.44</v>
      </c>
      <c r="L105" s="594">
        <v>6.39</v>
      </c>
      <c r="M105" s="594">
        <v>6.34</v>
      </c>
      <c r="N105" s="594">
        <v>6.3</v>
      </c>
      <c r="O105" s="594">
        <v>6.25</v>
      </c>
      <c r="Q105" s="762"/>
      <c r="R105" s="569" t="s">
        <v>145</v>
      </c>
      <c r="S105" s="594">
        <v>-19.545105319366737</v>
      </c>
      <c r="T105" s="594">
        <v>-4.7594651137745547</v>
      </c>
      <c r="U105" s="594">
        <v>12.160732294750595</v>
      </c>
      <c r="V105" s="594">
        <v>21.166451271786705</v>
      </c>
      <c r="W105" s="594">
        <v>15.130778565435184</v>
      </c>
      <c r="X105" s="594">
        <v>7.7312671482445445</v>
      </c>
      <c r="Y105" s="594">
        <v>6.0149471603486377</v>
      </c>
      <c r="Z105" s="594">
        <v>8.4240486768241656</v>
      </c>
      <c r="AA105" s="594">
        <v>7.8404393988072973</v>
      </c>
      <c r="AB105" s="594">
        <v>6.4969645807462939</v>
      </c>
      <c r="AC105" s="594">
        <v>0</v>
      </c>
      <c r="AD105" s="594">
        <v>0</v>
      </c>
      <c r="AF105" s="762"/>
      <c r="AG105" s="591" t="s">
        <v>145</v>
      </c>
      <c r="AH105" s="594">
        <v>-19.545105319366737</v>
      </c>
      <c r="AI105" s="594">
        <v>-12.482892240818543</v>
      </c>
      <c r="AJ105" s="594">
        <v>-3.658603530244986</v>
      </c>
      <c r="AK105" s="594">
        <v>2.6133052700012485</v>
      </c>
      <c r="AL105" s="594">
        <v>5.1738350593882574</v>
      </c>
      <c r="AM105" s="594">
        <v>-9.6744978307337881</v>
      </c>
      <c r="AN105" s="594">
        <v>-7.4007255182904936</v>
      </c>
      <c r="AO105" s="594">
        <v>-5.423386120709992</v>
      </c>
      <c r="AP105" s="594">
        <v>-3.9737177716277801</v>
      </c>
      <c r="AQ105" s="594">
        <v>-2.8846261129859885</v>
      </c>
      <c r="AR105" s="594">
        <v>0</v>
      </c>
      <c r="AS105" s="594">
        <v>0</v>
      </c>
      <c r="AU105"/>
    </row>
    <row r="106" spans="1:47" ht="13.9" customHeight="1">
      <c r="B106" s="763" t="s">
        <v>90</v>
      </c>
      <c r="C106" s="569" t="s">
        <v>142</v>
      </c>
      <c r="D106" s="564"/>
      <c r="E106" s="564"/>
      <c r="F106" s="564"/>
      <c r="G106" s="564"/>
      <c r="H106" s="564"/>
      <c r="I106" s="564"/>
      <c r="J106" s="564"/>
      <c r="K106" s="564"/>
      <c r="L106" s="564"/>
      <c r="M106" s="564"/>
      <c r="N106" s="564"/>
      <c r="O106" s="564"/>
      <c r="Q106" s="763" t="s">
        <v>90</v>
      </c>
      <c r="R106" s="569" t="s">
        <v>142</v>
      </c>
      <c r="S106" s="571">
        <v>19958615.650000002</v>
      </c>
      <c r="T106" s="571">
        <v>18477721.98</v>
      </c>
      <c r="U106" s="571">
        <v>21017324.199999999</v>
      </c>
      <c r="V106" s="571">
        <v>20070206.860000003</v>
      </c>
      <c r="W106" s="571">
        <v>21247312.170000002</v>
      </c>
      <c r="X106" s="571">
        <v>19796438.639999997</v>
      </c>
      <c r="Y106" s="571">
        <v>20612570.466900002</v>
      </c>
      <c r="Z106" s="571">
        <v>20306030.860399999</v>
      </c>
      <c r="AA106" s="571">
        <v>20516181.2403</v>
      </c>
      <c r="AB106" s="571">
        <v>21130087.1338</v>
      </c>
      <c r="AC106" s="571">
        <v>0</v>
      </c>
      <c r="AD106" s="571">
        <v>0</v>
      </c>
      <c r="AF106" s="763" t="s">
        <v>90</v>
      </c>
      <c r="AG106" s="569" t="s">
        <v>142</v>
      </c>
      <c r="AH106" s="571">
        <v>19958615.650000002</v>
      </c>
      <c r="AI106" s="571">
        <v>38436337.630000003</v>
      </c>
      <c r="AJ106" s="571">
        <v>59453661.829999998</v>
      </c>
      <c r="AK106" s="571">
        <v>79523868.689999998</v>
      </c>
      <c r="AL106" s="571">
        <v>100771180.86</v>
      </c>
      <c r="AM106" s="571">
        <v>120567619.5</v>
      </c>
      <c r="AN106" s="571">
        <v>141180189.96689999</v>
      </c>
      <c r="AO106" s="571">
        <v>161486220.82729998</v>
      </c>
      <c r="AP106" s="571">
        <v>182002402.06759998</v>
      </c>
      <c r="AQ106" s="571">
        <v>203132489.20139998</v>
      </c>
      <c r="AR106" s="571">
        <v>0</v>
      </c>
      <c r="AS106" s="571">
        <v>0</v>
      </c>
      <c r="AU106"/>
    </row>
    <row r="107" spans="1:47" ht="13.9" customHeight="1">
      <c r="B107" s="763"/>
      <c r="C107" s="569" t="s">
        <v>143</v>
      </c>
      <c r="D107" s="564"/>
      <c r="E107" s="564"/>
      <c r="F107" s="564"/>
      <c r="G107" s="564"/>
      <c r="H107" s="564"/>
      <c r="I107" s="564"/>
      <c r="J107" s="564"/>
      <c r="K107" s="564"/>
      <c r="L107" s="564"/>
      <c r="M107" s="564"/>
      <c r="N107" s="564"/>
      <c r="O107" s="564"/>
      <c r="Q107" s="763"/>
      <c r="R107" s="569" t="s">
        <v>143</v>
      </c>
      <c r="S107" s="571">
        <v>195355.152</v>
      </c>
      <c r="T107" s="571">
        <v>196250.68800000002</v>
      </c>
      <c r="U107" s="571">
        <v>196777.00999999998</v>
      </c>
      <c r="V107" s="571">
        <v>197250.91</v>
      </c>
      <c r="W107" s="571">
        <v>197702.56800000003</v>
      </c>
      <c r="X107" s="571">
        <v>198153.00000000003</v>
      </c>
      <c r="Y107" s="571">
        <v>198541.44</v>
      </c>
      <c r="Z107" s="571">
        <v>199352.304</v>
      </c>
      <c r="AA107" s="571">
        <v>199705.17599999998</v>
      </c>
      <c r="AB107" s="571">
        <v>200264.03999999998</v>
      </c>
      <c r="AC107" s="571">
        <v>0</v>
      </c>
      <c r="AD107" s="571">
        <v>0</v>
      </c>
      <c r="AF107" s="763"/>
      <c r="AG107" s="569" t="s">
        <v>143</v>
      </c>
      <c r="AH107" s="571">
        <v>195355.152</v>
      </c>
      <c r="AI107" s="571">
        <v>391605.84</v>
      </c>
      <c r="AJ107" s="571">
        <v>588382.85</v>
      </c>
      <c r="AK107" s="571">
        <v>785633.76</v>
      </c>
      <c r="AL107" s="571">
        <v>983336.32799999998</v>
      </c>
      <c r="AM107" s="571">
        <v>1181489.328</v>
      </c>
      <c r="AN107" s="571">
        <v>1380030.7679999999</v>
      </c>
      <c r="AO107" s="571">
        <v>1579383.0719999999</v>
      </c>
      <c r="AP107" s="571">
        <v>1779088.2479999999</v>
      </c>
      <c r="AQ107" s="571">
        <v>1979352.2879999999</v>
      </c>
      <c r="AR107" s="571">
        <v>0</v>
      </c>
      <c r="AS107" s="571">
        <v>0</v>
      </c>
      <c r="AU107"/>
    </row>
    <row r="108" spans="1:47" ht="13.9" customHeight="1">
      <c r="B108" s="763"/>
      <c r="C108" s="569" t="s">
        <v>144</v>
      </c>
      <c r="D108" s="564"/>
      <c r="E108" s="564"/>
      <c r="F108" s="564"/>
      <c r="G108" s="564"/>
      <c r="H108" s="564"/>
      <c r="I108" s="564"/>
      <c r="J108" s="564"/>
      <c r="K108" s="564"/>
      <c r="L108" s="564"/>
      <c r="M108" s="564"/>
      <c r="N108" s="564"/>
      <c r="O108" s="564"/>
      <c r="Q108" s="763"/>
      <c r="R108" s="569" t="s">
        <v>144</v>
      </c>
      <c r="S108" s="571">
        <v>22893317.736000001</v>
      </c>
      <c r="T108" s="571">
        <v>19082998.254999999</v>
      </c>
      <c r="U108" s="571">
        <v>18603968</v>
      </c>
      <c r="V108" s="571">
        <v>15369537.355999999</v>
      </c>
      <c r="W108" s="571">
        <v>17388719.600000001</v>
      </c>
      <c r="X108" s="571">
        <v>17608267.153000001</v>
      </c>
      <c r="Y108" s="571">
        <v>18040738.391000003</v>
      </c>
      <c r="Z108" s="571">
        <v>18114968.208000001</v>
      </c>
      <c r="AA108" s="571">
        <v>18181142.642000001</v>
      </c>
      <c r="AB108" s="571">
        <v>19129587.66</v>
      </c>
      <c r="AC108" s="571">
        <v>0</v>
      </c>
      <c r="AD108" s="571">
        <v>0</v>
      </c>
      <c r="AF108" s="763"/>
      <c r="AG108" s="569" t="s">
        <v>144</v>
      </c>
      <c r="AH108" s="571">
        <v>22893317.736000001</v>
      </c>
      <c r="AI108" s="571">
        <v>41976315.991000004</v>
      </c>
      <c r="AJ108" s="571">
        <v>60580283.991000004</v>
      </c>
      <c r="AK108" s="571">
        <v>75949821.347000003</v>
      </c>
      <c r="AL108" s="571">
        <v>93338540.946999997</v>
      </c>
      <c r="AM108" s="571">
        <v>110946808.09999999</v>
      </c>
      <c r="AN108" s="571">
        <v>128987546.491</v>
      </c>
      <c r="AO108" s="571">
        <v>147102514.699</v>
      </c>
      <c r="AP108" s="571">
        <v>165283657.34099999</v>
      </c>
      <c r="AQ108" s="571">
        <v>184413245.00099999</v>
      </c>
      <c r="AR108" s="571">
        <v>0</v>
      </c>
      <c r="AS108" s="571">
        <v>0</v>
      </c>
      <c r="AU108"/>
    </row>
    <row r="109" spans="1:47" ht="13.9" customHeight="1">
      <c r="B109" s="763"/>
      <c r="C109" s="591" t="s">
        <v>145</v>
      </c>
      <c r="D109" s="594">
        <v>9.9499999999999993</v>
      </c>
      <c r="E109" s="594">
        <v>9.9499999999999993</v>
      </c>
      <c r="F109" s="594">
        <v>9.9499999999999993</v>
      </c>
      <c r="G109" s="594">
        <v>9.77</v>
      </c>
      <c r="H109" s="594">
        <v>9.59</v>
      </c>
      <c r="I109" s="594">
        <v>9.41</v>
      </c>
      <c r="J109" s="594">
        <v>9.34</v>
      </c>
      <c r="K109" s="594">
        <v>9.27</v>
      </c>
      <c r="L109" s="594">
        <v>9.1999999999999993</v>
      </c>
      <c r="M109" s="594">
        <v>9.14</v>
      </c>
      <c r="N109" s="594">
        <v>9.07</v>
      </c>
      <c r="O109" s="594">
        <v>9</v>
      </c>
      <c r="Q109" s="763"/>
      <c r="R109" s="591" t="s">
        <v>145</v>
      </c>
      <c r="S109" s="594">
        <v>-15.682737184229497</v>
      </c>
      <c r="T109" s="594">
        <v>-4.3378018343795839</v>
      </c>
      <c r="U109" s="594">
        <v>10.546438589932384</v>
      </c>
      <c r="V109" s="594">
        <v>22.43832674677277</v>
      </c>
      <c r="W109" s="594">
        <v>17.229896999249483</v>
      </c>
      <c r="X109" s="594">
        <v>10.0524065120432</v>
      </c>
      <c r="Y109" s="594">
        <v>11.513802413488733</v>
      </c>
      <c r="Z109" s="594">
        <v>9.808467061301231</v>
      </c>
      <c r="AA109" s="594">
        <v>10.40804522678693</v>
      </c>
      <c r="AB109" s="594">
        <v>8.5197728830957704</v>
      </c>
      <c r="AC109" s="594">
        <v>0</v>
      </c>
      <c r="AD109" s="594">
        <v>0</v>
      </c>
      <c r="AF109" s="763"/>
      <c r="AG109" s="591" t="s">
        <v>145</v>
      </c>
      <c r="AH109" s="594">
        <v>-15.682737184229497</v>
      </c>
      <c r="AI109" s="594">
        <v>-10.228821067310426</v>
      </c>
      <c r="AJ109" s="594">
        <v>-2.8846078747913642</v>
      </c>
      <c r="AK109" s="594">
        <v>3.5063857291321998</v>
      </c>
      <c r="AL109" s="594">
        <v>6.3999484078289566</v>
      </c>
      <c r="AM109" s="594">
        <v>6.9996588694363426</v>
      </c>
      <c r="AN109" s="594">
        <v>7.6587322275420009</v>
      </c>
      <c r="AO109" s="594">
        <v>7.929049915654077</v>
      </c>
      <c r="AP109" s="594">
        <v>8.2084941236385731</v>
      </c>
      <c r="AQ109" s="594">
        <v>8.2408737165638186</v>
      </c>
      <c r="AR109" s="594">
        <v>0</v>
      </c>
      <c r="AS109" s="594">
        <v>0</v>
      </c>
      <c r="AU109"/>
    </row>
    <row r="110" spans="1:47">
      <c r="A110" s="105"/>
      <c r="D110"/>
      <c r="E110"/>
      <c r="F110"/>
      <c r="G110"/>
      <c r="H110"/>
      <c r="I110"/>
      <c r="J110"/>
      <c r="K110"/>
      <c r="L110"/>
      <c r="M110"/>
      <c r="N110"/>
      <c r="O110"/>
      <c r="S110"/>
      <c r="T110"/>
      <c r="U110"/>
      <c r="V110"/>
      <c r="W110"/>
      <c r="X110"/>
      <c r="Y110"/>
      <c r="Z110"/>
      <c r="AA110"/>
      <c r="AB110"/>
      <c r="AC110"/>
      <c r="AD110"/>
      <c r="AH110"/>
      <c r="AI110"/>
      <c r="AJ110"/>
      <c r="AK110"/>
      <c r="AL110"/>
      <c r="AM110"/>
      <c r="AN110"/>
      <c r="AO110"/>
      <c r="AP110"/>
      <c r="AQ110"/>
      <c r="AR110"/>
      <c r="AS110"/>
      <c r="AU110"/>
    </row>
    <row r="111" spans="1:47">
      <c r="A111" s="105"/>
      <c r="B111" s="21" t="s">
        <v>146</v>
      </c>
      <c r="D111"/>
      <c r="E111"/>
      <c r="F111"/>
      <c r="G111"/>
      <c r="H111"/>
      <c r="I111"/>
      <c r="J111"/>
      <c r="K111"/>
      <c r="L111"/>
      <c r="M111"/>
      <c r="N111"/>
      <c r="O111"/>
      <c r="Q111" t="s">
        <v>146</v>
      </c>
      <c r="S111"/>
      <c r="T111"/>
      <c r="U111"/>
      <c r="V111"/>
      <c r="W111"/>
      <c r="X111"/>
      <c r="Y111"/>
      <c r="Z111"/>
      <c r="AA111"/>
      <c r="AB111"/>
      <c r="AC111"/>
      <c r="AD111"/>
      <c r="AF111" t="s">
        <v>146</v>
      </c>
      <c r="AH111"/>
      <c r="AI111"/>
      <c r="AJ111"/>
      <c r="AK111"/>
      <c r="AL111"/>
      <c r="AM111"/>
      <c r="AN111"/>
      <c r="AO111"/>
      <c r="AP111"/>
      <c r="AQ111"/>
      <c r="AR111"/>
      <c r="AS111"/>
      <c r="AU111"/>
    </row>
    <row r="112" spans="1:47">
      <c r="A112" s="105"/>
      <c r="B112" s="21" t="s">
        <v>147</v>
      </c>
      <c r="D112"/>
      <c r="E112" s="584"/>
      <c r="F112" s="584"/>
      <c r="G112" s="584"/>
      <c r="H112" s="584"/>
      <c r="I112" s="584"/>
      <c r="J112" s="584"/>
      <c r="K112" s="584"/>
      <c r="L112" s="584"/>
      <c r="M112" s="584"/>
      <c r="N112" s="584"/>
      <c r="O112" s="584"/>
      <c r="P112" s="583"/>
      <c r="Q112" t="s">
        <v>126</v>
      </c>
      <c r="S112"/>
      <c r="T112"/>
      <c r="U112"/>
      <c r="V112"/>
      <c r="W112"/>
      <c r="X112"/>
      <c r="Y112"/>
      <c r="Z112"/>
      <c r="AA112"/>
      <c r="AB112"/>
      <c r="AC112"/>
      <c r="AD112"/>
      <c r="AF112" t="s">
        <v>127</v>
      </c>
      <c r="AH112"/>
      <c r="AI112"/>
      <c r="AJ112"/>
      <c r="AK112"/>
      <c r="AL112"/>
      <c r="AM112"/>
      <c r="AN112"/>
      <c r="AO112"/>
      <c r="AP112"/>
      <c r="AQ112"/>
      <c r="AR112"/>
      <c r="AS112"/>
      <c r="AU112"/>
    </row>
    <row r="113" spans="1:45">
      <c r="A113" s="105"/>
      <c r="B113" s="755" t="s">
        <v>72</v>
      </c>
      <c r="C113" s="756"/>
      <c r="D113" s="552" t="s">
        <v>74</v>
      </c>
      <c r="E113" s="552" t="s">
        <v>75</v>
      </c>
      <c r="F113" s="552" t="s">
        <v>76</v>
      </c>
      <c r="G113" s="552" t="s">
        <v>77</v>
      </c>
      <c r="H113" s="552" t="s">
        <v>78</v>
      </c>
      <c r="I113" s="552" t="s">
        <v>79</v>
      </c>
      <c r="J113" s="552" t="s">
        <v>80</v>
      </c>
      <c r="K113" s="552" t="s">
        <v>81</v>
      </c>
      <c r="L113" s="552" t="s">
        <v>82</v>
      </c>
      <c r="M113" s="552" t="s">
        <v>83</v>
      </c>
      <c r="N113" s="552" t="s">
        <v>84</v>
      </c>
      <c r="O113" s="552" t="s">
        <v>85</v>
      </c>
      <c r="Q113" s="553" t="s">
        <v>72</v>
      </c>
      <c r="R113" s="554"/>
      <c r="S113" s="552" t="s">
        <v>74</v>
      </c>
      <c r="T113" s="552" t="s">
        <v>75</v>
      </c>
      <c r="U113" s="552" t="s">
        <v>76</v>
      </c>
      <c r="V113" s="552" t="s">
        <v>77</v>
      </c>
      <c r="W113" s="552" t="s">
        <v>78</v>
      </c>
      <c r="X113" s="552" t="s">
        <v>79</v>
      </c>
      <c r="Y113" s="552" t="s">
        <v>80</v>
      </c>
      <c r="Z113" s="552" t="s">
        <v>81</v>
      </c>
      <c r="AA113" s="552" t="s">
        <v>82</v>
      </c>
      <c r="AB113" s="552" t="s">
        <v>83</v>
      </c>
      <c r="AC113" s="552" t="s">
        <v>84</v>
      </c>
      <c r="AD113" s="552" t="s">
        <v>85</v>
      </c>
      <c r="AF113" s="553" t="s">
        <v>72</v>
      </c>
      <c r="AG113" s="554"/>
      <c r="AH113" s="552" t="s">
        <v>74</v>
      </c>
      <c r="AI113" s="552" t="s">
        <v>75</v>
      </c>
      <c r="AJ113" s="552" t="s">
        <v>76</v>
      </c>
      <c r="AK113" s="552" t="s">
        <v>77</v>
      </c>
      <c r="AL113" s="552" t="s">
        <v>78</v>
      </c>
      <c r="AM113" s="552" t="s">
        <v>79</v>
      </c>
      <c r="AN113" s="552" t="s">
        <v>80</v>
      </c>
      <c r="AO113" s="552" t="s">
        <v>81</v>
      </c>
      <c r="AP113" s="552" t="s">
        <v>82</v>
      </c>
      <c r="AQ113" s="552" t="s">
        <v>83</v>
      </c>
      <c r="AR113" s="552" t="s">
        <v>84</v>
      </c>
      <c r="AS113" s="552" t="s">
        <v>85</v>
      </c>
    </row>
    <row r="114" spans="1:45">
      <c r="A114" s="105"/>
      <c r="B114" s="757" t="s">
        <v>128</v>
      </c>
      <c r="C114" s="758"/>
      <c r="D114" s="582">
        <v>50867</v>
      </c>
      <c r="E114" s="582">
        <v>101733</v>
      </c>
      <c r="F114" s="582">
        <v>152600</v>
      </c>
      <c r="G114" s="582">
        <v>203467</v>
      </c>
      <c r="H114" s="582">
        <v>254333</v>
      </c>
      <c r="I114" s="582">
        <v>305200</v>
      </c>
      <c r="J114" s="582">
        <v>381500</v>
      </c>
      <c r="K114" s="582">
        <v>457800</v>
      </c>
      <c r="L114" s="582">
        <v>534100</v>
      </c>
      <c r="M114" s="582">
        <v>610400</v>
      </c>
      <c r="N114" s="582">
        <v>686700</v>
      </c>
      <c r="O114" s="582">
        <v>763000</v>
      </c>
      <c r="P114" s="588"/>
      <c r="Q114" s="548" t="s">
        <v>128</v>
      </c>
      <c r="R114" s="549"/>
      <c r="S114" s="582">
        <v>29468</v>
      </c>
      <c r="T114" s="582">
        <v>19278</v>
      </c>
      <c r="U114" s="582">
        <v>102359</v>
      </c>
      <c r="V114" s="582">
        <v>44832</v>
      </c>
      <c r="W114" s="571">
        <v>53992</v>
      </c>
      <c r="X114" s="571">
        <v>208930</v>
      </c>
      <c r="Y114" s="582">
        <v>145598</v>
      </c>
      <c r="Z114" s="570">
        <v>74011</v>
      </c>
      <c r="AA114" s="570">
        <v>98520</v>
      </c>
      <c r="AB114" s="570">
        <v>73733</v>
      </c>
      <c r="AC114" s="570"/>
      <c r="AD114" s="565"/>
      <c r="AF114" s="548" t="s">
        <v>128</v>
      </c>
      <c r="AG114" s="551" t="s">
        <v>148</v>
      </c>
      <c r="AH114" s="621">
        <v>57.931468339001711</v>
      </c>
      <c r="AI114" s="621">
        <v>47.915622266127997</v>
      </c>
      <c r="AJ114" s="621">
        <v>99.020314547837486</v>
      </c>
      <c r="AK114" s="621">
        <v>96.299154162591478</v>
      </c>
      <c r="AL114" s="621">
        <v>98.268411885205623</v>
      </c>
      <c r="AM114" s="621">
        <v>150.34698558322413</v>
      </c>
      <c r="AN114" s="621">
        <v>158.4422018348624</v>
      </c>
      <c r="AO114" s="621">
        <v>148.20183486238531</v>
      </c>
      <c r="AP114" s="621">
        <v>145.47612806590527</v>
      </c>
      <c r="AQ114" s="621">
        <v>139.37106815203146</v>
      </c>
      <c r="AR114" s="621">
        <v>123.88539391291684</v>
      </c>
      <c r="AS114" s="621">
        <v>111.49685452162517</v>
      </c>
    </row>
    <row r="115" spans="1:45">
      <c r="A115" s="105"/>
      <c r="B115" s="622" t="s">
        <v>149</v>
      </c>
      <c r="C115" s="549"/>
      <c r="D115" s="582">
        <v>7.9266895761741116</v>
      </c>
      <c r="E115" s="582">
        <v>15.853379152348223</v>
      </c>
      <c r="F115" s="582">
        <v>23.780068728522334</v>
      </c>
      <c r="G115" s="582">
        <v>31.706758304696447</v>
      </c>
      <c r="H115" s="582">
        <v>39.633447880870563</v>
      </c>
      <c r="I115" s="582">
        <v>47.560137457044668</v>
      </c>
      <c r="J115" s="582">
        <v>56.300114547537227</v>
      </c>
      <c r="K115" s="582">
        <v>65.040091638029779</v>
      </c>
      <c r="L115" s="582">
        <v>73.780068728522338</v>
      </c>
      <c r="M115" s="582">
        <v>82.520045819014882</v>
      </c>
      <c r="N115" s="582">
        <v>91.260022909507441</v>
      </c>
      <c r="O115" s="582">
        <v>100</v>
      </c>
      <c r="P115" s="588"/>
      <c r="Q115" s="622"/>
      <c r="R115" s="549"/>
      <c r="S115" s="582"/>
      <c r="T115" s="582"/>
      <c r="U115" s="582"/>
      <c r="V115" s="582"/>
      <c r="W115" s="571"/>
      <c r="X115" s="571"/>
      <c r="Y115" s="582"/>
      <c r="Z115" s="570"/>
      <c r="AA115" s="570"/>
      <c r="AB115" s="570"/>
      <c r="AC115" s="570"/>
      <c r="AD115" s="565"/>
      <c r="AF115" s="622"/>
      <c r="AG115" s="551" t="s">
        <v>150</v>
      </c>
      <c r="AH115" s="621">
        <v>3.8621231979030148</v>
      </c>
      <c r="AI115" s="621">
        <v>6.3887287024901704</v>
      </c>
      <c r="AJ115" s="621">
        <v>19.804062909567495</v>
      </c>
      <c r="AK115" s="621">
        <v>25.67981651376147</v>
      </c>
      <c r="AL115" s="621">
        <v>32.756094364351242</v>
      </c>
      <c r="AM115" s="621">
        <v>60.138794233289644</v>
      </c>
      <c r="AN115" s="621">
        <v>79.221100917431187</v>
      </c>
      <c r="AO115" s="621">
        <v>88.92110091743119</v>
      </c>
      <c r="AP115" s="621">
        <v>101.83328964613368</v>
      </c>
      <c r="AQ115" s="621">
        <v>111.49685452162517</v>
      </c>
      <c r="AR115" s="621">
        <v>111.49685452162517</v>
      </c>
      <c r="AS115" s="621">
        <v>111.49685452162517</v>
      </c>
    </row>
    <row r="116" spans="1:45">
      <c r="A116" s="105"/>
      <c r="B116" s="757" t="s">
        <v>87</v>
      </c>
      <c r="C116" s="758"/>
      <c r="D116" s="582">
        <v>100000</v>
      </c>
      <c r="E116" s="582">
        <v>200000</v>
      </c>
      <c r="F116" s="582">
        <v>300000</v>
      </c>
      <c r="G116" s="582">
        <v>400000</v>
      </c>
      <c r="H116" s="582">
        <v>500000</v>
      </c>
      <c r="I116" s="582">
        <v>600000</v>
      </c>
      <c r="J116" s="582">
        <v>750000</v>
      </c>
      <c r="K116" s="582">
        <v>900000</v>
      </c>
      <c r="L116" s="582">
        <v>1050000</v>
      </c>
      <c r="M116" s="582">
        <v>1200000</v>
      </c>
      <c r="N116" s="582">
        <v>1350000</v>
      </c>
      <c r="O116" s="582">
        <v>1500000</v>
      </c>
      <c r="P116" s="588"/>
      <c r="Q116" s="548" t="s">
        <v>87</v>
      </c>
      <c r="R116" s="549"/>
      <c r="S116" s="582">
        <v>140562</v>
      </c>
      <c r="T116" s="582">
        <v>4958</v>
      </c>
      <c r="U116" s="582">
        <v>106778</v>
      </c>
      <c r="V116" s="582">
        <v>109257</v>
      </c>
      <c r="W116" s="571">
        <v>111459</v>
      </c>
      <c r="X116" s="571">
        <v>213556</v>
      </c>
      <c r="Y116" s="582">
        <v>116417</v>
      </c>
      <c r="Z116" s="570">
        <v>200675</v>
      </c>
      <c r="AA116" s="570">
        <v>192703</v>
      </c>
      <c r="AB116" s="570">
        <v>93636</v>
      </c>
      <c r="AC116" s="570"/>
      <c r="AD116" s="565"/>
      <c r="AF116" s="548" t="s">
        <v>87</v>
      </c>
      <c r="AG116" s="551" t="s">
        <v>148</v>
      </c>
      <c r="AH116" s="582">
        <v>140.56200000000001</v>
      </c>
      <c r="AI116" s="582">
        <v>72.760000000000005</v>
      </c>
      <c r="AJ116" s="582">
        <v>84.099333333333334</v>
      </c>
      <c r="AK116" s="582">
        <v>90.388750000000002</v>
      </c>
      <c r="AL116" s="582">
        <v>94.602800000000002</v>
      </c>
      <c r="AM116" s="582">
        <v>114.42833333333333</v>
      </c>
      <c r="AN116" s="582">
        <v>107.06493333333333</v>
      </c>
      <c r="AO116" s="582">
        <v>111.518</v>
      </c>
      <c r="AP116" s="582">
        <v>113.93952380952382</v>
      </c>
      <c r="AQ116" s="582">
        <v>107.50008333333334</v>
      </c>
      <c r="AR116" s="582">
        <v>95.555629629629635</v>
      </c>
      <c r="AS116" s="582">
        <v>86.000066666666669</v>
      </c>
    </row>
    <row r="117" spans="1:45">
      <c r="A117" s="105"/>
      <c r="B117" s="622" t="s">
        <v>149</v>
      </c>
      <c r="C117" s="549"/>
      <c r="D117" s="582">
        <v>6.67</v>
      </c>
      <c r="E117" s="582">
        <v>13.33</v>
      </c>
      <c r="F117" s="582">
        <v>20</v>
      </c>
      <c r="G117" s="582">
        <v>26.67</v>
      </c>
      <c r="H117" s="582">
        <v>33.33</v>
      </c>
      <c r="I117" s="582">
        <v>40</v>
      </c>
      <c r="J117" s="582">
        <v>50</v>
      </c>
      <c r="K117" s="582">
        <v>60</v>
      </c>
      <c r="L117" s="582">
        <v>70</v>
      </c>
      <c r="M117" s="582">
        <v>80</v>
      </c>
      <c r="N117" s="582">
        <v>90</v>
      </c>
      <c r="O117" s="582">
        <v>100</v>
      </c>
      <c r="P117" s="588"/>
      <c r="Q117" s="622"/>
      <c r="R117" s="549"/>
      <c r="S117" s="582"/>
      <c r="T117" s="582"/>
      <c r="U117" s="582"/>
      <c r="V117" s="582"/>
      <c r="W117" s="571"/>
      <c r="X117" s="571"/>
      <c r="Y117" s="582"/>
      <c r="Z117" s="570"/>
      <c r="AA117" s="570"/>
      <c r="AB117" s="570"/>
      <c r="AC117" s="570"/>
      <c r="AD117" s="565"/>
      <c r="AF117" s="622"/>
      <c r="AG117" s="551" t="s">
        <v>150</v>
      </c>
      <c r="AH117" s="582">
        <v>9.3707999999999991</v>
      </c>
      <c r="AI117" s="582">
        <v>9.7013333333333325</v>
      </c>
      <c r="AJ117" s="582">
        <v>16.819866666666666</v>
      </c>
      <c r="AK117" s="582">
        <v>24.103666666666665</v>
      </c>
      <c r="AL117" s="582">
        <v>31.534266666666667</v>
      </c>
      <c r="AM117" s="582">
        <v>45.771333333333331</v>
      </c>
      <c r="AN117" s="582">
        <v>53.532466666666664</v>
      </c>
      <c r="AO117" s="582">
        <v>66.910799999999995</v>
      </c>
      <c r="AP117" s="582">
        <v>79.757666666666665</v>
      </c>
      <c r="AQ117" s="582">
        <v>86.000066666666669</v>
      </c>
      <c r="AR117" s="582">
        <v>86.000066666666669</v>
      </c>
      <c r="AS117" s="582">
        <v>86.000066666666669</v>
      </c>
    </row>
    <row r="118" spans="1:45">
      <c r="A118" s="105"/>
      <c r="B118" s="757" t="s">
        <v>88</v>
      </c>
      <c r="C118" s="758"/>
      <c r="D118" s="582">
        <v>13333</v>
      </c>
      <c r="E118" s="582">
        <v>26667</v>
      </c>
      <c r="F118" s="582">
        <v>40000</v>
      </c>
      <c r="G118" s="582">
        <v>53333</v>
      </c>
      <c r="H118" s="582">
        <v>66667</v>
      </c>
      <c r="I118" s="582">
        <v>80000</v>
      </c>
      <c r="J118" s="582">
        <v>100000</v>
      </c>
      <c r="K118" s="582">
        <v>120000</v>
      </c>
      <c r="L118" s="582">
        <v>140000</v>
      </c>
      <c r="M118" s="582">
        <v>160000</v>
      </c>
      <c r="N118" s="582">
        <v>180000</v>
      </c>
      <c r="O118" s="582">
        <v>200000</v>
      </c>
      <c r="P118" s="588"/>
      <c r="Q118" s="548" t="s">
        <v>88</v>
      </c>
      <c r="R118" s="549"/>
      <c r="S118" s="582">
        <v>1999</v>
      </c>
      <c r="T118" s="582">
        <v>1261</v>
      </c>
      <c r="U118" s="582">
        <v>37472</v>
      </c>
      <c r="V118" s="582">
        <v>37273</v>
      </c>
      <c r="W118" s="571">
        <v>34421</v>
      </c>
      <c r="X118" s="571">
        <v>115704</v>
      </c>
      <c r="Y118" s="582">
        <v>42655</v>
      </c>
      <c r="Z118" s="570">
        <v>39828</v>
      </c>
      <c r="AA118" s="570">
        <v>37675</v>
      </c>
      <c r="AB118" s="570">
        <v>27785</v>
      </c>
      <c r="AC118" s="570"/>
      <c r="AD118" s="565"/>
      <c r="AF118" s="548" t="s">
        <v>88</v>
      </c>
      <c r="AG118" s="551" t="s">
        <v>148</v>
      </c>
      <c r="AH118" s="582">
        <v>14.992874821870547</v>
      </c>
      <c r="AI118" s="582">
        <v>12.224847189410132</v>
      </c>
      <c r="AJ118" s="582">
        <v>101.83</v>
      </c>
      <c r="AK118" s="582">
        <v>146.26028912680704</v>
      </c>
      <c r="AL118" s="582">
        <v>168.63815680921596</v>
      </c>
      <c r="AM118" s="582">
        <v>285.16249999999997</v>
      </c>
      <c r="AN118" s="582">
        <v>270.78500000000003</v>
      </c>
      <c r="AO118" s="582">
        <v>258.84416666666669</v>
      </c>
      <c r="AP118" s="582">
        <v>248.77714285714285</v>
      </c>
      <c r="AQ118" s="582">
        <v>235.045625</v>
      </c>
      <c r="AR118" s="582">
        <v>208.92944444444447</v>
      </c>
      <c r="AS118" s="582">
        <v>188.03650000000002</v>
      </c>
    </row>
    <row r="119" spans="1:45">
      <c r="A119" s="105"/>
      <c r="B119" s="622" t="s">
        <v>149</v>
      </c>
      <c r="C119" s="549"/>
      <c r="D119" s="582">
        <v>6.666666666666667</v>
      </c>
      <c r="E119" s="582">
        <v>13.333333333333334</v>
      </c>
      <c r="F119" s="582">
        <v>20</v>
      </c>
      <c r="G119" s="582">
        <v>26.666666666666668</v>
      </c>
      <c r="H119" s="582">
        <v>33.333333333333336</v>
      </c>
      <c r="I119" s="582">
        <v>40</v>
      </c>
      <c r="J119" s="582">
        <v>50</v>
      </c>
      <c r="K119" s="582">
        <v>60</v>
      </c>
      <c r="L119" s="582">
        <v>70</v>
      </c>
      <c r="M119" s="582">
        <v>80</v>
      </c>
      <c r="N119" s="582">
        <v>90</v>
      </c>
      <c r="O119" s="582">
        <v>100</v>
      </c>
      <c r="P119" s="587"/>
      <c r="Q119" s="622"/>
      <c r="R119" s="549"/>
      <c r="S119" s="582"/>
      <c r="T119" s="582"/>
      <c r="U119" s="582"/>
      <c r="V119" s="582"/>
      <c r="W119" s="571"/>
      <c r="X119" s="571"/>
      <c r="Y119" s="582"/>
      <c r="Z119" s="570"/>
      <c r="AA119" s="570"/>
      <c r="AB119" s="570"/>
      <c r="AC119" s="570"/>
      <c r="AD119" s="565"/>
      <c r="AF119" s="622"/>
      <c r="AG119" s="551" t="s">
        <v>150</v>
      </c>
      <c r="AH119" s="582">
        <v>0.99950000000000006</v>
      </c>
      <c r="AI119" s="582">
        <v>1.63</v>
      </c>
      <c r="AJ119" s="582">
        <v>20.366</v>
      </c>
      <c r="AK119" s="582">
        <v>39.002499999999998</v>
      </c>
      <c r="AL119" s="582">
        <v>56.213000000000001</v>
      </c>
      <c r="AM119" s="582">
        <v>114.065</v>
      </c>
      <c r="AN119" s="582">
        <v>135.39250000000001</v>
      </c>
      <c r="AO119" s="582">
        <v>155.3065</v>
      </c>
      <c r="AP119" s="582">
        <v>174.14400000000001</v>
      </c>
      <c r="AQ119" s="582">
        <v>188.03649999999999</v>
      </c>
      <c r="AR119" s="582">
        <v>188.03649999999999</v>
      </c>
      <c r="AS119" s="582">
        <v>188.03649999999999</v>
      </c>
    </row>
    <row r="120" spans="1:45">
      <c r="A120" s="105"/>
      <c r="B120" s="757" t="s">
        <v>121</v>
      </c>
      <c r="C120" s="758"/>
      <c r="D120" s="582">
        <v>8333.33</v>
      </c>
      <c r="E120" s="582">
        <v>16666.66</v>
      </c>
      <c r="F120" s="582">
        <v>24999.989999999998</v>
      </c>
      <c r="G120" s="582">
        <v>33333.32</v>
      </c>
      <c r="H120" s="582">
        <v>41666.65</v>
      </c>
      <c r="I120" s="582">
        <v>49999.98</v>
      </c>
      <c r="J120" s="582">
        <v>75000</v>
      </c>
      <c r="K120" s="582">
        <v>100000</v>
      </c>
      <c r="L120" s="582">
        <v>125000</v>
      </c>
      <c r="M120" s="582">
        <v>150000</v>
      </c>
      <c r="N120" s="582">
        <v>150000</v>
      </c>
      <c r="O120" s="582">
        <v>200000</v>
      </c>
      <c r="P120" s="587"/>
      <c r="Q120" s="548" t="s">
        <v>121</v>
      </c>
      <c r="R120" s="549"/>
      <c r="S120" s="582">
        <v>0</v>
      </c>
      <c r="T120" s="582">
        <v>0</v>
      </c>
      <c r="U120" s="582">
        <v>2479</v>
      </c>
      <c r="V120" s="582">
        <v>0</v>
      </c>
      <c r="W120" s="571">
        <v>17350</v>
      </c>
      <c r="X120" s="571">
        <v>31946</v>
      </c>
      <c r="Y120" s="582">
        <v>123828</v>
      </c>
      <c r="Z120" s="570">
        <v>0</v>
      </c>
      <c r="AA120" s="570">
        <v>2479</v>
      </c>
      <c r="AB120" s="570">
        <v>0</v>
      </c>
      <c r="AC120" s="570"/>
      <c r="AD120" s="565"/>
      <c r="AF120" s="548" t="s">
        <v>121</v>
      </c>
      <c r="AG120" s="551" t="s">
        <v>148</v>
      </c>
      <c r="AH120" s="582">
        <v>0</v>
      </c>
      <c r="AI120" s="582">
        <v>0</v>
      </c>
      <c r="AJ120" s="582">
        <v>9.916003966401588</v>
      </c>
      <c r="AK120" s="582">
        <v>7.4370029748011905</v>
      </c>
      <c r="AL120" s="582">
        <v>47.589619035847612</v>
      </c>
      <c r="AM120" s="582">
        <v>103.55004142001656</v>
      </c>
      <c r="AN120" s="582">
        <v>234.13733333333334</v>
      </c>
      <c r="AO120" s="582">
        <v>175.60300000000001</v>
      </c>
      <c r="AP120" s="582">
        <v>142.46559999999999</v>
      </c>
      <c r="AQ120" s="582">
        <v>118.72133333333332</v>
      </c>
      <c r="AR120" s="582">
        <v>118.72133333333332</v>
      </c>
      <c r="AS120" s="582">
        <v>89.040999999999997</v>
      </c>
    </row>
    <row r="121" spans="1:45">
      <c r="A121" s="105"/>
      <c r="B121" s="622" t="s">
        <v>149</v>
      </c>
      <c r="C121" s="549"/>
      <c r="D121" s="582">
        <v>4.166666666666667</v>
      </c>
      <c r="E121" s="582">
        <v>8.3333333333333339</v>
      </c>
      <c r="F121" s="582">
        <v>12.5</v>
      </c>
      <c r="G121" s="582">
        <v>16.666666666666668</v>
      </c>
      <c r="H121" s="582">
        <v>20.833333333333336</v>
      </c>
      <c r="I121" s="582">
        <v>25.000000000000007</v>
      </c>
      <c r="J121" s="582">
        <v>37.5</v>
      </c>
      <c r="K121" s="582">
        <v>50</v>
      </c>
      <c r="L121" s="582">
        <v>62.5</v>
      </c>
      <c r="M121" s="582">
        <v>75</v>
      </c>
      <c r="N121" s="582">
        <v>87.5</v>
      </c>
      <c r="O121" s="582">
        <v>100</v>
      </c>
      <c r="P121" s="587"/>
      <c r="Q121" s="622"/>
      <c r="R121" s="549"/>
      <c r="S121" s="582"/>
      <c r="T121" s="582"/>
      <c r="U121" s="582"/>
      <c r="V121" s="582"/>
      <c r="W121" s="571"/>
      <c r="X121" s="571"/>
      <c r="Y121" s="582"/>
      <c r="Z121" s="570"/>
      <c r="AA121" s="570"/>
      <c r="AB121" s="570"/>
      <c r="AC121" s="570"/>
      <c r="AD121" s="565"/>
      <c r="AF121" s="622"/>
      <c r="AG121" s="551" t="s">
        <v>150</v>
      </c>
      <c r="AH121" s="582">
        <v>0</v>
      </c>
      <c r="AI121" s="625">
        <v>0</v>
      </c>
      <c r="AJ121" s="625">
        <v>1.2395</v>
      </c>
      <c r="AK121" s="625">
        <v>1.2395</v>
      </c>
      <c r="AL121" s="625">
        <v>9.9145000000000003</v>
      </c>
      <c r="AM121" s="625">
        <v>25.887499999999999</v>
      </c>
      <c r="AN121" s="625">
        <v>87.801500000000004</v>
      </c>
      <c r="AO121" s="625">
        <v>87.801500000000004</v>
      </c>
      <c r="AP121" s="625">
        <v>89.040999999999997</v>
      </c>
      <c r="AQ121" s="625">
        <v>89.040999999999997</v>
      </c>
      <c r="AR121" s="625">
        <v>89.040999999999997</v>
      </c>
      <c r="AS121" s="625">
        <v>89.040999999999997</v>
      </c>
    </row>
    <row r="122" spans="1:45">
      <c r="A122" s="105"/>
      <c r="B122" s="757" t="s">
        <v>89</v>
      </c>
      <c r="C122" s="758"/>
      <c r="D122" s="582">
        <v>6666.67</v>
      </c>
      <c r="E122" s="582">
        <v>13333.34</v>
      </c>
      <c r="F122" s="582">
        <v>20000.010000000002</v>
      </c>
      <c r="G122" s="582">
        <v>26666.68</v>
      </c>
      <c r="H122" s="582">
        <v>33333.35</v>
      </c>
      <c r="I122" s="582">
        <v>40000.019999999997</v>
      </c>
      <c r="J122" s="582">
        <v>65000</v>
      </c>
      <c r="K122" s="582">
        <v>90000</v>
      </c>
      <c r="L122" s="582">
        <v>115000</v>
      </c>
      <c r="M122" s="582">
        <v>140000</v>
      </c>
      <c r="N122" s="582">
        <v>165000</v>
      </c>
      <c r="O122" s="582">
        <v>180000</v>
      </c>
      <c r="P122" s="587"/>
      <c r="Q122" s="548" t="s">
        <v>89</v>
      </c>
      <c r="R122" s="549"/>
      <c r="S122" s="582">
        <v>0</v>
      </c>
      <c r="T122" s="582">
        <v>2479</v>
      </c>
      <c r="U122" s="582">
        <v>505</v>
      </c>
      <c r="V122" s="582">
        <v>3802</v>
      </c>
      <c r="W122" s="571">
        <v>0</v>
      </c>
      <c r="X122" s="571">
        <v>46945</v>
      </c>
      <c r="Y122" s="582">
        <v>147078</v>
      </c>
      <c r="Z122" s="570">
        <v>10375</v>
      </c>
      <c r="AA122" s="570">
        <v>2479</v>
      </c>
      <c r="AB122" s="570">
        <v>2479</v>
      </c>
      <c r="AC122" s="570"/>
      <c r="AD122" s="565"/>
      <c r="AF122" s="548" t="s">
        <v>89</v>
      </c>
      <c r="AG122" s="551" t="s">
        <v>148</v>
      </c>
      <c r="AH122" s="582">
        <v>0</v>
      </c>
      <c r="AI122" s="582">
        <v>18.592490703754645</v>
      </c>
      <c r="AJ122" s="582">
        <v>14.919992540003729</v>
      </c>
      <c r="AK122" s="582">
        <v>25.447487276256364</v>
      </c>
      <c r="AL122" s="582">
        <v>20.357989821005091</v>
      </c>
      <c r="AM122" s="582">
        <v>134.32743283628358</v>
      </c>
      <c r="AN122" s="582">
        <v>308.93692307692311</v>
      </c>
      <c r="AO122" s="582">
        <v>234.64888888888891</v>
      </c>
      <c r="AP122" s="582">
        <v>185.79391304347826</v>
      </c>
      <c r="AQ122" s="582">
        <v>154.38714285714286</v>
      </c>
      <c r="AR122" s="582">
        <v>130.99515151515152</v>
      </c>
      <c r="AS122" s="582">
        <v>120.07888888888888</v>
      </c>
    </row>
    <row r="123" spans="1:45">
      <c r="A123" s="105"/>
      <c r="B123" s="622" t="s">
        <v>149</v>
      </c>
      <c r="C123" s="549"/>
      <c r="D123" s="582">
        <v>3.5087719298245621</v>
      </c>
      <c r="E123" s="582">
        <v>7.0175438596491242</v>
      </c>
      <c r="F123" s="582">
        <v>10.526315789473683</v>
      </c>
      <c r="G123" s="582">
        <v>14.035087719298248</v>
      </c>
      <c r="H123" s="582">
        <v>17.543859649122808</v>
      </c>
      <c r="I123" s="582">
        <v>21.052631578947366</v>
      </c>
      <c r="J123" s="582">
        <v>34.210526315789473</v>
      </c>
      <c r="K123" s="582">
        <v>47.368421052631575</v>
      </c>
      <c r="L123" s="582">
        <v>60.526315789473685</v>
      </c>
      <c r="M123" s="582">
        <v>73.68421052631578</v>
      </c>
      <c r="N123" s="582">
        <v>86.842105263157904</v>
      </c>
      <c r="O123" s="582">
        <v>100</v>
      </c>
      <c r="P123" s="587"/>
      <c r="Q123" s="622"/>
      <c r="R123" s="549"/>
      <c r="S123" s="582"/>
      <c r="T123" s="582"/>
      <c r="U123" s="582"/>
      <c r="V123" s="582"/>
      <c r="W123" s="571"/>
      <c r="X123" s="571"/>
      <c r="Y123" s="582"/>
      <c r="Z123" s="570"/>
      <c r="AA123" s="570"/>
      <c r="AB123" s="570"/>
      <c r="AC123" s="570"/>
      <c r="AD123" s="565"/>
      <c r="AF123" s="622"/>
      <c r="AG123" s="551" t="s">
        <v>150</v>
      </c>
      <c r="AH123" s="625">
        <v>0</v>
      </c>
      <c r="AI123" s="625">
        <v>1.3772222222222221</v>
      </c>
      <c r="AJ123" s="625">
        <v>1.6577777777777778</v>
      </c>
      <c r="AK123" s="625">
        <v>3.77</v>
      </c>
      <c r="AL123" s="625">
        <v>3.77</v>
      </c>
      <c r="AM123" s="582">
        <v>29.850555555555555</v>
      </c>
      <c r="AN123" s="582">
        <v>111.56055555555555</v>
      </c>
      <c r="AO123" s="582">
        <v>117.32444444444444</v>
      </c>
      <c r="AP123" s="582">
        <v>118.70166666666667</v>
      </c>
      <c r="AQ123" s="582">
        <v>120.07888888888888</v>
      </c>
      <c r="AR123" s="582">
        <v>120.07888888888888</v>
      </c>
      <c r="AS123" s="582">
        <v>120.07888888888888</v>
      </c>
    </row>
    <row r="124" spans="1:45">
      <c r="A124" s="105"/>
      <c r="B124" s="766" t="s">
        <v>90</v>
      </c>
      <c r="C124" s="767"/>
      <c r="D124" s="595">
        <v>197534</v>
      </c>
      <c r="E124" s="595">
        <v>395066</v>
      </c>
      <c r="F124" s="595">
        <v>592600</v>
      </c>
      <c r="G124" s="595">
        <v>790134</v>
      </c>
      <c r="H124" s="595">
        <v>987666</v>
      </c>
      <c r="I124" s="595">
        <v>1185200</v>
      </c>
      <c r="J124" s="595">
        <v>1481500</v>
      </c>
      <c r="K124" s="595">
        <v>1777800</v>
      </c>
      <c r="L124" s="595">
        <v>2074100</v>
      </c>
      <c r="M124" s="595">
        <v>2370400</v>
      </c>
      <c r="N124" s="595">
        <v>2666700</v>
      </c>
      <c r="O124" s="595">
        <v>2963000</v>
      </c>
      <c r="Q124" s="550" t="s">
        <v>90</v>
      </c>
      <c r="R124" s="551"/>
      <c r="S124" s="595">
        <v>172029</v>
      </c>
      <c r="T124" s="595">
        <v>27976</v>
      </c>
      <c r="U124" s="595">
        <v>249593</v>
      </c>
      <c r="V124" s="595">
        <v>195164</v>
      </c>
      <c r="W124" s="595">
        <v>217222</v>
      </c>
      <c r="X124" s="595">
        <v>617081</v>
      </c>
      <c r="Y124" s="595">
        <v>575576</v>
      </c>
      <c r="Z124" s="595">
        <v>324889</v>
      </c>
      <c r="AA124" s="595">
        <v>333856</v>
      </c>
      <c r="AB124" s="595">
        <v>197633</v>
      </c>
      <c r="AC124" s="595">
        <v>0</v>
      </c>
      <c r="AD124" s="595">
        <v>0</v>
      </c>
      <c r="AF124" s="550" t="s">
        <v>90</v>
      </c>
      <c r="AG124" s="551" t="s">
        <v>148</v>
      </c>
      <c r="AH124" s="595">
        <v>87.088298723257779</v>
      </c>
      <c r="AI124" s="595">
        <v>50.625718234421591</v>
      </c>
      <c r="AJ124" s="595">
        <v>75.868714141073241</v>
      </c>
      <c r="AK124" s="595">
        <v>81.601601753626596</v>
      </c>
      <c r="AL124" s="595">
        <v>87.274847974922693</v>
      </c>
      <c r="AM124" s="595">
        <v>124.79454944313196</v>
      </c>
      <c r="AN124" s="595">
        <v>138.68653391832601</v>
      </c>
      <c r="AO124" s="595">
        <v>133.84688941388231</v>
      </c>
      <c r="AP124" s="595">
        <v>130.82233257798563</v>
      </c>
      <c r="AQ124" s="595">
        <v>122.80707897401282</v>
      </c>
      <c r="AR124" s="595">
        <v>109.16184797690029</v>
      </c>
      <c r="AS124" s="595">
        <v>98.245663179210268</v>
      </c>
    </row>
    <row r="125" spans="1:45">
      <c r="A125" s="105"/>
      <c r="B125" s="766" t="s">
        <v>149</v>
      </c>
      <c r="C125" s="767"/>
      <c r="D125" s="595">
        <v>6.67</v>
      </c>
      <c r="E125" s="595">
        <v>13.33</v>
      </c>
      <c r="F125" s="595">
        <v>20</v>
      </c>
      <c r="G125" s="595">
        <v>26.67</v>
      </c>
      <c r="H125" s="595">
        <v>33.33</v>
      </c>
      <c r="I125" s="595">
        <v>40</v>
      </c>
      <c r="J125" s="595">
        <v>50</v>
      </c>
      <c r="K125" s="595">
        <v>60</v>
      </c>
      <c r="L125" s="595">
        <v>70</v>
      </c>
      <c r="M125" s="595">
        <v>80</v>
      </c>
      <c r="N125" s="595">
        <v>90</v>
      </c>
      <c r="O125" s="595">
        <v>100</v>
      </c>
      <c r="Q125" s="550" t="s">
        <v>149</v>
      </c>
      <c r="R125" s="551"/>
      <c r="S125" s="595"/>
      <c r="T125" s="595"/>
      <c r="U125" s="595"/>
      <c r="V125" s="595"/>
      <c r="W125" s="595"/>
      <c r="X125" s="595"/>
      <c r="Y125" s="595"/>
      <c r="Z125" s="595"/>
      <c r="AA125" s="595"/>
      <c r="AB125" s="595"/>
      <c r="AC125" s="595"/>
      <c r="AD125" s="595"/>
      <c r="AF125" s="550"/>
      <c r="AG125" s="551" t="s">
        <v>150</v>
      </c>
      <c r="AH125" s="623">
        <v>5.8059061761727984</v>
      </c>
      <c r="AI125" s="624">
        <v>6.7500843739453256</v>
      </c>
      <c r="AJ125" s="624">
        <v>15.173742828214648</v>
      </c>
      <c r="AK125" s="624">
        <v>21.76044549443132</v>
      </c>
      <c r="AL125" s="624">
        <v>29.091596355045564</v>
      </c>
      <c r="AM125" s="624">
        <v>49.917819777252781</v>
      </c>
      <c r="AN125" s="624">
        <v>69.343266959163017</v>
      </c>
      <c r="AO125" s="624">
        <v>80.308133648329402</v>
      </c>
      <c r="AP125" s="624">
        <v>91.575632804589944</v>
      </c>
      <c r="AQ125" s="624">
        <v>98.245663179210254</v>
      </c>
      <c r="AR125" s="624">
        <v>98.245663179210254</v>
      </c>
      <c r="AS125" s="624">
        <v>98.245663179210254</v>
      </c>
    </row>
    <row r="127" spans="1:45">
      <c r="A127" s="105"/>
      <c r="B127" s="21" t="s">
        <v>151</v>
      </c>
      <c r="D127"/>
      <c r="E127"/>
      <c r="F127"/>
      <c r="G127"/>
      <c r="H127"/>
      <c r="I127"/>
      <c r="J127"/>
      <c r="K127"/>
      <c r="L127"/>
      <c r="M127"/>
      <c r="N127"/>
      <c r="O127"/>
      <c r="Q127" t="s">
        <v>151</v>
      </c>
      <c r="S127" s="577"/>
      <c r="T127" s="577"/>
      <c r="U127" s="577"/>
      <c r="V127" s="577"/>
      <c r="W127" s="577"/>
      <c r="X127" s="577"/>
      <c r="Y127" s="577"/>
      <c r="Z127" s="577"/>
      <c r="AA127" s="577"/>
      <c r="AB127" s="577"/>
      <c r="AC127" s="577"/>
      <c r="AD127" s="577"/>
      <c r="AF127" t="s">
        <v>151</v>
      </c>
      <c r="AH127" s="577"/>
      <c r="AI127" s="577"/>
      <c r="AJ127" s="577"/>
      <c r="AK127" s="577"/>
      <c r="AL127" s="577"/>
      <c r="AM127" s="577"/>
      <c r="AN127" s="577"/>
      <c r="AO127"/>
      <c r="AP127" s="577"/>
      <c r="AQ127" s="577"/>
      <c r="AR127" s="577"/>
      <c r="AS127" s="577"/>
    </row>
    <row r="128" spans="1:45">
      <c r="A128" s="105"/>
      <c r="B128" s="21" t="s">
        <v>100</v>
      </c>
      <c r="D128"/>
      <c r="E128"/>
      <c r="F128"/>
      <c r="G128"/>
      <c r="H128"/>
      <c r="I128"/>
      <c r="J128"/>
      <c r="K128"/>
      <c r="L128"/>
      <c r="M128"/>
      <c r="N128"/>
      <c r="O128"/>
      <c r="Q128" t="s">
        <v>126</v>
      </c>
      <c r="S128" s="577"/>
      <c r="T128" s="577"/>
      <c r="U128" s="577"/>
      <c r="V128" s="577"/>
      <c r="W128" s="577"/>
      <c r="X128" s="577"/>
      <c r="Y128" s="577"/>
      <c r="Z128" s="577"/>
      <c r="AA128" s="577"/>
      <c r="AB128" s="577"/>
      <c r="AC128" s="577"/>
      <c r="AD128" s="577"/>
      <c r="AF128" t="s">
        <v>127</v>
      </c>
      <c r="AH128" s="577"/>
      <c r="AI128" s="577"/>
      <c r="AJ128" s="577"/>
      <c r="AK128" s="577"/>
      <c r="AL128" s="577"/>
      <c r="AM128" s="577"/>
      <c r="AN128" s="577"/>
      <c r="AO128" s="577"/>
      <c r="AP128" s="577"/>
      <c r="AQ128" s="577"/>
      <c r="AR128" s="577"/>
      <c r="AS128" s="577"/>
    </row>
    <row r="129" spans="1:45">
      <c r="A129" s="105"/>
      <c r="B129" s="752" t="s">
        <v>72</v>
      </c>
      <c r="C129" s="752"/>
      <c r="D129" s="552" t="s">
        <v>74</v>
      </c>
      <c r="E129" s="552" t="s">
        <v>75</v>
      </c>
      <c r="F129" s="552" t="s">
        <v>76</v>
      </c>
      <c r="G129" s="552" t="s">
        <v>77</v>
      </c>
      <c r="H129" s="552" t="s">
        <v>78</v>
      </c>
      <c r="I129" s="552" t="s">
        <v>79</v>
      </c>
      <c r="J129" s="552" t="s">
        <v>80</v>
      </c>
      <c r="K129" s="552" t="s">
        <v>81</v>
      </c>
      <c r="L129" s="552" t="s">
        <v>82</v>
      </c>
      <c r="M129" s="552" t="s">
        <v>83</v>
      </c>
      <c r="N129" s="552" t="s">
        <v>84</v>
      </c>
      <c r="O129" s="552" t="s">
        <v>85</v>
      </c>
      <c r="Q129" s="752" t="s">
        <v>72</v>
      </c>
      <c r="R129" s="752"/>
      <c r="S129" s="552" t="s">
        <v>74</v>
      </c>
      <c r="T129" s="552" t="s">
        <v>75</v>
      </c>
      <c r="U129" s="552" t="s">
        <v>76</v>
      </c>
      <c r="V129" s="552" t="s">
        <v>77</v>
      </c>
      <c r="W129" s="552" t="s">
        <v>78</v>
      </c>
      <c r="X129" s="552" t="s">
        <v>79</v>
      </c>
      <c r="Y129" s="552" t="s">
        <v>80</v>
      </c>
      <c r="Z129" s="552" t="s">
        <v>81</v>
      </c>
      <c r="AA129" s="552" t="s">
        <v>82</v>
      </c>
      <c r="AB129" s="552" t="s">
        <v>83</v>
      </c>
      <c r="AC129" s="552" t="s">
        <v>84</v>
      </c>
      <c r="AD129" s="552" t="s">
        <v>85</v>
      </c>
      <c r="AF129" s="752" t="s">
        <v>72</v>
      </c>
      <c r="AG129" s="752"/>
      <c r="AH129" s="552" t="s">
        <v>74</v>
      </c>
      <c r="AI129" s="552" t="s">
        <v>75</v>
      </c>
      <c r="AJ129" s="552" t="s">
        <v>76</v>
      </c>
      <c r="AK129" s="552" t="s">
        <v>77</v>
      </c>
      <c r="AL129" s="552" t="s">
        <v>78</v>
      </c>
      <c r="AM129" s="552" t="s">
        <v>79</v>
      </c>
      <c r="AN129" s="552" t="s">
        <v>80</v>
      </c>
      <c r="AO129" s="552" t="s">
        <v>81</v>
      </c>
      <c r="AP129" s="552" t="s">
        <v>82</v>
      </c>
      <c r="AQ129" s="552" t="s">
        <v>83</v>
      </c>
      <c r="AR129" s="552" t="s">
        <v>84</v>
      </c>
      <c r="AS129" s="552" t="s">
        <v>85</v>
      </c>
    </row>
    <row r="130" spans="1:45">
      <c r="A130" s="105"/>
      <c r="B130" s="753" t="s">
        <v>128</v>
      </c>
      <c r="C130" s="754"/>
      <c r="D130" s="599">
        <v>153</v>
      </c>
      <c r="E130" s="599">
        <v>305</v>
      </c>
      <c r="F130" s="599">
        <v>457</v>
      </c>
      <c r="G130" s="599">
        <v>609</v>
      </c>
      <c r="H130" s="599">
        <v>670</v>
      </c>
      <c r="I130" s="599">
        <v>729</v>
      </c>
      <c r="J130" s="599">
        <v>911</v>
      </c>
      <c r="K130" s="599">
        <v>1093</v>
      </c>
      <c r="L130" s="599">
        <v>1275</v>
      </c>
      <c r="M130" s="599">
        <v>1457</v>
      </c>
      <c r="N130" s="599">
        <v>1457</v>
      </c>
      <c r="O130" s="599">
        <v>1457</v>
      </c>
      <c r="Q130" s="557" t="s">
        <v>128</v>
      </c>
      <c r="R130" s="402"/>
      <c r="S130" s="601">
        <v>11</v>
      </c>
      <c r="T130" s="601">
        <v>89</v>
      </c>
      <c r="U130" s="601">
        <v>323</v>
      </c>
      <c r="V130" s="601">
        <v>234</v>
      </c>
      <c r="W130" s="601">
        <v>226</v>
      </c>
      <c r="X130" s="601">
        <v>166</v>
      </c>
      <c r="Y130" s="601">
        <v>91</v>
      </c>
      <c r="Z130" s="601">
        <v>46</v>
      </c>
      <c r="AA130" s="601">
        <v>263</v>
      </c>
      <c r="AB130" s="601">
        <v>9</v>
      </c>
      <c r="AC130" s="601"/>
      <c r="AD130" s="601"/>
      <c r="AF130" s="557" t="s">
        <v>128</v>
      </c>
      <c r="AG130" s="402" t="s">
        <v>152</v>
      </c>
      <c r="AH130" s="601">
        <v>11</v>
      </c>
      <c r="AI130" s="601">
        <v>100</v>
      </c>
      <c r="AJ130" s="601">
        <v>423</v>
      </c>
      <c r="AK130" s="601">
        <v>657</v>
      </c>
      <c r="AL130" s="601">
        <v>883</v>
      </c>
      <c r="AM130" s="601">
        <v>1049</v>
      </c>
      <c r="AN130" s="601">
        <v>1140</v>
      </c>
      <c r="AO130" s="601">
        <v>1186</v>
      </c>
      <c r="AP130" s="601">
        <v>1449</v>
      </c>
      <c r="AQ130" s="601">
        <v>1458</v>
      </c>
      <c r="AR130" s="601">
        <v>1458</v>
      </c>
      <c r="AS130" s="601">
        <v>1458</v>
      </c>
    </row>
    <row r="131" spans="1:45">
      <c r="A131" s="105"/>
      <c r="B131" s="753" t="s">
        <v>87</v>
      </c>
      <c r="C131" s="754"/>
      <c r="D131" s="599">
        <v>147</v>
      </c>
      <c r="E131" s="599">
        <v>292</v>
      </c>
      <c r="F131" s="599">
        <v>437</v>
      </c>
      <c r="G131" s="599">
        <v>583</v>
      </c>
      <c r="H131" s="599">
        <v>619</v>
      </c>
      <c r="I131" s="599">
        <v>657</v>
      </c>
      <c r="J131" s="599">
        <v>766</v>
      </c>
      <c r="K131" s="599">
        <v>875</v>
      </c>
      <c r="L131" s="599">
        <v>984</v>
      </c>
      <c r="M131" s="599">
        <v>1091</v>
      </c>
      <c r="N131" s="599">
        <v>1091</v>
      </c>
      <c r="O131" s="599">
        <v>1091</v>
      </c>
      <c r="Q131" s="557" t="s">
        <v>87</v>
      </c>
      <c r="R131" s="402"/>
      <c r="S131" s="599">
        <v>0</v>
      </c>
      <c r="T131" s="601">
        <v>94</v>
      </c>
      <c r="U131" s="601">
        <v>211</v>
      </c>
      <c r="V131" s="601">
        <v>89</v>
      </c>
      <c r="W131" s="601">
        <v>143</v>
      </c>
      <c r="X131" s="601">
        <v>65</v>
      </c>
      <c r="Y131" s="601">
        <v>130</v>
      </c>
      <c r="Z131" s="601">
        <v>0</v>
      </c>
      <c r="AA131" s="601">
        <v>357</v>
      </c>
      <c r="AB131" s="601">
        <v>20</v>
      </c>
      <c r="AC131" s="601"/>
      <c r="AD131" s="601"/>
      <c r="AF131" s="557" t="s">
        <v>87</v>
      </c>
      <c r="AG131" s="402" t="s">
        <v>152</v>
      </c>
      <c r="AH131" s="601">
        <v>0</v>
      </c>
      <c r="AI131" s="601">
        <v>94</v>
      </c>
      <c r="AJ131" s="601">
        <v>305</v>
      </c>
      <c r="AK131" s="601">
        <v>394</v>
      </c>
      <c r="AL131" s="601">
        <v>537</v>
      </c>
      <c r="AM131" s="601">
        <v>602</v>
      </c>
      <c r="AN131" s="601">
        <v>732</v>
      </c>
      <c r="AO131" s="601">
        <v>732</v>
      </c>
      <c r="AP131" s="601">
        <v>1089</v>
      </c>
      <c r="AQ131" s="601">
        <v>1109</v>
      </c>
      <c r="AR131" s="601">
        <v>1109</v>
      </c>
      <c r="AS131" s="601">
        <v>1109</v>
      </c>
    </row>
    <row r="132" spans="1:45">
      <c r="A132" s="105"/>
      <c r="B132" s="753" t="s">
        <v>88</v>
      </c>
      <c r="C132" s="754"/>
      <c r="D132" s="599">
        <v>45</v>
      </c>
      <c r="E132" s="599">
        <v>90</v>
      </c>
      <c r="F132" s="599">
        <v>134</v>
      </c>
      <c r="G132" s="599">
        <v>178</v>
      </c>
      <c r="H132" s="599">
        <v>222</v>
      </c>
      <c r="I132" s="599">
        <v>266</v>
      </c>
      <c r="J132" s="599">
        <v>398</v>
      </c>
      <c r="K132" s="599">
        <v>530</v>
      </c>
      <c r="L132" s="599">
        <v>662</v>
      </c>
      <c r="M132" s="599">
        <v>793</v>
      </c>
      <c r="N132" s="599">
        <v>793</v>
      </c>
      <c r="O132" s="599">
        <v>793</v>
      </c>
      <c r="Q132" s="557" t="s">
        <v>88</v>
      </c>
      <c r="R132" s="402"/>
      <c r="S132" s="600">
        <v>9</v>
      </c>
      <c r="T132" s="599">
        <v>0</v>
      </c>
      <c r="U132" s="599">
        <v>294</v>
      </c>
      <c r="V132" s="599">
        <v>207</v>
      </c>
      <c r="W132" s="599">
        <v>101</v>
      </c>
      <c r="X132" s="599">
        <v>30</v>
      </c>
      <c r="Y132" s="599">
        <v>54</v>
      </c>
      <c r="Z132" s="599">
        <v>16</v>
      </c>
      <c r="AA132" s="599">
        <v>83</v>
      </c>
      <c r="AB132" s="599">
        <v>0</v>
      </c>
      <c r="AC132" s="599"/>
      <c r="AD132" s="599"/>
      <c r="AF132" s="557" t="s">
        <v>88</v>
      </c>
      <c r="AG132" s="402" t="s">
        <v>152</v>
      </c>
      <c r="AH132" s="601">
        <v>9</v>
      </c>
      <c r="AI132" s="601">
        <v>9</v>
      </c>
      <c r="AJ132" s="601">
        <v>303</v>
      </c>
      <c r="AK132" s="601">
        <v>510</v>
      </c>
      <c r="AL132" s="601">
        <v>611</v>
      </c>
      <c r="AM132" s="601">
        <v>641</v>
      </c>
      <c r="AN132" s="601">
        <v>695</v>
      </c>
      <c r="AO132" s="601">
        <v>711</v>
      </c>
      <c r="AP132" s="601">
        <v>794</v>
      </c>
      <c r="AQ132" s="601">
        <v>794</v>
      </c>
      <c r="AR132" s="601">
        <v>794</v>
      </c>
      <c r="AS132" s="601">
        <v>794</v>
      </c>
    </row>
    <row r="133" spans="1:45">
      <c r="A133" s="105"/>
      <c r="B133" s="753" t="s">
        <v>121</v>
      </c>
      <c r="C133" s="754"/>
      <c r="D133" s="599">
        <v>43</v>
      </c>
      <c r="E133" s="599">
        <v>85</v>
      </c>
      <c r="F133" s="599">
        <v>127</v>
      </c>
      <c r="G133" s="599">
        <v>170</v>
      </c>
      <c r="H133" s="599">
        <v>208</v>
      </c>
      <c r="I133" s="599">
        <v>244</v>
      </c>
      <c r="J133" s="599">
        <v>357</v>
      </c>
      <c r="K133" s="599">
        <v>470</v>
      </c>
      <c r="L133" s="599">
        <v>583</v>
      </c>
      <c r="M133" s="599">
        <v>698</v>
      </c>
      <c r="N133" s="599">
        <v>698</v>
      </c>
      <c r="O133" s="599">
        <v>698</v>
      </c>
      <c r="Q133" s="557" t="s">
        <v>121</v>
      </c>
      <c r="R133" s="402"/>
      <c r="S133" s="599">
        <v>0</v>
      </c>
      <c r="T133" s="599">
        <v>73</v>
      </c>
      <c r="U133" s="599">
        <v>170</v>
      </c>
      <c r="V133" s="599">
        <v>49</v>
      </c>
      <c r="W133" s="599">
        <v>53</v>
      </c>
      <c r="X133" s="599">
        <v>24</v>
      </c>
      <c r="Y133" s="599">
        <v>51</v>
      </c>
      <c r="Z133" s="599">
        <v>90</v>
      </c>
      <c r="AA133" s="599">
        <v>131</v>
      </c>
      <c r="AB133" s="599">
        <v>49</v>
      </c>
      <c r="AC133" s="599"/>
      <c r="AD133" s="599"/>
      <c r="AF133" s="557" t="s">
        <v>121</v>
      </c>
      <c r="AG133" s="402" t="s">
        <v>152</v>
      </c>
      <c r="AH133" s="601">
        <v>0</v>
      </c>
      <c r="AI133" s="601">
        <v>73</v>
      </c>
      <c r="AJ133" s="601">
        <v>243</v>
      </c>
      <c r="AK133" s="601">
        <v>292</v>
      </c>
      <c r="AL133" s="601">
        <v>345</v>
      </c>
      <c r="AM133" s="601">
        <v>369</v>
      </c>
      <c r="AN133" s="601">
        <v>420</v>
      </c>
      <c r="AO133" s="601">
        <v>510</v>
      </c>
      <c r="AP133" s="601">
        <v>641</v>
      </c>
      <c r="AQ133" s="601">
        <v>690</v>
      </c>
      <c r="AR133" s="601">
        <v>690</v>
      </c>
      <c r="AS133" s="601">
        <v>690</v>
      </c>
    </row>
    <row r="134" spans="1:45">
      <c r="A134" s="105"/>
      <c r="B134" s="753" t="s">
        <v>89</v>
      </c>
      <c r="C134" s="754"/>
      <c r="D134" s="599">
        <v>49</v>
      </c>
      <c r="E134" s="599">
        <v>97</v>
      </c>
      <c r="F134" s="599">
        <v>145</v>
      </c>
      <c r="G134" s="599">
        <v>192</v>
      </c>
      <c r="H134" s="599">
        <v>228</v>
      </c>
      <c r="I134" s="599">
        <v>262</v>
      </c>
      <c r="J134" s="599">
        <v>369</v>
      </c>
      <c r="K134" s="599">
        <v>476</v>
      </c>
      <c r="L134" s="599">
        <v>583</v>
      </c>
      <c r="M134" s="599">
        <v>688</v>
      </c>
      <c r="N134" s="599">
        <v>688</v>
      </c>
      <c r="O134" s="599">
        <v>688</v>
      </c>
      <c r="Q134" s="557" t="s">
        <v>89</v>
      </c>
      <c r="R134" s="402"/>
      <c r="S134" s="599">
        <v>3</v>
      </c>
      <c r="T134" s="599">
        <v>1</v>
      </c>
      <c r="U134" s="599">
        <v>139</v>
      </c>
      <c r="V134" s="599">
        <v>178</v>
      </c>
      <c r="W134" s="599">
        <v>63</v>
      </c>
      <c r="X134" s="599">
        <v>82</v>
      </c>
      <c r="Y134" s="599">
        <v>86</v>
      </c>
      <c r="Z134" s="599">
        <v>8</v>
      </c>
      <c r="AA134" s="599">
        <v>122</v>
      </c>
      <c r="AB134" s="599">
        <v>2</v>
      </c>
      <c r="AC134" s="599"/>
      <c r="AD134" s="599"/>
      <c r="AF134" s="557" t="s">
        <v>89</v>
      </c>
      <c r="AG134" s="402" t="s">
        <v>152</v>
      </c>
      <c r="AH134" s="601">
        <v>3</v>
      </c>
      <c r="AI134" s="601">
        <v>4</v>
      </c>
      <c r="AJ134" s="601">
        <v>143</v>
      </c>
      <c r="AK134" s="601">
        <v>321</v>
      </c>
      <c r="AL134" s="601">
        <v>384</v>
      </c>
      <c r="AM134" s="601">
        <v>466</v>
      </c>
      <c r="AN134" s="601">
        <v>552</v>
      </c>
      <c r="AO134" s="601">
        <v>560</v>
      </c>
      <c r="AP134" s="601">
        <v>682</v>
      </c>
      <c r="AQ134" s="601">
        <v>684</v>
      </c>
      <c r="AR134" s="601">
        <v>684</v>
      </c>
      <c r="AS134" s="601">
        <v>684</v>
      </c>
    </row>
    <row r="135" spans="1:45" s="325" customFormat="1">
      <c r="A135" s="615"/>
      <c r="B135" s="764" t="s">
        <v>90</v>
      </c>
      <c r="C135" s="765"/>
      <c r="D135" s="616">
        <v>437</v>
      </c>
      <c r="E135" s="616">
        <v>869</v>
      </c>
      <c r="F135" s="616">
        <v>1300</v>
      </c>
      <c r="G135" s="616">
        <v>1732</v>
      </c>
      <c r="H135" s="616">
        <v>1947</v>
      </c>
      <c r="I135" s="616">
        <v>2158</v>
      </c>
      <c r="J135" s="616">
        <v>2801</v>
      </c>
      <c r="K135" s="616">
        <v>3444</v>
      </c>
      <c r="L135" s="616">
        <v>4087</v>
      </c>
      <c r="M135" s="616">
        <v>4727</v>
      </c>
      <c r="N135" s="616">
        <v>4727</v>
      </c>
      <c r="O135" s="616">
        <v>4727</v>
      </c>
      <c r="Q135" s="617" t="s">
        <v>90</v>
      </c>
      <c r="R135" s="618"/>
      <c r="S135" s="619">
        <v>23</v>
      </c>
      <c r="T135" s="619">
        <v>257</v>
      </c>
      <c r="U135" s="619">
        <v>1137</v>
      </c>
      <c r="V135" s="619">
        <v>757</v>
      </c>
      <c r="W135" s="619">
        <v>586</v>
      </c>
      <c r="X135" s="619">
        <v>367</v>
      </c>
      <c r="Y135" s="619">
        <v>412</v>
      </c>
      <c r="Z135" s="619">
        <v>160</v>
      </c>
      <c r="AA135" s="619">
        <v>956</v>
      </c>
      <c r="AB135" s="619">
        <v>80</v>
      </c>
      <c r="AC135" s="619">
        <v>0</v>
      </c>
      <c r="AD135" s="619">
        <v>0</v>
      </c>
      <c r="AF135" s="617" t="s">
        <v>90</v>
      </c>
      <c r="AG135" s="618" t="s">
        <v>152</v>
      </c>
      <c r="AH135" s="620">
        <v>23</v>
      </c>
      <c r="AI135" s="620">
        <v>280</v>
      </c>
      <c r="AJ135" s="620">
        <v>1417</v>
      </c>
      <c r="AK135" s="620">
        <v>2174</v>
      </c>
      <c r="AL135" s="620">
        <v>2760</v>
      </c>
      <c r="AM135" s="620">
        <v>3127</v>
      </c>
      <c r="AN135" s="620">
        <v>3539</v>
      </c>
      <c r="AO135" s="620">
        <v>3699</v>
      </c>
      <c r="AP135" s="620">
        <v>4655</v>
      </c>
      <c r="AQ135" s="620">
        <v>4735</v>
      </c>
      <c r="AR135" s="620">
        <v>4735</v>
      </c>
      <c r="AS135" s="620">
        <v>4735</v>
      </c>
    </row>
    <row r="141" spans="1:45">
      <c r="D141"/>
      <c r="E141"/>
      <c r="F141"/>
      <c r="G141"/>
      <c r="H141"/>
      <c r="I141"/>
      <c r="J141"/>
      <c r="K141"/>
      <c r="L141"/>
      <c r="M141"/>
      <c r="N141"/>
      <c r="O141"/>
      <c r="S141"/>
      <c r="T141"/>
      <c r="U141"/>
      <c r="V141"/>
      <c r="W141"/>
      <c r="X141"/>
      <c r="Y141"/>
      <c r="Z141"/>
      <c r="AA141"/>
      <c r="AB141"/>
      <c r="AC141"/>
      <c r="AD141"/>
      <c r="AH141"/>
      <c r="AI141"/>
      <c r="AJ141"/>
      <c r="AK141"/>
      <c r="AL141"/>
      <c r="AM141" s="568"/>
      <c r="AN141" s="568"/>
      <c r="AO141" s="568"/>
      <c r="AP141"/>
      <c r="AQ141"/>
      <c r="AR141"/>
      <c r="AS141"/>
    </row>
    <row r="152" spans="24:24">
      <c r="X152" s="105">
        <v>-12</v>
      </c>
    </row>
  </sheetData>
  <mergeCells count="104">
    <mergeCell ref="AF11:AF13"/>
    <mergeCell ref="AF14:AF16"/>
    <mergeCell ref="AF17:AF19"/>
    <mergeCell ref="AF20:AF22"/>
    <mergeCell ref="AF23:AF25"/>
    <mergeCell ref="B33:B35"/>
    <mergeCell ref="Q33:Q35"/>
    <mergeCell ref="B135:C135"/>
    <mergeCell ref="B116:C116"/>
    <mergeCell ref="B118:C118"/>
    <mergeCell ref="B120:C120"/>
    <mergeCell ref="B122:C122"/>
    <mergeCell ref="B124:C124"/>
    <mergeCell ref="B129:C129"/>
    <mergeCell ref="B125:C125"/>
    <mergeCell ref="Q129:R129"/>
    <mergeCell ref="B45:B47"/>
    <mergeCell ref="Q45:Q47"/>
    <mergeCell ref="AF45:AF47"/>
    <mergeCell ref="B51:C51"/>
    <mergeCell ref="Q51:R51"/>
    <mergeCell ref="AF51:AG51"/>
    <mergeCell ref="B39:B41"/>
    <mergeCell ref="Q39:Q41"/>
    <mergeCell ref="AF39:AF41"/>
    <mergeCell ref="B42:B44"/>
    <mergeCell ref="Q42:Q44"/>
    <mergeCell ref="AF42:AF44"/>
    <mergeCell ref="B58:B60"/>
    <mergeCell ref="Q58:Q60"/>
    <mergeCell ref="AF58:AF60"/>
    <mergeCell ref="B61:B63"/>
    <mergeCell ref="Q61:Q63"/>
    <mergeCell ref="AF61:AF63"/>
    <mergeCell ref="B52:B54"/>
    <mergeCell ref="Q52:Q54"/>
    <mergeCell ref="AF52:AF54"/>
    <mergeCell ref="B55:B57"/>
    <mergeCell ref="Q55:Q57"/>
    <mergeCell ref="AF55:AF57"/>
    <mergeCell ref="B64:B66"/>
    <mergeCell ref="Q64:Q66"/>
    <mergeCell ref="AF64:AF66"/>
    <mergeCell ref="B67:B69"/>
    <mergeCell ref="Q67:Q69"/>
    <mergeCell ref="AF67:AF69"/>
    <mergeCell ref="B73:C73"/>
    <mergeCell ref="Q73:R73"/>
    <mergeCell ref="AF73:AG73"/>
    <mergeCell ref="AF86:AF89"/>
    <mergeCell ref="B90:B93"/>
    <mergeCell ref="Q90:Q93"/>
    <mergeCell ref="AF90:AF93"/>
    <mergeCell ref="B85:C85"/>
    <mergeCell ref="Q85:R85"/>
    <mergeCell ref="AF85:AG85"/>
    <mergeCell ref="B86:B89"/>
    <mergeCell ref="Q86:Q89"/>
    <mergeCell ref="AF102:AF105"/>
    <mergeCell ref="B106:B109"/>
    <mergeCell ref="Q106:Q109"/>
    <mergeCell ref="AF106:AF109"/>
    <mergeCell ref="B94:B97"/>
    <mergeCell ref="Q94:Q97"/>
    <mergeCell ref="AF94:AF97"/>
    <mergeCell ref="B98:B101"/>
    <mergeCell ref="Q98:Q101"/>
    <mergeCell ref="AF98:AF101"/>
    <mergeCell ref="B102:B105"/>
    <mergeCell ref="Q102:Q105"/>
    <mergeCell ref="AF33:AF35"/>
    <mergeCell ref="B36:B38"/>
    <mergeCell ref="Q36:Q38"/>
    <mergeCell ref="AF36:AF38"/>
    <mergeCell ref="B29:C29"/>
    <mergeCell ref="Q29:R29"/>
    <mergeCell ref="AF29:AG29"/>
    <mergeCell ref="B30:B32"/>
    <mergeCell ref="Q30:Q32"/>
    <mergeCell ref="AF30:AF32"/>
    <mergeCell ref="AF129:AG129"/>
    <mergeCell ref="B130:C130"/>
    <mergeCell ref="B113:C113"/>
    <mergeCell ref="B114:C114"/>
    <mergeCell ref="B131:C131"/>
    <mergeCell ref="B132:C132"/>
    <mergeCell ref="B133:C133"/>
    <mergeCell ref="B134:C134"/>
    <mergeCell ref="B7:C7"/>
    <mergeCell ref="AF7:AG7"/>
    <mergeCell ref="Q7:R7"/>
    <mergeCell ref="B8:B10"/>
    <mergeCell ref="B11:B13"/>
    <mergeCell ref="B14:B16"/>
    <mergeCell ref="B17:B19"/>
    <mergeCell ref="B20:B22"/>
    <mergeCell ref="B23:B25"/>
    <mergeCell ref="Q8:Q10"/>
    <mergeCell ref="Q11:Q13"/>
    <mergeCell ref="Q14:Q16"/>
    <mergeCell ref="Q17:Q19"/>
    <mergeCell ref="Q20:Q22"/>
    <mergeCell ref="Q23:Q25"/>
    <mergeCell ref="AF8:AF10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pageSetUpPr fitToPage="1"/>
  </sheetPr>
  <dimension ref="A1:N46"/>
  <sheetViews>
    <sheetView workbookViewId="0"/>
  </sheetViews>
  <sheetFormatPr defaultRowHeight="15"/>
  <cols>
    <col min="1" max="1" width="5.7109375" customWidth="1"/>
    <col min="2" max="2" width="49.28515625" customWidth="1"/>
    <col min="3" max="3" width="2.85546875" customWidth="1"/>
    <col min="4" max="4" width="9.5703125" customWidth="1"/>
    <col min="5" max="5" width="9.140625" customWidth="1"/>
    <col min="6" max="6" width="13.7109375" customWidth="1"/>
    <col min="7" max="8" width="12.7109375" customWidth="1"/>
    <col min="9" max="9" width="12.7109375" style="105" customWidth="1"/>
    <col min="10" max="10" width="12.7109375" customWidth="1"/>
    <col min="11" max="11" width="4.28515625" style="181" customWidth="1"/>
    <col min="12" max="12" width="4.85546875" style="181" bestFit="1" customWidth="1"/>
    <col min="13" max="13" width="11.7109375" customWidth="1"/>
  </cols>
  <sheetData>
    <row r="1" spans="1:14" ht="16.5" thickBot="1">
      <c r="A1" s="38"/>
      <c r="B1" s="39" t="s">
        <v>91</v>
      </c>
      <c r="C1" s="38"/>
      <c r="D1" s="38"/>
      <c r="E1" s="38"/>
      <c r="F1" s="40"/>
    </row>
    <row r="2" spans="1:14" ht="16.5" thickBot="1">
      <c r="A2" s="38"/>
      <c r="B2" s="39" t="s">
        <v>92</v>
      </c>
      <c r="C2" s="38"/>
      <c r="D2" s="38"/>
      <c r="E2" s="38"/>
      <c r="F2" s="40"/>
      <c r="M2" s="41" t="s">
        <v>153</v>
      </c>
      <c r="N2" s="137" t="s">
        <v>154</v>
      </c>
    </row>
    <row r="3" spans="1:14" ht="15.75">
      <c r="A3" s="42"/>
      <c r="B3" s="138" t="s">
        <v>7</v>
      </c>
      <c r="C3" s="40"/>
      <c r="D3" s="38"/>
      <c r="E3" s="38"/>
      <c r="F3" s="40"/>
    </row>
    <row r="4" spans="1:14" ht="16.5" customHeight="1">
      <c r="A4" s="743" t="s">
        <v>8</v>
      </c>
      <c r="B4" s="745" t="s">
        <v>9</v>
      </c>
      <c r="C4" s="746"/>
      <c r="D4" s="743" t="s">
        <v>93</v>
      </c>
      <c r="E4" s="743" t="s">
        <v>99</v>
      </c>
      <c r="F4" s="743" t="s">
        <v>155</v>
      </c>
      <c r="G4" s="734" t="str">
        <f>VLOOKUP(M2,M7:N18,2,FALSE)</f>
        <v>S.D. JUNI</v>
      </c>
      <c r="H4" s="735"/>
      <c r="I4" s="735"/>
      <c r="J4" s="736"/>
    </row>
    <row r="5" spans="1:14" ht="19.149999999999999" customHeight="1">
      <c r="A5" s="744"/>
      <c r="B5" s="747"/>
      <c r="C5" s="748"/>
      <c r="D5" s="744"/>
      <c r="E5" s="744"/>
      <c r="F5" s="744"/>
      <c r="G5" s="419" t="s">
        <v>100</v>
      </c>
      <c r="H5" s="417" t="s">
        <v>101</v>
      </c>
      <c r="I5" s="417" t="s">
        <v>102</v>
      </c>
      <c r="J5" s="417" t="s">
        <v>103</v>
      </c>
    </row>
    <row r="6" spans="1:14" ht="15.75">
      <c r="A6" s="420">
        <v>1</v>
      </c>
      <c r="B6" s="393">
        <v>2</v>
      </c>
      <c r="C6" s="228"/>
      <c r="D6" s="420">
        <v>3</v>
      </c>
      <c r="E6" s="420">
        <v>4</v>
      </c>
      <c r="F6" s="420">
        <v>5</v>
      </c>
      <c r="G6" s="394">
        <v>6</v>
      </c>
      <c r="H6" s="452">
        <v>7</v>
      </c>
      <c r="I6" s="452">
        <v>8</v>
      </c>
      <c r="J6" s="417">
        <v>9</v>
      </c>
    </row>
    <row r="7" spans="1:14" ht="20.100000000000001" customHeight="1">
      <c r="A7" s="72" t="str">
        <f>T.UP3!A7</f>
        <v>I</v>
      </c>
      <c r="B7" s="66" t="str">
        <f>T.UP3!B7</f>
        <v>Key Performance Indikator</v>
      </c>
      <c r="C7" s="67"/>
      <c r="D7" s="50"/>
      <c r="E7" s="68" t="e">
        <f>SUM(E8:E10)</f>
        <v>#N/A</v>
      </c>
      <c r="F7" s="68"/>
      <c r="G7" s="68"/>
      <c r="H7" s="68"/>
      <c r="I7" s="68"/>
      <c r="J7" s="102" t="e">
        <f>SUM(J8:J10)</f>
        <v>#N/A</v>
      </c>
      <c r="M7" s="421" t="s">
        <v>94</v>
      </c>
      <c r="N7" s="43" t="s">
        <v>156</v>
      </c>
    </row>
    <row r="8" spans="1:14" ht="20.100000000000001" customHeight="1">
      <c r="A8" s="69">
        <f>T.UP3!A8</f>
        <v>1</v>
      </c>
      <c r="B8" s="74" t="str">
        <f>T.UP3!B8</f>
        <v>Penjualan Tenaga Listrik</v>
      </c>
      <c r="C8" s="75" t="str">
        <f>T.UP3!C8</f>
        <v>ñ</v>
      </c>
      <c r="D8" s="97" t="str">
        <f>T.UP3!D8</f>
        <v>GWh</v>
      </c>
      <c r="E8" s="188" t="e">
        <f>IF(OR(H8="N/A",G8="N/A"),0,T.UP3!F8)</f>
        <v>#N/A</v>
      </c>
      <c r="F8" s="98">
        <f>T.UP3!H8</f>
        <v>231.47</v>
      </c>
      <c r="G8" s="90" t="e">
        <f>VLOOKUP(B8,T.UP3!$B$4:$T$69,MATCH(SIMULASI!$M$2,T.UP3!$B$5:$T$5,0),FALSE)</f>
        <v>#N/A</v>
      </c>
      <c r="H8" s="98" t="e">
        <f>VLOOKUP(B8,'R.UP3'!$B$4:$S$54,MATCH(SIMULASI!$M$2,'R.UP3'!$B$5:$S$5,0),FALSE)</f>
        <v>#N/A</v>
      </c>
      <c r="I8" s="157">
        <v>100</v>
      </c>
      <c r="J8" s="103" t="e">
        <f>IF(I8="N/A",0,IF(I8&gt;110,E8*110/100,E8*I8/100))</f>
        <v>#N/A</v>
      </c>
      <c r="K8" s="181" t="s">
        <v>157</v>
      </c>
      <c r="L8" s="182"/>
      <c r="M8" s="422" t="s">
        <v>95</v>
      </c>
      <c r="N8" s="44" t="s">
        <v>158</v>
      </c>
    </row>
    <row r="9" spans="1:14" ht="20.100000000000001" customHeight="1">
      <c r="A9" s="69">
        <f>T.UP3!A9</f>
        <v>2</v>
      </c>
      <c r="B9" s="74" t="str">
        <f>T.UP3!B9</f>
        <v>Keandalan Sistem</v>
      </c>
      <c r="C9" s="75">
        <f>T.UP3!C9</f>
        <v>0</v>
      </c>
      <c r="D9" s="97">
        <f>T.UP3!D9</f>
        <v>0</v>
      </c>
      <c r="E9" s="188" t="e">
        <f>IF(OR(H9="N/A",G9="N/A"),0,T.UP3!F9)</f>
        <v>#N/A</v>
      </c>
      <c r="F9" s="98">
        <f>T.UP3!H9</f>
        <v>0</v>
      </c>
      <c r="G9" s="90" t="e">
        <f>VLOOKUP(B9,T.UP3!$B$4:$T$69,MATCH(SIMULASI!$M$2,T.UP3!$B$5:$T$5,0),FALSE)</f>
        <v>#N/A</v>
      </c>
      <c r="H9" s="98" t="e">
        <f>VLOOKUP(B9,'R.UP3'!$B$4:$S$54,MATCH(SIMULASI!$M$2,'R.UP3'!$B$5:$S$5,0),FALSE)</f>
        <v>#N/A</v>
      </c>
      <c r="I9" s="157">
        <v>110</v>
      </c>
      <c r="J9" s="103" t="e">
        <f>IF(I9="N/A",0,IF(I9&gt;110,E9*110/100,E9*I9/100))</f>
        <v>#N/A</v>
      </c>
      <c r="K9" s="182" t="s">
        <v>157</v>
      </c>
      <c r="L9" s="182"/>
      <c r="M9" s="422" t="s">
        <v>96</v>
      </c>
      <c r="N9" s="45" t="s">
        <v>159</v>
      </c>
    </row>
    <row r="10" spans="1:14" ht="16.5">
      <c r="A10" s="69">
        <f>T.UP3!A10</f>
        <v>0</v>
      </c>
      <c r="B10" s="153" t="str">
        <f>T.UP3!B10</f>
        <v>a. SAIDI Sesuai Kewenangannya</v>
      </c>
      <c r="C10" s="75" t="str">
        <f>T.UP3!C10</f>
        <v>ò</v>
      </c>
      <c r="D10" s="97" t="str">
        <f>T.UP3!D10</f>
        <v>Menit/Plg</v>
      </c>
      <c r="E10" s="188" t="e">
        <f>IF(OR(H10="N/A",G10="N/A"),0,T.UP3!F10)</f>
        <v>#N/A</v>
      </c>
      <c r="F10" s="98">
        <f>T.UP3!H10</f>
        <v>280.67</v>
      </c>
      <c r="G10" s="90" t="e">
        <f>VLOOKUP(B10,T.UP3!$B$4:$T$69,MATCH(SIMULASI!$M$2,T.UP3!$B$5:$T$5,0),FALSE)</f>
        <v>#N/A</v>
      </c>
      <c r="H10" s="98" t="e">
        <f>VLOOKUP(B10,'R.UP3'!$B$4:$S$54,MATCH(SIMULASI!$M$2,'R.UP3'!$B$5:$S$5,0),FALSE)</f>
        <v>#N/A</v>
      </c>
      <c r="I10" s="157">
        <v>105</v>
      </c>
      <c r="J10" s="103" t="e">
        <f>IF(I10="N/A",0,IF(I10&gt;110,E10*110/100,E10*I10/100))</f>
        <v>#N/A</v>
      </c>
      <c r="K10" s="181" t="s">
        <v>157</v>
      </c>
      <c r="L10" s="182"/>
      <c r="M10" s="422" t="s">
        <v>97</v>
      </c>
      <c r="N10" s="45" t="s">
        <v>160</v>
      </c>
    </row>
    <row r="11" spans="1:14" ht="20.100000000000001" customHeight="1">
      <c r="A11" s="72" t="str">
        <f>T.UP3!A17</f>
        <v>II</v>
      </c>
      <c r="B11" s="71" t="str">
        <f>T.UP3!B17</f>
        <v>Perfomance Indicators</v>
      </c>
      <c r="C11" s="67"/>
      <c r="D11" s="50"/>
      <c r="E11" s="72" t="e">
        <f>SUM(E12:E42)</f>
        <v>#N/A</v>
      </c>
      <c r="F11" s="72"/>
      <c r="G11" s="72"/>
      <c r="H11" s="72"/>
      <c r="I11" s="72"/>
      <c r="J11" s="224" t="e">
        <f>SUM(J12:J42)</f>
        <v>#N/A</v>
      </c>
      <c r="K11" s="182"/>
      <c r="L11" s="182"/>
      <c r="M11" s="422" t="s">
        <v>98</v>
      </c>
      <c r="N11" s="45" t="s">
        <v>161</v>
      </c>
    </row>
    <row r="12" spans="1:14" ht="20.100000000000001" customHeight="1">
      <c r="A12" s="69">
        <f>T.UP3!A18</f>
        <v>4</v>
      </c>
      <c r="B12" s="153" t="str">
        <f>T.UP3!B18</f>
        <v>Keandalan Jaringan Distribusi</v>
      </c>
      <c r="C12" s="75">
        <f>T.UP3!C18</f>
        <v>0</v>
      </c>
      <c r="D12" s="97">
        <f>T.UP3!D18</f>
        <v>0</v>
      </c>
      <c r="E12" s="188" t="e">
        <f>IF(OR(H12="N/A",G12="N/A"),0,T.UP3!F18)</f>
        <v>#N/A</v>
      </c>
      <c r="F12" s="143">
        <f>T.UP3!H18</f>
        <v>0</v>
      </c>
      <c r="G12" s="173" t="e">
        <f>VLOOKUP(B12,T.UP3!$B$4:$T$69,MATCH(SIMULASI!$M$2,T.UP3!$B$5:$T$5,0),FALSE)</f>
        <v>#N/A</v>
      </c>
      <c r="H12" s="173" t="e">
        <f>VLOOKUP(B12,'R.UP3'!$B$4:$S$54,MATCH(SIMULASI!$M$2,'R.UP3'!$B$5:$S$5,0),FALSE)</f>
        <v>#N/A</v>
      </c>
      <c r="I12" s="157" t="e">
        <f>IF(OR(G12="N/A",H12="N/A"),"N/A",IF(AND(G12=0,H12=0),0,(2-H12/G12)*100))</f>
        <v>#N/A</v>
      </c>
      <c r="J12" s="103" t="e">
        <f>IF(I12="N/A",0,IF(I12&gt;110,E12*110/100,E12*I12/100))</f>
        <v>#N/A</v>
      </c>
      <c r="K12" s="182" t="s">
        <v>157</v>
      </c>
      <c r="L12" s="182"/>
      <c r="M12" s="395" t="s">
        <v>153</v>
      </c>
      <c r="N12" s="45" t="s">
        <v>162</v>
      </c>
    </row>
    <row r="13" spans="1:14" ht="19.149999999999999" customHeight="1">
      <c r="A13" s="69">
        <f>T.UP3!A19</f>
        <v>0</v>
      </c>
      <c r="B13" s="153" t="str">
        <f>T.UP3!B19</f>
        <v>a. Gangguan TM &gt; 5 Menit</v>
      </c>
      <c r="C13" s="75" t="str">
        <f>T.UP3!C19</f>
        <v>ò</v>
      </c>
      <c r="D13" s="97" t="str">
        <f>T.UP3!D19</f>
        <v>Kali</v>
      </c>
      <c r="E13" s="188" t="e">
        <f>IF(OR(H13="N/A",G13="N/A"),0,T.UP3!F19)</f>
        <v>#N/A</v>
      </c>
      <c r="F13" s="143">
        <f>T.UP3!H19</f>
        <v>166</v>
      </c>
      <c r="G13" s="173" t="e">
        <f>VLOOKUP(B13,T.UP3!$B$4:$T$69,MATCH(SIMULASI!$M$2,T.UP3!$B$5:$T$5,0),FALSE)</f>
        <v>#N/A</v>
      </c>
      <c r="H13" s="143" t="e">
        <f>VLOOKUP(B13,'R.UP3'!$B$4:$S$54,MATCH(SIMULASI!$M$2,'R.UP3'!$B$5:$S$5,0),FALSE)</f>
        <v>#N/A</v>
      </c>
      <c r="I13" s="157" t="e">
        <f>IF(OR(G13="N/A",H13="N/A"),"N/A",IF(AND(G13=0,H13=0),0,(2-H13/G13)*100))</f>
        <v>#N/A</v>
      </c>
      <c r="J13" s="103" t="e">
        <f>IF(I13="N/A",0,IF(I13&gt;110,E13*110/100,E13*I13/100))</f>
        <v>#N/A</v>
      </c>
      <c r="K13" s="182" t="s">
        <v>157</v>
      </c>
      <c r="L13" s="182"/>
      <c r="M13" s="422" t="s">
        <v>163</v>
      </c>
      <c r="N13" s="46" t="s">
        <v>164</v>
      </c>
    </row>
    <row r="14" spans="1:14" ht="20.100000000000001" customHeight="1">
      <c r="A14" s="69">
        <f>T.UP3!A20</f>
        <v>0</v>
      </c>
      <c r="B14" s="153" t="str">
        <f>T.UP3!B20</f>
        <v>b. Gangguan TM ≤ 5 Menit</v>
      </c>
      <c r="C14" s="75" t="str">
        <f>T.UP3!C20</f>
        <v>ò</v>
      </c>
      <c r="D14" s="97" t="str">
        <f>T.UP3!D20</f>
        <v>Kali</v>
      </c>
      <c r="E14" s="188" t="e">
        <f>IF(OR(H14="N/A",G14="N/A"),0,T.UP3!F20)</f>
        <v>#N/A</v>
      </c>
      <c r="F14" s="160">
        <f>T.UP3!H20</f>
        <v>191</v>
      </c>
      <c r="G14" s="161" t="e">
        <f>VLOOKUP(B14,T.UP3!$B$4:$T$69,MATCH(SIMULASI!$M$2,T.UP3!$B$5:$T$5,0),FALSE)</f>
        <v>#N/A</v>
      </c>
      <c r="H14" s="90" t="e">
        <f>VLOOKUP(B14,'R.UP3'!$B$4:$S$54,MATCH(SIMULASI!$M$2,'R.UP3'!$B$5:$S$5,0),FALSE)</f>
        <v>#N/A</v>
      </c>
      <c r="I14" s="157">
        <v>98</v>
      </c>
      <c r="J14" s="103" t="e">
        <f>IF(I14="N/A",0,IF(I14&gt;110,E14*110/100,E14*I14/100))</f>
        <v>#N/A</v>
      </c>
      <c r="K14" s="182" t="s">
        <v>157</v>
      </c>
      <c r="L14" s="182"/>
      <c r="M14" s="422" t="s">
        <v>165</v>
      </c>
      <c r="N14" s="45" t="s">
        <v>166</v>
      </c>
    </row>
    <row r="15" spans="1:14" ht="20.100000000000001" customHeight="1">
      <c r="A15" s="69">
        <f>T.UP3!A21</f>
        <v>0</v>
      </c>
      <c r="B15" s="153" t="str">
        <f>T.UP3!B21</f>
        <v>c. Kerusakan Peralatan Distribusi (PHB TM dan Trafo) Sesuai Kewenangan</v>
      </c>
      <c r="C15" s="75"/>
      <c r="D15" s="97"/>
      <c r="E15" s="188"/>
      <c r="F15" s="189"/>
      <c r="G15" s="189"/>
      <c r="H15" s="189"/>
      <c r="I15" s="189"/>
      <c r="J15" s="190"/>
      <c r="M15" s="421" t="s">
        <v>167</v>
      </c>
      <c r="N15" s="43" t="s">
        <v>168</v>
      </c>
    </row>
    <row r="16" spans="1:14" ht="19.149999999999999" customHeight="1">
      <c r="A16" s="69"/>
      <c r="B16" s="153" t="str">
        <f>T.UP3!B22</f>
        <v>Peningkatan Layanan</v>
      </c>
      <c r="C16" s="75">
        <f>T.UP3!C22</f>
        <v>0</v>
      </c>
      <c r="D16" s="97">
        <f>T.UP3!D22</f>
        <v>0</v>
      </c>
      <c r="E16" s="188" t="e">
        <f>IF(OR(H16="N/A",G16="N/A"),0,T.UP3!F22)</f>
        <v>#N/A</v>
      </c>
      <c r="F16" s="160">
        <f>T.UP3!H22</f>
        <v>0</v>
      </c>
      <c r="G16" s="161" t="e">
        <f>VLOOKUP(B16,T.UP3!$B$4:$T$69,MATCH(SIMULASI!$M$2,T.UP3!$B$5:$T$5,0),FALSE)</f>
        <v>#N/A</v>
      </c>
      <c r="H16" s="90" t="e">
        <f>VLOOKUP(B16,'R.UP3'!$B$4:$S$54,MATCH(SIMULASI!$M$2,'R.UP3'!$B$5:$S$5,0),FALSE)</f>
        <v>#N/A</v>
      </c>
      <c r="I16" s="157">
        <v>110</v>
      </c>
      <c r="J16" s="103" t="e">
        <f>IF(I16="N/A",0,IF(I16&gt;110,E16*110/100,E16*I16/100))</f>
        <v>#N/A</v>
      </c>
      <c r="K16" s="182" t="s">
        <v>157</v>
      </c>
      <c r="L16" s="182"/>
      <c r="M16" s="422" t="s">
        <v>169</v>
      </c>
      <c r="N16" s="45" t="s">
        <v>170</v>
      </c>
    </row>
    <row r="17" spans="1:14" ht="20.100000000000001" customHeight="1">
      <c r="A17" s="69"/>
      <c r="B17" s="153" t="str">
        <f>T.UP3!B24</f>
        <v>b. Pengaduan Gangguan Berulang pada PLN Mobile</v>
      </c>
      <c r="C17" s="75" t="str">
        <f>T.UP3!C24</f>
        <v>ò</v>
      </c>
      <c r="D17" s="97" t="str">
        <f>T.UP3!D24</f>
        <v>%</v>
      </c>
      <c r="E17" s="188" t="e">
        <f>IF(OR(H17="N/A",G17="N/A"),0,T.UP3!F24)</f>
        <v>#N/A</v>
      </c>
      <c r="F17" s="98">
        <f>T.UP3!H24</f>
        <v>0.04</v>
      </c>
      <c r="G17" s="98" t="e">
        <f>VLOOKUP(B17,T.UP3!$B$4:$T$69,MATCH(SIMULASI!$M$2,T.UP3!$B$5:$T$5,0),FALSE)</f>
        <v>#N/A</v>
      </c>
      <c r="H17" s="90" t="e">
        <f>VLOOKUP(B17,'R.UP3'!$B$4:$S$54,MATCH(SIMULASI!$M$2,'R.UP3'!$B$5:$S$5,0),FALSE)</f>
        <v>#N/A</v>
      </c>
      <c r="I17" s="157">
        <v>110</v>
      </c>
      <c r="J17" s="103" t="e">
        <f>IF(I17="N/A",0,IF(I17&gt;110,E17*110/100,E17*I17/100))</f>
        <v>#N/A</v>
      </c>
      <c r="K17" s="182" t="s">
        <v>157</v>
      </c>
      <c r="L17" s="182"/>
      <c r="M17" s="422" t="s">
        <v>171</v>
      </c>
      <c r="N17" s="45" t="s">
        <v>172</v>
      </c>
    </row>
    <row r="18" spans="1:14" ht="16.5">
      <c r="A18" s="69">
        <f>T.UP3!A25</f>
        <v>0</v>
      </c>
      <c r="B18" s="153" t="str">
        <f>T.UP3!B25</f>
        <v>c. Rating PLN Mobile</v>
      </c>
      <c r="C18" s="75" t="str">
        <f>T.UP3!C25</f>
        <v>ñ</v>
      </c>
      <c r="D18" s="97" t="str">
        <f>T.UP3!D25</f>
        <v>Rating</v>
      </c>
      <c r="E18" s="188" t="e">
        <f>IF(OR(H18="N/A",G18="N/A"),0,T.UP3!F25)</f>
        <v>#N/A</v>
      </c>
      <c r="F18" s="98">
        <f>T.UP3!H25</f>
        <v>4.9000000000000004</v>
      </c>
      <c r="G18" s="98" t="e">
        <f>VLOOKUP(B18,T.UP3!$B$4:$T$69,MATCH(SIMULASI!$M$2,T.UP3!$B$5:$T$5,0),FALSE)</f>
        <v>#N/A</v>
      </c>
      <c r="H18" s="90" t="s">
        <v>173</v>
      </c>
      <c r="I18" s="157" t="e">
        <f>IF(OR(G18="N/A",H18="N/A"),"N/A",IF(AND(G18=0,H18=0),0,H18/G18*100))</f>
        <v>#N/A</v>
      </c>
      <c r="J18" s="103" t="e">
        <f>IF(I18="N/A",0,IF(I18&gt;110,E18*110/100,E18*I18/100))</f>
        <v>#N/A</v>
      </c>
      <c r="K18" s="182" t="s">
        <v>157</v>
      </c>
      <c r="L18" s="182"/>
      <c r="M18" s="423" t="s">
        <v>174</v>
      </c>
      <c r="N18" s="45" t="s">
        <v>175</v>
      </c>
    </row>
    <row r="19" spans="1:14" ht="16.5">
      <c r="A19" s="69" t="e">
        <f>T.UP3!#REF!</f>
        <v>#REF!</v>
      </c>
      <c r="B19" s="153" t="e">
        <f>T.UP3!#REF!</f>
        <v>#REF!</v>
      </c>
      <c r="C19" s="75"/>
      <c r="D19" s="97"/>
      <c r="E19" s="188"/>
      <c r="F19" s="98"/>
      <c r="G19" s="98"/>
      <c r="H19" s="98"/>
      <c r="I19" s="99"/>
      <c r="J19" s="103"/>
      <c r="K19" s="182"/>
      <c r="L19" s="182"/>
    </row>
    <row r="20" spans="1:14" ht="16.5">
      <c r="A20" s="69"/>
      <c r="B20" s="153" t="str">
        <f>T.UP3!B26</f>
        <v>d. Jumlah Kali Transaksi Keuangan melalui PLN Mobile</v>
      </c>
      <c r="C20" s="75" t="str">
        <f>T.UP3!C26</f>
        <v>ñ</v>
      </c>
      <c r="D20" s="97" t="str">
        <f>T.UP3!D26</f>
        <v>Kali Transaksi</v>
      </c>
      <c r="E20" s="188" t="e">
        <f>IF(OR(H20="N/A",G20="N/A"),0,T.UP3!F26)</f>
        <v>#N/A</v>
      </c>
      <c r="F20" s="98">
        <f>T.UP3!H26</f>
        <v>62908</v>
      </c>
      <c r="G20" s="98" t="e">
        <f>VLOOKUP(B20,T.UP3!$B$4:$T$69,MATCH(SIMULASI!$M$2,T.UP3!$B$5:$T$5,0),FALSE)</f>
        <v>#N/A</v>
      </c>
      <c r="H20" s="98" t="e">
        <f>VLOOKUP(B20,'R.UP3'!$B$4:$S$54,MATCH(SIMULASI!$M$2,'R.UP3'!$B$5:$S$5,0),FALSE)</f>
        <v>#N/A</v>
      </c>
      <c r="I20" s="157">
        <v>110</v>
      </c>
      <c r="J20" s="103" t="e">
        <f>IF(OR(I20="N/A",I20&lt;0),0,IF(I20&gt;110,E20*110/100,E20*I20/100))</f>
        <v>#N/A</v>
      </c>
      <c r="K20" s="182" t="s">
        <v>157</v>
      </c>
      <c r="L20" s="182"/>
    </row>
    <row r="21" spans="1:14" ht="20.100000000000001" customHeight="1">
      <c r="A21" s="69"/>
      <c r="B21" s="153" t="e">
        <f>T.UP3!#REF!</f>
        <v>#REF!</v>
      </c>
      <c r="C21" s="75" t="e">
        <f>T.UP3!#REF!</f>
        <v>#REF!</v>
      </c>
      <c r="D21" s="97" t="e">
        <f>T.UP3!#REF!</f>
        <v>#REF!</v>
      </c>
      <c r="E21" s="188" t="e">
        <f>IF(OR(H21="N/A",G21="N/A"),0,T.UP3!#REF!)</f>
        <v>#REF!</v>
      </c>
      <c r="F21" s="98" t="e">
        <f>T.UP3!#REF!</f>
        <v>#REF!</v>
      </c>
      <c r="G21" s="98" t="e">
        <f>VLOOKUP(B21,T.UP3!$B$4:$T$69,MATCH(SIMULASI!$M$2,T.UP3!$B$5:$T$5,0),FALSE)</f>
        <v>#REF!</v>
      </c>
      <c r="H21" s="98" t="e">
        <f>VLOOKUP(B21,'R.UP3'!$B$4:$S$54,MATCH(SIMULASI!$M$2,'R.UP3'!$B$5:$S$5,0),FALSE)</f>
        <v>#REF!</v>
      </c>
      <c r="I21" s="157">
        <v>110</v>
      </c>
      <c r="J21" s="103" t="e">
        <f>IF(I21="N/A",0,IF(I21&gt;110,E21*110/100,E21*I21/100))</f>
        <v>#REF!</v>
      </c>
      <c r="K21" s="182" t="s">
        <v>157</v>
      </c>
    </row>
    <row r="22" spans="1:14" ht="20.100000000000001" customHeight="1">
      <c r="A22" s="69">
        <f>T.UP3!A37</f>
        <v>0</v>
      </c>
      <c r="B22" s="153" t="str">
        <f>T.UP3!B37</f>
        <v>b. Penambahan Jumlah Pelanggan</v>
      </c>
      <c r="C22" s="75" t="str">
        <f>T.UP3!C37</f>
        <v>ñ</v>
      </c>
      <c r="D22" s="97" t="str">
        <f>T.UP3!D37</f>
        <v>Pelanggan</v>
      </c>
      <c r="E22" s="188" t="e">
        <f>IF(OR(H22="N/A",G22="N/A"),0,T.UP3!F37)</f>
        <v>#N/A</v>
      </c>
      <c r="F22" s="98">
        <f>T.UP3!H37</f>
        <v>10632</v>
      </c>
      <c r="G22" s="98" t="e">
        <f>VLOOKUP(B22,T.UP3!$B$4:$T$69,MATCH(SIMULASI!$M$2,T.UP3!$B$5:$T$5,0),FALSE)</f>
        <v>#N/A</v>
      </c>
      <c r="H22" s="98">
        <v>3.17</v>
      </c>
      <c r="I22" s="157" t="e">
        <f>IF(OR(G22="N/A",H22="N/A"),"N/A",IF(AND(G22=0,H22=0),0,H22/G22*100))</f>
        <v>#N/A</v>
      </c>
      <c r="J22" s="103" t="e">
        <f>IF(I22="N/A",0,IF(I22&gt;110,E22*110/100,E22*I22/100))</f>
        <v>#N/A</v>
      </c>
      <c r="K22" s="182" t="s">
        <v>157</v>
      </c>
      <c r="L22" s="182"/>
    </row>
    <row r="23" spans="1:14" ht="31.5">
      <c r="A23" s="69">
        <f>T.UP3!A40</f>
        <v>0</v>
      </c>
      <c r="B23" s="153" t="str">
        <f>T.UP3!B40</f>
        <v>e. Penambahan Jumlah Pelanggan Rumah Tangga Lisdes</v>
      </c>
      <c r="C23" s="75" t="str">
        <f>T.UP3!C40</f>
        <v>ñ</v>
      </c>
      <c r="D23" s="97" t="str">
        <f>T.UP3!D40</f>
        <v>Pelanggan</v>
      </c>
      <c r="E23" s="188" t="e">
        <f>IF(OR(H23="N/A",G23="N/A"),0,T.UP3!F40)</f>
        <v>#N/A</v>
      </c>
      <c r="F23" s="98">
        <f>T.UP3!H40</f>
        <v>441</v>
      </c>
      <c r="G23" s="98" t="e">
        <f>VLOOKUP(B23,T.UP3!$B$4:$T$69,MATCH(SIMULASI!$M$2,T.UP3!$B$5:$T$5,0),FALSE)</f>
        <v>#N/A</v>
      </c>
      <c r="H23" s="98">
        <v>100</v>
      </c>
      <c r="I23" s="157" t="e">
        <f>IF(OR(G23="N/A",H23="N/A"),"N/A",IF(AND(G23=0,H23=0),0,H23/G23*100))</f>
        <v>#N/A</v>
      </c>
      <c r="J23" s="103" t="e">
        <f>IF(I23="N/A",0,IF(I23&gt;110,E23*110/100,E23*I23/100))</f>
        <v>#N/A</v>
      </c>
      <c r="K23" s="182" t="s">
        <v>157</v>
      </c>
      <c r="L23" s="182"/>
    </row>
    <row r="24" spans="1:14" ht="31.5">
      <c r="A24" s="69">
        <f>T.UP3!A41</f>
        <v>0</v>
      </c>
      <c r="B24" s="153" t="str">
        <f>T.UP3!B41</f>
        <v>f. Peningkatan kWh Penjualan dari Pelanggan Rumah Tangga Lisdes</v>
      </c>
      <c r="C24" s="75" t="str">
        <f>T.UP3!C41</f>
        <v>ñ</v>
      </c>
      <c r="D24" s="97" t="str">
        <f>T.UP3!D41</f>
        <v>KWh</v>
      </c>
      <c r="E24" s="188">
        <f>IF(OR(H24="N/A",G24="N/A"),0,T.UP3!F41)</f>
        <v>1.5</v>
      </c>
      <c r="F24" s="98">
        <f>T.UP3!H41</f>
        <v>58950.990000000005</v>
      </c>
      <c r="G24" s="98">
        <v>100</v>
      </c>
      <c r="H24" s="98">
        <v>100</v>
      </c>
      <c r="I24" s="157">
        <f>IF(OR(G24="N/A",H24="N/A"),"N/A",IF(AND(G24=0,H24=0),0,H24/G24*100))</f>
        <v>100</v>
      </c>
      <c r="J24" s="103">
        <f>IF(I24="N/A",0,IF(I24&gt;110,E24*110/100,E24*I24/100))</f>
        <v>1.5</v>
      </c>
      <c r="K24" s="182" t="s">
        <v>157</v>
      </c>
      <c r="L24" s="182"/>
    </row>
    <row r="25" spans="1:14" ht="20.100000000000001" customHeight="1">
      <c r="A25" s="69">
        <f>T.UP3!A42</f>
        <v>10</v>
      </c>
      <c r="B25" s="153" t="str">
        <f>T.UP3!B42</f>
        <v>Pengelolaan Pembacaan Meter</v>
      </c>
      <c r="C25" s="75">
        <f>T.UP3!C42</f>
        <v>0</v>
      </c>
      <c r="D25" s="97">
        <f>T.UP3!D42</f>
        <v>0</v>
      </c>
      <c r="E25" s="188" t="e">
        <f>IF(OR(H25="N/A",G25="N/A"),0,T.UP3!F42)</f>
        <v>#N/A</v>
      </c>
      <c r="F25" s="98">
        <f>T.UP3!H42</f>
        <v>0</v>
      </c>
      <c r="G25" s="98" t="e">
        <f>VLOOKUP(B25,T.UP3!$B$4:$T$69,MATCH(SIMULASI!$M$2,T.UP3!$B$5:$T$5,0),FALSE)</f>
        <v>#N/A</v>
      </c>
      <c r="H25" s="98">
        <v>80</v>
      </c>
      <c r="I25" s="157" t="e">
        <f>IF(OR(G25="N/A",H25="N/A"),"N/A",IF(AND(G25=0,H25=0),0,H25/G25*100))</f>
        <v>#N/A</v>
      </c>
      <c r="J25" s="103" t="e">
        <f>IF(I25="N/A",0,IF(I25&gt;110,E25*110/100,E25*I25/100))</f>
        <v>#N/A</v>
      </c>
      <c r="K25" s="182" t="s">
        <v>157</v>
      </c>
      <c r="L25" s="182"/>
      <c r="N25" s="127"/>
    </row>
    <row r="26" spans="1:14" ht="16.5">
      <c r="A26" s="69">
        <f>T.UP3!A43</f>
        <v>0</v>
      </c>
      <c r="B26" s="153" t="str">
        <f>T.UP3!B43</f>
        <v>a. Jumlah Pengguna Swa Cam</v>
      </c>
      <c r="C26" s="75"/>
      <c r="D26" s="97"/>
      <c r="E26" s="188"/>
      <c r="F26" s="98"/>
      <c r="G26" s="98"/>
      <c r="H26" s="98"/>
      <c r="I26" s="99"/>
      <c r="J26" s="103"/>
      <c r="K26" s="182"/>
      <c r="L26" s="182"/>
    </row>
    <row r="27" spans="1:14" ht="20.100000000000001" customHeight="1">
      <c r="A27" s="69"/>
      <c r="B27" s="153" t="e">
        <f>T.UP3!#REF!</f>
        <v>#REF!</v>
      </c>
      <c r="C27" s="75" t="e">
        <f>T.UP3!#REF!</f>
        <v>#REF!</v>
      </c>
      <c r="D27" s="97" t="e">
        <f>T.UP3!#REF!</f>
        <v>#REF!</v>
      </c>
      <c r="E27" s="188" t="e">
        <f>IF(OR(H27="N/A",G27="N/A"),0,T.UP3!#REF!)</f>
        <v>#REF!</v>
      </c>
      <c r="F27" s="101" t="e">
        <f>T.UP3!#REF!</f>
        <v>#REF!</v>
      </c>
      <c r="G27" s="101" t="e">
        <f>VLOOKUP(B27,T.UP3!$B$4:$T$69,MATCH(SIMULASI!$M$2,T.UP3!$B$5:$T$5,0),FALSE)</f>
        <v>#REF!</v>
      </c>
      <c r="H27" s="101" t="e">
        <f>VLOOKUP(B27,'R.UP3'!$B$4:$S$54,MATCH(SIMULASI!$M$2,'R.UP3'!$B$5:$S$5,0),FALSE)</f>
        <v>#REF!</v>
      </c>
      <c r="I27" s="157" t="e">
        <f>IF(OR(G27="N/A",H27="N/A"),"N/A",IF(AND(G27=0,H27=0),0,H27/G27*100))</f>
        <v>#REF!</v>
      </c>
      <c r="J27" s="103" t="e">
        <f>IF(I27="N/A",0,IF(I27&gt;110,E27*110/100,E27*I27/100))</f>
        <v>#REF!</v>
      </c>
      <c r="K27" s="182" t="s">
        <v>157</v>
      </c>
      <c r="L27" s="182"/>
    </row>
    <row r="28" spans="1:14" ht="20.100000000000001" customHeight="1">
      <c r="A28" s="69"/>
      <c r="B28" s="153" t="str">
        <f>T.UP3!B46</f>
        <v>a. Pencapaian Rata-Rata Saldo Tanggal 20 diluar Konsumen Instansi (Kementerian &amp; Lembaga)</v>
      </c>
      <c r="C28" s="75"/>
      <c r="D28" s="97"/>
      <c r="E28" s="188"/>
      <c r="F28" s="98"/>
      <c r="G28" s="90"/>
      <c r="H28" s="90"/>
      <c r="I28" s="99"/>
      <c r="J28" s="94"/>
    </row>
    <row r="29" spans="1:14" ht="20.100000000000001" customHeight="1">
      <c r="A29" s="69"/>
      <c r="B29" s="153" t="str">
        <f>T.UP3!B50</f>
        <v>a. Pengendalian Penggunaan Anggaran Investasi sesuai RKAP</v>
      </c>
      <c r="C29" s="75" t="str">
        <f>T.UP3!C50</f>
        <v>ó</v>
      </c>
      <c r="D29" s="97" t="str">
        <f>T.UP3!D50</f>
        <v>%</v>
      </c>
      <c r="E29" s="188" t="e">
        <f>IF(OR(H29="N/A",G29="N/A"),0,T.UP3!F50)</f>
        <v>#N/A</v>
      </c>
      <c r="F29" s="98" t="str">
        <f>T.UP3!H50</f>
        <v>95-100</v>
      </c>
      <c r="G29" s="98" t="e">
        <f>VLOOKUP(B29,T.UP3!$B$4:$T$69,MATCH(SIMULASI!$M$2,T.UP3!$B$5:$T$5,0),FALSE)</f>
        <v>#N/A</v>
      </c>
      <c r="H29" s="98" t="e">
        <f>VLOOKUP(B29,'R.UP3'!$B$4:$S$54,MATCH(SIMULASI!$M$2,'R.UP3'!$B$5:$S$5,0),FALSE)</f>
        <v>#N/A</v>
      </c>
      <c r="I29" s="157">
        <v>110</v>
      </c>
      <c r="J29" s="103" t="e">
        <f t="shared" ref="J29:J34" si="0">IF(I29="N/A",0,IF(I29&gt;110,E29*110/100,E29*I29/100))</f>
        <v>#N/A</v>
      </c>
      <c r="K29" s="182" t="s">
        <v>157</v>
      </c>
      <c r="L29" s="182"/>
    </row>
    <row r="30" spans="1:14" ht="20.100000000000001" customHeight="1">
      <c r="A30" s="69"/>
      <c r="B30" s="153" t="e">
        <f>T.UP3!#REF!</f>
        <v>#REF!</v>
      </c>
      <c r="C30" s="75" t="e">
        <f>T.UP3!#REF!</f>
        <v>#REF!</v>
      </c>
      <c r="D30" s="97" t="e">
        <f>T.UP3!#REF!</f>
        <v>#REF!</v>
      </c>
      <c r="E30" s="188" t="e">
        <f>IF(OR(H30="N/A",G30="N/A"),0,T.UP3!#REF!)</f>
        <v>#REF!</v>
      </c>
      <c r="F30" s="98" t="e">
        <f>T.UP3!#REF!</f>
        <v>#REF!</v>
      </c>
      <c r="G30" s="98" t="e">
        <f>VLOOKUP(B30,T.UP3!$B$4:$T$69,MATCH(SIMULASI!$M$2,T.UP3!$B$5:$T$5,0),FALSE)</f>
        <v>#REF!</v>
      </c>
      <c r="H30" s="98" t="e">
        <f>VLOOKUP(B30,'R.UP3'!$B$4:$S$54,MATCH(SIMULASI!$M$2,'R.UP3'!$B$5:$S$5,0),FALSE)</f>
        <v>#REF!</v>
      </c>
      <c r="I30" s="157">
        <v>110</v>
      </c>
      <c r="J30" s="103" t="e">
        <f t="shared" si="0"/>
        <v>#REF!</v>
      </c>
      <c r="K30" s="182" t="s">
        <v>157</v>
      </c>
      <c r="L30" s="182"/>
    </row>
    <row r="31" spans="1:14" ht="20.100000000000001" customHeight="1">
      <c r="A31" s="69"/>
      <c r="B31" s="153" t="e">
        <f>T.UP3!#REF!</f>
        <v>#REF!</v>
      </c>
      <c r="C31" s="75" t="e">
        <f>T.UP3!#REF!</f>
        <v>#REF!</v>
      </c>
      <c r="D31" s="97" t="e">
        <f>T.UP3!#REF!</f>
        <v>#REF!</v>
      </c>
      <c r="E31" s="188" t="e">
        <f>IF(OR(H31="N/A",G31="N/A"),0,T.UP3!#REF!)</f>
        <v>#REF!</v>
      </c>
      <c r="F31" s="98" t="e">
        <f>T.UP3!#REF!</f>
        <v>#REF!</v>
      </c>
      <c r="G31" s="98" t="e">
        <f>VLOOKUP(B31,T.UP3!$B$4:$T$69,MATCH(SIMULASI!$M$2,T.UP3!$B$5:$T$5,0),FALSE)</f>
        <v>#REF!</v>
      </c>
      <c r="H31" s="90" t="e">
        <f>VLOOKUP(B31,'R.UP3'!$B$4:$S$54,MATCH(SIMULASI!$M$2,'R.UP3'!$B$5:$S$5,0),FALSE)</f>
        <v>#REF!</v>
      </c>
      <c r="I31" s="157">
        <v>110</v>
      </c>
      <c r="J31" s="103" t="e">
        <f t="shared" si="0"/>
        <v>#REF!</v>
      </c>
      <c r="K31" s="182" t="s">
        <v>157</v>
      </c>
      <c r="L31" s="182"/>
    </row>
    <row r="32" spans="1:14" ht="20.100000000000001" customHeight="1">
      <c r="A32" s="69"/>
      <c r="B32" s="153" t="e">
        <f>T.UP3!#REF!</f>
        <v>#REF!</v>
      </c>
      <c r="C32" s="75" t="e">
        <f>T.UP3!#REF!</f>
        <v>#REF!</v>
      </c>
      <c r="D32" s="97" t="e">
        <f>T.UP3!#REF!</f>
        <v>#REF!</v>
      </c>
      <c r="E32" s="188" t="e">
        <f>IF(OR(H32="N/A",G32="N/A"),0,T.UP3!#REF!)</f>
        <v>#REF!</v>
      </c>
      <c r="F32" s="101" t="e">
        <f>T.UP3!#REF!</f>
        <v>#REF!</v>
      </c>
      <c r="G32" s="101" t="e">
        <f>VLOOKUP(B32,T.UP3!$B$4:$T$69,MATCH(SIMULASI!$M$2,T.UP3!$B$5:$T$5,0),FALSE)</f>
        <v>#REF!</v>
      </c>
      <c r="H32" s="91" t="e">
        <f>VLOOKUP(B32,'R.UP3'!$B$4:$S$54,MATCH(SIMULASI!$M$2,'R.UP3'!$B$5:$S$5,0),FALSE)</f>
        <v>#REF!</v>
      </c>
      <c r="I32" s="157" t="e">
        <f>IF(OR(G32="N/A",H32="N/A"),"N/A",IF(AND(G32=0,H32=0),0,H32/G32*100))</f>
        <v>#REF!</v>
      </c>
      <c r="J32" s="103" t="e">
        <f t="shared" si="0"/>
        <v>#REF!</v>
      </c>
      <c r="K32" s="181" t="s">
        <v>157</v>
      </c>
      <c r="L32" s="182"/>
    </row>
    <row r="33" spans="1:12" ht="20.100000000000001" customHeight="1">
      <c r="A33" s="69"/>
      <c r="B33" s="153" t="str">
        <f>T.UP3!B51</f>
        <v>b. Usulan Penghapusan ATTB</v>
      </c>
      <c r="C33" s="75" t="str">
        <f>T.UP3!C51</f>
        <v>ñ</v>
      </c>
      <c r="D33" s="97" t="str">
        <f>T.UP3!D51</f>
        <v>Rp. Milyar</v>
      </c>
      <c r="E33" s="188" t="e">
        <f>IF(OR(H33="N/A",G33="N/A"),0,T.UP3!F51)</f>
        <v>#N/A</v>
      </c>
      <c r="F33" s="101">
        <f>T.UP3!H51</f>
        <v>3.16</v>
      </c>
      <c r="G33" s="101" t="e">
        <f>VLOOKUP(B33,T.UP3!$B$4:$T$69,MATCH(SIMULASI!$M$2,T.UP3!$B$5:$T$5,0),FALSE)</f>
        <v>#N/A</v>
      </c>
      <c r="H33" s="101" t="e">
        <f>VLOOKUP(B33,'R.UP3'!$B$4:$S$54,MATCH(SIMULASI!$M$2,'R.UP3'!$B$5:$S$5,0),FALSE)</f>
        <v>#N/A</v>
      </c>
      <c r="I33" s="157">
        <v>70</v>
      </c>
      <c r="J33" s="103" t="e">
        <f t="shared" si="0"/>
        <v>#N/A</v>
      </c>
      <c r="K33" s="182" t="s">
        <v>157</v>
      </c>
      <c r="L33" s="182"/>
    </row>
    <row r="34" spans="1:12" ht="20.100000000000001" customHeight="1">
      <c r="A34" s="69"/>
      <c r="B34" s="153" t="e">
        <f>T.UP3!#REF!</f>
        <v>#REF!</v>
      </c>
      <c r="C34" s="75" t="e">
        <f>T.UP3!#REF!</f>
        <v>#REF!</v>
      </c>
      <c r="D34" s="97" t="e">
        <f>T.UP3!#REF!</f>
        <v>#REF!</v>
      </c>
      <c r="E34" s="188" t="e">
        <f>IF(OR(H34="N/A",G34="N/A"),0,T.UP3!#REF!)</f>
        <v>#REF!</v>
      </c>
      <c r="F34" s="101" t="e">
        <f>T.UP3!#REF!</f>
        <v>#REF!</v>
      </c>
      <c r="G34" s="101" t="e">
        <f>VLOOKUP(B34,T.UP3!$B$4:$T$69,MATCH(SIMULASI!$M$2,T.UP3!$B$5:$T$5,0),FALSE)</f>
        <v>#REF!</v>
      </c>
      <c r="H34" s="101">
        <v>5</v>
      </c>
      <c r="I34" s="157" t="e">
        <f>IF(OR(G34="N/A",H34="N/A"),"N/A",IF(AND(G34=0,H34=0),0,H34/G34*100))</f>
        <v>#REF!</v>
      </c>
      <c r="J34" s="103" t="e">
        <f t="shared" si="0"/>
        <v>#REF!</v>
      </c>
      <c r="K34" s="182" t="s">
        <v>157</v>
      </c>
      <c r="L34" s="182"/>
    </row>
    <row r="35" spans="1:12" ht="16.5">
      <c r="A35" s="69">
        <f>T.UP3!A52</f>
        <v>0</v>
      </c>
      <c r="B35" s="153" t="str">
        <f>T.UP3!B52</f>
        <v>c. Usulan Penghapusan PRR</v>
      </c>
      <c r="C35" s="75"/>
      <c r="D35" s="97"/>
      <c r="E35" s="188"/>
      <c r="F35" s="98"/>
      <c r="G35" s="98"/>
      <c r="H35" s="98"/>
      <c r="I35" s="99"/>
      <c r="J35" s="103"/>
      <c r="K35" s="182"/>
      <c r="L35" s="182"/>
    </row>
    <row r="36" spans="1:12" ht="16.5">
      <c r="A36" s="69"/>
      <c r="B36" s="153" t="str">
        <f>T.UP3!B54</f>
        <v>a. HCR, OCR, dan Produktivitas Pegawai</v>
      </c>
      <c r="C36" s="75" t="str">
        <f>T.UP3!C54</f>
        <v>ñ</v>
      </c>
      <c r="D36" s="97" t="str">
        <f>T.UP3!D54</f>
        <v>%</v>
      </c>
      <c r="E36" s="188" t="e">
        <f>IF(OR(H36="N/A",G36="N/A"),0,T.UP3!F54)</f>
        <v>#N/A</v>
      </c>
      <c r="F36" s="98">
        <f>T.UP3!H54</f>
        <v>100</v>
      </c>
      <c r="G36" s="98" t="e">
        <f>VLOOKUP(B36,T.UP3!$B$4:$T$69,MATCH(SIMULASI!$M$2,T.UP3!$B$5:$T$5,0),FALSE)</f>
        <v>#N/A</v>
      </c>
      <c r="H36" s="90">
        <v>80</v>
      </c>
      <c r="I36" s="157" t="e">
        <f>IF(OR(G36="N/A",H36="N/A"),"N/A",IF(AND(G36=0,H36=0),0,H36/G36*100))</f>
        <v>#N/A</v>
      </c>
      <c r="J36" s="103" t="e">
        <f>IF(I36="N/A",0,IF(I36&gt;110,E36*110/100,E36*I36/100))</f>
        <v>#N/A</v>
      </c>
      <c r="K36" s="182" t="s">
        <v>157</v>
      </c>
      <c r="L36" s="182"/>
    </row>
    <row r="37" spans="1:12" ht="20.100000000000001" customHeight="1">
      <c r="A37" s="69"/>
      <c r="B37" s="153" t="str">
        <f>T.UP3!B55</f>
        <v>b. Produktivitas Unit</v>
      </c>
      <c r="C37" s="75" t="str">
        <f>T.UP3!C55</f>
        <v>ñ</v>
      </c>
      <c r="D37" s="97" t="str">
        <f>T.UP3!D55</f>
        <v>%</v>
      </c>
      <c r="E37" s="188" t="e">
        <f>IF(OR(H37="N/A",G37="N/A"),0,T.UP3!F55)</f>
        <v>#N/A</v>
      </c>
      <c r="F37" s="98">
        <f>T.UP3!H55</f>
        <v>100</v>
      </c>
      <c r="G37" s="98" t="e">
        <f>VLOOKUP(B37,T.UP3!$B$4:$T$69,MATCH(SIMULASI!$M$2,T.UP3!$B$5:$T$5,0),FALSE)</f>
        <v>#N/A</v>
      </c>
      <c r="H37" s="98">
        <v>80</v>
      </c>
      <c r="I37" s="157" t="e">
        <f>IF(OR(G37="N/A",H37="N/A"),"N/A",IF(AND(G37=0,H37=0),0,H37/G37*100))</f>
        <v>#N/A</v>
      </c>
      <c r="J37" s="103" t="e">
        <f>IF(I37="N/A",0,IF(I37&gt;110,E37*110/100,E37*I37/100))</f>
        <v>#N/A</v>
      </c>
      <c r="K37" s="182" t="s">
        <v>157</v>
      </c>
      <c r="L37" s="182"/>
    </row>
    <row r="38" spans="1:12" ht="20.100000000000001" customHeight="1">
      <c r="A38" s="69">
        <f>T.UP3!A60</f>
        <v>0</v>
      </c>
      <c r="B38" s="153" t="str">
        <f>T.UP3!B60</f>
        <v>b. Maturity Level Gudang</v>
      </c>
      <c r="C38" s="75"/>
      <c r="D38" s="97"/>
      <c r="E38" s="188"/>
      <c r="F38" s="98"/>
      <c r="G38" s="98"/>
      <c r="H38" s="98"/>
      <c r="I38" s="99"/>
      <c r="J38" s="103"/>
      <c r="K38" s="182"/>
      <c r="L38" s="182"/>
    </row>
    <row r="39" spans="1:12" ht="20.100000000000001" customHeight="1">
      <c r="A39" s="69"/>
      <c r="B39" s="153" t="str">
        <f>T.UP3!B61</f>
        <v>c. Maturity Level Sustainbility</v>
      </c>
      <c r="C39" s="75"/>
      <c r="D39" s="97"/>
      <c r="E39" s="188">
        <f>IF(H39="N/A",0,T.UP3!F61)</f>
        <v>0</v>
      </c>
      <c r="F39" s="98"/>
      <c r="G39" s="98"/>
      <c r="H39" s="98"/>
      <c r="I39" s="99"/>
      <c r="J39" s="103"/>
      <c r="K39" s="182"/>
      <c r="L39" s="182"/>
    </row>
    <row r="40" spans="1:12" ht="31.5">
      <c r="A40" s="69"/>
      <c r="B40" s="153" t="str">
        <f>T.UP3!B62</f>
        <v>d. Implementasi Roadmap Perbaikan Penerapan Manajemen Risiko dan Pencapaian Perlakuan Risiko</v>
      </c>
      <c r="C40" s="75"/>
      <c r="D40" s="97"/>
      <c r="E40" s="188">
        <f>IF(H40="N/A",0,T.UP3!F62)</f>
        <v>0</v>
      </c>
      <c r="F40" s="98"/>
      <c r="G40" s="98"/>
      <c r="H40" s="90"/>
      <c r="I40" s="99"/>
      <c r="J40" s="103"/>
      <c r="K40" s="182"/>
      <c r="L40" s="182"/>
    </row>
    <row r="41" spans="1:12" ht="31.5">
      <c r="A41" s="69"/>
      <c r="B41" s="153" t="str">
        <f>T.UP3!B66</f>
        <v>c. Ketepatan penyampaian pelaporan dan
Akurasi Data Kinerja</v>
      </c>
      <c r="C41" s="75"/>
      <c r="D41" s="97"/>
      <c r="E41" s="188" t="str">
        <f>IF(H41="N/A",0,T.UP3!F66)</f>
        <v>Max-10</v>
      </c>
      <c r="F41" s="98"/>
      <c r="G41" s="98"/>
      <c r="H41" s="98"/>
      <c r="I41" s="99"/>
      <c r="J41" s="103"/>
      <c r="K41" s="182"/>
      <c r="L41" s="182"/>
    </row>
    <row r="42" spans="1:12" ht="20.100000000000001" customHeight="1">
      <c r="A42" s="69"/>
      <c r="B42" s="153" t="str">
        <f>T.UP3!B68</f>
        <v>e. Pencapaian Beyond RKAP</v>
      </c>
      <c r="C42" s="75"/>
      <c r="D42" s="97"/>
      <c r="E42" s="188" t="str">
        <f>IF(H42="N/A",0,T.UP3!F68)</f>
        <v>Max-2
Max+2</v>
      </c>
      <c r="F42" s="98"/>
      <c r="G42" s="98"/>
      <c r="H42" s="98"/>
      <c r="I42" s="162"/>
      <c r="J42" s="103"/>
      <c r="K42" s="182"/>
      <c r="L42" s="182"/>
    </row>
    <row r="43" spans="1:12" ht="15.75">
      <c r="A43" s="70"/>
      <c r="B43" s="80" t="s">
        <v>104</v>
      </c>
      <c r="C43" s="128"/>
      <c r="D43" s="81"/>
      <c r="E43" s="82" t="e">
        <f>E7+E11</f>
        <v>#N/A</v>
      </c>
      <c r="F43" s="82"/>
      <c r="G43" s="82"/>
      <c r="H43" s="82"/>
      <c r="I43" s="82"/>
      <c r="J43" s="104" t="e">
        <f>J7+J11</f>
        <v>#N/A</v>
      </c>
    </row>
    <row r="44" spans="1:12" ht="15.75">
      <c r="A44" s="73"/>
      <c r="B44" s="83" t="s">
        <v>105</v>
      </c>
      <c r="C44" s="84"/>
      <c r="D44" s="85"/>
      <c r="E44" s="86">
        <v>100</v>
      </c>
      <c r="F44" s="86"/>
      <c r="G44" s="86"/>
      <c r="H44" s="86"/>
      <c r="I44" s="86"/>
      <c r="J44" s="146" t="e">
        <f>E44/E43*J43</f>
        <v>#N/A</v>
      </c>
    </row>
    <row r="46" spans="1:12">
      <c r="A46" s="742" t="s">
        <v>176</v>
      </c>
      <c r="B46" s="742"/>
      <c r="C46" s="742"/>
      <c r="D46" s="742"/>
      <c r="E46" s="742"/>
      <c r="F46" s="742"/>
      <c r="G46" s="742"/>
      <c r="H46" s="742"/>
      <c r="I46" s="742"/>
      <c r="J46" s="742"/>
    </row>
  </sheetData>
  <mergeCells count="7">
    <mergeCell ref="A46:J46"/>
    <mergeCell ref="A4:A5"/>
    <mergeCell ref="B4:C5"/>
    <mergeCell ref="D4:D5"/>
    <mergeCell ref="E4:E5"/>
    <mergeCell ref="F4:F5"/>
    <mergeCell ref="G4:J4"/>
  </mergeCells>
  <conditionalFormatting sqref="C8:C10">
    <cfRule type="iconSet" priority="166">
      <iconSet iconSet="3ArrowsGray" showValue="0">
        <cfvo type="percent" val="0"/>
        <cfvo type="num" val="2"/>
        <cfvo type="num" val="3"/>
      </iconSet>
    </cfRule>
    <cfRule type="iconSet" priority="165">
      <iconSet iconSet="3ArrowsGray" showValue="0">
        <cfvo type="percent" val="0"/>
        <cfvo type="num" val="2"/>
        <cfvo type="num" val="3"/>
      </iconSet>
    </cfRule>
  </conditionalFormatting>
  <conditionalFormatting sqref="C12:C42">
    <cfRule type="iconSet" priority="163">
      <iconSet iconSet="3ArrowsGray" showValue="0">
        <cfvo type="percent" val="0"/>
        <cfvo type="num" val="2"/>
        <cfvo type="num" val="3"/>
      </iconSet>
    </cfRule>
    <cfRule type="iconSet" priority="164">
      <iconSet iconSet="3ArrowsGray" showValue="0">
        <cfvo type="percent" val="0"/>
        <cfvo type="num" val="2"/>
        <cfvo type="num" val="3"/>
      </iconSet>
    </cfRule>
  </conditionalFormatting>
  <conditionalFormatting sqref="I8">
    <cfRule type="iconSet" priority="155">
      <iconSet>
        <cfvo type="percent" val="0"/>
        <cfvo type="num" val="70"/>
        <cfvo type="num" val="90"/>
      </iconSet>
    </cfRule>
    <cfRule type="iconSet" priority="160">
      <iconSet>
        <cfvo type="percent" val="0"/>
        <cfvo type="num" val="70"/>
        <cfvo type="num" val="90"/>
      </iconSet>
    </cfRule>
    <cfRule type="iconSet" priority="159">
      <iconSet>
        <cfvo type="percent" val="0"/>
        <cfvo type="num" val="95"/>
        <cfvo type="num" val="100"/>
      </iconSet>
    </cfRule>
    <cfRule type="iconSet" priority="158">
      <iconSet>
        <cfvo type="percent" val="0"/>
        <cfvo type="num" val="95"/>
        <cfvo type="num" val="100"/>
      </iconSet>
    </cfRule>
    <cfRule type="iconSet" priority="161">
      <iconSet>
        <cfvo type="percent" val="0"/>
        <cfvo type="num" val="70"/>
        <cfvo type="num" val="90"/>
      </iconSet>
    </cfRule>
    <cfRule type="iconSet" priority="157">
      <iconSet>
        <cfvo type="percent" val="0"/>
        <cfvo type="num" val="95"/>
        <cfvo type="num" val="100"/>
      </iconSet>
    </cfRule>
    <cfRule type="iconSet" priority="156">
      <iconSet>
        <cfvo type="percent" val="0"/>
        <cfvo type="num" val="70"/>
        <cfvo type="num" val="90"/>
      </iconSet>
    </cfRule>
    <cfRule type="iconSet" priority="154">
      <iconSet>
        <cfvo type="percent" val="0"/>
        <cfvo type="num" val="95"/>
        <cfvo type="num" val="100"/>
      </iconSet>
    </cfRule>
    <cfRule type="iconSet" priority="162">
      <iconSet>
        <cfvo type="percent" val="0"/>
        <cfvo type="num" val="95"/>
        <cfvo type="num" val="100"/>
      </iconSet>
    </cfRule>
  </conditionalFormatting>
  <conditionalFormatting sqref="I9">
    <cfRule type="iconSet" priority="3">
      <iconSet>
        <cfvo type="percent" val="0"/>
        <cfvo type="num" val="70"/>
        <cfvo type="num" val="90"/>
      </iconSet>
    </cfRule>
    <cfRule type="iconSet" priority="4">
      <iconSet>
        <cfvo type="percent" val="0"/>
        <cfvo type="num" val="95"/>
        <cfvo type="num" val="100"/>
      </iconSet>
    </cfRule>
    <cfRule type="iconSet" priority="5">
      <iconSet>
        <cfvo type="percent" val="0"/>
        <cfvo type="num" val="95"/>
        <cfvo type="num" val="100"/>
      </iconSet>
    </cfRule>
    <cfRule type="iconSet" priority="6">
      <iconSet>
        <cfvo type="percent" val="0"/>
        <cfvo type="num" val="95"/>
        <cfvo type="num" val="100"/>
      </iconSet>
    </cfRule>
    <cfRule type="iconSet" priority="7">
      <iconSet>
        <cfvo type="percent" val="0"/>
        <cfvo type="num" val="70"/>
        <cfvo type="num" val="90"/>
      </iconSet>
    </cfRule>
    <cfRule type="iconSet" priority="8">
      <iconSet>
        <cfvo type="percent" val="0"/>
        <cfvo type="num" val="70"/>
        <cfvo type="num" val="90"/>
      </iconSet>
    </cfRule>
    <cfRule type="iconSet" priority="9">
      <iconSet>
        <cfvo type="percent" val="0"/>
        <cfvo type="num" val="95"/>
        <cfvo type="num" val="100"/>
      </iconSet>
    </cfRule>
    <cfRule type="iconSet" priority="1">
      <iconSet>
        <cfvo type="percent" val="0"/>
        <cfvo type="num" val="95"/>
        <cfvo type="num" val="100"/>
      </iconSet>
    </cfRule>
    <cfRule type="iconSet" priority="2">
      <iconSet>
        <cfvo type="percent" val="0"/>
        <cfvo type="num" val="70"/>
        <cfvo type="num" val="90"/>
      </iconSet>
    </cfRule>
  </conditionalFormatting>
  <conditionalFormatting sqref="I10">
    <cfRule type="iconSet" priority="153">
      <iconSet>
        <cfvo type="percent" val="0"/>
        <cfvo type="num" val="95"/>
        <cfvo type="num" val="100"/>
      </iconSet>
    </cfRule>
    <cfRule type="iconSet" priority="152">
      <iconSet>
        <cfvo type="percent" val="0"/>
        <cfvo type="num" val="70"/>
        <cfvo type="num" val="90"/>
      </iconSet>
    </cfRule>
    <cfRule type="iconSet" priority="151">
      <iconSet>
        <cfvo type="percent" val="0"/>
        <cfvo type="num" val="70"/>
        <cfvo type="num" val="90"/>
      </iconSet>
    </cfRule>
    <cfRule type="iconSet" priority="150">
      <iconSet>
        <cfvo type="percent" val="0"/>
        <cfvo type="num" val="95"/>
        <cfvo type="num" val="100"/>
      </iconSet>
    </cfRule>
    <cfRule type="iconSet" priority="145">
      <iconSet>
        <cfvo type="percent" val="0"/>
        <cfvo type="num" val="95"/>
        <cfvo type="num" val="100"/>
      </iconSet>
    </cfRule>
    <cfRule type="iconSet" priority="149">
      <iconSet>
        <cfvo type="percent" val="0"/>
        <cfvo type="num" val="95"/>
        <cfvo type="num" val="100"/>
      </iconSet>
    </cfRule>
    <cfRule type="iconSet" priority="148">
      <iconSet>
        <cfvo type="percent" val="0"/>
        <cfvo type="num" val="95"/>
        <cfvo type="num" val="100"/>
      </iconSet>
    </cfRule>
    <cfRule type="iconSet" priority="147">
      <iconSet>
        <cfvo type="percent" val="0"/>
        <cfvo type="num" val="70"/>
        <cfvo type="num" val="90"/>
      </iconSet>
    </cfRule>
    <cfRule type="iconSet" priority="146">
      <iconSet>
        <cfvo type="percent" val="0"/>
        <cfvo type="num" val="70"/>
        <cfvo type="num" val="90"/>
      </iconSet>
    </cfRule>
  </conditionalFormatting>
  <conditionalFormatting sqref="I12">
    <cfRule type="iconSet" priority="137">
      <iconSet>
        <cfvo type="percent" val="0"/>
        <cfvo type="num" val="70"/>
        <cfvo type="num" val="90"/>
      </iconSet>
    </cfRule>
    <cfRule type="iconSet" priority="138">
      <iconSet>
        <cfvo type="percent" val="0"/>
        <cfvo type="num" val="70"/>
        <cfvo type="num" val="90"/>
      </iconSet>
    </cfRule>
    <cfRule type="iconSet" priority="139">
      <iconSet>
        <cfvo type="percent" val="0"/>
        <cfvo type="num" val="95"/>
        <cfvo type="num" val="100"/>
      </iconSet>
    </cfRule>
    <cfRule type="iconSet" priority="140">
      <iconSet>
        <cfvo type="percent" val="0"/>
        <cfvo type="num" val="95"/>
        <cfvo type="num" val="100"/>
      </iconSet>
    </cfRule>
    <cfRule type="iconSet" priority="144">
      <iconSet>
        <cfvo type="percent" val="0"/>
        <cfvo type="num" val="95"/>
        <cfvo type="num" val="100"/>
      </iconSet>
    </cfRule>
    <cfRule type="iconSet" priority="141">
      <iconSet>
        <cfvo type="percent" val="0"/>
        <cfvo type="num" val="95"/>
        <cfvo type="num" val="100"/>
      </iconSet>
    </cfRule>
    <cfRule type="iconSet" priority="142">
      <iconSet>
        <cfvo type="percent" val="0"/>
        <cfvo type="num" val="70"/>
        <cfvo type="num" val="90"/>
      </iconSet>
    </cfRule>
    <cfRule type="iconSet" priority="143">
      <iconSet>
        <cfvo type="percent" val="0"/>
        <cfvo type="num" val="70"/>
        <cfvo type="num" val="90"/>
      </iconSet>
    </cfRule>
    <cfRule type="iconSet" priority="136">
      <iconSet>
        <cfvo type="percent" val="0"/>
        <cfvo type="num" val="95"/>
        <cfvo type="num" val="100"/>
      </iconSet>
    </cfRule>
  </conditionalFormatting>
  <conditionalFormatting sqref="I13">
    <cfRule type="iconSet" priority="134">
      <iconSet>
        <cfvo type="percent" val="0"/>
        <cfvo type="num" val="70"/>
        <cfvo type="num" val="90"/>
      </iconSet>
    </cfRule>
    <cfRule type="iconSet" priority="135">
      <iconSet>
        <cfvo type="percent" val="0"/>
        <cfvo type="num" val="95"/>
        <cfvo type="num" val="100"/>
      </iconSet>
    </cfRule>
    <cfRule type="iconSet" priority="130">
      <iconSet>
        <cfvo type="percent" val="0"/>
        <cfvo type="num" val="95"/>
        <cfvo type="num" val="100"/>
      </iconSet>
    </cfRule>
    <cfRule type="iconSet" priority="127">
      <iconSet>
        <cfvo type="percent" val="0"/>
        <cfvo type="num" val="95"/>
        <cfvo type="num" val="100"/>
      </iconSet>
    </cfRule>
    <cfRule type="iconSet" priority="128">
      <iconSet>
        <cfvo type="percent" val="0"/>
        <cfvo type="num" val="70"/>
        <cfvo type="num" val="90"/>
      </iconSet>
    </cfRule>
    <cfRule type="iconSet" priority="129">
      <iconSet>
        <cfvo type="percent" val="0"/>
        <cfvo type="num" val="70"/>
        <cfvo type="num" val="90"/>
      </iconSet>
    </cfRule>
    <cfRule type="iconSet" priority="131">
      <iconSet>
        <cfvo type="percent" val="0"/>
        <cfvo type="num" val="95"/>
        <cfvo type="num" val="100"/>
      </iconSet>
    </cfRule>
    <cfRule type="iconSet" priority="132">
      <iconSet>
        <cfvo type="percent" val="0"/>
        <cfvo type="num" val="95"/>
        <cfvo type="num" val="100"/>
      </iconSet>
    </cfRule>
    <cfRule type="iconSet" priority="133">
      <iconSet>
        <cfvo type="percent" val="0"/>
        <cfvo type="num" val="70"/>
        <cfvo type="num" val="90"/>
      </iconSet>
    </cfRule>
  </conditionalFormatting>
  <conditionalFormatting sqref="I14">
    <cfRule type="iconSet" priority="124">
      <iconSet>
        <cfvo type="percent" val="0"/>
        <cfvo type="num" val="70"/>
        <cfvo type="num" val="90"/>
      </iconSet>
    </cfRule>
    <cfRule type="iconSet" priority="125">
      <iconSet>
        <cfvo type="percent" val="0"/>
        <cfvo type="num" val="70"/>
        <cfvo type="num" val="90"/>
      </iconSet>
    </cfRule>
    <cfRule type="iconSet" priority="126">
      <iconSet>
        <cfvo type="percent" val="0"/>
        <cfvo type="num" val="95"/>
        <cfvo type="num" val="100"/>
      </iconSet>
    </cfRule>
    <cfRule type="iconSet" priority="123">
      <iconSet>
        <cfvo type="percent" val="0"/>
        <cfvo type="num" val="95"/>
        <cfvo type="num" val="100"/>
      </iconSet>
    </cfRule>
    <cfRule type="iconSet" priority="118">
      <iconSet>
        <cfvo type="percent" val="0"/>
        <cfvo type="num" val="95"/>
        <cfvo type="num" val="100"/>
      </iconSet>
    </cfRule>
    <cfRule type="iconSet" priority="119">
      <iconSet>
        <cfvo type="percent" val="0"/>
        <cfvo type="num" val="70"/>
        <cfvo type="num" val="90"/>
      </iconSet>
    </cfRule>
    <cfRule type="iconSet" priority="120">
      <iconSet>
        <cfvo type="percent" val="0"/>
        <cfvo type="num" val="70"/>
        <cfvo type="num" val="90"/>
      </iconSet>
    </cfRule>
    <cfRule type="iconSet" priority="121">
      <iconSet>
        <cfvo type="percent" val="0"/>
        <cfvo type="num" val="95"/>
        <cfvo type="num" val="100"/>
      </iconSet>
    </cfRule>
    <cfRule type="iconSet" priority="122">
      <iconSet>
        <cfvo type="percent" val="0"/>
        <cfvo type="num" val="95"/>
        <cfvo type="num" val="100"/>
      </iconSet>
    </cfRule>
  </conditionalFormatting>
  <conditionalFormatting sqref="I16">
    <cfRule type="iconSet" priority="117">
      <iconSet>
        <cfvo type="percent" val="0"/>
        <cfvo type="num" val="95"/>
        <cfvo type="num" val="100"/>
      </iconSet>
    </cfRule>
    <cfRule type="iconSet" priority="116">
      <iconSet>
        <cfvo type="percent" val="0"/>
        <cfvo type="num" val="70"/>
        <cfvo type="num" val="90"/>
      </iconSet>
    </cfRule>
    <cfRule type="iconSet" priority="115">
      <iconSet>
        <cfvo type="percent" val="0"/>
        <cfvo type="num" val="70"/>
        <cfvo type="num" val="90"/>
      </iconSet>
    </cfRule>
    <cfRule type="iconSet" priority="113">
      <iconSet>
        <cfvo type="percent" val="0"/>
        <cfvo type="num" val="95"/>
        <cfvo type="num" val="100"/>
      </iconSet>
    </cfRule>
    <cfRule type="iconSet" priority="111">
      <iconSet>
        <cfvo type="percent" val="0"/>
        <cfvo type="num" val="70"/>
        <cfvo type="num" val="90"/>
      </iconSet>
    </cfRule>
    <cfRule type="iconSet" priority="114">
      <iconSet>
        <cfvo type="percent" val="0"/>
        <cfvo type="num" val="95"/>
        <cfvo type="num" val="100"/>
      </iconSet>
    </cfRule>
    <cfRule type="iconSet" priority="112">
      <iconSet>
        <cfvo type="percent" val="0"/>
        <cfvo type="num" val="95"/>
        <cfvo type="num" val="100"/>
      </iconSet>
    </cfRule>
    <cfRule type="iconSet" priority="110">
      <iconSet>
        <cfvo type="percent" val="0"/>
        <cfvo type="num" val="70"/>
        <cfvo type="num" val="90"/>
      </iconSet>
    </cfRule>
    <cfRule type="iconSet" priority="109">
      <iconSet>
        <cfvo type="percent" val="0"/>
        <cfvo type="num" val="95"/>
        <cfvo type="num" val="100"/>
      </iconSet>
    </cfRule>
  </conditionalFormatting>
  <conditionalFormatting sqref="I17">
    <cfRule type="iconSet" priority="104">
      <iconSet>
        <cfvo type="percent" val="0"/>
        <cfvo type="num" val="95"/>
        <cfvo type="num" val="100"/>
      </iconSet>
    </cfRule>
    <cfRule type="iconSet" priority="106">
      <iconSet>
        <cfvo type="percent" val="0"/>
        <cfvo type="num" val="70"/>
        <cfvo type="num" val="90"/>
      </iconSet>
    </cfRule>
    <cfRule type="iconSet" priority="107">
      <iconSet>
        <cfvo type="percent" val="0"/>
        <cfvo type="num" val="70"/>
        <cfvo type="num" val="90"/>
      </iconSet>
    </cfRule>
    <cfRule type="iconSet" priority="108">
      <iconSet>
        <cfvo type="percent" val="0"/>
        <cfvo type="num" val="95"/>
        <cfvo type="num" val="100"/>
      </iconSet>
    </cfRule>
    <cfRule type="iconSet" priority="105">
      <iconSet>
        <cfvo type="percent" val="0"/>
        <cfvo type="num" val="95"/>
        <cfvo type="num" val="100"/>
      </iconSet>
    </cfRule>
    <cfRule type="iconSet" priority="100">
      <iconSet>
        <cfvo type="percent" val="0"/>
        <cfvo type="num" val="95"/>
        <cfvo type="num" val="100"/>
      </iconSet>
    </cfRule>
    <cfRule type="iconSet" priority="101">
      <iconSet>
        <cfvo type="percent" val="0"/>
        <cfvo type="num" val="70"/>
        <cfvo type="num" val="90"/>
      </iconSet>
    </cfRule>
    <cfRule type="iconSet" priority="102">
      <iconSet>
        <cfvo type="percent" val="0"/>
        <cfvo type="num" val="70"/>
        <cfvo type="num" val="90"/>
      </iconSet>
    </cfRule>
    <cfRule type="iconSet" priority="103">
      <iconSet>
        <cfvo type="percent" val="0"/>
        <cfvo type="num" val="95"/>
        <cfvo type="num" val="100"/>
      </iconSet>
    </cfRule>
  </conditionalFormatting>
  <conditionalFormatting sqref="I18">
    <cfRule type="iconSet" priority="96">
      <iconSet>
        <cfvo type="percent" val="0"/>
        <cfvo type="num" val="95"/>
        <cfvo type="num" val="100"/>
      </iconSet>
    </cfRule>
    <cfRule type="iconSet" priority="94">
      <iconSet>
        <cfvo type="percent" val="0"/>
        <cfvo type="num" val="95"/>
        <cfvo type="num" val="100"/>
      </iconSet>
    </cfRule>
    <cfRule type="iconSet" priority="95">
      <iconSet>
        <cfvo type="percent" val="0"/>
        <cfvo type="num" val="95"/>
        <cfvo type="num" val="100"/>
      </iconSet>
    </cfRule>
    <cfRule type="iconSet" priority="99">
      <iconSet>
        <cfvo type="percent" val="0"/>
        <cfvo type="num" val="95"/>
        <cfvo type="num" val="100"/>
      </iconSet>
    </cfRule>
    <cfRule type="iconSet" priority="98">
      <iconSet>
        <cfvo type="percent" val="0"/>
        <cfvo type="num" val="70"/>
        <cfvo type="num" val="90"/>
      </iconSet>
    </cfRule>
    <cfRule type="iconSet" priority="97">
      <iconSet>
        <cfvo type="percent" val="0"/>
        <cfvo type="num" val="70"/>
        <cfvo type="num" val="90"/>
      </iconSet>
    </cfRule>
    <cfRule type="iconSet" priority="91">
      <iconSet>
        <cfvo type="percent" val="0"/>
        <cfvo type="num" val="95"/>
        <cfvo type="num" val="100"/>
      </iconSet>
    </cfRule>
    <cfRule type="iconSet" priority="92">
      <iconSet>
        <cfvo type="percent" val="0"/>
        <cfvo type="num" val="70"/>
        <cfvo type="num" val="90"/>
      </iconSet>
    </cfRule>
    <cfRule type="iconSet" priority="93">
      <iconSet>
        <cfvo type="percent" val="0"/>
        <cfvo type="num" val="70"/>
        <cfvo type="num" val="90"/>
      </iconSet>
    </cfRule>
  </conditionalFormatting>
  <conditionalFormatting sqref="I19">
    <cfRule type="iconSet" priority="247">
      <iconSet>
        <cfvo type="percent" val="0"/>
        <cfvo type="num" val="70"/>
        <cfvo type="num" val="90"/>
      </iconSet>
    </cfRule>
    <cfRule type="iconSet" priority="252">
      <iconSet>
        <cfvo type="percent" val="0"/>
        <cfvo type="num" val="70"/>
        <cfvo type="num" val="90"/>
      </iconSet>
    </cfRule>
    <cfRule type="iconSet" priority="258">
      <iconSet>
        <cfvo type="percent" val="0"/>
        <cfvo type="num" val="95"/>
        <cfvo type="num" val="100"/>
      </iconSet>
    </cfRule>
    <cfRule type="iconSet" priority="257">
      <iconSet>
        <cfvo type="percent" val="0"/>
        <cfvo type="num" val="95"/>
        <cfvo type="num" val="100"/>
      </iconSet>
    </cfRule>
    <cfRule type="iconSet" priority="256">
      <iconSet>
        <cfvo type="percent" val="0"/>
        <cfvo type="num" val="70"/>
        <cfvo type="num" val="90"/>
      </iconSet>
    </cfRule>
    <cfRule type="iconSet" priority="255">
      <iconSet>
        <cfvo type="percent" val="0"/>
        <cfvo type="num" val="70"/>
        <cfvo type="num" val="90"/>
      </iconSet>
    </cfRule>
    <cfRule type="iconSet" priority="254">
      <iconSet>
        <cfvo type="percent" val="0"/>
        <cfvo type="num" val="95"/>
        <cfvo type="num" val="100"/>
      </iconSet>
    </cfRule>
    <cfRule type="iconSet" priority="253">
      <iconSet>
        <cfvo type="percent" val="0"/>
        <cfvo type="num" val="95"/>
        <cfvo type="num" val="100"/>
      </iconSet>
    </cfRule>
    <cfRule type="iconSet" priority="251">
      <iconSet>
        <cfvo type="percent" val="0"/>
        <cfvo type="num" val="70"/>
        <cfvo type="num" val="90"/>
      </iconSet>
    </cfRule>
    <cfRule type="iconSet" priority="250">
      <iconSet>
        <cfvo type="percent" val="0"/>
        <cfvo type="num" val="95"/>
        <cfvo type="num" val="100"/>
      </iconSet>
    </cfRule>
    <cfRule type="iconSet" priority="249">
      <iconSet>
        <cfvo type="percent" val="0"/>
        <cfvo type="num" val="95"/>
        <cfvo type="num" val="100"/>
      </iconSet>
    </cfRule>
    <cfRule type="iconSet" priority="230">
      <iconSet>
        <cfvo type="percent" val="0"/>
        <cfvo type="num" val="95"/>
        <cfvo type="num" val="100"/>
      </iconSet>
    </cfRule>
    <cfRule type="iconSet" priority="231">
      <iconSet>
        <cfvo type="percent" val="0"/>
        <cfvo type="num" val="70"/>
        <cfvo type="num" val="90"/>
      </iconSet>
    </cfRule>
    <cfRule type="iconSet" priority="232">
      <iconSet>
        <cfvo type="percent" val="0"/>
        <cfvo type="num" val="70"/>
        <cfvo type="num" val="90"/>
      </iconSet>
    </cfRule>
    <cfRule type="iconSet" priority="233">
      <iconSet>
        <cfvo type="percent" val="0"/>
        <cfvo type="num" val="95"/>
        <cfvo type="num" val="100"/>
      </iconSet>
    </cfRule>
    <cfRule type="iconSet" priority="234">
      <iconSet>
        <cfvo type="percent" val="0"/>
        <cfvo type="num" val="95"/>
        <cfvo type="num" val="100"/>
      </iconSet>
    </cfRule>
    <cfRule type="iconSet" priority="235">
      <iconSet>
        <cfvo type="percent" val="0"/>
        <cfvo type="num" val="70"/>
        <cfvo type="num" val="90"/>
      </iconSet>
    </cfRule>
    <cfRule type="iconSet" priority="248">
      <iconSet>
        <cfvo type="percent" val="0"/>
        <cfvo type="num" val="70"/>
        <cfvo type="num" val="90"/>
      </iconSet>
    </cfRule>
    <cfRule type="iconSet" priority="236">
      <iconSet>
        <cfvo type="percent" val="0"/>
        <cfvo type="num" val="70"/>
        <cfvo type="num" val="90"/>
      </iconSet>
    </cfRule>
    <cfRule type="iconSet" priority="245">
      <iconSet>
        <cfvo type="percent" val="0"/>
        <cfvo type="num" val="95"/>
        <cfvo type="num" val="100"/>
      </iconSet>
    </cfRule>
    <cfRule type="iconSet" priority="237">
      <iconSet>
        <cfvo type="percent" val="0"/>
        <cfvo type="num" val="95"/>
        <cfvo type="num" val="100"/>
      </iconSet>
    </cfRule>
    <cfRule type="iconSet" priority="238">
      <iconSet>
        <cfvo type="percent" val="0"/>
        <cfvo type="num" val="95"/>
        <cfvo type="num" val="100"/>
      </iconSet>
    </cfRule>
    <cfRule type="iconSet" priority="240">
      <iconSet>
        <cfvo type="percent" val="0"/>
        <cfvo type="num" val="70"/>
        <cfvo type="num" val="90"/>
      </iconSet>
    </cfRule>
    <cfRule type="iconSet" priority="241">
      <iconSet>
        <cfvo type="percent" val="0"/>
        <cfvo type="num" val="95"/>
        <cfvo type="num" val="100"/>
      </iconSet>
    </cfRule>
    <cfRule type="iconSet" priority="242">
      <iconSet>
        <cfvo type="percent" val="0"/>
        <cfvo type="num" val="95"/>
        <cfvo type="num" val="100"/>
      </iconSet>
    </cfRule>
    <cfRule type="iconSet" priority="243">
      <iconSet>
        <cfvo type="percent" val="0"/>
        <cfvo type="num" val="70"/>
        <cfvo type="num" val="90"/>
      </iconSet>
    </cfRule>
    <cfRule type="iconSet" priority="244">
      <iconSet>
        <cfvo type="percent" val="0"/>
        <cfvo type="num" val="70"/>
        <cfvo type="num" val="90"/>
      </iconSet>
    </cfRule>
    <cfRule type="iconSet" priority="239">
      <iconSet>
        <cfvo type="percent" val="0"/>
        <cfvo type="num" val="70"/>
        <cfvo type="num" val="90"/>
      </iconSet>
    </cfRule>
    <cfRule type="iconSet" priority="246">
      <iconSet>
        <cfvo type="percent" val="0"/>
        <cfvo type="num" val="95"/>
        <cfvo type="num" val="100"/>
      </iconSet>
    </cfRule>
  </conditionalFormatting>
  <conditionalFormatting sqref="I20">
    <cfRule type="iconSet" priority="88">
      <iconSet>
        <cfvo type="percent" val="0"/>
        <cfvo type="num" val="70"/>
        <cfvo type="num" val="90"/>
      </iconSet>
    </cfRule>
    <cfRule type="iconSet" priority="89">
      <iconSet>
        <cfvo type="percent" val="0"/>
        <cfvo type="num" val="70"/>
        <cfvo type="num" val="90"/>
      </iconSet>
    </cfRule>
    <cfRule type="iconSet" priority="90">
      <iconSet>
        <cfvo type="percent" val="0"/>
        <cfvo type="num" val="95"/>
        <cfvo type="num" val="100"/>
      </iconSet>
    </cfRule>
    <cfRule type="iconSet" priority="86">
      <iconSet>
        <cfvo type="percent" val="0"/>
        <cfvo type="num" val="95"/>
        <cfvo type="num" val="100"/>
      </iconSet>
    </cfRule>
    <cfRule type="iconSet" priority="85">
      <iconSet>
        <cfvo type="percent" val="0"/>
        <cfvo type="num" val="95"/>
        <cfvo type="num" val="100"/>
      </iconSet>
    </cfRule>
    <cfRule type="iconSet" priority="84">
      <iconSet>
        <cfvo type="percent" val="0"/>
        <cfvo type="num" val="70"/>
        <cfvo type="num" val="90"/>
      </iconSet>
    </cfRule>
    <cfRule type="iconSet" priority="83">
      <iconSet>
        <cfvo type="percent" val="0"/>
        <cfvo type="num" val="70"/>
        <cfvo type="num" val="90"/>
      </iconSet>
    </cfRule>
    <cfRule type="iconSet" priority="82">
      <iconSet>
        <cfvo type="percent" val="0"/>
        <cfvo type="num" val="95"/>
        <cfvo type="num" val="100"/>
      </iconSet>
    </cfRule>
    <cfRule type="iconSet" priority="87">
      <iconSet>
        <cfvo type="percent" val="0"/>
        <cfvo type="num" val="95"/>
        <cfvo type="num" val="100"/>
      </iconSet>
    </cfRule>
  </conditionalFormatting>
  <conditionalFormatting sqref="I21">
    <cfRule type="iconSet" priority="74">
      <iconSet>
        <cfvo type="percent" val="0"/>
        <cfvo type="num" val="70"/>
        <cfvo type="num" val="90"/>
      </iconSet>
    </cfRule>
    <cfRule type="iconSet" priority="76">
      <iconSet>
        <cfvo type="percent" val="0"/>
        <cfvo type="num" val="95"/>
        <cfvo type="num" val="100"/>
      </iconSet>
    </cfRule>
    <cfRule type="iconSet" priority="77">
      <iconSet>
        <cfvo type="percent" val="0"/>
        <cfvo type="num" val="95"/>
        <cfvo type="num" val="100"/>
      </iconSet>
    </cfRule>
    <cfRule type="iconSet" priority="78">
      <iconSet>
        <cfvo type="percent" val="0"/>
        <cfvo type="num" val="95"/>
        <cfvo type="num" val="100"/>
      </iconSet>
    </cfRule>
    <cfRule type="iconSet" priority="79">
      <iconSet>
        <cfvo type="percent" val="0"/>
        <cfvo type="num" val="70"/>
        <cfvo type="num" val="90"/>
      </iconSet>
    </cfRule>
    <cfRule type="iconSet" priority="80">
      <iconSet>
        <cfvo type="percent" val="0"/>
        <cfvo type="num" val="70"/>
        <cfvo type="num" val="90"/>
      </iconSet>
    </cfRule>
    <cfRule type="iconSet" priority="81">
      <iconSet>
        <cfvo type="percent" val="0"/>
        <cfvo type="num" val="95"/>
        <cfvo type="num" val="100"/>
      </iconSet>
    </cfRule>
    <cfRule type="iconSet" priority="75">
      <iconSet>
        <cfvo type="percent" val="0"/>
        <cfvo type="num" val="70"/>
        <cfvo type="num" val="90"/>
      </iconSet>
    </cfRule>
    <cfRule type="iconSet" priority="73">
      <iconSet>
        <cfvo type="percent" val="0"/>
        <cfvo type="num" val="95"/>
        <cfvo type="num" val="100"/>
      </iconSet>
    </cfRule>
  </conditionalFormatting>
  <conditionalFormatting sqref="I22">
    <cfRule type="iconSet" priority="70">
      <iconSet>
        <cfvo type="percent" val="0"/>
        <cfvo type="num" val="70"/>
        <cfvo type="num" val="90"/>
      </iconSet>
    </cfRule>
    <cfRule type="iconSet" priority="64">
      <iconSet>
        <cfvo type="percent" val="0"/>
        <cfvo type="num" val="95"/>
        <cfvo type="num" val="100"/>
      </iconSet>
    </cfRule>
    <cfRule type="iconSet" priority="72">
      <iconSet>
        <cfvo type="percent" val="0"/>
        <cfvo type="num" val="95"/>
        <cfvo type="num" val="100"/>
      </iconSet>
    </cfRule>
    <cfRule type="iconSet" priority="71">
      <iconSet>
        <cfvo type="percent" val="0"/>
        <cfvo type="num" val="70"/>
        <cfvo type="num" val="90"/>
      </iconSet>
    </cfRule>
    <cfRule type="iconSet" priority="69">
      <iconSet>
        <cfvo type="percent" val="0"/>
        <cfvo type="num" val="95"/>
        <cfvo type="num" val="100"/>
      </iconSet>
    </cfRule>
    <cfRule type="iconSet" priority="68">
      <iconSet>
        <cfvo type="percent" val="0"/>
        <cfvo type="num" val="95"/>
        <cfvo type="num" val="100"/>
      </iconSet>
    </cfRule>
    <cfRule type="iconSet" priority="67">
      <iconSet>
        <cfvo type="percent" val="0"/>
        <cfvo type="num" val="95"/>
        <cfvo type="num" val="100"/>
      </iconSet>
    </cfRule>
    <cfRule type="iconSet" priority="66">
      <iconSet>
        <cfvo type="percent" val="0"/>
        <cfvo type="num" val="70"/>
        <cfvo type="num" val="90"/>
      </iconSet>
    </cfRule>
    <cfRule type="iconSet" priority="65">
      <iconSet>
        <cfvo type="percent" val="0"/>
        <cfvo type="num" val="70"/>
        <cfvo type="num" val="90"/>
      </iconSet>
    </cfRule>
  </conditionalFormatting>
  <conditionalFormatting sqref="I23:I24">
    <cfRule type="iconSet" priority="56">
      <iconSet>
        <cfvo type="percent" val="0"/>
        <cfvo type="num" val="70"/>
        <cfvo type="num" val="90"/>
      </iconSet>
    </cfRule>
    <cfRule type="iconSet" priority="55">
      <iconSet>
        <cfvo type="percent" val="0"/>
        <cfvo type="num" val="95"/>
        <cfvo type="num" val="100"/>
      </iconSet>
    </cfRule>
    <cfRule type="iconSet" priority="63">
      <iconSet>
        <cfvo type="percent" val="0"/>
        <cfvo type="num" val="95"/>
        <cfvo type="num" val="100"/>
      </iconSet>
    </cfRule>
    <cfRule type="iconSet" priority="62">
      <iconSet>
        <cfvo type="percent" val="0"/>
        <cfvo type="num" val="70"/>
        <cfvo type="num" val="90"/>
      </iconSet>
    </cfRule>
    <cfRule type="iconSet" priority="61">
      <iconSet>
        <cfvo type="percent" val="0"/>
        <cfvo type="num" val="70"/>
        <cfvo type="num" val="90"/>
      </iconSet>
    </cfRule>
    <cfRule type="iconSet" priority="60">
      <iconSet>
        <cfvo type="percent" val="0"/>
        <cfvo type="num" val="95"/>
        <cfvo type="num" val="100"/>
      </iconSet>
    </cfRule>
    <cfRule type="iconSet" priority="59">
      <iconSet>
        <cfvo type="percent" val="0"/>
        <cfvo type="num" val="95"/>
        <cfvo type="num" val="100"/>
      </iconSet>
    </cfRule>
    <cfRule type="iconSet" priority="58">
      <iconSet>
        <cfvo type="percent" val="0"/>
        <cfvo type="num" val="95"/>
        <cfvo type="num" val="100"/>
      </iconSet>
    </cfRule>
    <cfRule type="iconSet" priority="57">
      <iconSet>
        <cfvo type="percent" val="0"/>
        <cfvo type="num" val="70"/>
        <cfvo type="num" val="90"/>
      </iconSet>
    </cfRule>
  </conditionalFormatting>
  <conditionalFormatting sqref="I25">
    <cfRule type="iconSet" priority="51">
      <iconSet>
        <cfvo type="percent" val="0"/>
        <cfvo type="num" val="95"/>
        <cfvo type="num" val="100"/>
      </iconSet>
    </cfRule>
    <cfRule type="iconSet" priority="54">
      <iconSet>
        <cfvo type="percent" val="0"/>
        <cfvo type="num" val="95"/>
        <cfvo type="num" val="100"/>
      </iconSet>
    </cfRule>
    <cfRule type="iconSet" priority="53">
      <iconSet>
        <cfvo type="percent" val="0"/>
        <cfvo type="num" val="70"/>
        <cfvo type="num" val="90"/>
      </iconSet>
    </cfRule>
    <cfRule type="iconSet" priority="52">
      <iconSet>
        <cfvo type="percent" val="0"/>
        <cfvo type="num" val="70"/>
        <cfvo type="num" val="90"/>
      </iconSet>
    </cfRule>
    <cfRule type="iconSet" priority="50">
      <iconSet>
        <cfvo type="percent" val="0"/>
        <cfvo type="num" val="95"/>
        <cfvo type="num" val="100"/>
      </iconSet>
    </cfRule>
    <cfRule type="iconSet" priority="49">
      <iconSet>
        <cfvo type="percent" val="0"/>
        <cfvo type="num" val="95"/>
        <cfvo type="num" val="100"/>
      </iconSet>
    </cfRule>
    <cfRule type="iconSet" priority="48">
      <iconSet>
        <cfvo type="percent" val="0"/>
        <cfvo type="num" val="70"/>
        <cfvo type="num" val="90"/>
      </iconSet>
    </cfRule>
    <cfRule type="iconSet" priority="47">
      <iconSet>
        <cfvo type="percent" val="0"/>
        <cfvo type="num" val="70"/>
        <cfvo type="num" val="90"/>
      </iconSet>
    </cfRule>
    <cfRule type="iconSet" priority="46">
      <iconSet>
        <cfvo type="percent" val="0"/>
        <cfvo type="num" val="95"/>
        <cfvo type="num" val="100"/>
      </iconSet>
    </cfRule>
  </conditionalFormatting>
  <conditionalFormatting sqref="I26">
    <cfRule type="iconSet" priority="229">
      <iconSet>
        <cfvo type="percent" val="0"/>
        <cfvo type="num" val="95"/>
        <cfvo type="num" val="100"/>
      </iconSet>
    </cfRule>
  </conditionalFormatting>
  <conditionalFormatting sqref="I27">
    <cfRule type="iconSet" priority="40">
      <iconSet>
        <cfvo type="percent" val="0"/>
        <cfvo type="num" val="95"/>
        <cfvo type="num" val="100"/>
      </iconSet>
    </cfRule>
    <cfRule type="iconSet" priority="39">
      <iconSet>
        <cfvo type="percent" val="0"/>
        <cfvo type="num" val="70"/>
        <cfvo type="num" val="90"/>
      </iconSet>
    </cfRule>
    <cfRule type="iconSet" priority="37">
      <iconSet>
        <cfvo type="percent" val="0"/>
        <cfvo type="num" val="95"/>
        <cfvo type="num" val="100"/>
      </iconSet>
    </cfRule>
    <cfRule type="iconSet" priority="44">
      <iconSet>
        <cfvo type="percent" val="0"/>
        <cfvo type="num" val="70"/>
        <cfvo type="num" val="90"/>
      </iconSet>
    </cfRule>
    <cfRule type="iconSet" priority="45">
      <iconSet>
        <cfvo type="percent" val="0"/>
        <cfvo type="num" val="95"/>
        <cfvo type="num" val="100"/>
      </iconSet>
    </cfRule>
    <cfRule type="iconSet" priority="38">
      <iconSet>
        <cfvo type="percent" val="0"/>
        <cfvo type="num" val="70"/>
        <cfvo type="num" val="90"/>
      </iconSet>
    </cfRule>
    <cfRule type="iconSet" priority="41">
      <iconSet>
        <cfvo type="percent" val="0"/>
        <cfvo type="num" val="95"/>
        <cfvo type="num" val="100"/>
      </iconSet>
    </cfRule>
    <cfRule type="iconSet" priority="42">
      <iconSet>
        <cfvo type="percent" val="0"/>
        <cfvo type="num" val="95"/>
        <cfvo type="num" val="100"/>
      </iconSet>
    </cfRule>
    <cfRule type="iconSet" priority="43">
      <iconSet>
        <cfvo type="percent" val="0"/>
        <cfvo type="num" val="70"/>
        <cfvo type="num" val="90"/>
      </iconSet>
    </cfRule>
  </conditionalFormatting>
  <conditionalFormatting sqref="I28">
    <cfRule type="iconSet" priority="263">
      <iconSet>
        <cfvo type="percent" val="0"/>
        <cfvo type="num" val="95"/>
        <cfvo type="num" val="100"/>
      </iconSet>
    </cfRule>
  </conditionalFormatting>
  <conditionalFormatting sqref="I29:I31">
    <cfRule type="iconSet" priority="31">
      <iconSet>
        <cfvo type="percent" val="0"/>
        <cfvo type="num" val="95"/>
        <cfvo type="num" val="100"/>
      </iconSet>
    </cfRule>
    <cfRule type="iconSet" priority="32">
      <iconSet>
        <cfvo type="percent" val="0"/>
        <cfvo type="num" val="95"/>
        <cfvo type="num" val="100"/>
      </iconSet>
    </cfRule>
    <cfRule type="iconSet" priority="33">
      <iconSet>
        <cfvo type="percent" val="0"/>
        <cfvo type="num" val="95"/>
        <cfvo type="num" val="100"/>
      </iconSet>
    </cfRule>
    <cfRule type="iconSet" priority="34">
      <iconSet>
        <cfvo type="percent" val="0"/>
        <cfvo type="num" val="70"/>
        <cfvo type="num" val="90"/>
      </iconSet>
    </cfRule>
    <cfRule type="iconSet" priority="35">
      <iconSet>
        <cfvo type="percent" val="0"/>
        <cfvo type="num" val="70"/>
        <cfvo type="num" val="90"/>
      </iconSet>
    </cfRule>
    <cfRule type="iconSet" priority="28">
      <iconSet>
        <cfvo type="percent" val="0"/>
        <cfvo type="num" val="95"/>
        <cfvo type="num" val="100"/>
      </iconSet>
    </cfRule>
    <cfRule type="iconSet" priority="29">
      <iconSet>
        <cfvo type="percent" val="0"/>
        <cfvo type="num" val="70"/>
        <cfvo type="num" val="90"/>
      </iconSet>
    </cfRule>
    <cfRule type="iconSet" priority="30">
      <iconSet>
        <cfvo type="percent" val="0"/>
        <cfvo type="num" val="70"/>
        <cfvo type="num" val="90"/>
      </iconSet>
    </cfRule>
    <cfRule type="iconSet" priority="36">
      <iconSet>
        <cfvo type="percent" val="0"/>
        <cfvo type="num" val="95"/>
        <cfvo type="num" val="100"/>
      </iconSet>
    </cfRule>
  </conditionalFormatting>
  <conditionalFormatting sqref="I32:I34">
    <cfRule type="iconSet" priority="27">
      <iconSet>
        <cfvo type="percent" val="0"/>
        <cfvo type="num" val="95"/>
        <cfvo type="num" val="100"/>
      </iconSet>
    </cfRule>
    <cfRule type="iconSet" priority="25">
      <iconSet>
        <cfvo type="percent" val="0"/>
        <cfvo type="num" val="70"/>
        <cfvo type="num" val="90"/>
      </iconSet>
    </cfRule>
    <cfRule type="iconSet" priority="24">
      <iconSet>
        <cfvo type="percent" val="0"/>
        <cfvo type="num" val="95"/>
        <cfvo type="num" val="100"/>
      </iconSet>
    </cfRule>
    <cfRule type="iconSet" priority="23">
      <iconSet>
        <cfvo type="percent" val="0"/>
        <cfvo type="num" val="95"/>
        <cfvo type="num" val="100"/>
      </iconSet>
    </cfRule>
    <cfRule type="iconSet" priority="22">
      <iconSet>
        <cfvo type="percent" val="0"/>
        <cfvo type="num" val="95"/>
        <cfvo type="num" val="100"/>
      </iconSet>
    </cfRule>
    <cfRule type="iconSet" priority="26">
      <iconSet>
        <cfvo type="percent" val="0"/>
        <cfvo type="num" val="70"/>
        <cfvo type="num" val="90"/>
      </iconSet>
    </cfRule>
    <cfRule type="iconSet" priority="21">
      <iconSet>
        <cfvo type="percent" val="0"/>
        <cfvo type="num" val="70"/>
        <cfvo type="num" val="90"/>
      </iconSet>
    </cfRule>
    <cfRule type="iconSet" priority="20">
      <iconSet>
        <cfvo type="percent" val="0"/>
        <cfvo type="num" val="70"/>
        <cfvo type="num" val="90"/>
      </iconSet>
    </cfRule>
    <cfRule type="iconSet" priority="19">
      <iconSet>
        <cfvo type="percent" val="0"/>
        <cfvo type="num" val="95"/>
        <cfvo type="num" val="100"/>
      </iconSet>
    </cfRule>
  </conditionalFormatting>
  <conditionalFormatting sqref="I35">
    <cfRule type="iconSet" priority="167">
      <iconSet>
        <cfvo type="percent" val="0"/>
        <cfvo type="num" val="95"/>
        <cfvo type="num" val="100"/>
      </iconSet>
    </cfRule>
  </conditionalFormatting>
  <conditionalFormatting sqref="I36:I37">
    <cfRule type="iconSet" priority="16">
      <iconSet>
        <cfvo type="percent" val="0"/>
        <cfvo type="num" val="70"/>
        <cfvo type="num" val="90"/>
      </iconSet>
    </cfRule>
    <cfRule type="iconSet" priority="15">
      <iconSet>
        <cfvo type="percent" val="0"/>
        <cfvo type="num" val="95"/>
        <cfvo type="num" val="100"/>
      </iconSet>
    </cfRule>
    <cfRule type="iconSet" priority="10">
      <iconSet>
        <cfvo type="percent" val="0"/>
        <cfvo type="num" val="95"/>
        <cfvo type="num" val="100"/>
      </iconSet>
    </cfRule>
    <cfRule type="iconSet" priority="18">
      <iconSet>
        <cfvo type="percent" val="0"/>
        <cfvo type="num" val="95"/>
        <cfvo type="num" val="100"/>
      </iconSet>
    </cfRule>
    <cfRule type="iconSet" priority="14">
      <iconSet>
        <cfvo type="percent" val="0"/>
        <cfvo type="num" val="95"/>
        <cfvo type="num" val="100"/>
      </iconSet>
    </cfRule>
    <cfRule type="iconSet" priority="13">
      <iconSet>
        <cfvo type="percent" val="0"/>
        <cfvo type="num" val="95"/>
        <cfvo type="num" val="100"/>
      </iconSet>
    </cfRule>
    <cfRule type="iconSet" priority="12">
      <iconSet>
        <cfvo type="percent" val="0"/>
        <cfvo type="num" val="70"/>
        <cfvo type="num" val="90"/>
      </iconSet>
    </cfRule>
    <cfRule type="iconSet" priority="11">
      <iconSet>
        <cfvo type="percent" val="0"/>
        <cfvo type="num" val="70"/>
        <cfvo type="num" val="90"/>
      </iconSet>
    </cfRule>
    <cfRule type="iconSet" priority="17">
      <iconSet>
        <cfvo type="percent" val="0"/>
        <cfvo type="num" val="70"/>
        <cfvo type="num" val="90"/>
      </iconSet>
    </cfRule>
  </conditionalFormatting>
  <conditionalFormatting sqref="I38">
    <cfRule type="iconSet" priority="291">
      <iconSet>
        <cfvo type="percent" val="0"/>
        <cfvo type="num" val="95"/>
        <cfvo type="num" val="100"/>
      </iconSet>
    </cfRule>
    <cfRule type="iconSet" priority="290">
      <iconSet>
        <cfvo type="percent" val="0"/>
        <cfvo type="num" val="70"/>
        <cfvo type="num" val="90"/>
      </iconSet>
    </cfRule>
    <cfRule type="iconSet" priority="289">
      <iconSet>
        <cfvo type="percent" val="0"/>
        <cfvo type="num" val="70"/>
        <cfvo type="num" val="90"/>
      </iconSet>
    </cfRule>
    <cfRule type="iconSet" priority="288">
      <iconSet>
        <cfvo type="percent" val="0"/>
        <cfvo type="num" val="95"/>
        <cfvo type="num" val="100"/>
      </iconSet>
    </cfRule>
  </conditionalFormatting>
  <conditionalFormatting sqref="I38:I39">
    <cfRule type="iconSet" priority="280">
      <iconSet>
        <cfvo type="percent" val="0"/>
        <cfvo type="num" val="95"/>
        <cfvo type="num" val="100"/>
      </iconSet>
    </cfRule>
    <cfRule type="iconSet" priority="281">
      <iconSet>
        <cfvo type="percent" val="0"/>
        <cfvo type="num" val="70"/>
        <cfvo type="num" val="90"/>
      </iconSet>
    </cfRule>
    <cfRule type="iconSet" priority="282">
      <iconSet>
        <cfvo type="percent" val="0"/>
        <cfvo type="num" val="70"/>
        <cfvo type="num" val="90"/>
      </iconSet>
    </cfRule>
    <cfRule type="iconSet" priority="283">
      <iconSet>
        <cfvo type="percent" val="0"/>
        <cfvo type="num" val="95"/>
        <cfvo type="num" val="100"/>
      </iconSet>
    </cfRule>
    <cfRule type="iconSet" priority="276">
      <iconSet>
        <cfvo type="percent" val="0"/>
        <cfvo type="num" val="95"/>
        <cfvo type="num" val="100"/>
      </iconSet>
    </cfRule>
    <cfRule type="iconSet" priority="277">
      <iconSet>
        <cfvo type="percent" val="0"/>
        <cfvo type="num" val="70"/>
        <cfvo type="num" val="90"/>
      </iconSet>
    </cfRule>
    <cfRule type="iconSet" priority="278">
      <iconSet>
        <cfvo type="percent" val="0"/>
        <cfvo type="num" val="70"/>
        <cfvo type="num" val="90"/>
      </iconSet>
    </cfRule>
    <cfRule type="iconSet" priority="279">
      <iconSet>
        <cfvo type="percent" val="0"/>
        <cfvo type="num" val="95"/>
        <cfvo type="num" val="100"/>
      </iconSet>
    </cfRule>
  </conditionalFormatting>
  <conditionalFormatting sqref="I38:I41">
    <cfRule type="iconSet" priority="296">
      <iconSet>
        <cfvo type="percent" val="0"/>
        <cfvo type="num" val="95"/>
        <cfvo type="num" val="100"/>
      </iconSet>
    </cfRule>
  </conditionalFormatting>
  <conditionalFormatting sqref="I39">
    <cfRule type="iconSet" priority="259">
      <iconSet>
        <cfvo type="percent" val="0"/>
        <cfvo type="num" val="95"/>
        <cfvo type="num" val="100"/>
      </iconSet>
    </cfRule>
    <cfRule type="iconSet" priority="169">
      <iconSet>
        <cfvo type="percent" val="0"/>
        <cfvo type="num" val="95"/>
        <cfvo type="num" val="100"/>
      </iconSet>
    </cfRule>
    <cfRule type="iconSet" priority="170">
      <iconSet>
        <cfvo type="percent" val="0"/>
        <cfvo type="num" val="70"/>
        <cfvo type="num" val="90"/>
      </iconSet>
    </cfRule>
    <cfRule type="iconSet" priority="171">
      <iconSet>
        <cfvo type="percent" val="0"/>
        <cfvo type="num" val="70"/>
        <cfvo type="num" val="90"/>
      </iconSet>
    </cfRule>
    <cfRule type="iconSet" priority="172">
      <iconSet>
        <cfvo type="percent" val="0"/>
        <cfvo type="num" val="95"/>
        <cfvo type="num" val="100"/>
      </iconSet>
    </cfRule>
    <cfRule type="iconSet" priority="260">
      <iconSet>
        <cfvo type="percent" val="0"/>
        <cfvo type="num" val="70"/>
        <cfvo type="num" val="90"/>
      </iconSet>
    </cfRule>
    <cfRule type="iconSet" priority="268">
      <iconSet>
        <cfvo type="percent" val="0"/>
        <cfvo type="num" val="95"/>
        <cfvo type="num" val="100"/>
      </iconSet>
    </cfRule>
    <cfRule type="iconSet" priority="264">
      <iconSet>
        <cfvo type="percent" val="0"/>
        <cfvo type="num" val="95"/>
        <cfvo type="num" val="100"/>
      </iconSet>
    </cfRule>
    <cfRule type="iconSet" priority="261">
      <iconSet>
        <cfvo type="percent" val="0"/>
        <cfvo type="num" val="70"/>
        <cfvo type="num" val="90"/>
      </iconSet>
    </cfRule>
    <cfRule type="iconSet" priority="262">
      <iconSet>
        <cfvo type="percent" val="0"/>
        <cfvo type="num" val="95"/>
        <cfvo type="num" val="100"/>
      </iconSet>
    </cfRule>
    <cfRule type="iconSet" priority="265">
      <iconSet>
        <cfvo type="percent" val="0"/>
        <cfvo type="num" val="70"/>
        <cfvo type="num" val="90"/>
      </iconSet>
    </cfRule>
    <cfRule type="iconSet" priority="266">
      <iconSet>
        <cfvo type="percent" val="0"/>
        <cfvo type="num" val="70"/>
        <cfvo type="num" val="90"/>
      </iconSet>
    </cfRule>
    <cfRule type="iconSet" priority="267">
      <iconSet>
        <cfvo type="percent" val="0"/>
        <cfvo type="num" val="95"/>
        <cfvo type="num" val="100"/>
      </iconSet>
    </cfRule>
    <cfRule type="iconSet" priority="269">
      <iconSet>
        <cfvo type="percent" val="0"/>
        <cfvo type="num" val="70"/>
        <cfvo type="num" val="90"/>
      </iconSet>
    </cfRule>
    <cfRule type="iconSet" priority="270">
      <iconSet>
        <cfvo type="percent" val="0"/>
        <cfvo type="num" val="70"/>
        <cfvo type="num" val="90"/>
      </iconSet>
    </cfRule>
    <cfRule type="iconSet" priority="271">
      <iconSet>
        <cfvo type="percent" val="0"/>
        <cfvo type="num" val="95"/>
        <cfvo type="num" val="100"/>
      </iconSet>
    </cfRule>
    <cfRule type="iconSet" priority="272">
      <iconSet>
        <cfvo type="percent" val="0"/>
        <cfvo type="num" val="95"/>
        <cfvo type="num" val="100"/>
      </iconSet>
    </cfRule>
    <cfRule type="iconSet" priority="273">
      <iconSet>
        <cfvo type="percent" val="0"/>
        <cfvo type="num" val="70"/>
        <cfvo type="num" val="90"/>
      </iconSet>
    </cfRule>
    <cfRule type="iconSet" priority="274">
      <iconSet>
        <cfvo type="percent" val="0"/>
        <cfvo type="num" val="70"/>
        <cfvo type="num" val="90"/>
      </iconSet>
    </cfRule>
    <cfRule type="iconSet" priority="275">
      <iconSet>
        <cfvo type="percent" val="0"/>
        <cfvo type="num" val="95"/>
        <cfvo type="num" val="100"/>
      </iconSet>
    </cfRule>
    <cfRule type="iconSet" priority="286">
      <iconSet>
        <cfvo type="percent" val="0"/>
        <cfvo type="num" val="70"/>
        <cfvo type="num" val="90"/>
      </iconSet>
    </cfRule>
    <cfRule type="iconSet" priority="284">
      <iconSet>
        <cfvo type="percent" val="0"/>
        <cfvo type="num" val="95"/>
        <cfvo type="num" val="100"/>
      </iconSet>
    </cfRule>
    <cfRule type="iconSet" priority="285">
      <iconSet>
        <cfvo type="percent" val="0"/>
        <cfvo type="num" val="70"/>
        <cfvo type="num" val="90"/>
      </iconSet>
    </cfRule>
    <cfRule type="iconSet" priority="287">
      <iconSet>
        <cfvo type="percent" val="0"/>
        <cfvo type="num" val="95"/>
        <cfvo type="num" val="100"/>
      </iconSet>
    </cfRule>
  </conditionalFormatting>
  <conditionalFormatting sqref="I40">
    <cfRule type="iconSet" priority="208">
      <iconSet>
        <cfvo type="percent" val="0"/>
        <cfvo type="num" val="95"/>
        <cfvo type="num" val="100"/>
      </iconSet>
    </cfRule>
    <cfRule type="iconSet" priority="207">
      <iconSet>
        <cfvo type="percent" val="0"/>
        <cfvo type="num" val="70"/>
        <cfvo type="num" val="90"/>
      </iconSet>
    </cfRule>
    <cfRule type="iconSet" priority="205">
      <iconSet>
        <cfvo type="percent" val="0"/>
        <cfvo type="num" val="95"/>
        <cfvo type="num" val="100"/>
      </iconSet>
    </cfRule>
    <cfRule type="iconSet" priority="212">
      <iconSet>
        <cfvo type="percent" val="0"/>
        <cfvo type="num" val="95"/>
        <cfvo type="num" val="100"/>
      </iconSet>
    </cfRule>
    <cfRule type="iconSet" priority="206">
      <iconSet>
        <cfvo type="percent" val="0"/>
        <cfvo type="num" val="70"/>
        <cfvo type="num" val="90"/>
      </iconSet>
    </cfRule>
    <cfRule type="iconSet" priority="204">
      <iconSet>
        <cfvo type="percent" val="0"/>
        <cfvo type="num" val="95"/>
        <cfvo type="num" val="100"/>
      </iconSet>
    </cfRule>
    <cfRule type="iconSet" priority="203">
      <iconSet>
        <cfvo type="percent" val="0"/>
        <cfvo type="num" val="70"/>
        <cfvo type="num" val="90"/>
      </iconSet>
    </cfRule>
    <cfRule type="iconSet" priority="202">
      <iconSet>
        <cfvo type="percent" val="0"/>
        <cfvo type="num" val="70"/>
        <cfvo type="num" val="90"/>
      </iconSet>
    </cfRule>
    <cfRule type="iconSet" priority="211">
      <iconSet>
        <cfvo type="percent" val="0"/>
        <cfvo type="num" val="70"/>
        <cfvo type="num" val="90"/>
      </iconSet>
    </cfRule>
    <cfRule type="iconSet" priority="215">
      <iconSet>
        <cfvo type="percent" val="0"/>
        <cfvo type="num" val="70"/>
        <cfvo type="num" val="90"/>
      </iconSet>
    </cfRule>
    <cfRule type="iconSet" priority="201">
      <iconSet>
        <cfvo type="percent" val="0"/>
        <cfvo type="num" val="95"/>
        <cfvo type="num" val="100"/>
      </iconSet>
    </cfRule>
    <cfRule type="iconSet" priority="223">
      <iconSet>
        <cfvo type="percent" val="0"/>
        <cfvo type="num" val="70"/>
        <cfvo type="num" val="90"/>
      </iconSet>
    </cfRule>
    <cfRule type="iconSet" priority="224">
      <iconSet>
        <cfvo type="percent" val="0"/>
        <cfvo type="num" val="95"/>
        <cfvo type="num" val="100"/>
      </iconSet>
    </cfRule>
    <cfRule type="iconSet" priority="225">
      <iconSet>
        <cfvo type="percent" val="0"/>
        <cfvo type="num" val="95"/>
        <cfvo type="num" val="100"/>
      </iconSet>
    </cfRule>
    <cfRule type="iconSet" priority="226">
      <iconSet>
        <cfvo type="percent" val="0"/>
        <cfvo type="num" val="70"/>
        <cfvo type="num" val="90"/>
      </iconSet>
    </cfRule>
    <cfRule type="iconSet" priority="227">
      <iconSet>
        <cfvo type="percent" val="0"/>
        <cfvo type="num" val="70"/>
        <cfvo type="num" val="90"/>
      </iconSet>
    </cfRule>
    <cfRule type="iconSet" priority="228">
      <iconSet>
        <cfvo type="percent" val="0"/>
        <cfvo type="num" val="95"/>
        <cfvo type="num" val="100"/>
      </iconSet>
    </cfRule>
    <cfRule type="iconSet" priority="214">
      <iconSet>
        <cfvo type="percent" val="0"/>
        <cfvo type="num" val="70"/>
        <cfvo type="num" val="90"/>
      </iconSet>
    </cfRule>
    <cfRule type="iconSet" priority="217">
      <iconSet>
        <cfvo type="percent" val="0"/>
        <cfvo type="num" val="95"/>
        <cfvo type="num" val="100"/>
      </iconSet>
    </cfRule>
    <cfRule type="iconSet" priority="218">
      <iconSet>
        <cfvo type="percent" val="0"/>
        <cfvo type="num" val="70"/>
        <cfvo type="num" val="90"/>
      </iconSet>
    </cfRule>
    <cfRule type="iconSet" priority="219">
      <iconSet>
        <cfvo type="percent" val="0"/>
        <cfvo type="num" val="70"/>
        <cfvo type="num" val="90"/>
      </iconSet>
    </cfRule>
    <cfRule type="iconSet" priority="220">
      <iconSet>
        <cfvo type="percent" val="0"/>
        <cfvo type="num" val="95"/>
        <cfvo type="num" val="100"/>
      </iconSet>
    </cfRule>
    <cfRule type="iconSet" priority="221">
      <iconSet>
        <cfvo type="percent" val="0"/>
        <cfvo type="num" val="95"/>
        <cfvo type="num" val="100"/>
      </iconSet>
    </cfRule>
    <cfRule type="iconSet" priority="216">
      <iconSet>
        <cfvo type="percent" val="0"/>
        <cfvo type="num" val="95"/>
        <cfvo type="num" val="100"/>
      </iconSet>
    </cfRule>
    <cfRule type="iconSet" priority="213">
      <iconSet>
        <cfvo type="percent" val="0"/>
        <cfvo type="num" val="95"/>
        <cfvo type="num" val="100"/>
      </iconSet>
    </cfRule>
    <cfRule type="iconSet" priority="210">
      <iconSet>
        <cfvo type="percent" val="0"/>
        <cfvo type="num" val="70"/>
        <cfvo type="num" val="90"/>
      </iconSet>
    </cfRule>
    <cfRule type="iconSet" priority="209">
      <iconSet>
        <cfvo type="percent" val="0"/>
        <cfvo type="num" val="95"/>
        <cfvo type="num" val="100"/>
      </iconSet>
    </cfRule>
    <cfRule type="iconSet" priority="222">
      <iconSet>
        <cfvo type="percent" val="0"/>
        <cfvo type="num" val="70"/>
        <cfvo type="num" val="90"/>
      </iconSet>
    </cfRule>
  </conditionalFormatting>
  <conditionalFormatting sqref="I40:I41">
    <cfRule type="iconSet" priority="293">
      <iconSet>
        <cfvo type="percent" val="0"/>
        <cfvo type="num" val="95"/>
        <cfvo type="num" val="100"/>
      </iconSet>
    </cfRule>
    <cfRule type="iconSet" priority="292">
      <iconSet>
        <cfvo type="percent" val="0"/>
        <cfvo type="num" val="70"/>
        <cfvo type="num" val="90"/>
      </iconSet>
    </cfRule>
  </conditionalFormatting>
  <conditionalFormatting sqref="I41">
    <cfRule type="iconSet" priority="179">
      <iconSet>
        <cfvo type="percent" val="0"/>
        <cfvo type="num" val="70"/>
        <cfvo type="num" val="90"/>
      </iconSet>
    </cfRule>
    <cfRule type="iconSet" priority="195">
      <iconSet>
        <cfvo type="percent" val="0"/>
        <cfvo type="num" val="70"/>
        <cfvo type="num" val="90"/>
      </iconSet>
    </cfRule>
    <cfRule type="iconSet" priority="199">
      <iconSet>
        <cfvo type="percent" val="0"/>
        <cfvo type="num" val="70"/>
        <cfvo type="num" val="90"/>
      </iconSet>
    </cfRule>
    <cfRule type="iconSet" priority="198">
      <iconSet>
        <cfvo type="percent" val="0"/>
        <cfvo type="num" val="70"/>
        <cfvo type="num" val="90"/>
      </iconSet>
    </cfRule>
    <cfRule type="iconSet" priority="197">
      <iconSet>
        <cfvo type="percent" val="0"/>
        <cfvo type="num" val="95"/>
        <cfvo type="num" val="100"/>
      </iconSet>
    </cfRule>
    <cfRule type="iconSet" priority="196">
      <iconSet>
        <cfvo type="percent" val="0"/>
        <cfvo type="num" val="95"/>
        <cfvo type="num" val="100"/>
      </iconSet>
    </cfRule>
    <cfRule type="iconSet" priority="194">
      <iconSet>
        <cfvo type="percent" val="0"/>
        <cfvo type="num" val="70"/>
        <cfvo type="num" val="90"/>
      </iconSet>
    </cfRule>
    <cfRule type="iconSet" priority="193">
      <iconSet>
        <cfvo type="percent" val="0"/>
        <cfvo type="num" val="95"/>
        <cfvo type="num" val="100"/>
      </iconSet>
    </cfRule>
    <cfRule type="iconSet" priority="192">
      <iconSet>
        <cfvo type="percent" val="0"/>
        <cfvo type="num" val="95"/>
        <cfvo type="num" val="100"/>
      </iconSet>
    </cfRule>
    <cfRule type="iconSet" priority="191">
      <iconSet>
        <cfvo type="percent" val="0"/>
        <cfvo type="num" val="70"/>
        <cfvo type="num" val="90"/>
      </iconSet>
    </cfRule>
    <cfRule type="iconSet" priority="190">
      <iconSet>
        <cfvo type="percent" val="0"/>
        <cfvo type="num" val="70"/>
        <cfvo type="num" val="90"/>
      </iconSet>
    </cfRule>
    <cfRule type="iconSet" priority="178">
      <iconSet>
        <cfvo type="percent" val="0"/>
        <cfvo type="num" val="70"/>
        <cfvo type="num" val="90"/>
      </iconSet>
    </cfRule>
    <cfRule type="iconSet" priority="188">
      <iconSet>
        <cfvo type="percent" val="0"/>
        <cfvo type="num" val="95"/>
        <cfvo type="num" val="100"/>
      </iconSet>
    </cfRule>
    <cfRule type="iconSet" priority="187">
      <iconSet>
        <cfvo type="percent" val="0"/>
        <cfvo type="num" val="70"/>
        <cfvo type="num" val="90"/>
      </iconSet>
    </cfRule>
    <cfRule type="iconSet" priority="186">
      <iconSet>
        <cfvo type="percent" val="0"/>
        <cfvo type="num" val="70"/>
        <cfvo type="num" val="90"/>
      </iconSet>
    </cfRule>
    <cfRule type="iconSet" priority="185">
      <iconSet>
        <cfvo type="percent" val="0"/>
        <cfvo type="num" val="95"/>
        <cfvo type="num" val="100"/>
      </iconSet>
    </cfRule>
    <cfRule type="iconSet" priority="173">
      <iconSet>
        <cfvo type="percent" val="0"/>
        <cfvo type="num" val="95"/>
        <cfvo type="num" val="100"/>
      </iconSet>
    </cfRule>
    <cfRule type="iconSet" priority="174">
      <iconSet>
        <cfvo type="percent" val="0"/>
        <cfvo type="num" val="70"/>
        <cfvo type="num" val="90"/>
      </iconSet>
    </cfRule>
    <cfRule type="iconSet" priority="175">
      <iconSet>
        <cfvo type="percent" val="0"/>
        <cfvo type="num" val="70"/>
        <cfvo type="num" val="90"/>
      </iconSet>
    </cfRule>
    <cfRule type="iconSet" priority="200">
      <iconSet>
        <cfvo type="percent" val="0"/>
        <cfvo type="num" val="95"/>
        <cfvo type="num" val="100"/>
      </iconSet>
    </cfRule>
    <cfRule type="iconSet" priority="184">
      <iconSet>
        <cfvo type="percent" val="0"/>
        <cfvo type="num" val="95"/>
        <cfvo type="num" val="100"/>
      </iconSet>
    </cfRule>
    <cfRule type="iconSet" priority="183">
      <iconSet>
        <cfvo type="percent" val="0"/>
        <cfvo type="num" val="70"/>
        <cfvo type="num" val="90"/>
      </iconSet>
    </cfRule>
    <cfRule type="iconSet" priority="182">
      <iconSet>
        <cfvo type="percent" val="0"/>
        <cfvo type="num" val="70"/>
        <cfvo type="num" val="90"/>
      </iconSet>
    </cfRule>
    <cfRule type="iconSet" priority="181">
      <iconSet>
        <cfvo type="percent" val="0"/>
        <cfvo type="num" val="95"/>
        <cfvo type="num" val="100"/>
      </iconSet>
    </cfRule>
    <cfRule type="iconSet" priority="180">
      <iconSet>
        <cfvo type="percent" val="0"/>
        <cfvo type="num" val="95"/>
        <cfvo type="num" val="100"/>
      </iconSet>
    </cfRule>
    <cfRule type="iconSet" priority="189">
      <iconSet>
        <cfvo type="percent" val="0"/>
        <cfvo type="num" val="95"/>
        <cfvo type="num" val="100"/>
      </iconSet>
    </cfRule>
    <cfRule type="iconSet" priority="176">
      <iconSet>
        <cfvo type="percent" val="0"/>
        <cfvo type="num" val="95"/>
        <cfvo type="num" val="100"/>
      </iconSet>
    </cfRule>
    <cfRule type="iconSet" priority="294">
      <iconSet>
        <cfvo type="percent" val="0"/>
        <cfvo type="num" val="70"/>
        <cfvo type="num" val="90"/>
      </iconSet>
    </cfRule>
    <cfRule type="iconSet" priority="295">
      <iconSet>
        <cfvo type="percent" val="0"/>
        <cfvo type="num" val="95"/>
        <cfvo type="num" val="100"/>
      </iconSet>
    </cfRule>
    <cfRule type="iconSet" priority="177">
      <iconSet>
        <cfvo type="percent" val="0"/>
        <cfvo type="num" val="95"/>
        <cfvo type="num" val="100"/>
      </iconSet>
    </cfRule>
  </conditionalFormatting>
  <conditionalFormatting sqref="I42">
    <cfRule type="iconSet" priority="168">
      <iconSet>
        <cfvo type="percent" val="0"/>
        <cfvo type="num" val="95"/>
        <cfvo type="num" val="100"/>
      </iconSet>
    </cfRule>
  </conditionalFormatting>
  <dataValidations count="1">
    <dataValidation type="list" allowBlank="1" showInputMessage="1" showErrorMessage="1" sqref="M2" xr:uid="{00000000-0002-0000-0800-000000000000}">
      <formula1>$M$7:$M$18</formula1>
    </dataValidation>
  </dataValidations>
  <printOptions horizontalCentered="1"/>
  <pageMargins left="0.25" right="0.25" top="0.75" bottom="0.75" header="0.3" footer="0.3"/>
  <pageSetup paperSize="9" scale="69" orientation="portrait" horizontalDpi="360" verticalDpi="36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J368"/>
  <sheetViews>
    <sheetView workbookViewId="0"/>
  </sheetViews>
  <sheetFormatPr defaultColWidth="8.85546875" defaultRowHeight="15"/>
  <cols>
    <col min="1" max="1" width="5.7109375" style="105" customWidth="1"/>
    <col min="2" max="2" width="17.28515625" customWidth="1"/>
    <col min="3" max="3" width="60.140625" bestFit="1" customWidth="1"/>
    <col min="4" max="4" width="17.7109375" bestFit="1" customWidth="1"/>
    <col min="5" max="13" width="14.85546875" bestFit="1" customWidth="1"/>
    <col min="14" max="14" width="15" bestFit="1" customWidth="1"/>
    <col min="15" max="15" width="14.85546875" bestFit="1" customWidth="1"/>
    <col min="16" max="16" width="11" customWidth="1"/>
    <col min="17" max="17" width="17.140625" customWidth="1"/>
    <col min="18" max="18" width="59.7109375" bestFit="1" customWidth="1"/>
    <col min="19" max="20" width="21.5703125" customWidth="1"/>
    <col min="21" max="24" width="16.140625" bestFit="1" customWidth="1"/>
    <col min="25" max="25" width="17.7109375" bestFit="1" customWidth="1"/>
    <col min="26" max="26" width="18.7109375" bestFit="1" customWidth="1"/>
    <col min="27" max="27" width="19.7109375" bestFit="1" customWidth="1"/>
    <col min="28" max="28" width="20.5703125" bestFit="1" customWidth="1"/>
    <col min="29" max="29" width="20" bestFit="1" customWidth="1"/>
    <col min="30" max="30" width="16.140625" bestFit="1" customWidth="1"/>
    <col min="31" max="31" width="11.42578125" bestFit="1" customWidth="1"/>
    <col min="32" max="32" width="18.5703125" customWidth="1"/>
    <col min="33" max="33" width="44.85546875" customWidth="1"/>
    <col min="34" max="35" width="20.42578125" customWidth="1"/>
    <col min="36" max="36" width="16.7109375" customWidth="1"/>
    <col min="37" max="43" width="22.28515625" bestFit="1" customWidth="1"/>
    <col min="44" max="44" width="17.28515625" bestFit="1" customWidth="1"/>
    <col min="45" max="45" width="16.42578125" bestFit="1" customWidth="1"/>
    <col min="46" max="46" width="9.28515625" customWidth="1"/>
    <col min="47" max="47" width="1.85546875" style="141" customWidth="1"/>
  </cols>
  <sheetData>
    <row r="1" spans="1:47" s="30" customFormat="1" ht="15.75">
      <c r="A1" s="28"/>
      <c r="B1" s="29" t="s">
        <v>122</v>
      </c>
      <c r="C1" s="28"/>
      <c r="D1" s="28"/>
      <c r="E1" s="28"/>
      <c r="F1" s="28"/>
      <c r="G1" s="28"/>
      <c r="H1" s="28"/>
      <c r="I1" s="649"/>
      <c r="J1" s="28"/>
      <c r="K1" s="28"/>
      <c r="L1" s="28"/>
      <c r="M1" s="28"/>
      <c r="N1" s="28"/>
      <c r="O1" s="28"/>
      <c r="Q1" s="29"/>
      <c r="R1" s="28"/>
      <c r="S1" s="28"/>
      <c r="T1" s="28"/>
      <c r="U1" s="28"/>
      <c r="V1" s="28"/>
      <c r="W1" s="28"/>
      <c r="X1" s="649"/>
      <c r="Y1" s="28"/>
      <c r="Z1" s="37"/>
      <c r="AA1" s="28"/>
      <c r="AB1" s="28"/>
      <c r="AC1" s="28"/>
      <c r="AD1" s="28"/>
      <c r="AF1" s="29"/>
      <c r="AG1" s="28"/>
      <c r="AH1" s="28"/>
      <c r="AI1" s="28"/>
      <c r="AJ1" s="28"/>
      <c r="AK1" s="28"/>
      <c r="AL1" s="28"/>
      <c r="AM1" s="649"/>
      <c r="AN1" s="28"/>
      <c r="AO1" s="28"/>
      <c r="AP1" s="28"/>
      <c r="AQ1" s="28"/>
      <c r="AR1" s="28"/>
      <c r="AS1" s="28"/>
      <c r="AU1" s="567"/>
    </row>
    <row r="2" spans="1:47" s="30" customFormat="1" ht="15.75">
      <c r="A2" s="28"/>
      <c r="B2" s="29" t="s">
        <v>123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Q2" s="29"/>
      <c r="R2" s="28"/>
      <c r="S2" s="28"/>
      <c r="T2" s="28"/>
      <c r="U2" s="28"/>
      <c r="V2" s="28"/>
      <c r="W2" s="28"/>
      <c r="X2" s="28"/>
      <c r="Y2" s="28"/>
      <c r="Z2" s="37"/>
      <c r="AA2" s="28"/>
      <c r="AB2" s="28"/>
      <c r="AC2" s="28"/>
      <c r="AD2" s="28"/>
      <c r="AF2" s="29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U2" s="567"/>
    </row>
    <row r="3" spans="1:47" s="30" customFormat="1" ht="15.75">
      <c r="A3" s="28"/>
      <c r="B3" s="29" t="s">
        <v>124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Q3" s="29"/>
      <c r="R3" s="28"/>
      <c r="S3" s="629"/>
      <c r="T3" s="629"/>
      <c r="U3" s="629"/>
      <c r="V3" s="629"/>
      <c r="W3" s="629"/>
      <c r="X3" s="629"/>
      <c r="Y3" s="629"/>
      <c r="Z3" s="726"/>
      <c r="AA3" s="629"/>
      <c r="AB3" s="629"/>
      <c r="AC3" s="629"/>
      <c r="AD3" s="28"/>
      <c r="AF3" s="29"/>
      <c r="AG3" s="28"/>
      <c r="AH3" s="28"/>
      <c r="AI3" s="650"/>
      <c r="AJ3" s="28"/>
      <c r="AK3" s="28"/>
      <c r="AL3" s="28"/>
      <c r="AM3" s="28"/>
      <c r="AN3" s="28"/>
      <c r="AO3" s="28"/>
      <c r="AP3" s="28"/>
      <c r="AQ3" s="28"/>
      <c r="AR3" s="28"/>
      <c r="AS3" s="28"/>
      <c r="AU3" s="567"/>
    </row>
    <row r="4" spans="1:47" s="30" customFormat="1" ht="15.75">
      <c r="A4" s="28"/>
      <c r="B4" s="700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Q4" s="29"/>
      <c r="R4" s="28"/>
      <c r="S4" s="629"/>
      <c r="T4" s="629"/>
      <c r="U4" s="629"/>
      <c r="V4" s="629"/>
      <c r="W4" s="629"/>
      <c r="X4" s="629"/>
      <c r="Y4" s="629"/>
      <c r="Z4" s="726"/>
      <c r="AA4" s="629"/>
      <c r="AB4" s="629"/>
      <c r="AC4" s="629"/>
      <c r="AD4" s="28"/>
      <c r="AF4" s="29"/>
      <c r="AG4" s="28"/>
      <c r="AH4" s="28"/>
      <c r="AI4" s="650"/>
      <c r="AJ4" s="28"/>
      <c r="AK4" s="28"/>
      <c r="AL4" s="28"/>
      <c r="AM4" s="28"/>
      <c r="AN4" s="28"/>
      <c r="AO4" s="28"/>
      <c r="AP4" s="28"/>
      <c r="AQ4" s="28"/>
      <c r="AR4" s="28"/>
      <c r="AS4" s="28"/>
      <c r="AU4" s="567"/>
    </row>
    <row r="5" spans="1:47">
      <c r="A5"/>
      <c r="B5" s="21" t="s">
        <v>177</v>
      </c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Q5" t="s">
        <v>177</v>
      </c>
      <c r="S5" s="105"/>
      <c r="T5" s="105"/>
      <c r="U5" s="105"/>
      <c r="V5" s="664"/>
      <c r="W5" s="105"/>
      <c r="X5" s="105"/>
      <c r="Y5" s="105"/>
      <c r="Z5" s="105"/>
      <c r="AA5" s="105"/>
      <c r="AB5" s="105"/>
      <c r="AC5" s="105"/>
      <c r="AD5" s="105"/>
      <c r="AF5" t="s">
        <v>177</v>
      </c>
      <c r="AH5" s="105"/>
      <c r="AI5" s="105"/>
      <c r="AJ5" s="105"/>
      <c r="AK5" s="105"/>
      <c r="AL5" s="105"/>
      <c r="AM5" s="105"/>
      <c r="AN5" s="105"/>
      <c r="AO5" s="105"/>
      <c r="AP5" s="105"/>
      <c r="AQ5" s="105"/>
      <c r="AR5" s="105"/>
      <c r="AS5" s="105"/>
      <c r="AU5"/>
    </row>
    <row r="6" spans="1:47">
      <c r="A6"/>
      <c r="B6" s="21" t="s">
        <v>100</v>
      </c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Q6" t="s">
        <v>126</v>
      </c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F6" t="s">
        <v>127</v>
      </c>
      <c r="AH6" s="105"/>
      <c r="AI6" s="105"/>
      <c r="AJ6" s="105"/>
      <c r="AK6" s="105"/>
      <c r="AL6" s="105"/>
      <c r="AM6" s="105"/>
      <c r="AN6" s="105"/>
      <c r="AO6" s="105"/>
      <c r="AP6" s="105"/>
      <c r="AQ6" s="105"/>
      <c r="AR6" s="105"/>
      <c r="AS6" s="105"/>
      <c r="AU6"/>
    </row>
    <row r="7" spans="1:47">
      <c r="A7"/>
      <c r="B7" s="768" t="s">
        <v>72</v>
      </c>
      <c r="C7" s="769"/>
      <c r="D7" s="552" t="s">
        <v>74</v>
      </c>
      <c r="E7" s="552" t="s">
        <v>75</v>
      </c>
      <c r="F7" s="552" t="s">
        <v>76</v>
      </c>
      <c r="G7" s="552" t="s">
        <v>77</v>
      </c>
      <c r="H7" s="552" t="s">
        <v>78</v>
      </c>
      <c r="I7" s="552" t="s">
        <v>79</v>
      </c>
      <c r="J7" s="552" t="s">
        <v>80</v>
      </c>
      <c r="K7" s="552" t="s">
        <v>81</v>
      </c>
      <c r="L7" s="552" t="s">
        <v>82</v>
      </c>
      <c r="M7" s="552" t="s">
        <v>83</v>
      </c>
      <c r="N7" s="552" t="s">
        <v>84</v>
      </c>
      <c r="O7" s="552" t="s">
        <v>85</v>
      </c>
      <c r="Q7" s="768" t="s">
        <v>72</v>
      </c>
      <c r="R7" s="769"/>
      <c r="S7" s="552" t="s">
        <v>74</v>
      </c>
      <c r="T7" s="552" t="s">
        <v>75</v>
      </c>
      <c r="U7" s="552" t="s">
        <v>76</v>
      </c>
      <c r="V7" s="552" t="s">
        <v>77</v>
      </c>
      <c r="W7" s="552" t="s">
        <v>78</v>
      </c>
      <c r="X7" s="552" t="s">
        <v>79</v>
      </c>
      <c r="Y7" s="552" t="s">
        <v>80</v>
      </c>
      <c r="Z7" s="552" t="s">
        <v>81</v>
      </c>
      <c r="AA7" s="552" t="s">
        <v>82</v>
      </c>
      <c r="AB7" s="552" t="s">
        <v>83</v>
      </c>
      <c r="AC7" s="552" t="s">
        <v>84</v>
      </c>
      <c r="AD7" s="552" t="s">
        <v>85</v>
      </c>
      <c r="AF7" s="768" t="s">
        <v>72</v>
      </c>
      <c r="AG7" s="769"/>
      <c r="AH7" s="552" t="s">
        <v>74</v>
      </c>
      <c r="AI7" s="552" t="s">
        <v>75</v>
      </c>
      <c r="AJ7" s="552" t="s">
        <v>76</v>
      </c>
      <c r="AK7" s="552" t="s">
        <v>77</v>
      </c>
      <c r="AL7" s="552" t="s">
        <v>78</v>
      </c>
      <c r="AM7" s="552" t="s">
        <v>79</v>
      </c>
      <c r="AN7" s="552" t="s">
        <v>80</v>
      </c>
      <c r="AO7" s="552" t="s">
        <v>81</v>
      </c>
      <c r="AP7" s="552" t="s">
        <v>82</v>
      </c>
      <c r="AQ7" s="552" t="s">
        <v>83</v>
      </c>
      <c r="AR7" s="552" t="s">
        <v>84</v>
      </c>
      <c r="AS7" s="552" t="s">
        <v>85</v>
      </c>
      <c r="AU7"/>
    </row>
    <row r="8" spans="1:47" ht="18.600000000000001" customHeight="1">
      <c r="A8"/>
      <c r="B8" s="770" t="s">
        <v>128</v>
      </c>
      <c r="C8" s="402" t="s">
        <v>178</v>
      </c>
      <c r="D8" s="571">
        <v>6</v>
      </c>
      <c r="E8" s="571">
        <v>11</v>
      </c>
      <c r="F8" s="571">
        <v>17</v>
      </c>
      <c r="G8" s="571">
        <v>22</v>
      </c>
      <c r="H8" s="571">
        <v>28</v>
      </c>
      <c r="I8" s="571">
        <v>33</v>
      </c>
      <c r="J8" s="571">
        <v>39</v>
      </c>
      <c r="K8" s="571">
        <v>44</v>
      </c>
      <c r="L8" s="571">
        <v>50</v>
      </c>
      <c r="M8" s="571">
        <v>55</v>
      </c>
      <c r="N8" s="571">
        <v>61</v>
      </c>
      <c r="O8" s="571">
        <v>62</v>
      </c>
      <c r="Q8" s="773" t="s">
        <v>128</v>
      </c>
      <c r="R8" s="402" t="s">
        <v>178</v>
      </c>
      <c r="S8" s="571">
        <v>2</v>
      </c>
      <c r="T8" s="571">
        <v>1</v>
      </c>
      <c r="U8" s="571">
        <v>5</v>
      </c>
      <c r="V8" s="571">
        <v>3</v>
      </c>
      <c r="W8" s="571">
        <v>18</v>
      </c>
      <c r="X8" s="571">
        <v>2</v>
      </c>
      <c r="Y8" s="571">
        <v>7</v>
      </c>
      <c r="Z8" s="571">
        <v>0</v>
      </c>
      <c r="AA8" s="571">
        <v>8</v>
      </c>
      <c r="AB8" s="571">
        <v>8</v>
      </c>
      <c r="AC8" s="571"/>
      <c r="AD8" s="571"/>
      <c r="AF8" s="773" t="s">
        <v>128</v>
      </c>
      <c r="AG8" s="402" t="s">
        <v>178</v>
      </c>
      <c r="AH8" s="571">
        <v>2</v>
      </c>
      <c r="AI8" s="571">
        <v>3</v>
      </c>
      <c r="AJ8" s="571">
        <v>8</v>
      </c>
      <c r="AK8" s="571">
        <v>11</v>
      </c>
      <c r="AL8" s="571">
        <v>29</v>
      </c>
      <c r="AM8" s="571">
        <v>31</v>
      </c>
      <c r="AN8" s="571">
        <v>38</v>
      </c>
      <c r="AO8" s="571">
        <v>38</v>
      </c>
      <c r="AP8" s="571">
        <v>46</v>
      </c>
      <c r="AQ8" s="571">
        <v>54</v>
      </c>
      <c r="AR8" s="571">
        <v>54</v>
      </c>
      <c r="AS8" s="571">
        <v>54</v>
      </c>
      <c r="AU8"/>
    </row>
    <row r="9" spans="1:47" ht="18.600000000000001" customHeight="1">
      <c r="A9"/>
      <c r="B9" s="771"/>
      <c r="C9" s="402" t="s">
        <v>179</v>
      </c>
      <c r="D9" s="571">
        <v>7</v>
      </c>
      <c r="E9" s="571">
        <v>14</v>
      </c>
      <c r="F9" s="571">
        <v>22</v>
      </c>
      <c r="G9" s="571">
        <v>29</v>
      </c>
      <c r="H9" s="571">
        <v>36</v>
      </c>
      <c r="I9" s="571">
        <v>43</v>
      </c>
      <c r="J9" s="571">
        <v>50</v>
      </c>
      <c r="K9" s="571">
        <v>57</v>
      </c>
      <c r="L9" s="571">
        <v>65</v>
      </c>
      <c r="M9" s="571">
        <v>72</v>
      </c>
      <c r="N9" s="571">
        <v>79</v>
      </c>
      <c r="O9" s="571">
        <v>86</v>
      </c>
      <c r="Q9" s="774"/>
      <c r="R9" s="402" t="s">
        <v>179</v>
      </c>
      <c r="S9" s="571">
        <v>0</v>
      </c>
      <c r="T9" s="571">
        <v>6</v>
      </c>
      <c r="U9" s="571">
        <v>2</v>
      </c>
      <c r="V9" s="571">
        <v>0</v>
      </c>
      <c r="W9" s="571">
        <v>15</v>
      </c>
      <c r="X9" s="571">
        <v>11</v>
      </c>
      <c r="Y9" s="571">
        <v>8</v>
      </c>
      <c r="Z9" s="571">
        <v>2</v>
      </c>
      <c r="AA9" s="571">
        <v>11</v>
      </c>
      <c r="AB9" s="571">
        <v>10</v>
      </c>
      <c r="AC9" s="571"/>
      <c r="AD9" s="571"/>
      <c r="AF9" s="774"/>
      <c r="AG9" s="402" t="s">
        <v>179</v>
      </c>
      <c r="AH9" s="571">
        <v>0</v>
      </c>
      <c r="AI9" s="571">
        <v>6</v>
      </c>
      <c r="AJ9" s="571">
        <v>8</v>
      </c>
      <c r="AK9" s="571">
        <v>8</v>
      </c>
      <c r="AL9" s="571">
        <v>23</v>
      </c>
      <c r="AM9" s="571">
        <v>34</v>
      </c>
      <c r="AN9" s="571">
        <v>42</v>
      </c>
      <c r="AO9" s="571">
        <v>44</v>
      </c>
      <c r="AP9" s="571">
        <v>55</v>
      </c>
      <c r="AQ9" s="571">
        <v>65</v>
      </c>
      <c r="AR9" s="571">
        <v>65</v>
      </c>
      <c r="AS9" s="571">
        <v>65</v>
      </c>
      <c r="AU9"/>
    </row>
    <row r="10" spans="1:47" ht="18.600000000000001" customHeight="1">
      <c r="A10"/>
      <c r="B10" s="772"/>
      <c r="C10" s="591"/>
      <c r="D10" s="592"/>
      <c r="E10" s="592"/>
      <c r="F10" s="592"/>
      <c r="G10" s="592"/>
      <c r="H10" s="592"/>
      <c r="I10" s="592"/>
      <c r="J10" s="592"/>
      <c r="K10" s="592"/>
      <c r="L10" s="592"/>
      <c r="M10" s="592"/>
      <c r="N10" s="592"/>
      <c r="O10" s="592"/>
      <c r="Q10" s="761"/>
      <c r="R10" s="591"/>
      <c r="S10" s="592"/>
      <c r="T10" s="592"/>
      <c r="U10" s="592"/>
      <c r="V10" s="592"/>
      <c r="W10" s="592"/>
      <c r="X10" s="592"/>
      <c r="Y10" s="592"/>
      <c r="Z10" s="592"/>
      <c r="AA10" s="592"/>
      <c r="AB10" s="592"/>
      <c r="AC10" s="592"/>
      <c r="AD10" s="592"/>
      <c r="AF10" s="761"/>
      <c r="AG10" s="591"/>
      <c r="AH10" s="603"/>
      <c r="AI10" s="603"/>
      <c r="AJ10" s="603"/>
      <c r="AK10" s="603"/>
      <c r="AL10" s="603"/>
      <c r="AM10" s="603"/>
      <c r="AN10" s="603"/>
      <c r="AO10" s="603"/>
      <c r="AP10" s="603"/>
      <c r="AQ10" s="603"/>
      <c r="AR10" s="592"/>
      <c r="AS10" s="592"/>
      <c r="AU10"/>
    </row>
    <row r="11" spans="1:47" ht="18.600000000000001" customHeight="1">
      <c r="A11"/>
      <c r="B11" s="770" t="s">
        <v>87</v>
      </c>
      <c r="C11" s="402" t="s">
        <v>178</v>
      </c>
      <c r="D11" s="571">
        <v>3</v>
      </c>
      <c r="E11" s="571">
        <v>5</v>
      </c>
      <c r="F11" s="571">
        <v>8</v>
      </c>
      <c r="G11" s="571">
        <v>11</v>
      </c>
      <c r="H11" s="571">
        <v>13</v>
      </c>
      <c r="I11" s="571">
        <v>15.999999999999998</v>
      </c>
      <c r="J11" s="571">
        <v>19</v>
      </c>
      <c r="K11" s="571">
        <v>21</v>
      </c>
      <c r="L11" s="571">
        <v>24</v>
      </c>
      <c r="M11" s="571">
        <v>27</v>
      </c>
      <c r="N11" s="571">
        <v>29</v>
      </c>
      <c r="O11" s="571">
        <v>30</v>
      </c>
      <c r="Q11" s="773" t="s">
        <v>87</v>
      </c>
      <c r="R11" s="402" t="s">
        <v>178</v>
      </c>
      <c r="S11" s="571">
        <v>2</v>
      </c>
      <c r="T11" s="571">
        <v>3</v>
      </c>
      <c r="U11" s="571">
        <v>3</v>
      </c>
      <c r="V11" s="571">
        <v>2</v>
      </c>
      <c r="W11" s="571">
        <v>3</v>
      </c>
      <c r="X11" s="571">
        <v>0</v>
      </c>
      <c r="Y11" s="571">
        <v>2</v>
      </c>
      <c r="Z11" s="571">
        <v>0</v>
      </c>
      <c r="AA11" s="571">
        <v>1</v>
      </c>
      <c r="AB11" s="571">
        <v>4</v>
      </c>
      <c r="AC11" s="571"/>
      <c r="AD11" s="571"/>
      <c r="AF11" s="773" t="s">
        <v>87</v>
      </c>
      <c r="AG11" s="402" t="s">
        <v>178</v>
      </c>
      <c r="AH11" s="571">
        <v>2</v>
      </c>
      <c r="AI11" s="571">
        <v>5</v>
      </c>
      <c r="AJ11" s="571">
        <v>8</v>
      </c>
      <c r="AK11" s="571">
        <v>10</v>
      </c>
      <c r="AL11" s="571">
        <v>13</v>
      </c>
      <c r="AM11" s="571">
        <v>13</v>
      </c>
      <c r="AN11" s="571">
        <v>15</v>
      </c>
      <c r="AO11" s="571">
        <v>15</v>
      </c>
      <c r="AP11" s="571">
        <v>16</v>
      </c>
      <c r="AQ11" s="571">
        <v>20</v>
      </c>
      <c r="AR11" s="571">
        <v>20</v>
      </c>
      <c r="AS11" s="571">
        <v>20</v>
      </c>
      <c r="AU11"/>
    </row>
    <row r="12" spans="1:47" ht="18.600000000000001" customHeight="1">
      <c r="A12"/>
      <c r="B12" s="771"/>
      <c r="C12" s="402" t="s">
        <v>179</v>
      </c>
      <c r="D12" s="571">
        <v>4</v>
      </c>
      <c r="E12" s="571">
        <v>7</v>
      </c>
      <c r="F12" s="571">
        <v>11</v>
      </c>
      <c r="G12" s="571">
        <v>15</v>
      </c>
      <c r="H12" s="571">
        <v>18</v>
      </c>
      <c r="I12" s="571">
        <v>22</v>
      </c>
      <c r="J12" s="571">
        <v>26</v>
      </c>
      <c r="K12" s="571">
        <v>29</v>
      </c>
      <c r="L12" s="571">
        <v>33</v>
      </c>
      <c r="M12" s="571">
        <v>37</v>
      </c>
      <c r="N12" s="571">
        <v>40</v>
      </c>
      <c r="O12" s="571">
        <v>44</v>
      </c>
      <c r="Q12" s="774"/>
      <c r="R12" s="402" t="s">
        <v>179</v>
      </c>
      <c r="S12" s="571">
        <v>0</v>
      </c>
      <c r="T12" s="571">
        <v>2</v>
      </c>
      <c r="U12" s="571">
        <v>1</v>
      </c>
      <c r="V12" s="571">
        <v>1</v>
      </c>
      <c r="W12" s="571">
        <v>11</v>
      </c>
      <c r="X12" s="571">
        <v>4</v>
      </c>
      <c r="Y12" s="571">
        <v>1</v>
      </c>
      <c r="Z12" s="571">
        <v>0</v>
      </c>
      <c r="AA12" s="571">
        <v>1</v>
      </c>
      <c r="AB12" s="571">
        <v>8</v>
      </c>
      <c r="AC12" s="571"/>
      <c r="AD12" s="571"/>
      <c r="AF12" s="774"/>
      <c r="AG12" s="402" t="s">
        <v>179</v>
      </c>
      <c r="AH12" s="571">
        <v>0</v>
      </c>
      <c r="AI12" s="571">
        <v>2</v>
      </c>
      <c r="AJ12" s="571">
        <v>3</v>
      </c>
      <c r="AK12" s="571">
        <v>4</v>
      </c>
      <c r="AL12" s="571">
        <v>15</v>
      </c>
      <c r="AM12" s="571">
        <v>19</v>
      </c>
      <c r="AN12" s="571">
        <v>20</v>
      </c>
      <c r="AO12" s="571">
        <v>20</v>
      </c>
      <c r="AP12" s="571">
        <v>21</v>
      </c>
      <c r="AQ12" s="571">
        <v>29</v>
      </c>
      <c r="AR12" s="571">
        <v>29</v>
      </c>
      <c r="AS12" s="571">
        <v>29</v>
      </c>
      <c r="AU12"/>
    </row>
    <row r="13" spans="1:47" ht="18.600000000000001" customHeight="1">
      <c r="A13"/>
      <c r="B13" s="772"/>
      <c r="C13" s="591"/>
      <c r="D13" s="592"/>
      <c r="E13" s="592"/>
      <c r="F13" s="592"/>
      <c r="G13" s="592"/>
      <c r="H13" s="592"/>
      <c r="I13" s="592"/>
      <c r="J13" s="592"/>
      <c r="K13" s="592"/>
      <c r="L13" s="592"/>
      <c r="M13" s="592"/>
      <c r="N13" s="592"/>
      <c r="O13" s="592"/>
      <c r="Q13" s="761"/>
      <c r="R13" s="591"/>
      <c r="S13" s="592"/>
      <c r="T13" s="592"/>
      <c r="U13" s="602"/>
      <c r="V13" s="592"/>
      <c r="W13" s="592"/>
      <c r="X13" s="592"/>
      <c r="Y13" s="592"/>
      <c r="Z13" s="592"/>
      <c r="AA13" s="592"/>
      <c r="AB13" s="592"/>
      <c r="AC13" s="592"/>
      <c r="AD13" s="592"/>
      <c r="AF13" s="761"/>
      <c r="AG13" s="591"/>
      <c r="AH13" s="592"/>
      <c r="AI13" s="592"/>
      <c r="AJ13" s="592"/>
      <c r="AK13" s="592"/>
      <c r="AL13" s="592"/>
      <c r="AM13" s="592"/>
      <c r="AN13" s="592"/>
      <c r="AO13" s="592"/>
      <c r="AP13" s="592"/>
      <c r="AQ13" s="592"/>
      <c r="AR13" s="592"/>
      <c r="AS13" s="592"/>
      <c r="AU13"/>
    </row>
    <row r="14" spans="1:47" ht="18.600000000000001" customHeight="1">
      <c r="A14"/>
      <c r="B14" s="770" t="s">
        <v>88</v>
      </c>
      <c r="C14" s="402" t="s">
        <v>178</v>
      </c>
      <c r="D14" s="571">
        <v>3</v>
      </c>
      <c r="E14" s="571">
        <v>6</v>
      </c>
      <c r="F14" s="571">
        <v>10</v>
      </c>
      <c r="G14" s="571">
        <v>13</v>
      </c>
      <c r="H14" s="571">
        <v>16.000000000000004</v>
      </c>
      <c r="I14" s="571">
        <v>19</v>
      </c>
      <c r="J14" s="571">
        <v>22</v>
      </c>
      <c r="K14" s="571">
        <v>26</v>
      </c>
      <c r="L14" s="571">
        <v>29</v>
      </c>
      <c r="M14" s="571">
        <v>32</v>
      </c>
      <c r="N14" s="571">
        <v>35</v>
      </c>
      <c r="O14" s="571">
        <v>36</v>
      </c>
      <c r="Q14" s="773" t="s">
        <v>88</v>
      </c>
      <c r="R14" s="402" t="s">
        <v>178</v>
      </c>
      <c r="S14" s="571">
        <v>0</v>
      </c>
      <c r="T14" s="571">
        <v>0</v>
      </c>
      <c r="U14" s="571">
        <v>8</v>
      </c>
      <c r="V14" s="571">
        <v>1</v>
      </c>
      <c r="W14" s="596">
        <v>2</v>
      </c>
      <c r="X14" s="571">
        <v>2</v>
      </c>
      <c r="Y14" s="571">
        <v>3</v>
      </c>
      <c r="Z14" s="571">
        <v>0</v>
      </c>
      <c r="AA14" s="571">
        <v>2</v>
      </c>
      <c r="AB14" s="571">
        <v>3</v>
      </c>
      <c r="AC14" s="571"/>
      <c r="AD14" s="571"/>
      <c r="AF14" s="773" t="s">
        <v>88</v>
      </c>
      <c r="AG14" s="402" t="s">
        <v>178</v>
      </c>
      <c r="AH14" s="571">
        <v>0</v>
      </c>
      <c r="AI14" s="571">
        <v>0</v>
      </c>
      <c r="AJ14" s="571">
        <v>8</v>
      </c>
      <c r="AK14" s="571">
        <v>9</v>
      </c>
      <c r="AL14" s="571">
        <v>11</v>
      </c>
      <c r="AM14" s="571">
        <v>13</v>
      </c>
      <c r="AN14" s="571">
        <v>16</v>
      </c>
      <c r="AO14" s="571">
        <v>16</v>
      </c>
      <c r="AP14" s="571">
        <v>18</v>
      </c>
      <c r="AQ14" s="571">
        <v>21</v>
      </c>
      <c r="AR14" s="571">
        <v>21</v>
      </c>
      <c r="AS14" s="571">
        <v>21</v>
      </c>
      <c r="AU14"/>
    </row>
    <row r="15" spans="1:47" ht="18.600000000000001" customHeight="1">
      <c r="A15"/>
      <c r="B15" s="771"/>
      <c r="C15" s="402" t="s">
        <v>179</v>
      </c>
      <c r="D15" s="571">
        <v>2</v>
      </c>
      <c r="E15" s="571">
        <v>4</v>
      </c>
      <c r="F15" s="571">
        <v>5</v>
      </c>
      <c r="G15" s="571">
        <v>7</v>
      </c>
      <c r="H15" s="571">
        <v>9</v>
      </c>
      <c r="I15" s="571">
        <v>11</v>
      </c>
      <c r="J15" s="571">
        <v>13</v>
      </c>
      <c r="K15" s="571">
        <v>14</v>
      </c>
      <c r="L15" s="571">
        <v>16</v>
      </c>
      <c r="M15" s="571">
        <v>18</v>
      </c>
      <c r="N15" s="571">
        <v>20</v>
      </c>
      <c r="O15" s="571">
        <v>21</v>
      </c>
      <c r="Q15" s="774"/>
      <c r="R15" s="402" t="s">
        <v>179</v>
      </c>
      <c r="S15" s="571">
        <v>0</v>
      </c>
      <c r="T15" s="571">
        <v>4</v>
      </c>
      <c r="U15" s="571">
        <v>0</v>
      </c>
      <c r="V15" s="571">
        <v>0</v>
      </c>
      <c r="W15" s="571">
        <v>3</v>
      </c>
      <c r="X15" s="690">
        <v>2</v>
      </c>
      <c r="Y15" s="571">
        <v>2</v>
      </c>
      <c r="Z15" s="571">
        <v>0</v>
      </c>
      <c r="AA15" s="571">
        <v>1</v>
      </c>
      <c r="AB15" s="571">
        <v>3</v>
      </c>
      <c r="AC15" s="571"/>
      <c r="AD15" s="571"/>
      <c r="AF15" s="774"/>
      <c r="AG15" s="402" t="s">
        <v>179</v>
      </c>
      <c r="AH15" s="571">
        <v>0</v>
      </c>
      <c r="AI15" s="571">
        <v>4</v>
      </c>
      <c r="AJ15" s="571">
        <v>4</v>
      </c>
      <c r="AK15" s="571">
        <v>4</v>
      </c>
      <c r="AL15" s="571">
        <v>7</v>
      </c>
      <c r="AM15" s="571">
        <v>9</v>
      </c>
      <c r="AN15" s="571">
        <v>11</v>
      </c>
      <c r="AO15" s="571">
        <v>11</v>
      </c>
      <c r="AP15" s="571">
        <v>12</v>
      </c>
      <c r="AQ15" s="571">
        <v>15</v>
      </c>
      <c r="AR15" s="571">
        <v>15</v>
      </c>
      <c r="AS15" s="571">
        <v>15</v>
      </c>
      <c r="AU15"/>
    </row>
    <row r="16" spans="1:47" ht="18.600000000000001" customHeight="1">
      <c r="A16"/>
      <c r="B16" s="772"/>
      <c r="C16" s="591"/>
      <c r="D16" s="592"/>
      <c r="E16" s="592"/>
      <c r="F16" s="592"/>
      <c r="G16" s="592"/>
      <c r="H16" s="592"/>
      <c r="I16" s="592"/>
      <c r="J16" s="592"/>
      <c r="K16" s="592"/>
      <c r="L16" s="592"/>
      <c r="M16" s="592"/>
      <c r="N16" s="592"/>
      <c r="O16" s="592"/>
      <c r="Q16" s="761"/>
      <c r="R16" s="591"/>
      <c r="S16" s="592"/>
      <c r="T16" s="603"/>
      <c r="U16" s="592"/>
      <c r="V16" s="592"/>
      <c r="W16" s="592"/>
      <c r="X16" s="592"/>
      <c r="Y16" s="592"/>
      <c r="Z16" s="592"/>
      <c r="AA16" s="592"/>
      <c r="AB16" s="592"/>
      <c r="AC16" s="592"/>
      <c r="AD16" s="592"/>
      <c r="AF16" s="761"/>
      <c r="AG16" s="591"/>
      <c r="AH16" s="592"/>
      <c r="AI16" s="592"/>
      <c r="AJ16" s="592"/>
      <c r="AK16" s="592"/>
      <c r="AL16" s="592"/>
      <c r="AM16" s="603"/>
      <c r="AN16" s="592"/>
      <c r="AO16" s="592"/>
      <c r="AP16" s="592"/>
      <c r="AQ16" s="592"/>
      <c r="AR16" s="592"/>
      <c r="AS16" s="592"/>
      <c r="AU16"/>
    </row>
    <row r="17" spans="1:47" ht="18.600000000000001" customHeight="1">
      <c r="A17"/>
      <c r="B17" s="770" t="s">
        <v>121</v>
      </c>
      <c r="C17" s="402" t="s">
        <v>178</v>
      </c>
      <c r="D17" s="571">
        <v>1</v>
      </c>
      <c r="E17" s="571">
        <v>2</v>
      </c>
      <c r="F17" s="571">
        <v>3</v>
      </c>
      <c r="G17" s="571">
        <v>4</v>
      </c>
      <c r="H17" s="571">
        <v>5</v>
      </c>
      <c r="I17" s="571">
        <v>6</v>
      </c>
      <c r="J17" s="571">
        <v>7</v>
      </c>
      <c r="K17" s="571">
        <v>9</v>
      </c>
      <c r="L17" s="571">
        <v>10</v>
      </c>
      <c r="M17" s="571">
        <v>11</v>
      </c>
      <c r="N17" s="571">
        <v>12</v>
      </c>
      <c r="O17" s="571">
        <v>12</v>
      </c>
      <c r="Q17" s="773" t="s">
        <v>121</v>
      </c>
      <c r="R17" s="402" t="s">
        <v>178</v>
      </c>
      <c r="S17" s="571">
        <v>0</v>
      </c>
      <c r="T17" s="571">
        <v>1</v>
      </c>
      <c r="U17" s="571">
        <v>1</v>
      </c>
      <c r="V17" s="571">
        <v>1</v>
      </c>
      <c r="W17" s="571">
        <v>1</v>
      </c>
      <c r="X17" s="571">
        <v>1</v>
      </c>
      <c r="Y17" s="571">
        <v>2</v>
      </c>
      <c r="Z17" s="571">
        <v>0</v>
      </c>
      <c r="AA17" s="571">
        <v>0</v>
      </c>
      <c r="AB17" s="571">
        <v>2</v>
      </c>
      <c r="AC17" s="571"/>
      <c r="AD17" s="571"/>
      <c r="AF17" s="773" t="s">
        <v>121</v>
      </c>
      <c r="AG17" s="402" t="s">
        <v>178</v>
      </c>
      <c r="AH17" s="571">
        <v>0</v>
      </c>
      <c r="AI17" s="571">
        <v>1</v>
      </c>
      <c r="AJ17" s="571">
        <v>2</v>
      </c>
      <c r="AK17" s="571">
        <v>3</v>
      </c>
      <c r="AL17" s="571">
        <v>4</v>
      </c>
      <c r="AM17" s="571">
        <v>5</v>
      </c>
      <c r="AN17" s="571">
        <v>7</v>
      </c>
      <c r="AO17" s="571">
        <v>7</v>
      </c>
      <c r="AP17" s="571">
        <v>7</v>
      </c>
      <c r="AQ17" s="571">
        <v>9</v>
      </c>
      <c r="AR17" s="571">
        <v>9</v>
      </c>
      <c r="AS17" s="571">
        <v>9</v>
      </c>
      <c r="AU17"/>
    </row>
    <row r="18" spans="1:47" ht="18.600000000000001" customHeight="1">
      <c r="A18"/>
      <c r="B18" s="771"/>
      <c r="C18" s="402" t="s">
        <v>179</v>
      </c>
      <c r="D18" s="571">
        <v>2</v>
      </c>
      <c r="E18" s="571">
        <v>3</v>
      </c>
      <c r="F18" s="571">
        <v>5</v>
      </c>
      <c r="G18" s="571">
        <v>7</v>
      </c>
      <c r="H18" s="571">
        <v>8</v>
      </c>
      <c r="I18" s="571">
        <v>10</v>
      </c>
      <c r="J18" s="571">
        <v>12</v>
      </c>
      <c r="K18" s="571">
        <v>14</v>
      </c>
      <c r="L18" s="571">
        <v>15</v>
      </c>
      <c r="M18" s="571">
        <v>17</v>
      </c>
      <c r="N18" s="571">
        <v>19</v>
      </c>
      <c r="O18" s="571">
        <v>20</v>
      </c>
      <c r="Q18" s="774"/>
      <c r="R18" s="402" t="s">
        <v>179</v>
      </c>
      <c r="S18" s="571">
        <v>0</v>
      </c>
      <c r="T18" s="571">
        <v>2</v>
      </c>
      <c r="U18" s="571">
        <v>0</v>
      </c>
      <c r="V18" s="571">
        <v>0</v>
      </c>
      <c r="W18" s="571">
        <v>4</v>
      </c>
      <c r="X18" s="571">
        <v>1</v>
      </c>
      <c r="Y18" s="571">
        <v>3</v>
      </c>
      <c r="Z18" s="571">
        <v>1</v>
      </c>
      <c r="AA18" s="571">
        <v>1</v>
      </c>
      <c r="AB18" s="571">
        <v>2</v>
      </c>
      <c r="AC18" s="571"/>
      <c r="AD18" s="571"/>
      <c r="AF18" s="774"/>
      <c r="AG18" s="402" t="s">
        <v>179</v>
      </c>
      <c r="AH18" s="571">
        <v>0</v>
      </c>
      <c r="AI18" s="571">
        <v>2</v>
      </c>
      <c r="AJ18" s="571">
        <v>2</v>
      </c>
      <c r="AK18" s="571">
        <v>2</v>
      </c>
      <c r="AL18" s="571">
        <v>6</v>
      </c>
      <c r="AM18" s="571">
        <v>7</v>
      </c>
      <c r="AN18" s="571">
        <v>10</v>
      </c>
      <c r="AO18" s="571">
        <v>11</v>
      </c>
      <c r="AP18" s="571">
        <v>12</v>
      </c>
      <c r="AQ18" s="571">
        <v>14</v>
      </c>
      <c r="AR18" s="571">
        <v>14</v>
      </c>
      <c r="AS18" s="571">
        <v>14</v>
      </c>
      <c r="AU18"/>
    </row>
    <row r="19" spans="1:47" ht="18.600000000000001" customHeight="1">
      <c r="A19"/>
      <c r="B19" s="772"/>
      <c r="C19" s="591"/>
      <c r="D19" s="592"/>
      <c r="E19" s="592"/>
      <c r="F19" s="592"/>
      <c r="G19" s="592"/>
      <c r="H19" s="592"/>
      <c r="I19" s="592"/>
      <c r="J19" s="592"/>
      <c r="K19" s="592"/>
      <c r="L19" s="592"/>
      <c r="M19" s="592"/>
      <c r="N19" s="592"/>
      <c r="O19" s="592"/>
      <c r="Q19" s="761"/>
      <c r="R19" s="591"/>
      <c r="S19" s="592"/>
      <c r="T19" s="592"/>
      <c r="U19" s="592"/>
      <c r="V19" s="592"/>
      <c r="W19" s="592"/>
      <c r="X19" s="592"/>
      <c r="Y19" s="592"/>
      <c r="Z19" s="592"/>
      <c r="AA19" s="592"/>
      <c r="AB19" s="592"/>
      <c r="AC19" s="592"/>
      <c r="AD19" s="592"/>
      <c r="AF19" s="761"/>
      <c r="AG19" s="591"/>
      <c r="AH19" s="592"/>
      <c r="AI19" s="592"/>
      <c r="AJ19" s="592"/>
      <c r="AK19" s="592"/>
      <c r="AL19" s="592"/>
      <c r="AM19" s="592"/>
      <c r="AN19" s="592"/>
      <c r="AO19" s="592"/>
      <c r="AP19" s="592"/>
      <c r="AQ19" s="592"/>
      <c r="AR19" s="592"/>
      <c r="AS19" s="592"/>
      <c r="AU19"/>
    </row>
    <row r="20" spans="1:47" ht="18.600000000000001" customHeight="1">
      <c r="A20"/>
      <c r="B20" s="789" t="s">
        <v>89</v>
      </c>
      <c r="C20" s="402" t="s">
        <v>178</v>
      </c>
      <c r="D20" s="571">
        <v>2</v>
      </c>
      <c r="E20" s="571">
        <v>5</v>
      </c>
      <c r="F20" s="571">
        <v>7</v>
      </c>
      <c r="G20" s="571">
        <v>9</v>
      </c>
      <c r="H20" s="571">
        <v>12</v>
      </c>
      <c r="I20" s="571">
        <v>14.000000000000002</v>
      </c>
      <c r="J20" s="571">
        <v>16</v>
      </c>
      <c r="K20" s="571">
        <v>19</v>
      </c>
      <c r="L20" s="571">
        <v>21</v>
      </c>
      <c r="M20" s="571">
        <v>23</v>
      </c>
      <c r="N20" s="571">
        <v>26</v>
      </c>
      <c r="O20" s="571">
        <v>26</v>
      </c>
      <c r="Q20" s="762" t="s">
        <v>89</v>
      </c>
      <c r="R20" s="402" t="s">
        <v>178</v>
      </c>
      <c r="S20" s="571">
        <v>1</v>
      </c>
      <c r="T20" s="571">
        <v>0</v>
      </c>
      <c r="U20" s="571">
        <v>5</v>
      </c>
      <c r="V20" s="571">
        <v>1</v>
      </c>
      <c r="W20" s="571">
        <v>2</v>
      </c>
      <c r="X20" s="571">
        <v>2</v>
      </c>
      <c r="Y20" s="571">
        <v>0</v>
      </c>
      <c r="Z20" s="571">
        <v>0</v>
      </c>
      <c r="AA20" s="571">
        <v>0</v>
      </c>
      <c r="AB20" s="571">
        <v>0</v>
      </c>
      <c r="AC20" s="571"/>
      <c r="AD20" s="571"/>
      <c r="AF20" s="762" t="s">
        <v>89</v>
      </c>
      <c r="AG20" s="402" t="s">
        <v>178</v>
      </c>
      <c r="AH20" s="571">
        <v>1</v>
      </c>
      <c r="AI20" s="571">
        <v>1</v>
      </c>
      <c r="AJ20" s="571">
        <v>6</v>
      </c>
      <c r="AK20" s="571">
        <v>7</v>
      </c>
      <c r="AL20" s="571">
        <v>9</v>
      </c>
      <c r="AM20" s="571">
        <v>11</v>
      </c>
      <c r="AN20" s="571">
        <v>11</v>
      </c>
      <c r="AO20" s="571">
        <v>11</v>
      </c>
      <c r="AP20" s="571">
        <v>11</v>
      </c>
      <c r="AQ20" s="571">
        <v>11</v>
      </c>
      <c r="AR20" s="571">
        <v>11</v>
      </c>
      <c r="AS20" s="571">
        <v>11</v>
      </c>
      <c r="AU20"/>
    </row>
    <row r="21" spans="1:47" ht="18.600000000000001" customHeight="1">
      <c r="A21"/>
      <c r="B21" s="789"/>
      <c r="C21" s="402" t="s">
        <v>179</v>
      </c>
      <c r="D21" s="571">
        <v>2</v>
      </c>
      <c r="E21" s="571">
        <v>3</v>
      </c>
      <c r="F21" s="571">
        <v>5</v>
      </c>
      <c r="G21" s="571">
        <v>7</v>
      </c>
      <c r="H21" s="571">
        <v>8</v>
      </c>
      <c r="I21" s="571">
        <v>10</v>
      </c>
      <c r="J21" s="571">
        <v>12</v>
      </c>
      <c r="K21" s="571">
        <v>14</v>
      </c>
      <c r="L21" s="571">
        <v>15</v>
      </c>
      <c r="M21" s="571">
        <v>17</v>
      </c>
      <c r="N21" s="571">
        <v>19</v>
      </c>
      <c r="O21" s="571">
        <v>20</v>
      </c>
      <c r="Q21" s="762"/>
      <c r="R21" s="402" t="s">
        <v>179</v>
      </c>
      <c r="S21" s="571">
        <v>1</v>
      </c>
      <c r="T21" s="571">
        <v>3</v>
      </c>
      <c r="U21" s="571">
        <v>0</v>
      </c>
      <c r="V21" s="571">
        <v>0</v>
      </c>
      <c r="W21" s="571">
        <v>2</v>
      </c>
      <c r="X21" s="571">
        <v>1</v>
      </c>
      <c r="Y21" s="571">
        <v>3</v>
      </c>
      <c r="Z21" s="571">
        <v>0</v>
      </c>
      <c r="AA21" s="571">
        <v>2</v>
      </c>
      <c r="AB21" s="571">
        <v>0</v>
      </c>
      <c r="AC21" s="571"/>
      <c r="AD21" s="571"/>
      <c r="AF21" s="762"/>
      <c r="AG21" s="402" t="s">
        <v>179</v>
      </c>
      <c r="AH21" s="571">
        <v>1</v>
      </c>
      <c r="AI21" s="571">
        <v>4</v>
      </c>
      <c r="AJ21" s="571">
        <v>4</v>
      </c>
      <c r="AK21" s="571">
        <v>4</v>
      </c>
      <c r="AL21" s="571">
        <v>6</v>
      </c>
      <c r="AM21" s="571">
        <v>7</v>
      </c>
      <c r="AN21" s="571">
        <v>10</v>
      </c>
      <c r="AO21" s="571">
        <v>10</v>
      </c>
      <c r="AP21" s="571">
        <v>12</v>
      </c>
      <c r="AQ21" s="571">
        <v>12</v>
      </c>
      <c r="AR21" s="571">
        <v>12</v>
      </c>
      <c r="AS21" s="571">
        <v>12</v>
      </c>
      <c r="AU21"/>
    </row>
    <row r="22" spans="1:47" ht="18.600000000000001" customHeight="1">
      <c r="A22"/>
      <c r="B22" s="789"/>
      <c r="C22" s="591"/>
      <c r="D22" s="592"/>
      <c r="E22" s="592"/>
      <c r="F22" s="592"/>
      <c r="G22" s="592"/>
      <c r="H22" s="592"/>
      <c r="I22" s="592"/>
      <c r="J22" s="592"/>
      <c r="K22" s="592"/>
      <c r="L22" s="592"/>
      <c r="M22" s="592"/>
      <c r="N22" s="592"/>
      <c r="O22" s="592"/>
      <c r="Q22" s="762"/>
      <c r="R22" s="591"/>
      <c r="S22" s="592"/>
      <c r="T22" s="592"/>
      <c r="U22" s="602"/>
      <c r="V22" s="602"/>
      <c r="W22" s="592"/>
      <c r="X22" s="592"/>
      <c r="Y22" s="592"/>
      <c r="Z22" s="592"/>
      <c r="AA22" s="592"/>
      <c r="AB22" s="592"/>
      <c r="AC22" s="592"/>
      <c r="AD22" s="592"/>
      <c r="AF22" s="762"/>
      <c r="AG22" s="591"/>
      <c r="AH22" s="592"/>
      <c r="AI22" s="592"/>
      <c r="AJ22" s="592"/>
      <c r="AK22" s="592"/>
      <c r="AL22" s="592"/>
      <c r="AM22" s="592"/>
      <c r="AN22" s="592"/>
      <c r="AO22" s="592"/>
      <c r="AP22" s="592"/>
      <c r="AQ22" s="592"/>
      <c r="AR22" s="592"/>
      <c r="AS22" s="592"/>
      <c r="AU22"/>
    </row>
    <row r="23" spans="1:47" ht="18.600000000000001" customHeight="1">
      <c r="A23"/>
      <c r="B23" s="561" t="s">
        <v>90</v>
      </c>
      <c r="C23" s="402" t="s">
        <v>178</v>
      </c>
      <c r="D23" s="571">
        <v>15</v>
      </c>
      <c r="E23" s="571">
        <v>29</v>
      </c>
      <c r="F23" s="571">
        <v>45</v>
      </c>
      <c r="G23" s="571">
        <v>59</v>
      </c>
      <c r="H23" s="571">
        <v>74</v>
      </c>
      <c r="I23" s="571">
        <v>88</v>
      </c>
      <c r="J23" s="571">
        <v>103</v>
      </c>
      <c r="K23" s="571">
        <v>119</v>
      </c>
      <c r="L23" s="571">
        <v>134</v>
      </c>
      <c r="M23" s="571">
        <v>148</v>
      </c>
      <c r="N23" s="571">
        <v>163</v>
      </c>
      <c r="O23" s="571">
        <v>166</v>
      </c>
      <c r="Q23" s="762" t="s">
        <v>90</v>
      </c>
      <c r="R23" s="402" t="s">
        <v>178</v>
      </c>
      <c r="S23" s="571">
        <v>5</v>
      </c>
      <c r="T23" s="571">
        <v>5</v>
      </c>
      <c r="U23" s="571">
        <v>22</v>
      </c>
      <c r="V23" s="571">
        <v>8</v>
      </c>
      <c r="W23" s="571">
        <v>26</v>
      </c>
      <c r="X23" s="571">
        <v>7</v>
      </c>
      <c r="Y23" s="571">
        <v>14</v>
      </c>
      <c r="Z23" s="571">
        <v>0</v>
      </c>
      <c r="AA23" s="571">
        <v>11</v>
      </c>
      <c r="AB23" s="571">
        <v>17</v>
      </c>
      <c r="AC23" s="571">
        <v>0</v>
      </c>
      <c r="AD23" s="571">
        <v>0</v>
      </c>
      <c r="AF23" s="762" t="s">
        <v>90</v>
      </c>
      <c r="AG23" s="402" t="s">
        <v>178</v>
      </c>
      <c r="AH23" s="571">
        <v>5</v>
      </c>
      <c r="AI23" s="571">
        <v>10</v>
      </c>
      <c r="AJ23" s="571">
        <v>32</v>
      </c>
      <c r="AK23" s="571">
        <v>40</v>
      </c>
      <c r="AL23" s="571">
        <v>66</v>
      </c>
      <c r="AM23" s="571">
        <v>73</v>
      </c>
      <c r="AN23" s="571">
        <v>87</v>
      </c>
      <c r="AO23" s="571">
        <v>87</v>
      </c>
      <c r="AP23" s="571">
        <v>98</v>
      </c>
      <c r="AQ23" s="571">
        <v>115</v>
      </c>
      <c r="AR23" s="571">
        <v>115</v>
      </c>
      <c r="AS23" s="571">
        <v>115</v>
      </c>
      <c r="AU23"/>
    </row>
    <row r="24" spans="1:47" ht="18.600000000000001" customHeight="1">
      <c r="A24"/>
      <c r="B24" s="558"/>
      <c r="C24" s="402" t="s">
        <v>179</v>
      </c>
      <c r="D24" s="571">
        <v>17</v>
      </c>
      <c r="E24" s="571">
        <v>31</v>
      </c>
      <c r="F24" s="571">
        <v>48</v>
      </c>
      <c r="G24" s="571">
        <v>65</v>
      </c>
      <c r="H24" s="571">
        <v>79</v>
      </c>
      <c r="I24" s="571">
        <v>96</v>
      </c>
      <c r="J24" s="571">
        <v>113</v>
      </c>
      <c r="K24" s="571">
        <v>128</v>
      </c>
      <c r="L24" s="571">
        <v>144</v>
      </c>
      <c r="M24" s="571">
        <v>161</v>
      </c>
      <c r="N24" s="571">
        <v>177</v>
      </c>
      <c r="O24" s="571">
        <v>191</v>
      </c>
      <c r="Q24" s="762"/>
      <c r="R24" s="402" t="s">
        <v>179</v>
      </c>
      <c r="S24" s="571">
        <v>1</v>
      </c>
      <c r="T24" s="571">
        <v>17</v>
      </c>
      <c r="U24" s="571">
        <v>3</v>
      </c>
      <c r="V24" s="571">
        <v>1</v>
      </c>
      <c r="W24" s="571">
        <v>35</v>
      </c>
      <c r="X24" s="571">
        <v>19</v>
      </c>
      <c r="Y24" s="571">
        <v>17</v>
      </c>
      <c r="Z24" s="571">
        <v>3</v>
      </c>
      <c r="AA24" s="571">
        <v>16</v>
      </c>
      <c r="AB24" s="571">
        <v>23</v>
      </c>
      <c r="AC24" s="571">
        <v>0</v>
      </c>
      <c r="AD24" s="571">
        <v>0</v>
      </c>
      <c r="AF24" s="762"/>
      <c r="AG24" s="402" t="s">
        <v>179</v>
      </c>
      <c r="AH24" s="571">
        <v>1</v>
      </c>
      <c r="AI24" s="571">
        <v>18</v>
      </c>
      <c r="AJ24" s="571">
        <v>21</v>
      </c>
      <c r="AK24" s="571">
        <v>22</v>
      </c>
      <c r="AL24" s="571">
        <v>57</v>
      </c>
      <c r="AM24" s="571">
        <v>76</v>
      </c>
      <c r="AN24" s="571">
        <v>93</v>
      </c>
      <c r="AO24" s="571">
        <v>96</v>
      </c>
      <c r="AP24" s="571">
        <v>112</v>
      </c>
      <c r="AQ24" s="571">
        <v>135</v>
      </c>
      <c r="AR24" s="571">
        <v>135</v>
      </c>
      <c r="AS24" s="571">
        <v>135</v>
      </c>
      <c r="AU24"/>
    </row>
    <row r="25" spans="1:47" ht="14.45" customHeight="1">
      <c r="A25"/>
      <c r="B25" s="559"/>
      <c r="C25" s="591"/>
      <c r="D25" s="592"/>
      <c r="E25" s="592"/>
      <c r="F25" s="592"/>
      <c r="G25" s="592"/>
      <c r="H25" s="592"/>
      <c r="I25" s="592"/>
      <c r="J25" s="592"/>
      <c r="K25" s="592"/>
      <c r="L25" s="592"/>
      <c r="M25" s="592"/>
      <c r="N25" s="592"/>
      <c r="O25" s="592"/>
      <c r="Q25" s="762"/>
      <c r="R25" s="591"/>
      <c r="S25" s="603"/>
      <c r="T25" s="603"/>
      <c r="U25" s="603"/>
      <c r="V25" s="603"/>
      <c r="W25" s="603"/>
      <c r="X25" s="603"/>
      <c r="Y25" s="603"/>
      <c r="Z25" s="603"/>
      <c r="AA25" s="603"/>
      <c r="AB25" s="603"/>
      <c r="AC25" s="603"/>
      <c r="AD25" s="603"/>
      <c r="AF25" s="762"/>
      <c r="AG25" s="591"/>
      <c r="AH25" s="603"/>
      <c r="AI25" s="603"/>
      <c r="AJ25" s="603"/>
      <c r="AK25" s="603"/>
      <c r="AL25" s="603"/>
      <c r="AM25" s="603"/>
      <c r="AN25" s="603"/>
      <c r="AO25" s="603"/>
      <c r="AP25" s="603"/>
      <c r="AQ25" s="603"/>
      <c r="AR25" s="603"/>
      <c r="AS25" s="603"/>
      <c r="AU25"/>
    </row>
    <row r="26" spans="1:47" s="30" customFormat="1" ht="15.75">
      <c r="A26" s="28"/>
      <c r="B26" s="29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Q26" s="29"/>
      <c r="R26" s="28"/>
      <c r="S26" s="629"/>
      <c r="T26" s="629"/>
      <c r="U26" s="629"/>
      <c r="V26" s="629"/>
      <c r="W26" s="629"/>
      <c r="X26" s="629"/>
      <c r="Y26" s="629"/>
      <c r="Z26" s="629"/>
      <c r="AA26" s="629"/>
      <c r="AB26" s="629"/>
      <c r="AC26" s="629"/>
      <c r="AD26" s="28"/>
      <c r="AF26" s="29"/>
      <c r="AG26" s="28"/>
      <c r="AH26" s="28"/>
      <c r="AI26" s="650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U26" s="567"/>
    </row>
    <row r="27" spans="1:47">
      <c r="A27"/>
      <c r="D27" s="105"/>
      <c r="E27" s="105"/>
      <c r="F27" s="105"/>
      <c r="G27" s="105"/>
      <c r="H27" s="105"/>
      <c r="I27" s="105"/>
      <c r="J27" s="105"/>
      <c r="K27" s="105"/>
      <c r="L27" s="105"/>
      <c r="M27" s="105"/>
      <c r="N27" s="105"/>
      <c r="O27" s="105"/>
      <c r="S27" s="577"/>
      <c r="T27" s="577"/>
      <c r="U27" s="577"/>
      <c r="V27" s="577"/>
      <c r="W27" s="577"/>
      <c r="X27" s="577"/>
      <c r="Y27" s="577"/>
      <c r="Z27" s="577"/>
      <c r="AA27" s="577"/>
      <c r="AB27" s="577"/>
      <c r="AC27" s="577"/>
      <c r="AD27" s="577"/>
      <c r="AH27" s="105"/>
      <c r="AI27" s="105"/>
      <c r="AJ27" s="105"/>
      <c r="AK27" s="105"/>
      <c r="AL27" s="105"/>
      <c r="AM27" s="105"/>
      <c r="AN27" s="105"/>
      <c r="AO27" s="105"/>
      <c r="AP27" s="105"/>
      <c r="AQ27" s="105"/>
      <c r="AR27" s="577"/>
      <c r="AS27" s="105"/>
      <c r="AU27"/>
    </row>
    <row r="28" spans="1:47">
      <c r="A28"/>
      <c r="B28" s="687" t="s">
        <v>180</v>
      </c>
      <c r="D28" s="105"/>
      <c r="E28" s="105"/>
      <c r="F28" s="105"/>
      <c r="G28" s="105"/>
      <c r="H28" s="105"/>
      <c r="I28" s="105"/>
      <c r="J28" s="105"/>
      <c r="K28" s="105"/>
      <c r="L28" s="105"/>
      <c r="M28" s="105"/>
      <c r="N28" s="105"/>
      <c r="O28" s="105"/>
      <c r="Q28" s="181" t="s">
        <v>180</v>
      </c>
      <c r="S28" s="105"/>
      <c r="T28" s="105"/>
      <c r="U28" s="105"/>
      <c r="V28" s="105"/>
      <c r="W28" s="105"/>
      <c r="X28" s="105"/>
      <c r="Y28" s="105"/>
      <c r="Z28" s="105"/>
      <c r="AA28" s="105"/>
      <c r="AB28" s="105"/>
      <c r="AC28" s="105"/>
      <c r="AD28" s="105"/>
      <c r="AF28" s="181" t="s">
        <v>180</v>
      </c>
      <c r="AH28" s="105"/>
      <c r="AI28" s="105"/>
      <c r="AJ28" s="105"/>
      <c r="AK28" s="105"/>
      <c r="AL28" s="105"/>
      <c r="AM28" s="105"/>
      <c r="AN28" s="105"/>
      <c r="AO28" s="105"/>
      <c r="AP28" s="105"/>
      <c r="AQ28" s="105"/>
      <c r="AR28" s="105"/>
      <c r="AS28" s="105"/>
      <c r="AU28"/>
    </row>
    <row r="29" spans="1:47">
      <c r="A29"/>
      <c r="B29" s="21" t="s">
        <v>100</v>
      </c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Q29" t="s">
        <v>126</v>
      </c>
      <c r="S29" s="105"/>
      <c r="T29" s="105"/>
      <c r="U29" s="105"/>
      <c r="V29" s="105"/>
      <c r="W29" s="105"/>
      <c r="X29" s="105"/>
      <c r="Y29" s="105"/>
      <c r="Z29" s="105"/>
      <c r="AA29" s="105"/>
      <c r="AB29" s="105"/>
      <c r="AC29" s="105"/>
      <c r="AD29" s="105"/>
      <c r="AF29" t="s">
        <v>181</v>
      </c>
      <c r="AH29" s="105"/>
      <c r="AI29" s="105"/>
      <c r="AJ29" s="105"/>
      <c r="AK29" s="105"/>
      <c r="AL29" s="105"/>
      <c r="AM29" s="105"/>
      <c r="AN29" s="105"/>
      <c r="AO29" s="105"/>
      <c r="AP29" s="105"/>
      <c r="AQ29" s="105"/>
      <c r="AR29" s="105"/>
      <c r="AS29" s="105"/>
      <c r="AU29"/>
    </row>
    <row r="30" spans="1:47">
      <c r="A30"/>
      <c r="B30" s="752" t="s">
        <v>72</v>
      </c>
      <c r="C30" s="752"/>
      <c r="D30" s="552" t="s">
        <v>74</v>
      </c>
      <c r="E30" s="552" t="s">
        <v>75</v>
      </c>
      <c r="F30" s="552" t="s">
        <v>76</v>
      </c>
      <c r="G30" s="552" t="s">
        <v>77</v>
      </c>
      <c r="H30" s="552" t="s">
        <v>78</v>
      </c>
      <c r="I30" s="552" t="s">
        <v>79</v>
      </c>
      <c r="J30" s="552" t="s">
        <v>80</v>
      </c>
      <c r="K30" s="552" t="s">
        <v>81</v>
      </c>
      <c r="L30" s="552" t="s">
        <v>82</v>
      </c>
      <c r="M30" s="552" t="s">
        <v>83</v>
      </c>
      <c r="N30" s="552" t="s">
        <v>84</v>
      </c>
      <c r="O30" s="552" t="s">
        <v>85</v>
      </c>
      <c r="Q30" s="752" t="s">
        <v>72</v>
      </c>
      <c r="R30" s="752"/>
      <c r="S30" s="552" t="s">
        <v>74</v>
      </c>
      <c r="T30" s="552" t="s">
        <v>75</v>
      </c>
      <c r="U30" s="552" t="s">
        <v>76</v>
      </c>
      <c r="V30" s="552" t="s">
        <v>77</v>
      </c>
      <c r="W30" s="552" t="s">
        <v>78</v>
      </c>
      <c r="X30" s="552" t="s">
        <v>79</v>
      </c>
      <c r="Y30" s="552" t="s">
        <v>80</v>
      </c>
      <c r="Z30" s="552" t="s">
        <v>81</v>
      </c>
      <c r="AA30" s="552" t="s">
        <v>82</v>
      </c>
      <c r="AB30" s="552" t="s">
        <v>83</v>
      </c>
      <c r="AC30" s="552" t="s">
        <v>84</v>
      </c>
      <c r="AD30" s="552" t="s">
        <v>85</v>
      </c>
      <c r="AF30" s="752" t="s">
        <v>72</v>
      </c>
      <c r="AG30" s="752"/>
      <c r="AH30" s="552" t="s">
        <v>74</v>
      </c>
      <c r="AI30" s="552" t="s">
        <v>75</v>
      </c>
      <c r="AJ30" s="552" t="s">
        <v>76</v>
      </c>
      <c r="AK30" s="552" t="s">
        <v>77</v>
      </c>
      <c r="AL30" s="552" t="s">
        <v>78</v>
      </c>
      <c r="AM30" s="552" t="s">
        <v>79</v>
      </c>
      <c r="AN30" s="552" t="s">
        <v>80</v>
      </c>
      <c r="AO30" s="552" t="s">
        <v>81</v>
      </c>
      <c r="AP30" s="552" t="s">
        <v>82</v>
      </c>
      <c r="AQ30" s="552" t="s">
        <v>83</v>
      </c>
      <c r="AR30" s="552" t="s">
        <v>84</v>
      </c>
      <c r="AS30" s="552" t="s">
        <v>85</v>
      </c>
      <c r="AU30"/>
    </row>
    <row r="31" spans="1:47">
      <c r="A31"/>
      <c r="B31" s="763" t="s">
        <v>128</v>
      </c>
      <c r="C31" s="402" t="s">
        <v>182</v>
      </c>
      <c r="D31" s="564"/>
      <c r="E31" s="564"/>
      <c r="F31" s="564"/>
      <c r="G31" s="564"/>
      <c r="H31" s="564"/>
      <c r="I31" s="564"/>
      <c r="J31" s="564"/>
      <c r="K31" s="564"/>
      <c r="L31" s="564"/>
      <c r="M31" s="564"/>
      <c r="N31" s="564"/>
      <c r="O31" s="564"/>
      <c r="Q31" s="763" t="s">
        <v>128</v>
      </c>
      <c r="R31" s="402" t="s">
        <v>182</v>
      </c>
      <c r="S31" s="601">
        <v>0</v>
      </c>
      <c r="T31" s="601">
        <v>0</v>
      </c>
      <c r="U31" s="601">
        <v>0</v>
      </c>
      <c r="V31" s="601">
        <v>0</v>
      </c>
      <c r="W31" s="601">
        <v>0</v>
      </c>
      <c r="X31" s="601">
        <v>0</v>
      </c>
      <c r="Y31" s="601">
        <v>1</v>
      </c>
      <c r="Z31" s="601">
        <v>0</v>
      </c>
      <c r="AA31" s="601">
        <v>0</v>
      </c>
      <c r="AB31" s="601">
        <v>0</v>
      </c>
      <c r="AC31" s="601"/>
      <c r="AD31" s="601"/>
      <c r="AF31" s="763" t="s">
        <v>128</v>
      </c>
      <c r="AG31" s="402" t="s">
        <v>182</v>
      </c>
      <c r="AH31" s="601">
        <v>0</v>
      </c>
      <c r="AI31" s="601">
        <v>0</v>
      </c>
      <c r="AJ31" s="601">
        <v>0</v>
      </c>
      <c r="AK31" s="601">
        <v>0</v>
      </c>
      <c r="AL31" s="601">
        <v>0</v>
      </c>
      <c r="AM31" s="601">
        <v>0</v>
      </c>
      <c r="AN31" s="601">
        <v>1</v>
      </c>
      <c r="AO31" s="601">
        <v>1</v>
      </c>
      <c r="AP31" s="601">
        <v>1</v>
      </c>
      <c r="AQ31" s="601">
        <v>1</v>
      </c>
      <c r="AR31" s="601">
        <v>1</v>
      </c>
      <c r="AS31" s="601">
        <v>1</v>
      </c>
      <c r="AU31"/>
    </row>
    <row r="32" spans="1:47">
      <c r="A32"/>
      <c r="B32" s="763"/>
      <c r="C32" s="402" t="s">
        <v>183</v>
      </c>
      <c r="D32" s="564"/>
      <c r="E32" s="564"/>
      <c r="F32" s="564"/>
      <c r="G32" s="564"/>
      <c r="H32" s="564"/>
      <c r="I32" s="564"/>
      <c r="J32" s="564"/>
      <c r="K32" s="564"/>
      <c r="L32" s="564"/>
      <c r="M32" s="564"/>
      <c r="N32" s="564"/>
      <c r="O32" s="564"/>
      <c r="Q32" s="763"/>
      <c r="R32" s="402" t="s">
        <v>183</v>
      </c>
      <c r="S32" s="601">
        <v>0</v>
      </c>
      <c r="T32" s="601">
        <v>0</v>
      </c>
      <c r="U32" s="601">
        <v>0</v>
      </c>
      <c r="V32" s="601">
        <v>0</v>
      </c>
      <c r="W32" s="601">
        <v>1</v>
      </c>
      <c r="X32" s="601">
        <v>1</v>
      </c>
      <c r="Y32" s="601">
        <v>0</v>
      </c>
      <c r="Z32" s="601">
        <v>0</v>
      </c>
      <c r="AA32" s="601">
        <v>0</v>
      </c>
      <c r="AB32" s="601">
        <v>0</v>
      </c>
      <c r="AC32" s="601"/>
      <c r="AD32" s="601"/>
      <c r="AF32" s="763"/>
      <c r="AG32" s="402" t="s">
        <v>183</v>
      </c>
      <c r="AH32" s="601">
        <v>0</v>
      </c>
      <c r="AI32" s="601">
        <v>0</v>
      </c>
      <c r="AJ32" s="601">
        <v>0</v>
      </c>
      <c r="AK32" s="601">
        <v>0</v>
      </c>
      <c r="AL32" s="601">
        <v>1</v>
      </c>
      <c r="AM32" s="601">
        <v>2</v>
      </c>
      <c r="AN32" s="601">
        <v>2</v>
      </c>
      <c r="AO32" s="601">
        <v>2</v>
      </c>
      <c r="AP32" s="601">
        <v>2</v>
      </c>
      <c r="AQ32" s="601">
        <v>2</v>
      </c>
      <c r="AR32" s="601">
        <v>2</v>
      </c>
      <c r="AS32" s="601">
        <v>2</v>
      </c>
      <c r="AU32"/>
    </row>
    <row r="33" spans="2:45">
      <c r="B33" s="763"/>
      <c r="C33" s="639" t="s">
        <v>184</v>
      </c>
      <c r="D33" s="676">
        <v>0</v>
      </c>
      <c r="E33" s="676">
        <v>0</v>
      </c>
      <c r="F33" s="676">
        <v>1</v>
      </c>
      <c r="G33" s="676">
        <v>1</v>
      </c>
      <c r="H33" s="676">
        <v>1</v>
      </c>
      <c r="I33" s="676">
        <v>1</v>
      </c>
      <c r="J33" s="676">
        <v>1</v>
      </c>
      <c r="K33" s="676">
        <v>1</v>
      </c>
      <c r="L33" s="676">
        <v>1</v>
      </c>
      <c r="M33" s="676">
        <v>1</v>
      </c>
      <c r="N33" s="676">
        <v>1</v>
      </c>
      <c r="O33" s="676">
        <v>1</v>
      </c>
      <c r="Q33" s="763"/>
      <c r="R33" s="670" t="s">
        <v>184</v>
      </c>
      <c r="S33" s="640">
        <v>0</v>
      </c>
      <c r="T33" s="640">
        <v>0</v>
      </c>
      <c r="U33" s="640">
        <v>0</v>
      </c>
      <c r="V33" s="640">
        <v>0</v>
      </c>
      <c r="W33" s="640">
        <v>1</v>
      </c>
      <c r="X33" s="640">
        <v>1</v>
      </c>
      <c r="Y33" s="640">
        <v>1</v>
      </c>
      <c r="Z33" s="640">
        <v>0</v>
      </c>
      <c r="AA33" s="640">
        <v>0</v>
      </c>
      <c r="AB33" s="640">
        <v>0</v>
      </c>
      <c r="AC33" s="640">
        <v>0</v>
      </c>
      <c r="AD33" s="640">
        <v>0</v>
      </c>
      <c r="AF33" s="763"/>
      <c r="AG33" s="670" t="s">
        <v>184</v>
      </c>
      <c r="AH33" s="640">
        <v>0</v>
      </c>
      <c r="AI33" s="640">
        <v>0</v>
      </c>
      <c r="AJ33" s="640">
        <v>0</v>
      </c>
      <c r="AK33" s="640">
        <v>0</v>
      </c>
      <c r="AL33" s="640">
        <v>1</v>
      </c>
      <c r="AM33" s="640">
        <v>2</v>
      </c>
      <c r="AN33" s="640">
        <v>3</v>
      </c>
      <c r="AO33" s="640">
        <v>3</v>
      </c>
      <c r="AP33" s="640">
        <v>3</v>
      </c>
      <c r="AQ33" s="640">
        <v>3</v>
      </c>
      <c r="AR33" s="640">
        <v>3</v>
      </c>
      <c r="AS33" s="640">
        <v>3</v>
      </c>
    </row>
    <row r="34" spans="2:45">
      <c r="B34" s="763" t="s">
        <v>87</v>
      </c>
      <c r="C34" s="402" t="s">
        <v>182</v>
      </c>
      <c r="D34" s="564"/>
      <c r="E34" s="564"/>
      <c r="F34" s="564"/>
      <c r="G34" s="564"/>
      <c r="H34" s="564"/>
      <c r="I34" s="564"/>
      <c r="J34" s="564"/>
      <c r="K34" s="564"/>
      <c r="L34" s="564"/>
      <c r="M34" s="564"/>
      <c r="N34" s="564"/>
      <c r="O34" s="564"/>
      <c r="Q34" s="763" t="s">
        <v>87</v>
      </c>
      <c r="R34" s="402" t="s">
        <v>182</v>
      </c>
      <c r="S34" s="564">
        <v>0</v>
      </c>
      <c r="T34" s="564">
        <v>0</v>
      </c>
      <c r="U34" s="564">
        <v>0</v>
      </c>
      <c r="V34" s="564">
        <v>0</v>
      </c>
      <c r="W34" s="564">
        <v>0</v>
      </c>
      <c r="X34" s="601">
        <v>0</v>
      </c>
      <c r="Y34" s="564">
        <v>0</v>
      </c>
      <c r="Z34" s="564">
        <v>0</v>
      </c>
      <c r="AA34" s="564">
        <v>0</v>
      </c>
      <c r="AB34" s="564">
        <v>0</v>
      </c>
      <c r="AC34" s="564"/>
      <c r="AD34" s="564"/>
      <c r="AF34" s="763" t="s">
        <v>87</v>
      </c>
      <c r="AG34" s="402" t="s">
        <v>182</v>
      </c>
      <c r="AH34" s="564">
        <v>0</v>
      </c>
      <c r="AI34" s="564">
        <v>0</v>
      </c>
      <c r="AJ34" s="564">
        <v>0</v>
      </c>
      <c r="AK34" s="564">
        <v>0</v>
      </c>
      <c r="AL34" s="564">
        <v>0</v>
      </c>
      <c r="AM34" s="564">
        <v>0</v>
      </c>
      <c r="AN34" s="564">
        <v>0</v>
      </c>
      <c r="AO34" s="564">
        <v>0</v>
      </c>
      <c r="AP34" s="564">
        <v>0</v>
      </c>
      <c r="AQ34" s="564">
        <v>0</v>
      </c>
      <c r="AR34" s="564">
        <v>0</v>
      </c>
      <c r="AS34" s="564">
        <v>0</v>
      </c>
    </row>
    <row r="35" spans="2:45">
      <c r="B35" s="763"/>
      <c r="C35" s="402" t="s">
        <v>183</v>
      </c>
      <c r="D35" s="564"/>
      <c r="E35" s="564"/>
      <c r="F35" s="564"/>
      <c r="G35" s="564"/>
      <c r="H35" s="564"/>
      <c r="I35" s="564"/>
      <c r="J35" s="564"/>
      <c r="K35" s="564"/>
      <c r="L35" s="564"/>
      <c r="M35" s="564"/>
      <c r="N35" s="564"/>
      <c r="O35" s="564"/>
      <c r="Q35" s="763"/>
      <c r="R35" s="402" t="s">
        <v>183</v>
      </c>
      <c r="S35" s="564">
        <v>0</v>
      </c>
      <c r="T35" s="564">
        <v>0</v>
      </c>
      <c r="U35" s="564">
        <v>0</v>
      </c>
      <c r="V35" s="564">
        <v>0</v>
      </c>
      <c r="W35" s="564">
        <v>0</v>
      </c>
      <c r="X35" s="601">
        <v>0</v>
      </c>
      <c r="Y35" s="564">
        <v>0</v>
      </c>
      <c r="Z35" s="564">
        <v>0</v>
      </c>
      <c r="AA35" s="564">
        <v>0</v>
      </c>
      <c r="AB35" s="564">
        <v>0</v>
      </c>
      <c r="AC35" s="564"/>
      <c r="AD35" s="564"/>
      <c r="AF35" s="763"/>
      <c r="AG35" s="402" t="s">
        <v>183</v>
      </c>
      <c r="AH35" s="564">
        <v>0</v>
      </c>
      <c r="AI35" s="564">
        <v>0</v>
      </c>
      <c r="AJ35" s="601">
        <v>0</v>
      </c>
      <c r="AK35" s="601">
        <v>0</v>
      </c>
      <c r="AL35" s="601">
        <v>0</v>
      </c>
      <c r="AM35" s="601">
        <v>0</v>
      </c>
      <c r="AN35" s="601">
        <v>0</v>
      </c>
      <c r="AO35" s="601">
        <v>0</v>
      </c>
      <c r="AP35" s="601">
        <v>0</v>
      </c>
      <c r="AQ35" s="601">
        <v>0</v>
      </c>
      <c r="AR35" s="601">
        <v>0</v>
      </c>
      <c r="AS35" s="601">
        <v>0</v>
      </c>
    </row>
    <row r="36" spans="2:45">
      <c r="B36" s="763"/>
      <c r="C36" s="639" t="s">
        <v>184</v>
      </c>
      <c r="D36" s="676">
        <v>0</v>
      </c>
      <c r="E36" s="676">
        <v>0</v>
      </c>
      <c r="F36" s="676">
        <v>1</v>
      </c>
      <c r="G36" s="676">
        <v>1</v>
      </c>
      <c r="H36" s="676">
        <v>1</v>
      </c>
      <c r="I36" s="676">
        <v>1</v>
      </c>
      <c r="J36" s="676">
        <v>1</v>
      </c>
      <c r="K36" s="676">
        <v>1</v>
      </c>
      <c r="L36" s="676">
        <v>1</v>
      </c>
      <c r="M36" s="676">
        <v>1</v>
      </c>
      <c r="N36" s="676">
        <v>1</v>
      </c>
      <c r="O36" s="676">
        <v>1</v>
      </c>
      <c r="Q36" s="763"/>
      <c r="R36" s="670" t="s">
        <v>184</v>
      </c>
      <c r="S36" s="640">
        <v>0</v>
      </c>
      <c r="T36" s="640">
        <v>0</v>
      </c>
      <c r="U36" s="640">
        <v>0</v>
      </c>
      <c r="V36" s="640">
        <v>0</v>
      </c>
      <c r="W36" s="640">
        <v>0</v>
      </c>
      <c r="X36" s="640">
        <v>0</v>
      </c>
      <c r="Y36" s="640">
        <v>0</v>
      </c>
      <c r="Z36" s="640">
        <v>0</v>
      </c>
      <c r="AA36" s="640">
        <v>0</v>
      </c>
      <c r="AB36" s="640">
        <v>0</v>
      </c>
      <c r="AC36" s="640">
        <v>0</v>
      </c>
      <c r="AD36" s="640">
        <v>0</v>
      </c>
      <c r="AF36" s="763"/>
      <c r="AG36" s="670" t="s">
        <v>184</v>
      </c>
      <c r="AH36" s="640">
        <v>0</v>
      </c>
      <c r="AI36" s="640">
        <v>0</v>
      </c>
      <c r="AJ36" s="646">
        <v>0</v>
      </c>
      <c r="AK36" s="646">
        <v>0</v>
      </c>
      <c r="AL36" s="646">
        <v>0</v>
      </c>
      <c r="AM36" s="646">
        <v>0</v>
      </c>
      <c r="AN36" s="646">
        <v>0</v>
      </c>
      <c r="AO36" s="646">
        <v>0</v>
      </c>
      <c r="AP36" s="646">
        <v>0</v>
      </c>
      <c r="AQ36" s="646">
        <v>0</v>
      </c>
      <c r="AR36" s="646">
        <v>0</v>
      </c>
      <c r="AS36" s="646">
        <v>0</v>
      </c>
    </row>
    <row r="37" spans="2:45">
      <c r="B37" s="763" t="s">
        <v>88</v>
      </c>
      <c r="C37" s="402" t="s">
        <v>182</v>
      </c>
      <c r="D37" s="564"/>
      <c r="E37" s="564"/>
      <c r="F37" s="564"/>
      <c r="G37" s="564"/>
      <c r="H37" s="564"/>
      <c r="I37" s="564"/>
      <c r="J37" s="564"/>
      <c r="K37" s="564"/>
      <c r="L37" s="564"/>
      <c r="M37" s="564"/>
      <c r="N37" s="564"/>
      <c r="O37" s="564"/>
      <c r="Q37" s="763" t="s">
        <v>88</v>
      </c>
      <c r="R37" s="402" t="s">
        <v>182</v>
      </c>
      <c r="S37" s="600">
        <v>0</v>
      </c>
      <c r="T37" s="600">
        <v>0</v>
      </c>
      <c r="U37" s="600">
        <v>0</v>
      </c>
      <c r="V37" s="600">
        <v>0</v>
      </c>
      <c r="W37" s="600">
        <v>0</v>
      </c>
      <c r="X37" s="601">
        <v>0</v>
      </c>
      <c r="Y37" s="600">
        <v>0</v>
      </c>
      <c r="Z37" s="600">
        <v>0</v>
      </c>
      <c r="AA37" s="600">
        <v>0</v>
      </c>
      <c r="AB37" s="600">
        <v>0</v>
      </c>
      <c r="AC37" s="600"/>
      <c r="AD37" s="600"/>
      <c r="AF37" s="763" t="s">
        <v>88</v>
      </c>
      <c r="AG37" s="402" t="s">
        <v>182</v>
      </c>
      <c r="AH37" s="600">
        <v>0</v>
      </c>
      <c r="AI37" s="600">
        <v>0</v>
      </c>
      <c r="AJ37" s="601">
        <v>0</v>
      </c>
      <c r="AK37" s="601">
        <v>0</v>
      </c>
      <c r="AL37" s="601">
        <v>0</v>
      </c>
      <c r="AM37" s="601">
        <v>0</v>
      </c>
      <c r="AN37" s="601">
        <v>0</v>
      </c>
      <c r="AO37" s="601">
        <v>0</v>
      </c>
      <c r="AP37" s="601">
        <v>0</v>
      </c>
      <c r="AQ37" s="601">
        <v>0</v>
      </c>
      <c r="AR37" s="601">
        <v>0</v>
      </c>
      <c r="AS37" s="601">
        <v>0</v>
      </c>
    </row>
    <row r="38" spans="2:45">
      <c r="B38" s="763"/>
      <c r="C38" s="402" t="s">
        <v>183</v>
      </c>
      <c r="D38" s="564"/>
      <c r="E38" s="564"/>
      <c r="F38" s="564"/>
      <c r="G38" s="564"/>
      <c r="H38" s="564"/>
      <c r="I38" s="564"/>
      <c r="J38" s="564"/>
      <c r="K38" s="564"/>
      <c r="L38" s="564"/>
      <c r="M38" s="564"/>
      <c r="N38" s="564"/>
      <c r="O38" s="564"/>
      <c r="Q38" s="763"/>
      <c r="R38" s="402" t="s">
        <v>183</v>
      </c>
      <c r="S38" s="600">
        <v>0</v>
      </c>
      <c r="T38" s="600">
        <v>0</v>
      </c>
      <c r="U38" s="600">
        <v>0</v>
      </c>
      <c r="V38" s="600">
        <v>0</v>
      </c>
      <c r="W38" s="600">
        <v>0</v>
      </c>
      <c r="X38" s="601">
        <v>0</v>
      </c>
      <c r="Y38" s="600">
        <v>0</v>
      </c>
      <c r="Z38" s="600">
        <v>0</v>
      </c>
      <c r="AA38" s="600">
        <v>0</v>
      </c>
      <c r="AB38" s="600">
        <v>0</v>
      </c>
      <c r="AC38" s="600"/>
      <c r="AD38" s="600"/>
      <c r="AF38" s="763"/>
      <c r="AG38" s="402" t="s">
        <v>183</v>
      </c>
      <c r="AH38" s="600">
        <v>0</v>
      </c>
      <c r="AI38" s="600">
        <v>0</v>
      </c>
      <c r="AJ38" s="601">
        <v>0</v>
      </c>
      <c r="AK38" s="601">
        <v>0</v>
      </c>
      <c r="AL38" s="601">
        <v>0</v>
      </c>
      <c r="AM38" s="601">
        <v>0</v>
      </c>
      <c r="AN38" s="601">
        <v>0</v>
      </c>
      <c r="AO38" s="601">
        <v>0</v>
      </c>
      <c r="AP38" s="601">
        <v>0</v>
      </c>
      <c r="AQ38" s="601">
        <v>0</v>
      </c>
      <c r="AR38" s="601">
        <v>0</v>
      </c>
      <c r="AS38" s="601">
        <v>0</v>
      </c>
    </row>
    <row r="39" spans="2:45">
      <c r="B39" s="763"/>
      <c r="C39" s="639" t="s">
        <v>184</v>
      </c>
      <c r="D39" s="676">
        <v>0</v>
      </c>
      <c r="E39" s="676">
        <v>0</v>
      </c>
      <c r="F39" s="676">
        <v>1</v>
      </c>
      <c r="G39" s="676">
        <v>1</v>
      </c>
      <c r="H39" s="676">
        <v>1</v>
      </c>
      <c r="I39" s="676">
        <v>1</v>
      </c>
      <c r="J39" s="676">
        <v>1</v>
      </c>
      <c r="K39" s="676">
        <v>1</v>
      </c>
      <c r="L39" s="676">
        <v>1</v>
      </c>
      <c r="M39" s="676">
        <v>1</v>
      </c>
      <c r="N39" s="676">
        <v>1</v>
      </c>
      <c r="O39" s="676">
        <v>1</v>
      </c>
      <c r="Q39" s="763"/>
      <c r="R39" s="670" t="s">
        <v>184</v>
      </c>
      <c r="S39" s="640">
        <v>0</v>
      </c>
      <c r="T39" s="640">
        <v>0</v>
      </c>
      <c r="U39" s="640">
        <v>0</v>
      </c>
      <c r="V39" s="640">
        <v>0</v>
      </c>
      <c r="W39" s="640">
        <v>0</v>
      </c>
      <c r="X39" s="640">
        <v>0</v>
      </c>
      <c r="Y39" s="640">
        <v>0</v>
      </c>
      <c r="Z39" s="640">
        <v>0</v>
      </c>
      <c r="AA39" s="640">
        <v>0</v>
      </c>
      <c r="AB39" s="640">
        <v>0</v>
      </c>
      <c r="AC39" s="640">
        <v>0</v>
      </c>
      <c r="AD39" s="640">
        <v>0</v>
      </c>
      <c r="AF39" s="763"/>
      <c r="AG39" s="670" t="s">
        <v>184</v>
      </c>
      <c r="AH39" s="640">
        <v>0</v>
      </c>
      <c r="AI39" s="640">
        <v>0</v>
      </c>
      <c r="AJ39" s="646">
        <v>0</v>
      </c>
      <c r="AK39" s="646">
        <v>0</v>
      </c>
      <c r="AL39" s="646">
        <v>0</v>
      </c>
      <c r="AM39" s="646">
        <v>0</v>
      </c>
      <c r="AN39" s="646">
        <v>0</v>
      </c>
      <c r="AO39" s="646">
        <v>0</v>
      </c>
      <c r="AP39" s="646">
        <v>0</v>
      </c>
      <c r="AQ39" s="646">
        <v>0</v>
      </c>
      <c r="AR39" s="646">
        <v>0</v>
      </c>
      <c r="AS39" s="646">
        <v>0</v>
      </c>
    </row>
    <row r="40" spans="2:45">
      <c r="B40" s="763" t="s">
        <v>121</v>
      </c>
      <c r="C40" s="402" t="s">
        <v>182</v>
      </c>
      <c r="D40" s="564"/>
      <c r="E40" s="564"/>
      <c r="F40" s="564"/>
      <c r="G40" s="564"/>
      <c r="H40" s="564"/>
      <c r="I40" s="564"/>
      <c r="J40" s="564"/>
      <c r="K40" s="564"/>
      <c r="L40" s="564"/>
      <c r="M40" s="564"/>
      <c r="N40" s="564"/>
      <c r="O40" s="564"/>
      <c r="Q40" s="763" t="s">
        <v>121</v>
      </c>
      <c r="R40" s="402" t="s">
        <v>182</v>
      </c>
      <c r="S40" s="564">
        <v>0</v>
      </c>
      <c r="T40" s="564">
        <v>0</v>
      </c>
      <c r="U40" s="564">
        <v>0</v>
      </c>
      <c r="V40" s="564">
        <v>0</v>
      </c>
      <c r="W40" s="564">
        <v>0</v>
      </c>
      <c r="X40" s="601">
        <v>0</v>
      </c>
      <c r="Y40" s="564">
        <v>0</v>
      </c>
      <c r="Z40" s="564">
        <v>0</v>
      </c>
      <c r="AA40" s="564">
        <v>0</v>
      </c>
      <c r="AB40" s="564">
        <v>0</v>
      </c>
      <c r="AC40" s="564"/>
      <c r="AD40" s="564"/>
      <c r="AF40" s="763" t="s">
        <v>121</v>
      </c>
      <c r="AG40" s="402" t="s">
        <v>182</v>
      </c>
      <c r="AH40" s="564">
        <v>0</v>
      </c>
      <c r="AI40" s="564">
        <v>0</v>
      </c>
      <c r="AJ40" s="601">
        <v>0</v>
      </c>
      <c r="AK40" s="601">
        <v>0</v>
      </c>
      <c r="AL40" s="601">
        <v>0</v>
      </c>
      <c r="AM40" s="601">
        <v>0</v>
      </c>
      <c r="AN40" s="601">
        <v>0</v>
      </c>
      <c r="AO40" s="601">
        <v>0</v>
      </c>
      <c r="AP40" s="601">
        <v>0</v>
      </c>
      <c r="AQ40" s="601">
        <v>0</v>
      </c>
      <c r="AR40" s="601">
        <v>0</v>
      </c>
      <c r="AS40" s="601">
        <v>0</v>
      </c>
    </row>
    <row r="41" spans="2:45">
      <c r="B41" s="763"/>
      <c r="C41" s="402" t="s">
        <v>183</v>
      </c>
      <c r="D41" s="564"/>
      <c r="E41" s="564"/>
      <c r="F41" s="564"/>
      <c r="G41" s="564"/>
      <c r="H41" s="564"/>
      <c r="I41" s="564"/>
      <c r="J41" s="564"/>
      <c r="K41" s="564"/>
      <c r="L41" s="564"/>
      <c r="M41" s="564"/>
      <c r="N41" s="564"/>
      <c r="O41" s="564"/>
      <c r="Q41" s="763"/>
      <c r="R41" s="402" t="s">
        <v>183</v>
      </c>
      <c r="S41" s="564">
        <v>0</v>
      </c>
      <c r="T41" s="564">
        <v>0</v>
      </c>
      <c r="U41" s="564">
        <v>0</v>
      </c>
      <c r="V41" s="564">
        <v>0</v>
      </c>
      <c r="W41" s="564">
        <v>0</v>
      </c>
      <c r="X41" s="601">
        <v>0</v>
      </c>
      <c r="Y41" s="564">
        <v>0</v>
      </c>
      <c r="Z41" s="564">
        <v>0</v>
      </c>
      <c r="AA41" s="564">
        <v>0</v>
      </c>
      <c r="AB41" s="564">
        <v>0</v>
      </c>
      <c r="AC41" s="564"/>
      <c r="AD41" s="564"/>
      <c r="AF41" s="763"/>
      <c r="AG41" s="402" t="s">
        <v>183</v>
      </c>
      <c r="AH41" s="564">
        <v>0</v>
      </c>
      <c r="AI41" s="564">
        <v>0</v>
      </c>
      <c r="AJ41" s="601">
        <v>0</v>
      </c>
      <c r="AK41" s="601">
        <v>0</v>
      </c>
      <c r="AL41" s="601">
        <v>0</v>
      </c>
      <c r="AM41" s="601">
        <v>0</v>
      </c>
      <c r="AN41" s="601">
        <v>0</v>
      </c>
      <c r="AO41" s="601">
        <v>0</v>
      </c>
      <c r="AP41" s="601">
        <v>0</v>
      </c>
      <c r="AQ41" s="601">
        <v>0</v>
      </c>
      <c r="AR41" s="601">
        <v>0</v>
      </c>
      <c r="AS41" s="601">
        <v>0</v>
      </c>
    </row>
    <row r="42" spans="2:45">
      <c r="B42" s="763"/>
      <c r="C42" s="639" t="s">
        <v>184</v>
      </c>
      <c r="D42" s="676">
        <v>0</v>
      </c>
      <c r="E42" s="676">
        <v>0</v>
      </c>
      <c r="F42" s="676">
        <v>0</v>
      </c>
      <c r="G42" s="676">
        <v>0</v>
      </c>
      <c r="H42" s="676">
        <v>0</v>
      </c>
      <c r="I42" s="676">
        <v>1</v>
      </c>
      <c r="J42" s="676">
        <v>1</v>
      </c>
      <c r="K42" s="676">
        <v>1</v>
      </c>
      <c r="L42" s="676">
        <v>1</v>
      </c>
      <c r="M42" s="676">
        <v>1</v>
      </c>
      <c r="N42" s="676">
        <v>1</v>
      </c>
      <c r="O42" s="676">
        <v>1</v>
      </c>
      <c r="Q42" s="763"/>
      <c r="R42" s="670" t="s">
        <v>184</v>
      </c>
      <c r="S42" s="640">
        <v>0</v>
      </c>
      <c r="T42" s="640">
        <v>0</v>
      </c>
      <c r="U42" s="640">
        <v>0</v>
      </c>
      <c r="V42" s="640">
        <v>0</v>
      </c>
      <c r="W42" s="640">
        <v>0</v>
      </c>
      <c r="X42" s="640">
        <v>0</v>
      </c>
      <c r="Y42" s="640">
        <v>0</v>
      </c>
      <c r="Z42" s="640">
        <v>0</v>
      </c>
      <c r="AA42" s="640">
        <v>0</v>
      </c>
      <c r="AB42" s="640">
        <v>0</v>
      </c>
      <c r="AC42" s="640">
        <v>0</v>
      </c>
      <c r="AD42" s="640">
        <v>0</v>
      </c>
      <c r="AF42" s="763"/>
      <c r="AG42" s="670" t="s">
        <v>184</v>
      </c>
      <c r="AH42" s="640">
        <v>0</v>
      </c>
      <c r="AI42" s="640">
        <v>0</v>
      </c>
      <c r="AJ42" s="646">
        <v>0</v>
      </c>
      <c r="AK42" s="646">
        <v>0</v>
      </c>
      <c r="AL42" s="646">
        <v>0</v>
      </c>
      <c r="AM42" s="646">
        <v>0</v>
      </c>
      <c r="AN42" s="646">
        <v>0</v>
      </c>
      <c r="AO42" s="646">
        <v>0</v>
      </c>
      <c r="AP42" s="646">
        <v>0</v>
      </c>
      <c r="AQ42" s="646">
        <v>0</v>
      </c>
      <c r="AR42" s="646">
        <v>0</v>
      </c>
      <c r="AS42" s="646">
        <v>0</v>
      </c>
    </row>
    <row r="43" spans="2:45">
      <c r="B43" s="763" t="s">
        <v>89</v>
      </c>
      <c r="C43" s="402" t="s">
        <v>182</v>
      </c>
      <c r="D43" s="564"/>
      <c r="E43" s="564"/>
      <c r="F43" s="564"/>
      <c r="G43" s="564"/>
      <c r="H43" s="564"/>
      <c r="I43" s="564"/>
      <c r="J43" s="564"/>
      <c r="K43" s="564"/>
      <c r="L43" s="564"/>
      <c r="M43" s="564"/>
      <c r="N43" s="564"/>
      <c r="O43" s="564"/>
      <c r="Q43" s="763" t="s">
        <v>89</v>
      </c>
      <c r="R43" s="402" t="s">
        <v>182</v>
      </c>
      <c r="S43" s="564">
        <v>0</v>
      </c>
      <c r="T43" s="564">
        <v>0</v>
      </c>
      <c r="U43" s="564">
        <v>0</v>
      </c>
      <c r="V43" s="564">
        <v>0</v>
      </c>
      <c r="W43" s="564">
        <v>0</v>
      </c>
      <c r="X43" s="601">
        <v>0</v>
      </c>
      <c r="Y43" s="564">
        <v>0</v>
      </c>
      <c r="Z43" s="564">
        <v>0</v>
      </c>
      <c r="AA43" s="564">
        <v>0</v>
      </c>
      <c r="AB43" s="564">
        <v>0</v>
      </c>
      <c r="AC43" s="564"/>
      <c r="AD43" s="564"/>
      <c r="AF43" s="763" t="s">
        <v>89</v>
      </c>
      <c r="AG43" s="402" t="s">
        <v>182</v>
      </c>
      <c r="AH43" s="564">
        <v>0</v>
      </c>
      <c r="AI43" s="564">
        <v>0</v>
      </c>
      <c r="AJ43" s="601">
        <v>0</v>
      </c>
      <c r="AK43" s="601">
        <v>0</v>
      </c>
      <c r="AL43" s="601">
        <v>0</v>
      </c>
      <c r="AM43" s="601">
        <v>0</v>
      </c>
      <c r="AN43" s="601">
        <v>0</v>
      </c>
      <c r="AO43" s="601">
        <v>0</v>
      </c>
      <c r="AP43" s="601">
        <v>0</v>
      </c>
      <c r="AQ43" s="601">
        <v>0</v>
      </c>
      <c r="AR43" s="601">
        <v>0</v>
      </c>
      <c r="AS43" s="601">
        <v>0</v>
      </c>
    </row>
    <row r="44" spans="2:45">
      <c r="B44" s="763"/>
      <c r="C44" s="402" t="s">
        <v>183</v>
      </c>
      <c r="D44" s="564"/>
      <c r="E44" s="564"/>
      <c r="F44" s="564"/>
      <c r="G44" s="564"/>
      <c r="H44" s="564"/>
      <c r="I44" s="564"/>
      <c r="J44" s="564"/>
      <c r="K44" s="564"/>
      <c r="L44" s="564"/>
      <c r="M44" s="564"/>
      <c r="N44" s="564"/>
      <c r="O44" s="564"/>
      <c r="Q44" s="763"/>
      <c r="R44" s="402" t="s">
        <v>183</v>
      </c>
      <c r="S44" s="564">
        <v>0</v>
      </c>
      <c r="T44" s="564">
        <v>0</v>
      </c>
      <c r="U44" s="564">
        <v>0</v>
      </c>
      <c r="V44" s="564">
        <v>0</v>
      </c>
      <c r="W44" s="564">
        <v>0</v>
      </c>
      <c r="X44" s="601">
        <v>0</v>
      </c>
      <c r="Y44" s="564">
        <v>0</v>
      </c>
      <c r="Z44" s="564">
        <v>0</v>
      </c>
      <c r="AA44" s="564">
        <v>0</v>
      </c>
      <c r="AB44" s="564">
        <v>0</v>
      </c>
      <c r="AC44" s="564"/>
      <c r="AD44" s="564"/>
      <c r="AF44" s="763"/>
      <c r="AG44" s="402" t="s">
        <v>183</v>
      </c>
      <c r="AH44" s="564">
        <v>0</v>
      </c>
      <c r="AI44" s="564">
        <v>0</v>
      </c>
      <c r="AJ44" s="601">
        <v>0</v>
      </c>
      <c r="AK44" s="601">
        <v>0</v>
      </c>
      <c r="AL44" s="601">
        <v>0</v>
      </c>
      <c r="AM44" s="601">
        <v>0</v>
      </c>
      <c r="AN44" s="601">
        <v>0</v>
      </c>
      <c r="AO44" s="601">
        <v>0</v>
      </c>
      <c r="AP44" s="601">
        <v>0</v>
      </c>
      <c r="AQ44" s="601">
        <v>0</v>
      </c>
      <c r="AR44" s="601">
        <v>0</v>
      </c>
      <c r="AS44" s="601">
        <v>0</v>
      </c>
    </row>
    <row r="45" spans="2:45">
      <c r="B45" s="763"/>
      <c r="C45" s="639" t="s">
        <v>184</v>
      </c>
      <c r="D45" s="676">
        <v>0</v>
      </c>
      <c r="E45" s="676">
        <v>0</v>
      </c>
      <c r="F45" s="676">
        <v>1</v>
      </c>
      <c r="G45" s="676">
        <v>1</v>
      </c>
      <c r="H45" s="676">
        <v>1</v>
      </c>
      <c r="I45" s="676">
        <v>1</v>
      </c>
      <c r="J45" s="676">
        <v>1</v>
      </c>
      <c r="K45" s="676">
        <v>1</v>
      </c>
      <c r="L45" s="676">
        <v>1</v>
      </c>
      <c r="M45" s="676">
        <v>1</v>
      </c>
      <c r="N45" s="676">
        <v>1</v>
      </c>
      <c r="O45" s="676">
        <v>1</v>
      </c>
      <c r="Q45" s="763"/>
      <c r="R45" s="670" t="s">
        <v>184</v>
      </c>
      <c r="S45" s="640">
        <v>0</v>
      </c>
      <c r="T45" s="640">
        <v>0</v>
      </c>
      <c r="U45" s="640">
        <v>0</v>
      </c>
      <c r="V45" s="640">
        <v>0</v>
      </c>
      <c r="W45" s="640">
        <v>0</v>
      </c>
      <c r="X45" s="640">
        <v>0</v>
      </c>
      <c r="Y45" s="640">
        <v>0</v>
      </c>
      <c r="Z45" s="640">
        <v>0</v>
      </c>
      <c r="AA45" s="640">
        <v>0</v>
      </c>
      <c r="AB45" s="640">
        <v>0</v>
      </c>
      <c r="AC45" s="640">
        <v>0</v>
      </c>
      <c r="AD45" s="640">
        <v>0</v>
      </c>
      <c r="AF45" s="763"/>
      <c r="AG45" s="670" t="s">
        <v>184</v>
      </c>
      <c r="AH45" s="640">
        <v>0</v>
      </c>
      <c r="AI45" s="640">
        <v>0</v>
      </c>
      <c r="AJ45" s="646">
        <v>0</v>
      </c>
      <c r="AK45" s="646">
        <v>0</v>
      </c>
      <c r="AL45" s="646">
        <v>0</v>
      </c>
      <c r="AM45" s="646">
        <v>0</v>
      </c>
      <c r="AN45" s="646">
        <v>0</v>
      </c>
      <c r="AO45" s="646">
        <v>0</v>
      </c>
      <c r="AP45" s="646">
        <v>0</v>
      </c>
      <c r="AQ45" s="646">
        <v>0</v>
      </c>
      <c r="AR45" s="646">
        <v>0</v>
      </c>
      <c r="AS45" s="646">
        <v>0</v>
      </c>
    </row>
    <row r="46" spans="2:45">
      <c r="B46" s="763" t="s">
        <v>90</v>
      </c>
      <c r="C46" s="402" t="s">
        <v>182</v>
      </c>
      <c r="D46" s="564"/>
      <c r="E46" s="564"/>
      <c r="F46" s="564"/>
      <c r="G46" s="564"/>
      <c r="H46" s="564"/>
      <c r="I46" s="564"/>
      <c r="J46" s="564"/>
      <c r="K46" s="564"/>
      <c r="L46" s="564"/>
      <c r="M46" s="564"/>
      <c r="N46" s="564"/>
      <c r="O46" s="564"/>
      <c r="Q46" s="763" t="s">
        <v>89</v>
      </c>
      <c r="R46" s="402" t="s">
        <v>182</v>
      </c>
      <c r="S46" s="564">
        <v>0</v>
      </c>
      <c r="T46" s="564">
        <v>0</v>
      </c>
      <c r="U46" s="564">
        <v>0</v>
      </c>
      <c r="V46" s="564">
        <v>0</v>
      </c>
      <c r="W46" s="564">
        <v>0</v>
      </c>
      <c r="X46" s="564">
        <v>0</v>
      </c>
      <c r="Y46" s="564">
        <v>1</v>
      </c>
      <c r="Z46" s="564">
        <v>0</v>
      </c>
      <c r="AA46" s="564">
        <v>0</v>
      </c>
      <c r="AB46" s="564">
        <v>0</v>
      </c>
      <c r="AC46" s="564"/>
      <c r="AD46" s="564"/>
      <c r="AF46" s="763" t="s">
        <v>89</v>
      </c>
      <c r="AG46" s="402" t="s">
        <v>182</v>
      </c>
      <c r="AH46" s="564">
        <v>0</v>
      </c>
      <c r="AI46" s="564">
        <v>0</v>
      </c>
      <c r="AJ46" s="601">
        <v>0</v>
      </c>
      <c r="AK46" s="601">
        <v>0</v>
      </c>
      <c r="AL46" s="601">
        <v>0</v>
      </c>
      <c r="AM46" s="601">
        <v>0</v>
      </c>
      <c r="AN46" s="601">
        <v>1</v>
      </c>
      <c r="AO46" s="601">
        <v>1</v>
      </c>
      <c r="AP46" s="601">
        <v>1</v>
      </c>
      <c r="AQ46" s="601">
        <v>1</v>
      </c>
      <c r="AR46" s="601">
        <v>1</v>
      </c>
      <c r="AS46" s="601">
        <v>1</v>
      </c>
    </row>
    <row r="47" spans="2:45">
      <c r="B47" s="763"/>
      <c r="C47" s="402" t="s">
        <v>183</v>
      </c>
      <c r="D47" s="564"/>
      <c r="E47" s="564"/>
      <c r="F47" s="564"/>
      <c r="G47" s="564"/>
      <c r="H47" s="564"/>
      <c r="I47" s="564"/>
      <c r="J47" s="564"/>
      <c r="K47" s="564"/>
      <c r="L47" s="564"/>
      <c r="M47" s="564"/>
      <c r="N47" s="564"/>
      <c r="O47" s="564"/>
      <c r="Q47" s="763"/>
      <c r="R47" s="402" t="s">
        <v>183</v>
      </c>
      <c r="S47" s="564">
        <v>0</v>
      </c>
      <c r="T47" s="564">
        <v>0</v>
      </c>
      <c r="U47" s="564">
        <v>0</v>
      </c>
      <c r="V47" s="564">
        <v>0</v>
      </c>
      <c r="W47" s="564">
        <v>1</v>
      </c>
      <c r="X47" s="564">
        <v>1</v>
      </c>
      <c r="Y47" s="564">
        <v>0</v>
      </c>
      <c r="Z47" s="564">
        <v>0</v>
      </c>
      <c r="AA47" s="564">
        <v>0</v>
      </c>
      <c r="AB47" s="564">
        <v>0</v>
      </c>
      <c r="AC47" s="564"/>
      <c r="AD47" s="564"/>
      <c r="AF47" s="763"/>
      <c r="AG47" s="402" t="s">
        <v>183</v>
      </c>
      <c r="AH47" s="564">
        <v>0</v>
      </c>
      <c r="AI47" s="564">
        <v>0</v>
      </c>
      <c r="AJ47" s="601">
        <v>0</v>
      </c>
      <c r="AK47" s="601">
        <v>0</v>
      </c>
      <c r="AL47" s="601">
        <v>1</v>
      </c>
      <c r="AM47" s="601">
        <v>2</v>
      </c>
      <c r="AN47" s="601">
        <v>2</v>
      </c>
      <c r="AO47" s="601">
        <v>2</v>
      </c>
      <c r="AP47" s="601">
        <v>2</v>
      </c>
      <c r="AQ47" s="601">
        <v>2</v>
      </c>
      <c r="AR47" s="601">
        <v>2</v>
      </c>
      <c r="AS47" s="601">
        <v>2</v>
      </c>
    </row>
    <row r="48" spans="2:45">
      <c r="B48" s="763"/>
      <c r="C48" s="639" t="s">
        <v>184</v>
      </c>
      <c r="D48" s="676">
        <v>0</v>
      </c>
      <c r="E48" s="676">
        <v>0</v>
      </c>
      <c r="F48" s="676">
        <v>5</v>
      </c>
      <c r="G48" s="676">
        <v>5</v>
      </c>
      <c r="H48" s="676">
        <v>5</v>
      </c>
      <c r="I48" s="676">
        <v>5</v>
      </c>
      <c r="J48" s="676">
        <v>5</v>
      </c>
      <c r="K48" s="676">
        <v>5</v>
      </c>
      <c r="L48" s="676">
        <v>5</v>
      </c>
      <c r="M48" s="676">
        <v>5</v>
      </c>
      <c r="N48" s="676">
        <v>5</v>
      </c>
      <c r="O48" s="676">
        <v>5</v>
      </c>
      <c r="Q48" s="763"/>
      <c r="R48" s="670" t="s">
        <v>184</v>
      </c>
      <c r="S48" s="640">
        <v>0</v>
      </c>
      <c r="T48" s="640">
        <v>0</v>
      </c>
      <c r="U48" s="640">
        <v>0</v>
      </c>
      <c r="V48" s="640">
        <v>0</v>
      </c>
      <c r="W48" s="640">
        <v>1</v>
      </c>
      <c r="X48" s="640">
        <v>1</v>
      </c>
      <c r="Y48" s="640">
        <v>1</v>
      </c>
      <c r="Z48" s="640">
        <v>0</v>
      </c>
      <c r="AA48" s="640">
        <v>0</v>
      </c>
      <c r="AB48" s="640">
        <v>0</v>
      </c>
      <c r="AC48" s="640">
        <v>0</v>
      </c>
      <c r="AD48" s="640">
        <v>0</v>
      </c>
      <c r="AF48" s="763"/>
      <c r="AG48" s="670" t="s">
        <v>184</v>
      </c>
      <c r="AH48" s="640">
        <v>0</v>
      </c>
      <c r="AI48" s="640">
        <v>0</v>
      </c>
      <c r="AJ48" s="646">
        <v>0</v>
      </c>
      <c r="AK48" s="646">
        <v>0</v>
      </c>
      <c r="AL48" s="646">
        <v>1</v>
      </c>
      <c r="AM48" s="646">
        <v>2</v>
      </c>
      <c r="AN48" s="646">
        <v>3</v>
      </c>
      <c r="AO48" s="646">
        <v>3</v>
      </c>
      <c r="AP48" s="646">
        <v>3</v>
      </c>
      <c r="AQ48" s="646">
        <v>3</v>
      </c>
      <c r="AR48" s="646">
        <v>3</v>
      </c>
      <c r="AS48" s="646">
        <v>3</v>
      </c>
    </row>
    <row r="49" spans="1:45">
      <c r="A49"/>
      <c r="D49" s="105"/>
      <c r="E49" s="105"/>
      <c r="F49" s="105"/>
      <c r="G49" s="105"/>
      <c r="H49" s="105"/>
      <c r="I49" s="105"/>
      <c r="J49" s="105"/>
      <c r="K49" s="651"/>
      <c r="L49" s="105"/>
      <c r="M49" s="105"/>
      <c r="N49" s="105"/>
      <c r="O49" s="105"/>
      <c r="S49" s="577"/>
      <c r="T49" s="577"/>
      <c r="U49" s="577"/>
      <c r="V49" s="577"/>
      <c r="W49" s="577"/>
      <c r="X49" s="577"/>
      <c r="Y49" s="577"/>
      <c r="Z49" s="577"/>
      <c r="AA49" s="577"/>
      <c r="AB49" s="577"/>
      <c r="AC49" s="577"/>
      <c r="AD49" s="577"/>
      <c r="AH49" s="105"/>
      <c r="AI49" s="105"/>
      <c r="AJ49" s="105"/>
      <c r="AK49" s="105"/>
      <c r="AL49" s="105"/>
      <c r="AM49" s="105"/>
      <c r="AN49" s="105"/>
      <c r="AO49" s="105"/>
      <c r="AP49" s="105"/>
      <c r="AQ49" s="105"/>
      <c r="AR49" s="577"/>
      <c r="AS49" s="105"/>
    </row>
    <row r="50" spans="1:45">
      <c r="A50" s="105">
        <v>4</v>
      </c>
      <c r="B50" s="21" t="s">
        <v>185</v>
      </c>
      <c r="D50" s="105"/>
      <c r="E50" s="105"/>
      <c r="F50" s="105"/>
      <c r="G50" s="105"/>
      <c r="H50" s="105"/>
      <c r="I50" s="105"/>
      <c r="J50" s="105"/>
      <c r="K50" s="105"/>
      <c r="L50" s="105"/>
      <c r="M50" s="105"/>
      <c r="N50" s="105"/>
      <c r="O50" s="105"/>
      <c r="Q50" t="s">
        <v>185</v>
      </c>
      <c r="S50" s="577"/>
      <c r="T50" s="577"/>
      <c r="U50" s="577"/>
      <c r="V50" s="577"/>
      <c r="W50" s="577"/>
      <c r="X50" s="577"/>
      <c r="Y50" s="577"/>
      <c r="Z50" s="577"/>
      <c r="AA50" s="577"/>
      <c r="AB50" s="577"/>
      <c r="AC50" s="577"/>
      <c r="AD50" s="577"/>
      <c r="AF50" t="s">
        <v>185</v>
      </c>
      <c r="AH50" s="105"/>
      <c r="AI50" s="105"/>
      <c r="AJ50" s="105"/>
      <c r="AK50" s="105"/>
      <c r="AL50" s="105"/>
      <c r="AM50" s="105"/>
      <c r="AN50" s="105"/>
      <c r="AO50" s="105"/>
      <c r="AP50" s="105"/>
      <c r="AQ50" s="105"/>
      <c r="AR50" s="577"/>
      <c r="AS50" s="105"/>
    </row>
    <row r="51" spans="1:45">
      <c r="A51"/>
      <c r="B51" s="21" t="s">
        <v>100</v>
      </c>
      <c r="D51" s="105"/>
      <c r="E51" s="105"/>
      <c r="F51" s="105"/>
      <c r="G51" s="105"/>
      <c r="H51" s="105"/>
      <c r="I51" s="105"/>
      <c r="J51" s="105"/>
      <c r="K51" s="105"/>
      <c r="L51" s="105"/>
      <c r="M51" s="105"/>
      <c r="N51" s="105"/>
      <c r="O51" s="105"/>
      <c r="Q51" t="s">
        <v>126</v>
      </c>
      <c r="S51" s="105"/>
      <c r="T51" s="105"/>
      <c r="U51" s="105"/>
      <c r="V51" s="105"/>
      <c r="W51" s="105"/>
      <c r="X51" s="105"/>
      <c r="Y51" s="105"/>
      <c r="Z51" s="105"/>
      <c r="AA51" s="105"/>
      <c r="AB51" s="105"/>
      <c r="AC51" s="105"/>
      <c r="AD51" s="105"/>
      <c r="AF51" t="s">
        <v>127</v>
      </c>
      <c r="AH51" s="105"/>
      <c r="AI51" s="105"/>
      <c r="AJ51" s="105"/>
      <c r="AK51" s="105"/>
      <c r="AL51" s="105"/>
      <c r="AM51" s="105"/>
      <c r="AN51" s="105"/>
      <c r="AO51" s="105"/>
      <c r="AP51" s="105"/>
      <c r="AQ51" s="105"/>
      <c r="AR51" s="105"/>
      <c r="AS51" s="105"/>
    </row>
    <row r="52" spans="1:45">
      <c r="A52"/>
      <c r="B52" s="752" t="s">
        <v>72</v>
      </c>
      <c r="C52" s="752"/>
      <c r="D52" s="552" t="s">
        <v>74</v>
      </c>
      <c r="E52" s="552" t="s">
        <v>75</v>
      </c>
      <c r="F52" s="552" t="s">
        <v>76</v>
      </c>
      <c r="G52" s="552" t="s">
        <v>77</v>
      </c>
      <c r="H52" s="552" t="s">
        <v>78</v>
      </c>
      <c r="I52" s="552" t="s">
        <v>79</v>
      </c>
      <c r="J52" s="552" t="s">
        <v>80</v>
      </c>
      <c r="K52" s="552" t="s">
        <v>81</v>
      </c>
      <c r="L52" s="552" t="s">
        <v>82</v>
      </c>
      <c r="M52" s="552" t="s">
        <v>83</v>
      </c>
      <c r="N52" s="552" t="s">
        <v>84</v>
      </c>
      <c r="O52" s="552" t="s">
        <v>85</v>
      </c>
      <c r="Q52" s="752" t="s">
        <v>72</v>
      </c>
      <c r="R52" s="752"/>
      <c r="S52" s="552" t="s">
        <v>74</v>
      </c>
      <c r="T52" s="552" t="s">
        <v>75</v>
      </c>
      <c r="U52" s="552" t="s">
        <v>76</v>
      </c>
      <c r="V52" s="552" t="s">
        <v>77</v>
      </c>
      <c r="W52" s="552" t="s">
        <v>78</v>
      </c>
      <c r="X52" s="552" t="s">
        <v>79</v>
      </c>
      <c r="Y52" s="552" t="s">
        <v>80</v>
      </c>
      <c r="Z52" s="552" t="s">
        <v>81</v>
      </c>
      <c r="AA52" s="552" t="s">
        <v>82</v>
      </c>
      <c r="AB52" s="552" t="s">
        <v>83</v>
      </c>
      <c r="AC52" s="552" t="s">
        <v>84</v>
      </c>
      <c r="AD52" s="552" t="s">
        <v>85</v>
      </c>
      <c r="AF52" s="752" t="s">
        <v>72</v>
      </c>
      <c r="AG52" s="752"/>
      <c r="AH52" s="552" t="s">
        <v>74</v>
      </c>
      <c r="AI52" s="552" t="s">
        <v>75</v>
      </c>
      <c r="AJ52" s="552" t="s">
        <v>76</v>
      </c>
      <c r="AK52" s="552" t="s">
        <v>77</v>
      </c>
      <c r="AL52" s="552" t="s">
        <v>78</v>
      </c>
      <c r="AM52" s="552" t="s">
        <v>79</v>
      </c>
      <c r="AN52" s="552" t="s">
        <v>80</v>
      </c>
      <c r="AO52" s="552" t="s">
        <v>81</v>
      </c>
      <c r="AP52" s="552" t="s">
        <v>82</v>
      </c>
      <c r="AQ52" s="552" t="s">
        <v>83</v>
      </c>
      <c r="AR52" s="552" t="s">
        <v>84</v>
      </c>
      <c r="AS52" s="552" t="s">
        <v>85</v>
      </c>
    </row>
    <row r="53" spans="1:45">
      <c r="A53"/>
      <c r="B53" s="763" t="s">
        <v>128</v>
      </c>
      <c r="C53" s="402" t="s">
        <v>186</v>
      </c>
      <c r="D53" s="564"/>
      <c r="E53" s="564"/>
      <c r="F53" s="564"/>
      <c r="G53" s="564"/>
      <c r="H53" s="564"/>
      <c r="I53" s="564"/>
      <c r="J53" s="564"/>
      <c r="K53" s="564"/>
      <c r="L53" s="564"/>
      <c r="M53" s="564"/>
      <c r="N53" s="564"/>
      <c r="O53" s="564"/>
      <c r="Q53" s="763" t="s">
        <v>128</v>
      </c>
      <c r="R53" s="402" t="s">
        <v>186</v>
      </c>
      <c r="S53" s="601">
        <v>341</v>
      </c>
      <c r="T53" s="564">
        <v>292</v>
      </c>
      <c r="U53" s="564">
        <v>397</v>
      </c>
      <c r="V53" s="564">
        <v>339</v>
      </c>
      <c r="W53" s="564">
        <v>317</v>
      </c>
      <c r="X53" s="564">
        <v>299</v>
      </c>
      <c r="Y53" s="564">
        <v>390</v>
      </c>
      <c r="Z53" s="564">
        <v>320</v>
      </c>
      <c r="AA53" s="564">
        <v>300</v>
      </c>
      <c r="AB53" s="564">
        <v>300</v>
      </c>
      <c r="AC53" s="564"/>
      <c r="AD53" s="564"/>
      <c r="AF53" s="763" t="s">
        <v>128</v>
      </c>
      <c r="AG53" s="402" t="s">
        <v>186</v>
      </c>
      <c r="AH53" s="599">
        <v>341</v>
      </c>
      <c r="AI53" s="599">
        <v>633</v>
      </c>
      <c r="AJ53" s="599">
        <v>1030</v>
      </c>
      <c r="AK53" s="599">
        <v>1369</v>
      </c>
      <c r="AL53" s="599">
        <v>1686</v>
      </c>
      <c r="AM53" s="599">
        <v>1985</v>
      </c>
      <c r="AN53" s="599">
        <v>2375</v>
      </c>
      <c r="AO53" s="599">
        <v>2695</v>
      </c>
      <c r="AP53" s="599">
        <v>2995</v>
      </c>
      <c r="AQ53" s="599">
        <v>3295</v>
      </c>
      <c r="AR53" s="599">
        <v>3295</v>
      </c>
      <c r="AS53" s="599">
        <v>3295</v>
      </c>
    </row>
    <row r="54" spans="1:45">
      <c r="A54"/>
      <c r="B54" s="763"/>
      <c r="C54" s="402" t="s">
        <v>187</v>
      </c>
      <c r="D54" s="564"/>
      <c r="E54" s="564"/>
      <c r="F54" s="564"/>
      <c r="G54" s="564"/>
      <c r="H54" s="564"/>
      <c r="I54" s="564"/>
      <c r="J54" s="564"/>
      <c r="K54" s="564"/>
      <c r="L54" s="564"/>
      <c r="M54" s="564"/>
      <c r="N54" s="564"/>
      <c r="O54" s="564"/>
      <c r="P54" s="644"/>
      <c r="Q54" s="763"/>
      <c r="R54" s="402" t="s">
        <v>187</v>
      </c>
      <c r="S54" s="601">
        <v>0</v>
      </c>
      <c r="T54" s="564">
        <v>0</v>
      </c>
      <c r="U54" s="564">
        <v>0</v>
      </c>
      <c r="V54" s="564">
        <v>0</v>
      </c>
      <c r="W54" s="564">
        <v>0</v>
      </c>
      <c r="X54" s="564">
        <v>0</v>
      </c>
      <c r="Y54" s="564">
        <v>0</v>
      </c>
      <c r="Z54" s="564">
        <v>0</v>
      </c>
      <c r="AA54" s="564">
        <v>0</v>
      </c>
      <c r="AB54" s="564">
        <v>0</v>
      </c>
      <c r="AC54" s="564"/>
      <c r="AD54" s="564"/>
      <c r="AF54" s="763"/>
      <c r="AG54" s="402" t="s">
        <v>187</v>
      </c>
      <c r="AH54" s="599">
        <v>0</v>
      </c>
      <c r="AI54" s="599">
        <v>0</v>
      </c>
      <c r="AJ54" s="599">
        <v>0</v>
      </c>
      <c r="AK54" s="599">
        <v>0</v>
      </c>
      <c r="AL54" s="599">
        <v>0</v>
      </c>
      <c r="AM54" s="599">
        <v>0</v>
      </c>
      <c r="AN54" s="599">
        <v>0</v>
      </c>
      <c r="AO54" s="599">
        <v>0</v>
      </c>
      <c r="AP54" s="599">
        <v>0</v>
      </c>
      <c r="AQ54" s="599">
        <v>0</v>
      </c>
      <c r="AR54" s="599">
        <v>0</v>
      </c>
      <c r="AS54" s="599">
        <v>0</v>
      </c>
    </row>
    <row r="55" spans="1:45">
      <c r="A55"/>
      <c r="B55" s="763"/>
      <c r="C55" s="639" t="s">
        <v>188</v>
      </c>
      <c r="D55" s="676">
        <v>0.09</v>
      </c>
      <c r="E55" s="676">
        <v>0.09</v>
      </c>
      <c r="F55" s="676">
        <v>0.09</v>
      </c>
      <c r="G55" s="676">
        <v>0.09</v>
      </c>
      <c r="H55" s="676">
        <v>0.09</v>
      </c>
      <c r="I55" s="676">
        <v>0.09</v>
      </c>
      <c r="J55" s="676">
        <v>0.09</v>
      </c>
      <c r="K55" s="676">
        <v>0.09</v>
      </c>
      <c r="L55" s="676">
        <v>0.09</v>
      </c>
      <c r="M55" s="676">
        <v>0.09</v>
      </c>
      <c r="N55" s="676">
        <v>0.09</v>
      </c>
      <c r="O55" s="676">
        <v>0.09</v>
      </c>
      <c r="Q55" s="763"/>
      <c r="R55" s="639" t="s">
        <v>188</v>
      </c>
      <c r="S55" s="645">
        <v>0</v>
      </c>
      <c r="T55" s="645">
        <v>0</v>
      </c>
      <c r="U55" s="645">
        <v>0</v>
      </c>
      <c r="V55" s="645">
        <v>0</v>
      </c>
      <c r="W55" s="645">
        <v>0</v>
      </c>
      <c r="X55" s="645">
        <v>0</v>
      </c>
      <c r="Y55" s="645">
        <v>0</v>
      </c>
      <c r="Z55" s="645">
        <v>0</v>
      </c>
      <c r="AA55" s="645">
        <v>0</v>
      </c>
      <c r="AB55" s="645">
        <v>0</v>
      </c>
      <c r="AC55" s="645" t="e">
        <v>#DIV/0!</v>
      </c>
      <c r="AD55" s="645" t="e">
        <v>#DIV/0!</v>
      </c>
      <c r="AF55" s="763"/>
      <c r="AG55" s="639" t="s">
        <v>188</v>
      </c>
      <c r="AH55" s="645">
        <v>0</v>
      </c>
      <c r="AI55" s="645">
        <v>0</v>
      </c>
      <c r="AJ55" s="645">
        <v>0</v>
      </c>
      <c r="AK55" s="645">
        <v>0</v>
      </c>
      <c r="AL55" s="645">
        <v>0</v>
      </c>
      <c r="AM55" s="645">
        <v>0</v>
      </c>
      <c r="AN55" s="645">
        <v>0</v>
      </c>
      <c r="AO55" s="645">
        <v>0</v>
      </c>
      <c r="AP55" s="645">
        <v>0</v>
      </c>
      <c r="AQ55" s="645">
        <v>0</v>
      </c>
      <c r="AR55" s="645">
        <v>0</v>
      </c>
      <c r="AS55" s="645">
        <v>0</v>
      </c>
    </row>
    <row r="56" spans="1:45">
      <c r="A56"/>
      <c r="B56" s="763" t="s">
        <v>87</v>
      </c>
      <c r="C56" s="402" t="s">
        <v>186</v>
      </c>
      <c r="D56" s="564"/>
      <c r="E56" s="564"/>
      <c r="F56" s="564"/>
      <c r="G56" s="564"/>
      <c r="H56" s="564"/>
      <c r="I56" s="564"/>
      <c r="J56" s="564"/>
      <c r="K56" s="564"/>
      <c r="L56" s="564"/>
      <c r="M56" s="564"/>
      <c r="N56" s="564"/>
      <c r="O56" s="564"/>
      <c r="Q56" s="763" t="s">
        <v>87</v>
      </c>
      <c r="R56" s="402" t="s">
        <v>186</v>
      </c>
      <c r="S56" s="599">
        <v>466</v>
      </c>
      <c r="T56" s="600">
        <v>413</v>
      </c>
      <c r="U56" s="600">
        <v>389</v>
      </c>
      <c r="V56" s="600">
        <v>322</v>
      </c>
      <c r="W56" s="600">
        <v>319</v>
      </c>
      <c r="X56" s="600">
        <v>261</v>
      </c>
      <c r="Y56" s="600">
        <v>351</v>
      </c>
      <c r="Z56" s="600">
        <v>422</v>
      </c>
      <c r="AA56" s="600">
        <v>489</v>
      </c>
      <c r="AB56" s="600">
        <v>489</v>
      </c>
      <c r="AC56" s="600"/>
      <c r="AD56" s="600"/>
      <c r="AF56" s="763" t="s">
        <v>87</v>
      </c>
      <c r="AG56" s="402" t="s">
        <v>186</v>
      </c>
      <c r="AH56" s="599">
        <v>466</v>
      </c>
      <c r="AI56" s="601">
        <v>879</v>
      </c>
      <c r="AJ56" s="601">
        <v>1268</v>
      </c>
      <c r="AK56" s="601">
        <v>1590</v>
      </c>
      <c r="AL56" s="601">
        <v>1909</v>
      </c>
      <c r="AM56" s="601">
        <v>2170</v>
      </c>
      <c r="AN56" s="601">
        <v>2521</v>
      </c>
      <c r="AO56" s="601">
        <v>2943</v>
      </c>
      <c r="AP56" s="601">
        <v>3432</v>
      </c>
      <c r="AQ56" s="601">
        <v>3921</v>
      </c>
      <c r="AR56" s="601">
        <v>3921</v>
      </c>
      <c r="AS56" s="601">
        <v>3921</v>
      </c>
    </row>
    <row r="57" spans="1:45">
      <c r="A57"/>
      <c r="B57" s="763"/>
      <c r="C57" s="402" t="s">
        <v>187</v>
      </c>
      <c r="D57" s="564"/>
      <c r="E57" s="564"/>
      <c r="F57" s="564"/>
      <c r="G57" s="564"/>
      <c r="H57" s="564"/>
      <c r="I57" s="564"/>
      <c r="J57" s="564"/>
      <c r="K57" s="564"/>
      <c r="L57" s="564"/>
      <c r="M57" s="564"/>
      <c r="N57" s="564"/>
      <c r="O57" s="564"/>
      <c r="Q57" s="763"/>
      <c r="R57" s="402" t="s">
        <v>187</v>
      </c>
      <c r="S57" s="564">
        <v>0</v>
      </c>
      <c r="T57" s="600">
        <v>0</v>
      </c>
      <c r="U57" s="600">
        <v>0</v>
      </c>
      <c r="V57" s="600">
        <v>0</v>
      </c>
      <c r="W57" s="600">
        <v>0</v>
      </c>
      <c r="X57" s="600">
        <v>0</v>
      </c>
      <c r="Y57" s="600">
        <v>0</v>
      </c>
      <c r="Z57" s="600">
        <v>0</v>
      </c>
      <c r="AA57" s="600">
        <v>0</v>
      </c>
      <c r="AB57" s="600">
        <v>0</v>
      </c>
      <c r="AC57" s="600"/>
      <c r="AD57" s="600"/>
      <c r="AF57" s="763"/>
      <c r="AG57" s="402" t="s">
        <v>187</v>
      </c>
      <c r="AH57" s="599">
        <v>0</v>
      </c>
      <c r="AI57" s="601">
        <v>0</v>
      </c>
      <c r="AJ57" s="601">
        <v>0</v>
      </c>
      <c r="AK57" s="601">
        <v>0</v>
      </c>
      <c r="AL57" s="601">
        <v>0</v>
      </c>
      <c r="AM57" s="601">
        <v>0</v>
      </c>
      <c r="AN57" s="601">
        <v>0</v>
      </c>
      <c r="AO57" s="601">
        <v>0</v>
      </c>
      <c r="AP57" s="601">
        <v>0</v>
      </c>
      <c r="AQ57" s="601">
        <v>0</v>
      </c>
      <c r="AR57" s="601">
        <v>0</v>
      </c>
      <c r="AS57" s="601">
        <v>0</v>
      </c>
    </row>
    <row r="58" spans="1:45">
      <c r="A58"/>
      <c r="B58" s="763"/>
      <c r="C58" s="639" t="s">
        <v>188</v>
      </c>
      <c r="D58" s="676">
        <v>0.09</v>
      </c>
      <c r="E58" s="676">
        <v>0.09</v>
      </c>
      <c r="F58" s="676">
        <v>0.09</v>
      </c>
      <c r="G58" s="676">
        <v>0.09</v>
      </c>
      <c r="H58" s="676">
        <v>0.09</v>
      </c>
      <c r="I58" s="676">
        <v>0.09</v>
      </c>
      <c r="J58" s="676">
        <v>0.09</v>
      </c>
      <c r="K58" s="676">
        <v>0.09</v>
      </c>
      <c r="L58" s="676">
        <v>0.09</v>
      </c>
      <c r="M58" s="676">
        <v>0.09</v>
      </c>
      <c r="N58" s="676">
        <v>0.09</v>
      </c>
      <c r="O58" s="676">
        <v>0.09</v>
      </c>
      <c r="Q58" s="763"/>
      <c r="R58" s="639" t="s">
        <v>188</v>
      </c>
      <c r="S58" s="645">
        <v>0</v>
      </c>
      <c r="T58" s="640">
        <v>0</v>
      </c>
      <c r="U58" s="640">
        <v>0</v>
      </c>
      <c r="V58" s="640">
        <v>0</v>
      </c>
      <c r="W58" s="640">
        <v>0</v>
      </c>
      <c r="X58" s="640">
        <v>0</v>
      </c>
      <c r="Y58" s="640">
        <v>0</v>
      </c>
      <c r="Z58" s="640">
        <v>0</v>
      </c>
      <c r="AA58" s="640">
        <v>0</v>
      </c>
      <c r="AB58" s="640">
        <v>0</v>
      </c>
      <c r="AC58" s="640" t="e">
        <v>#DIV/0!</v>
      </c>
      <c r="AD58" s="640" t="e">
        <v>#DIV/0!</v>
      </c>
      <c r="AF58" s="763"/>
      <c r="AG58" s="639" t="s">
        <v>188</v>
      </c>
      <c r="AH58" s="645">
        <v>0</v>
      </c>
      <c r="AI58" s="646">
        <v>0</v>
      </c>
      <c r="AJ58" s="646">
        <v>0</v>
      </c>
      <c r="AK58" s="646">
        <v>0</v>
      </c>
      <c r="AL58" s="646">
        <v>0</v>
      </c>
      <c r="AM58" s="646">
        <v>0</v>
      </c>
      <c r="AN58" s="646">
        <v>0</v>
      </c>
      <c r="AO58" s="646">
        <v>0</v>
      </c>
      <c r="AP58" s="646">
        <v>0</v>
      </c>
      <c r="AQ58" s="646">
        <v>0</v>
      </c>
      <c r="AR58" s="646">
        <v>0</v>
      </c>
      <c r="AS58" s="646">
        <v>0</v>
      </c>
    </row>
    <row r="59" spans="1:45">
      <c r="A59"/>
      <c r="B59" s="763" t="s">
        <v>88</v>
      </c>
      <c r="C59" s="402" t="s">
        <v>186</v>
      </c>
      <c r="D59" s="564"/>
      <c r="E59" s="564"/>
      <c r="F59" s="564"/>
      <c r="G59" s="564"/>
      <c r="H59" s="564"/>
      <c r="I59" s="564"/>
      <c r="J59" s="564"/>
      <c r="K59" s="564"/>
      <c r="L59" s="564"/>
      <c r="M59" s="564"/>
      <c r="N59" s="564"/>
      <c r="O59" s="564"/>
      <c r="Q59" s="763" t="s">
        <v>88</v>
      </c>
      <c r="R59" s="402" t="s">
        <v>186</v>
      </c>
      <c r="S59" s="600">
        <v>351</v>
      </c>
      <c r="T59" s="600">
        <v>334</v>
      </c>
      <c r="U59" s="600">
        <v>431</v>
      </c>
      <c r="V59" s="600">
        <v>335</v>
      </c>
      <c r="W59" s="600">
        <v>299</v>
      </c>
      <c r="X59" s="599">
        <v>269</v>
      </c>
      <c r="Y59" s="600">
        <v>308</v>
      </c>
      <c r="Z59" s="600">
        <v>322</v>
      </c>
      <c r="AA59" s="600">
        <v>290</v>
      </c>
      <c r="AB59" s="600">
        <v>290</v>
      </c>
      <c r="AC59" s="600"/>
      <c r="AD59" s="600"/>
      <c r="AF59" s="763" t="s">
        <v>88</v>
      </c>
      <c r="AG59" s="402" t="s">
        <v>186</v>
      </c>
      <c r="AH59" s="599">
        <v>351</v>
      </c>
      <c r="AI59" s="601">
        <v>685</v>
      </c>
      <c r="AJ59" s="601">
        <v>1116</v>
      </c>
      <c r="AK59" s="601">
        <v>1451</v>
      </c>
      <c r="AL59" s="601">
        <v>1750</v>
      </c>
      <c r="AM59" s="601">
        <v>2019</v>
      </c>
      <c r="AN59" s="601">
        <v>2327</v>
      </c>
      <c r="AO59" s="601">
        <v>2649</v>
      </c>
      <c r="AP59" s="601">
        <v>2939</v>
      </c>
      <c r="AQ59" s="601">
        <v>3229</v>
      </c>
      <c r="AR59" s="601">
        <v>3229</v>
      </c>
      <c r="AS59" s="601">
        <v>3229</v>
      </c>
    </row>
    <row r="60" spans="1:45">
      <c r="A60"/>
      <c r="B60" s="763"/>
      <c r="C60" s="402" t="s">
        <v>187</v>
      </c>
      <c r="D60" s="564"/>
      <c r="E60" s="564"/>
      <c r="F60" s="564"/>
      <c r="G60" s="564"/>
      <c r="H60" s="564"/>
      <c r="I60" s="564"/>
      <c r="J60" s="564"/>
      <c r="K60" s="564"/>
      <c r="L60" s="564"/>
      <c r="M60" s="564"/>
      <c r="N60" s="564"/>
      <c r="O60" s="564"/>
      <c r="Q60" s="763"/>
      <c r="R60" s="402" t="s">
        <v>187</v>
      </c>
      <c r="S60" s="600">
        <v>0</v>
      </c>
      <c r="T60" s="600">
        <v>0</v>
      </c>
      <c r="U60" s="600">
        <v>0</v>
      </c>
      <c r="V60" s="600">
        <v>0</v>
      </c>
      <c r="W60" s="600">
        <v>0</v>
      </c>
      <c r="X60" s="600">
        <v>0</v>
      </c>
      <c r="Y60" s="600">
        <v>0</v>
      </c>
      <c r="Z60" s="600">
        <v>0</v>
      </c>
      <c r="AA60" s="600">
        <v>0</v>
      </c>
      <c r="AB60" s="600">
        <v>0</v>
      </c>
      <c r="AC60" s="600"/>
      <c r="AD60" s="600"/>
      <c r="AF60" s="763"/>
      <c r="AG60" s="402" t="s">
        <v>187</v>
      </c>
      <c r="AH60" s="599">
        <v>0</v>
      </c>
      <c r="AI60" s="601">
        <v>0</v>
      </c>
      <c r="AJ60" s="601">
        <v>0</v>
      </c>
      <c r="AK60" s="601">
        <v>0</v>
      </c>
      <c r="AL60" s="601">
        <v>0</v>
      </c>
      <c r="AM60" s="601">
        <v>0</v>
      </c>
      <c r="AN60" s="601">
        <v>0</v>
      </c>
      <c r="AO60" s="601">
        <v>0</v>
      </c>
      <c r="AP60" s="601">
        <v>0</v>
      </c>
      <c r="AQ60" s="601">
        <v>0</v>
      </c>
      <c r="AR60" s="601">
        <v>0</v>
      </c>
      <c r="AS60" s="601">
        <v>0</v>
      </c>
    </row>
    <row r="61" spans="1:45">
      <c r="A61"/>
      <c r="B61" s="763"/>
      <c r="C61" s="639" t="s">
        <v>188</v>
      </c>
      <c r="D61" s="676">
        <v>0.09</v>
      </c>
      <c r="E61" s="676">
        <v>0.09</v>
      </c>
      <c r="F61" s="676">
        <v>0.09</v>
      </c>
      <c r="G61" s="676">
        <v>0.09</v>
      </c>
      <c r="H61" s="676">
        <v>0.09</v>
      </c>
      <c r="I61" s="676">
        <v>0.09</v>
      </c>
      <c r="J61" s="676">
        <v>0.09</v>
      </c>
      <c r="K61" s="676">
        <v>0.09</v>
      </c>
      <c r="L61" s="676">
        <v>0.09</v>
      </c>
      <c r="M61" s="676">
        <v>0.09</v>
      </c>
      <c r="N61" s="676">
        <v>0.09</v>
      </c>
      <c r="O61" s="676">
        <v>0.09</v>
      </c>
      <c r="Q61" s="763"/>
      <c r="R61" s="639" t="s">
        <v>188</v>
      </c>
      <c r="S61" s="645">
        <v>0</v>
      </c>
      <c r="T61" s="640">
        <v>0</v>
      </c>
      <c r="U61" s="640">
        <v>0</v>
      </c>
      <c r="V61" s="640">
        <v>0</v>
      </c>
      <c r="W61" s="640">
        <v>0</v>
      </c>
      <c r="X61" s="640">
        <v>0</v>
      </c>
      <c r="Y61" s="640">
        <v>0</v>
      </c>
      <c r="Z61" s="640">
        <v>0</v>
      </c>
      <c r="AA61" s="640">
        <v>0</v>
      </c>
      <c r="AB61" s="640">
        <v>0</v>
      </c>
      <c r="AC61" s="640" t="e">
        <v>#DIV/0!</v>
      </c>
      <c r="AD61" s="640" t="e">
        <v>#DIV/0!</v>
      </c>
      <c r="AF61" s="763"/>
      <c r="AG61" s="639" t="s">
        <v>188</v>
      </c>
      <c r="AH61" s="645">
        <v>0</v>
      </c>
      <c r="AI61" s="646">
        <v>0</v>
      </c>
      <c r="AJ61" s="646">
        <v>0</v>
      </c>
      <c r="AK61" s="646">
        <v>0</v>
      </c>
      <c r="AL61" s="646">
        <v>0</v>
      </c>
      <c r="AM61" s="640">
        <v>0</v>
      </c>
      <c r="AN61" s="646">
        <v>0</v>
      </c>
      <c r="AO61" s="646">
        <v>0</v>
      </c>
      <c r="AP61" s="646">
        <v>0</v>
      </c>
      <c r="AQ61" s="646">
        <v>0</v>
      </c>
      <c r="AR61" s="646">
        <v>0</v>
      </c>
      <c r="AS61" s="646">
        <v>0</v>
      </c>
    </row>
    <row r="62" spans="1:45">
      <c r="A62"/>
      <c r="B62" s="763" t="s">
        <v>121</v>
      </c>
      <c r="C62" s="402" t="s">
        <v>186</v>
      </c>
      <c r="D62" s="564"/>
      <c r="E62" s="564"/>
      <c r="F62" s="564"/>
      <c r="G62" s="564"/>
      <c r="H62" s="564"/>
      <c r="I62" s="564"/>
      <c r="J62" s="564"/>
      <c r="K62" s="564"/>
      <c r="L62" s="564"/>
      <c r="M62" s="564"/>
      <c r="N62" s="564"/>
      <c r="O62" s="564"/>
      <c r="Q62" s="763" t="s">
        <v>121</v>
      </c>
      <c r="R62" s="402" t="s">
        <v>186</v>
      </c>
      <c r="S62" s="599">
        <v>209</v>
      </c>
      <c r="T62" s="564">
        <v>341</v>
      </c>
      <c r="U62" s="600">
        <v>351</v>
      </c>
      <c r="V62" s="600">
        <v>249</v>
      </c>
      <c r="W62" s="564">
        <v>213</v>
      </c>
      <c r="X62" s="564">
        <v>224</v>
      </c>
      <c r="Y62" s="564">
        <v>220</v>
      </c>
      <c r="Z62" s="564">
        <v>218</v>
      </c>
      <c r="AA62" s="564">
        <v>200</v>
      </c>
      <c r="AB62" s="564">
        <v>200</v>
      </c>
      <c r="AC62" s="564"/>
      <c r="AD62" s="564"/>
      <c r="AF62" s="763" t="s">
        <v>121</v>
      </c>
      <c r="AG62" s="402" t="s">
        <v>186</v>
      </c>
      <c r="AH62" s="599">
        <v>209</v>
      </c>
      <c r="AI62" s="601">
        <v>550</v>
      </c>
      <c r="AJ62" s="601">
        <v>901</v>
      </c>
      <c r="AK62" s="601">
        <v>1150</v>
      </c>
      <c r="AL62" s="601">
        <v>1363</v>
      </c>
      <c r="AM62" s="601">
        <v>1587</v>
      </c>
      <c r="AN62" s="601">
        <v>1807</v>
      </c>
      <c r="AO62" s="601">
        <v>2025</v>
      </c>
      <c r="AP62" s="601">
        <v>2225</v>
      </c>
      <c r="AQ62" s="601">
        <v>2425</v>
      </c>
      <c r="AR62" s="601">
        <v>2425</v>
      </c>
      <c r="AS62" s="601">
        <v>2425</v>
      </c>
    </row>
    <row r="63" spans="1:45">
      <c r="A63"/>
      <c r="B63" s="763"/>
      <c r="C63" s="402" t="s">
        <v>187</v>
      </c>
      <c r="D63" s="564"/>
      <c r="E63" s="564"/>
      <c r="F63" s="564"/>
      <c r="G63" s="564"/>
      <c r="H63" s="564"/>
      <c r="I63" s="564"/>
      <c r="J63" s="564"/>
      <c r="K63" s="564"/>
      <c r="L63" s="564"/>
      <c r="M63" s="564"/>
      <c r="N63" s="564"/>
      <c r="O63" s="564"/>
      <c r="Q63" s="763"/>
      <c r="R63" s="402" t="s">
        <v>187</v>
      </c>
      <c r="S63" s="564">
        <v>0</v>
      </c>
      <c r="T63" s="564">
        <v>0</v>
      </c>
      <c r="U63" s="564">
        <v>0</v>
      </c>
      <c r="V63" s="564">
        <v>0</v>
      </c>
      <c r="W63" s="564">
        <v>0</v>
      </c>
      <c r="X63" s="564">
        <v>0</v>
      </c>
      <c r="Y63" s="564">
        <v>0</v>
      </c>
      <c r="Z63" s="564">
        <v>0</v>
      </c>
      <c r="AA63" s="564">
        <v>0</v>
      </c>
      <c r="AB63" s="564">
        <v>0</v>
      </c>
      <c r="AC63" s="564"/>
      <c r="AD63" s="564"/>
      <c r="AF63" s="763"/>
      <c r="AG63" s="402" t="s">
        <v>187</v>
      </c>
      <c r="AH63" s="599">
        <v>0</v>
      </c>
      <c r="AI63" s="601">
        <v>0</v>
      </c>
      <c r="AJ63" s="601">
        <v>0</v>
      </c>
      <c r="AK63" s="601">
        <v>0</v>
      </c>
      <c r="AL63" s="601">
        <v>0</v>
      </c>
      <c r="AM63" s="601">
        <v>0</v>
      </c>
      <c r="AN63" s="601">
        <v>0</v>
      </c>
      <c r="AO63" s="601">
        <v>0</v>
      </c>
      <c r="AP63" s="601">
        <v>0</v>
      </c>
      <c r="AQ63" s="601">
        <v>0</v>
      </c>
      <c r="AR63" s="601">
        <v>0</v>
      </c>
      <c r="AS63" s="601">
        <v>0</v>
      </c>
    </row>
    <row r="64" spans="1:45">
      <c r="A64"/>
      <c r="B64" s="763"/>
      <c r="C64" s="639" t="s">
        <v>188</v>
      </c>
      <c r="D64" s="676">
        <v>0.09</v>
      </c>
      <c r="E64" s="676">
        <v>0.09</v>
      </c>
      <c r="F64" s="676">
        <v>0.09</v>
      </c>
      <c r="G64" s="676">
        <v>0.09</v>
      </c>
      <c r="H64" s="676">
        <v>0.09</v>
      </c>
      <c r="I64" s="676">
        <v>0.09</v>
      </c>
      <c r="J64" s="676">
        <v>0.09</v>
      </c>
      <c r="K64" s="676">
        <v>0.09</v>
      </c>
      <c r="L64" s="676">
        <v>0.09</v>
      </c>
      <c r="M64" s="676">
        <v>0.09</v>
      </c>
      <c r="N64" s="676">
        <v>0.09</v>
      </c>
      <c r="O64" s="676">
        <v>0.09</v>
      </c>
      <c r="Q64" s="763"/>
      <c r="R64" s="639" t="s">
        <v>188</v>
      </c>
      <c r="S64" s="645">
        <v>0</v>
      </c>
      <c r="T64" s="640">
        <v>0</v>
      </c>
      <c r="U64" s="640">
        <v>0</v>
      </c>
      <c r="V64" s="640">
        <v>0</v>
      </c>
      <c r="W64" s="640">
        <v>0</v>
      </c>
      <c r="X64" s="640">
        <v>0</v>
      </c>
      <c r="Y64" s="640">
        <v>0</v>
      </c>
      <c r="Z64" s="640">
        <v>0</v>
      </c>
      <c r="AA64" s="640">
        <v>0</v>
      </c>
      <c r="AB64" s="640">
        <v>0</v>
      </c>
      <c r="AC64" s="640" t="e">
        <v>#DIV/0!</v>
      </c>
      <c r="AD64" s="640" t="e">
        <v>#DIV/0!</v>
      </c>
      <c r="AF64" s="763"/>
      <c r="AG64" s="639" t="s">
        <v>188</v>
      </c>
      <c r="AH64" s="645">
        <v>0</v>
      </c>
      <c r="AI64" s="646">
        <v>0</v>
      </c>
      <c r="AJ64" s="646">
        <v>0</v>
      </c>
      <c r="AK64" s="646">
        <v>0</v>
      </c>
      <c r="AL64" s="646">
        <v>0</v>
      </c>
      <c r="AM64" s="646">
        <v>0</v>
      </c>
      <c r="AN64" s="646">
        <v>0</v>
      </c>
      <c r="AO64" s="646">
        <v>0</v>
      </c>
      <c r="AP64" s="646">
        <v>0</v>
      </c>
      <c r="AQ64" s="646">
        <v>0</v>
      </c>
      <c r="AR64" s="646">
        <v>0</v>
      </c>
      <c r="AS64" s="646">
        <v>0</v>
      </c>
    </row>
    <row r="65" spans="2:45">
      <c r="B65" s="763" t="s">
        <v>89</v>
      </c>
      <c r="C65" s="402" t="s">
        <v>186</v>
      </c>
      <c r="D65" s="564"/>
      <c r="E65" s="564"/>
      <c r="F65" s="564"/>
      <c r="G65" s="564"/>
      <c r="H65" s="564"/>
      <c r="I65" s="564"/>
      <c r="J65" s="564"/>
      <c r="K65" s="564"/>
      <c r="L65" s="564"/>
      <c r="M65" s="564"/>
      <c r="N65" s="564"/>
      <c r="O65" s="564"/>
      <c r="Q65" s="763" t="s">
        <v>89</v>
      </c>
      <c r="R65" s="402" t="s">
        <v>186</v>
      </c>
      <c r="S65" s="599">
        <v>947</v>
      </c>
      <c r="T65" s="601">
        <v>887</v>
      </c>
      <c r="U65" s="601">
        <v>975</v>
      </c>
      <c r="V65" s="601">
        <v>975</v>
      </c>
      <c r="W65" s="601">
        <v>892</v>
      </c>
      <c r="X65" s="601">
        <v>874</v>
      </c>
      <c r="Y65" s="601">
        <v>832</v>
      </c>
      <c r="Z65" s="601">
        <v>874</v>
      </c>
      <c r="AA65" s="601">
        <v>123</v>
      </c>
      <c r="AB65" s="601">
        <v>123</v>
      </c>
      <c r="AC65" s="601"/>
      <c r="AD65" s="601"/>
      <c r="AF65" s="763" t="s">
        <v>89</v>
      </c>
      <c r="AG65" s="402" t="s">
        <v>186</v>
      </c>
      <c r="AH65" s="599">
        <v>947</v>
      </c>
      <c r="AI65" s="601">
        <v>1834</v>
      </c>
      <c r="AJ65" s="601">
        <v>2809</v>
      </c>
      <c r="AK65" s="601">
        <v>3784</v>
      </c>
      <c r="AL65" s="601">
        <v>4676</v>
      </c>
      <c r="AM65" s="601">
        <v>5550</v>
      </c>
      <c r="AN65" s="601">
        <v>6382</v>
      </c>
      <c r="AO65" s="601">
        <v>7256</v>
      </c>
      <c r="AP65" s="601">
        <v>7379</v>
      </c>
      <c r="AQ65" s="601">
        <v>7502</v>
      </c>
      <c r="AR65" s="601">
        <v>7502</v>
      </c>
      <c r="AS65" s="601">
        <v>7502</v>
      </c>
    </row>
    <row r="66" spans="2:45">
      <c r="B66" s="763"/>
      <c r="C66" s="402" t="s">
        <v>187</v>
      </c>
      <c r="D66" s="564"/>
      <c r="E66" s="564"/>
      <c r="F66" s="564"/>
      <c r="G66" s="564"/>
      <c r="H66" s="564"/>
      <c r="I66" s="564"/>
      <c r="J66" s="564"/>
      <c r="K66" s="564"/>
      <c r="L66" s="564"/>
      <c r="M66" s="564"/>
      <c r="N66" s="564"/>
      <c r="O66" s="564"/>
      <c r="Q66" s="763"/>
      <c r="R66" s="402" t="s">
        <v>187</v>
      </c>
      <c r="S66" s="564">
        <v>0</v>
      </c>
      <c r="T66" s="601">
        <v>0</v>
      </c>
      <c r="U66" s="601">
        <v>0</v>
      </c>
      <c r="V66" s="601">
        <v>0</v>
      </c>
      <c r="W66" s="601">
        <v>0</v>
      </c>
      <c r="X66" s="601">
        <v>0</v>
      </c>
      <c r="Y66" s="601">
        <v>0</v>
      </c>
      <c r="Z66" s="601">
        <v>0</v>
      </c>
      <c r="AA66" s="601">
        <v>0</v>
      </c>
      <c r="AB66" s="601">
        <v>0</v>
      </c>
      <c r="AC66" s="601"/>
      <c r="AD66" s="601"/>
      <c r="AF66" s="763"/>
      <c r="AG66" s="402" t="s">
        <v>187</v>
      </c>
      <c r="AH66" s="599">
        <v>0</v>
      </c>
      <c r="AI66" s="601">
        <v>0</v>
      </c>
      <c r="AJ66" s="601">
        <v>0</v>
      </c>
      <c r="AK66" s="601">
        <v>0</v>
      </c>
      <c r="AL66" s="601">
        <v>0</v>
      </c>
      <c r="AM66" s="601">
        <v>0</v>
      </c>
      <c r="AN66" s="601">
        <v>0</v>
      </c>
      <c r="AO66" s="601">
        <v>0</v>
      </c>
      <c r="AP66" s="601">
        <v>0</v>
      </c>
      <c r="AQ66" s="601">
        <v>0</v>
      </c>
      <c r="AR66" s="601">
        <v>0</v>
      </c>
      <c r="AS66" s="601">
        <v>0</v>
      </c>
    </row>
    <row r="67" spans="2:45">
      <c r="B67" s="763"/>
      <c r="C67" s="639" t="s">
        <v>188</v>
      </c>
      <c r="D67" s="676">
        <v>0.09</v>
      </c>
      <c r="E67" s="676">
        <v>0.09</v>
      </c>
      <c r="F67" s="676">
        <v>0.09</v>
      </c>
      <c r="G67" s="676">
        <v>0.09</v>
      </c>
      <c r="H67" s="676">
        <v>0.09</v>
      </c>
      <c r="I67" s="676">
        <v>0.09</v>
      </c>
      <c r="J67" s="676">
        <v>0.09</v>
      </c>
      <c r="K67" s="676">
        <v>0.09</v>
      </c>
      <c r="L67" s="676">
        <v>0.09</v>
      </c>
      <c r="M67" s="676">
        <v>0.09</v>
      </c>
      <c r="N67" s="676">
        <v>0.09</v>
      </c>
      <c r="O67" s="676">
        <v>0.09</v>
      </c>
      <c r="Q67" s="763"/>
      <c r="R67" s="639" t="s">
        <v>188</v>
      </c>
      <c r="S67" s="645">
        <v>0</v>
      </c>
      <c r="T67" s="646">
        <v>0</v>
      </c>
      <c r="U67" s="646">
        <v>0</v>
      </c>
      <c r="V67" s="646">
        <v>0</v>
      </c>
      <c r="W67" s="646">
        <v>0</v>
      </c>
      <c r="X67" s="646">
        <v>0</v>
      </c>
      <c r="Y67" s="646">
        <v>0</v>
      </c>
      <c r="Z67" s="646">
        <v>0</v>
      </c>
      <c r="AA67" s="646">
        <v>0</v>
      </c>
      <c r="AB67" s="646">
        <v>0</v>
      </c>
      <c r="AC67" s="646" t="e">
        <v>#DIV/0!</v>
      </c>
      <c r="AD67" s="646" t="e">
        <v>#DIV/0!</v>
      </c>
      <c r="AF67" s="763"/>
      <c r="AG67" s="639" t="s">
        <v>188</v>
      </c>
      <c r="AH67" s="645">
        <v>0</v>
      </c>
      <c r="AI67" s="646">
        <v>0</v>
      </c>
      <c r="AJ67" s="646">
        <v>0</v>
      </c>
      <c r="AK67" s="646">
        <v>0</v>
      </c>
      <c r="AL67" s="646">
        <v>0</v>
      </c>
      <c r="AM67" s="646">
        <v>0</v>
      </c>
      <c r="AN67" s="646">
        <v>0</v>
      </c>
      <c r="AO67" s="646">
        <v>0</v>
      </c>
      <c r="AP67" s="646">
        <v>0</v>
      </c>
      <c r="AQ67" s="646">
        <v>0</v>
      </c>
      <c r="AR67" s="646">
        <v>0</v>
      </c>
      <c r="AS67" s="646">
        <v>0</v>
      </c>
    </row>
    <row r="68" spans="2:45">
      <c r="B68" s="763" t="s">
        <v>90</v>
      </c>
      <c r="C68" s="402" t="s">
        <v>186</v>
      </c>
      <c r="D68" s="564"/>
      <c r="E68" s="564"/>
      <c r="F68" s="564"/>
      <c r="G68" s="564"/>
      <c r="H68" s="564"/>
      <c r="I68" s="564"/>
      <c r="J68" s="564"/>
      <c r="K68" s="564"/>
      <c r="L68" s="564"/>
      <c r="M68" s="564"/>
      <c r="N68" s="564"/>
      <c r="O68" s="564"/>
      <c r="Q68" s="763" t="s">
        <v>90</v>
      </c>
      <c r="R68" s="402" t="s">
        <v>186</v>
      </c>
      <c r="S68" s="599">
        <v>2314</v>
      </c>
      <c r="T68" s="601">
        <v>2267</v>
      </c>
      <c r="U68" s="601">
        <v>2543</v>
      </c>
      <c r="V68" s="601">
        <v>2220</v>
      </c>
      <c r="W68" s="601">
        <v>2040</v>
      </c>
      <c r="X68" s="601">
        <v>1927</v>
      </c>
      <c r="Y68" s="601">
        <v>2101</v>
      </c>
      <c r="Z68" s="601">
        <v>2156</v>
      </c>
      <c r="AA68" s="601">
        <v>1402</v>
      </c>
      <c r="AB68" s="601">
        <v>1402</v>
      </c>
      <c r="AC68" s="601">
        <v>0</v>
      </c>
      <c r="AD68" s="601">
        <v>0</v>
      </c>
      <c r="AF68" s="763" t="s">
        <v>90</v>
      </c>
      <c r="AG68" s="402" t="s">
        <v>186</v>
      </c>
      <c r="AH68" s="599">
        <v>2314</v>
      </c>
      <c r="AI68" s="601">
        <v>4581</v>
      </c>
      <c r="AJ68" s="601">
        <v>7124</v>
      </c>
      <c r="AK68" s="601">
        <v>9344</v>
      </c>
      <c r="AL68" s="601">
        <v>11384</v>
      </c>
      <c r="AM68" s="601">
        <v>13311</v>
      </c>
      <c r="AN68" s="601">
        <v>15412</v>
      </c>
      <c r="AO68" s="601">
        <v>17568</v>
      </c>
      <c r="AP68" s="601">
        <v>18970</v>
      </c>
      <c r="AQ68" s="601">
        <v>20372</v>
      </c>
      <c r="AR68" s="601">
        <v>20372</v>
      </c>
      <c r="AS68" s="601">
        <v>20372</v>
      </c>
    </row>
    <row r="69" spans="2:45">
      <c r="B69" s="763"/>
      <c r="C69" s="402" t="s">
        <v>187</v>
      </c>
      <c r="D69" s="564"/>
      <c r="E69" s="564"/>
      <c r="F69" s="564"/>
      <c r="G69" s="564"/>
      <c r="H69" s="564"/>
      <c r="I69" s="564"/>
      <c r="J69" s="564"/>
      <c r="K69" s="564"/>
      <c r="L69" s="564"/>
      <c r="M69" s="564"/>
      <c r="N69" s="564"/>
      <c r="O69" s="564"/>
      <c r="Q69" s="763"/>
      <c r="R69" s="402" t="s">
        <v>187</v>
      </c>
      <c r="S69" s="599">
        <v>0</v>
      </c>
      <c r="T69" s="601">
        <v>0</v>
      </c>
      <c r="U69" s="601">
        <v>0</v>
      </c>
      <c r="V69" s="601">
        <v>0</v>
      </c>
      <c r="W69" s="601">
        <v>0</v>
      </c>
      <c r="X69" s="601">
        <v>0</v>
      </c>
      <c r="Y69" s="601">
        <v>0</v>
      </c>
      <c r="Z69" s="601">
        <v>0</v>
      </c>
      <c r="AA69" s="601">
        <v>0</v>
      </c>
      <c r="AB69" s="601">
        <v>0</v>
      </c>
      <c r="AC69" s="601">
        <v>0</v>
      </c>
      <c r="AD69" s="601">
        <v>0</v>
      </c>
      <c r="AF69" s="763"/>
      <c r="AG69" s="402" t="s">
        <v>187</v>
      </c>
      <c r="AH69" s="599">
        <v>0</v>
      </c>
      <c r="AI69" s="601">
        <v>0</v>
      </c>
      <c r="AJ69" s="601">
        <v>0</v>
      </c>
      <c r="AK69" s="601">
        <v>0</v>
      </c>
      <c r="AL69" s="601">
        <v>0</v>
      </c>
      <c r="AM69" s="601">
        <v>0</v>
      </c>
      <c r="AN69" s="601">
        <v>0</v>
      </c>
      <c r="AO69" s="601">
        <v>0</v>
      </c>
      <c r="AP69" s="601">
        <v>0</v>
      </c>
      <c r="AQ69" s="601">
        <v>0</v>
      </c>
      <c r="AR69" s="601">
        <v>0</v>
      </c>
      <c r="AS69" s="601">
        <v>0</v>
      </c>
    </row>
    <row r="70" spans="2:45">
      <c r="B70" s="763"/>
      <c r="C70" s="639" t="s">
        <v>188</v>
      </c>
      <c r="D70" s="676">
        <v>0.09</v>
      </c>
      <c r="E70" s="676">
        <v>0.09</v>
      </c>
      <c r="F70" s="676">
        <v>0.09</v>
      </c>
      <c r="G70" s="676">
        <v>0.09</v>
      </c>
      <c r="H70" s="676">
        <v>0.09</v>
      </c>
      <c r="I70" s="676">
        <v>0.09</v>
      </c>
      <c r="J70" s="676">
        <v>0.09</v>
      </c>
      <c r="K70" s="676">
        <v>0.09</v>
      </c>
      <c r="L70" s="676">
        <v>0.09</v>
      </c>
      <c r="M70" s="676">
        <v>0.09</v>
      </c>
      <c r="N70" s="676">
        <v>0.09</v>
      </c>
      <c r="O70" s="676">
        <v>0.09</v>
      </c>
      <c r="Q70" s="763"/>
      <c r="R70" s="639" t="s">
        <v>188</v>
      </c>
      <c r="S70" s="645">
        <v>0</v>
      </c>
      <c r="T70" s="646">
        <v>0</v>
      </c>
      <c r="U70" s="646">
        <v>0</v>
      </c>
      <c r="V70" s="682">
        <v>0</v>
      </c>
      <c r="W70" s="682">
        <v>0</v>
      </c>
      <c r="X70" s="682">
        <v>0</v>
      </c>
      <c r="Y70" s="682">
        <v>0</v>
      </c>
      <c r="Z70" s="682">
        <v>0</v>
      </c>
      <c r="AA70" s="682">
        <v>0</v>
      </c>
      <c r="AB70" s="682">
        <v>0</v>
      </c>
      <c r="AC70" s="682" t="e">
        <v>#DIV/0!</v>
      </c>
      <c r="AD70" s="682" t="e">
        <v>#DIV/0!</v>
      </c>
      <c r="AF70" s="763"/>
      <c r="AG70" s="639" t="s">
        <v>188</v>
      </c>
      <c r="AH70" s="692">
        <v>0</v>
      </c>
      <c r="AI70" s="682">
        <v>0</v>
      </c>
      <c r="AJ70" s="682">
        <v>0</v>
      </c>
      <c r="AK70" s="682">
        <v>0</v>
      </c>
      <c r="AL70" s="682">
        <v>0</v>
      </c>
      <c r="AM70" s="682">
        <v>0</v>
      </c>
      <c r="AN70" s="682">
        <v>0</v>
      </c>
      <c r="AO70" s="682">
        <v>0</v>
      </c>
      <c r="AP70" s="682">
        <v>0</v>
      </c>
      <c r="AQ70" s="682">
        <v>0</v>
      </c>
      <c r="AR70" s="682">
        <v>0</v>
      </c>
      <c r="AS70" s="682">
        <v>0</v>
      </c>
    </row>
    <row r="71" spans="2:45">
      <c r="D71" s="105"/>
      <c r="E71" s="105"/>
      <c r="F71" s="105"/>
      <c r="G71" s="105"/>
      <c r="H71" s="105"/>
      <c r="I71" s="105"/>
      <c r="J71" s="105"/>
      <c r="K71" s="105"/>
      <c r="L71" s="105"/>
      <c r="M71" s="105"/>
      <c r="N71" s="105"/>
      <c r="O71" s="105"/>
      <c r="S71" s="577"/>
      <c r="T71" s="577"/>
      <c r="U71" s="577"/>
      <c r="V71" s="577"/>
      <c r="W71" s="577"/>
      <c r="X71" s="577"/>
      <c r="Y71" s="577"/>
      <c r="Z71" s="577"/>
      <c r="AA71" s="577"/>
      <c r="AB71" s="577"/>
      <c r="AC71" s="577"/>
      <c r="AD71" s="577"/>
      <c r="AH71" s="105"/>
      <c r="AI71" s="105"/>
      <c r="AJ71" s="105"/>
      <c r="AK71" s="105"/>
      <c r="AL71" s="105"/>
      <c r="AM71" s="105"/>
      <c r="AN71" s="105"/>
      <c r="AO71" s="105"/>
      <c r="AP71" s="105"/>
      <c r="AQ71" s="105"/>
      <c r="AR71" s="577"/>
      <c r="AS71" s="105"/>
    </row>
    <row r="72" spans="2:45">
      <c r="B72" s="687" t="s">
        <v>189</v>
      </c>
      <c r="D72" s="105"/>
      <c r="E72" s="105"/>
      <c r="F72" s="105"/>
      <c r="G72" s="105"/>
      <c r="H72" s="105"/>
      <c r="I72" s="105"/>
      <c r="J72" s="105"/>
      <c r="K72" s="105"/>
      <c r="L72" s="105"/>
      <c r="M72" s="105"/>
      <c r="N72" s="105"/>
      <c r="O72" s="105"/>
      <c r="Q72" s="181" t="s">
        <v>189</v>
      </c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5"/>
      <c r="AD72" s="105"/>
      <c r="AF72" s="181" t="s">
        <v>189</v>
      </c>
      <c r="AH72" s="105"/>
      <c r="AI72" s="105"/>
      <c r="AJ72" s="105">
        <v>0</v>
      </c>
      <c r="AK72" s="105"/>
      <c r="AL72" s="105"/>
      <c r="AM72" s="105"/>
      <c r="AN72" s="105"/>
      <c r="AO72" s="105"/>
      <c r="AP72" s="105"/>
      <c r="AQ72" s="105"/>
      <c r="AR72" s="105"/>
      <c r="AS72" s="105"/>
    </row>
    <row r="73" spans="2:45">
      <c r="B73" s="21" t="s">
        <v>100</v>
      </c>
      <c r="D73" s="105"/>
      <c r="E73" s="105"/>
      <c r="F73" s="105"/>
      <c r="G73" s="105"/>
      <c r="H73" s="105"/>
      <c r="I73" s="105"/>
      <c r="J73" s="105"/>
      <c r="K73" s="105"/>
      <c r="L73" s="105"/>
      <c r="M73" s="105"/>
      <c r="N73" s="105"/>
      <c r="O73" s="105"/>
      <c r="Q73" t="s">
        <v>126</v>
      </c>
      <c r="S73" s="105"/>
      <c r="T73" s="105"/>
      <c r="U73" s="105"/>
      <c r="V73" s="105"/>
      <c r="W73" s="105"/>
      <c r="X73" s="105"/>
      <c r="Y73" s="105"/>
      <c r="Z73" s="105"/>
      <c r="AA73" s="105"/>
      <c r="AB73" s="105"/>
      <c r="AC73" s="105"/>
      <c r="AD73" s="105"/>
      <c r="AF73" t="s">
        <v>181</v>
      </c>
      <c r="AH73" s="105"/>
      <c r="AI73" s="105"/>
      <c r="AJ73" s="105"/>
      <c r="AK73" s="105"/>
      <c r="AL73" s="105"/>
      <c r="AM73" s="105"/>
      <c r="AN73" s="105"/>
      <c r="AO73" s="105"/>
      <c r="AP73" s="105"/>
      <c r="AQ73" s="105"/>
      <c r="AR73" s="105"/>
      <c r="AS73" s="105"/>
    </row>
    <row r="74" spans="2:45">
      <c r="B74" s="752" t="s">
        <v>72</v>
      </c>
      <c r="C74" s="752"/>
      <c r="D74" s="552" t="s">
        <v>74</v>
      </c>
      <c r="E74" s="552" t="s">
        <v>75</v>
      </c>
      <c r="F74" s="552" t="s">
        <v>76</v>
      </c>
      <c r="G74" s="552" t="s">
        <v>77</v>
      </c>
      <c r="H74" s="552" t="s">
        <v>78</v>
      </c>
      <c r="I74" s="552" t="s">
        <v>79</v>
      </c>
      <c r="J74" s="552" t="s">
        <v>80</v>
      </c>
      <c r="K74" s="552" t="s">
        <v>81</v>
      </c>
      <c r="L74" s="552" t="s">
        <v>82</v>
      </c>
      <c r="M74" s="552" t="s">
        <v>83</v>
      </c>
      <c r="N74" s="552" t="s">
        <v>84</v>
      </c>
      <c r="O74" s="552" t="s">
        <v>85</v>
      </c>
      <c r="Q74" s="752" t="s">
        <v>72</v>
      </c>
      <c r="R74" s="752"/>
      <c r="S74" s="552" t="s">
        <v>74</v>
      </c>
      <c r="T74" s="552" t="s">
        <v>75</v>
      </c>
      <c r="U74" s="552" t="s">
        <v>76</v>
      </c>
      <c r="V74" s="552" t="s">
        <v>77</v>
      </c>
      <c r="W74" s="552" t="s">
        <v>78</v>
      </c>
      <c r="X74" s="552" t="s">
        <v>79</v>
      </c>
      <c r="Y74" s="552" t="s">
        <v>80</v>
      </c>
      <c r="Z74" s="552" t="s">
        <v>81</v>
      </c>
      <c r="AA74" s="552" t="s">
        <v>82</v>
      </c>
      <c r="AB74" s="552" t="s">
        <v>83</v>
      </c>
      <c r="AC74" s="552" t="s">
        <v>84</v>
      </c>
      <c r="AD74" s="552" t="s">
        <v>85</v>
      </c>
      <c r="AF74" s="752" t="s">
        <v>72</v>
      </c>
      <c r="AG74" s="752"/>
      <c r="AH74" s="552" t="s">
        <v>74</v>
      </c>
      <c r="AI74" s="552" t="s">
        <v>75</v>
      </c>
      <c r="AJ74" s="552" t="s">
        <v>76</v>
      </c>
      <c r="AK74" s="552" t="s">
        <v>77</v>
      </c>
      <c r="AL74" s="552" t="s">
        <v>78</v>
      </c>
      <c r="AM74" s="552" t="s">
        <v>79</v>
      </c>
      <c r="AN74" s="552" t="s">
        <v>80</v>
      </c>
      <c r="AO74" s="552" t="s">
        <v>81</v>
      </c>
      <c r="AP74" s="552" t="s">
        <v>82</v>
      </c>
      <c r="AQ74" s="552" t="s">
        <v>83</v>
      </c>
      <c r="AR74" s="552" t="s">
        <v>84</v>
      </c>
      <c r="AS74" s="552" t="s">
        <v>85</v>
      </c>
    </row>
    <row r="75" spans="2:45">
      <c r="B75" s="763" t="s">
        <v>128</v>
      </c>
      <c r="C75" s="402" t="s">
        <v>186</v>
      </c>
      <c r="D75" s="564"/>
      <c r="E75" s="564"/>
      <c r="F75" s="564"/>
      <c r="G75" s="564"/>
      <c r="H75" s="564"/>
      <c r="I75" s="564"/>
      <c r="J75" s="564"/>
      <c r="K75" s="564"/>
      <c r="L75" s="564"/>
      <c r="M75" s="564"/>
      <c r="N75" s="564"/>
      <c r="O75" s="564"/>
      <c r="Q75" s="763" t="s">
        <v>128</v>
      </c>
      <c r="R75" s="402" t="s">
        <v>186</v>
      </c>
      <c r="S75" s="601">
        <v>341</v>
      </c>
      <c r="T75" s="601">
        <v>292</v>
      </c>
      <c r="U75" s="601">
        <v>397</v>
      </c>
      <c r="V75" s="601">
        <v>339</v>
      </c>
      <c r="W75" s="601">
        <v>317</v>
      </c>
      <c r="X75" s="601">
        <v>299</v>
      </c>
      <c r="Y75" s="601">
        <v>390</v>
      </c>
      <c r="Z75" s="601">
        <v>320</v>
      </c>
      <c r="AA75" s="601">
        <v>300</v>
      </c>
      <c r="AB75" s="601">
        <v>300</v>
      </c>
      <c r="AC75" s="601">
        <v>0</v>
      </c>
      <c r="AD75" s="601">
        <v>0</v>
      </c>
      <c r="AF75" s="763" t="s">
        <v>128</v>
      </c>
      <c r="AG75" s="402" t="s">
        <v>186</v>
      </c>
      <c r="AH75" s="601">
        <v>341</v>
      </c>
      <c r="AI75" s="601">
        <v>633</v>
      </c>
      <c r="AJ75" s="601">
        <v>1030</v>
      </c>
      <c r="AK75" s="601">
        <v>1369</v>
      </c>
      <c r="AL75" s="601">
        <v>1686</v>
      </c>
      <c r="AM75" s="601">
        <v>1985</v>
      </c>
      <c r="AN75" s="601">
        <v>2375</v>
      </c>
      <c r="AO75" s="601">
        <v>2695</v>
      </c>
      <c r="AP75" s="601">
        <v>2995</v>
      </c>
      <c r="AQ75" s="601">
        <v>3295</v>
      </c>
      <c r="AR75" s="601">
        <v>3295</v>
      </c>
      <c r="AS75" s="601">
        <v>3295</v>
      </c>
    </row>
    <row r="76" spans="2:45">
      <c r="B76" s="763"/>
      <c r="C76" s="402" t="s">
        <v>190</v>
      </c>
      <c r="D76" s="564"/>
      <c r="E76" s="564"/>
      <c r="F76" s="564"/>
      <c r="G76" s="564"/>
      <c r="H76" s="564"/>
      <c r="I76" s="564"/>
      <c r="J76" s="564"/>
      <c r="K76" s="564"/>
      <c r="L76" s="564"/>
      <c r="M76" s="564"/>
      <c r="N76" s="564"/>
      <c r="O76" s="564"/>
      <c r="Q76" s="763"/>
      <c r="R76" s="402" t="s">
        <v>190</v>
      </c>
      <c r="S76" s="601">
        <v>0</v>
      </c>
      <c r="T76" s="601">
        <v>0</v>
      </c>
      <c r="U76" s="601">
        <v>0</v>
      </c>
      <c r="V76" s="601">
        <v>0</v>
      </c>
      <c r="W76" s="601">
        <v>0</v>
      </c>
      <c r="X76" s="601">
        <v>0</v>
      </c>
      <c r="Y76" s="601">
        <v>0</v>
      </c>
      <c r="Z76" s="601">
        <v>0</v>
      </c>
      <c r="AA76" s="601">
        <v>0</v>
      </c>
      <c r="AB76" s="601">
        <v>0</v>
      </c>
      <c r="AC76" s="601">
        <v>1</v>
      </c>
      <c r="AD76" s="601">
        <v>0</v>
      </c>
      <c r="AF76" s="763"/>
      <c r="AG76" s="402" t="s">
        <v>190</v>
      </c>
      <c r="AH76" s="601">
        <v>0</v>
      </c>
      <c r="AI76" s="601">
        <v>0</v>
      </c>
      <c r="AJ76" s="601">
        <v>0</v>
      </c>
      <c r="AK76" s="601">
        <v>0</v>
      </c>
      <c r="AL76" s="601">
        <v>0</v>
      </c>
      <c r="AM76" s="601">
        <v>0</v>
      </c>
      <c r="AN76" s="601">
        <v>0</v>
      </c>
      <c r="AO76" s="601">
        <v>0</v>
      </c>
      <c r="AP76" s="601">
        <v>0</v>
      </c>
      <c r="AQ76" s="601">
        <v>0</v>
      </c>
      <c r="AR76" s="601">
        <v>1</v>
      </c>
      <c r="AS76" s="601">
        <v>1</v>
      </c>
    </row>
    <row r="77" spans="2:45">
      <c r="B77" s="763"/>
      <c r="C77" s="639" t="s">
        <v>190</v>
      </c>
      <c r="D77" s="640">
        <v>0.04</v>
      </c>
      <c r="E77" s="640">
        <v>0.04</v>
      </c>
      <c r="F77" s="640">
        <v>0.04</v>
      </c>
      <c r="G77" s="640">
        <v>0.04</v>
      </c>
      <c r="H77" s="640">
        <v>0.04</v>
      </c>
      <c r="I77" s="640">
        <v>0.04</v>
      </c>
      <c r="J77" s="640">
        <v>0.04</v>
      </c>
      <c r="K77" s="640">
        <v>0.04</v>
      </c>
      <c r="L77" s="640">
        <v>0.04</v>
      </c>
      <c r="M77" s="640">
        <v>0.04</v>
      </c>
      <c r="N77" s="640">
        <v>0.04</v>
      </c>
      <c r="O77" s="640">
        <v>0.04</v>
      </c>
      <c r="Q77" s="763"/>
      <c r="R77" s="639" t="s">
        <v>190</v>
      </c>
      <c r="S77" s="645">
        <v>0</v>
      </c>
      <c r="T77" s="640">
        <v>0</v>
      </c>
      <c r="U77" s="640">
        <v>0</v>
      </c>
      <c r="V77" s="640">
        <v>0</v>
      </c>
      <c r="W77" s="640">
        <v>0</v>
      </c>
      <c r="X77" s="640">
        <v>0</v>
      </c>
      <c r="Y77" s="640">
        <v>0</v>
      </c>
      <c r="Z77" s="640">
        <v>0</v>
      </c>
      <c r="AA77" s="640">
        <v>0</v>
      </c>
      <c r="AB77" s="640">
        <v>0</v>
      </c>
      <c r="AC77" s="640" t="e">
        <v>#DIV/0!</v>
      </c>
      <c r="AD77" s="640" t="e">
        <v>#DIV/0!</v>
      </c>
      <c r="AF77" s="763"/>
      <c r="AG77" s="639" t="s">
        <v>190</v>
      </c>
      <c r="AH77" s="640">
        <v>0</v>
      </c>
      <c r="AI77" s="646">
        <v>0</v>
      </c>
      <c r="AJ77" s="646">
        <v>0</v>
      </c>
      <c r="AK77" s="646">
        <v>0</v>
      </c>
      <c r="AL77" s="646">
        <v>0</v>
      </c>
      <c r="AM77" s="646">
        <v>0</v>
      </c>
      <c r="AN77" s="646">
        <v>0</v>
      </c>
      <c r="AO77" s="646">
        <v>0</v>
      </c>
      <c r="AP77" s="646">
        <v>0</v>
      </c>
      <c r="AQ77" s="646">
        <v>0</v>
      </c>
      <c r="AR77" s="646">
        <v>3.0349013657056147E-2</v>
      </c>
      <c r="AS77" s="646">
        <v>3.0349013657056147E-2</v>
      </c>
    </row>
    <row r="78" spans="2:45">
      <c r="B78" s="763" t="s">
        <v>87</v>
      </c>
      <c r="C78" s="402" t="s">
        <v>186</v>
      </c>
      <c r="D78" s="564"/>
      <c r="E78" s="564"/>
      <c r="F78" s="564"/>
      <c r="G78" s="564"/>
      <c r="H78" s="564"/>
      <c r="I78" s="564"/>
      <c r="J78" s="564"/>
      <c r="K78" s="564"/>
      <c r="L78" s="564"/>
      <c r="M78" s="564"/>
      <c r="N78" s="564"/>
      <c r="O78" s="564"/>
      <c r="Q78" s="763" t="s">
        <v>87</v>
      </c>
      <c r="R78" s="402" t="s">
        <v>186</v>
      </c>
      <c r="S78" s="599">
        <v>466</v>
      </c>
      <c r="T78" s="599">
        <v>413</v>
      </c>
      <c r="U78" s="599">
        <v>389</v>
      </c>
      <c r="V78" s="599">
        <v>322</v>
      </c>
      <c r="W78" s="599">
        <v>319</v>
      </c>
      <c r="X78" s="599">
        <v>261</v>
      </c>
      <c r="Y78" s="599">
        <v>351</v>
      </c>
      <c r="Z78" s="599">
        <v>422</v>
      </c>
      <c r="AA78" s="599">
        <v>489</v>
      </c>
      <c r="AB78" s="599">
        <v>489</v>
      </c>
      <c r="AC78" s="599">
        <v>0</v>
      </c>
      <c r="AD78" s="599">
        <v>0</v>
      </c>
      <c r="AF78" s="763" t="s">
        <v>87</v>
      </c>
      <c r="AG78" s="402" t="s">
        <v>186</v>
      </c>
      <c r="AH78" s="599">
        <v>466</v>
      </c>
      <c r="AI78" s="601">
        <v>879</v>
      </c>
      <c r="AJ78" s="601">
        <v>1268</v>
      </c>
      <c r="AK78" s="601">
        <v>1590</v>
      </c>
      <c r="AL78" s="601">
        <v>1909</v>
      </c>
      <c r="AM78" s="601">
        <v>2170</v>
      </c>
      <c r="AN78" s="601">
        <v>2521</v>
      </c>
      <c r="AO78" s="601">
        <v>2943</v>
      </c>
      <c r="AP78" s="601">
        <v>3432</v>
      </c>
      <c r="AQ78" s="601">
        <v>3921</v>
      </c>
      <c r="AR78" s="601">
        <v>3921</v>
      </c>
      <c r="AS78" s="601">
        <v>3921</v>
      </c>
    </row>
    <row r="79" spans="2:45">
      <c r="B79" s="763"/>
      <c r="C79" s="402" t="s">
        <v>190</v>
      </c>
      <c r="D79" s="564"/>
      <c r="E79" s="564"/>
      <c r="F79" s="564"/>
      <c r="G79" s="564"/>
      <c r="H79" s="564"/>
      <c r="I79" s="564"/>
      <c r="J79" s="564"/>
      <c r="K79" s="564"/>
      <c r="L79" s="564"/>
      <c r="M79" s="564"/>
      <c r="N79" s="564"/>
      <c r="O79" s="564"/>
      <c r="Q79" s="763"/>
      <c r="R79" s="402" t="s">
        <v>190</v>
      </c>
      <c r="S79" s="564">
        <v>0</v>
      </c>
      <c r="T79" s="564">
        <v>0</v>
      </c>
      <c r="U79" s="564">
        <v>0</v>
      </c>
      <c r="V79" s="564">
        <v>0</v>
      </c>
      <c r="W79" s="564">
        <v>0</v>
      </c>
      <c r="X79" s="564">
        <v>0</v>
      </c>
      <c r="Y79" s="564">
        <v>0</v>
      </c>
      <c r="Z79" s="564">
        <v>0</v>
      </c>
      <c r="AA79" s="564">
        <v>0</v>
      </c>
      <c r="AB79" s="564">
        <v>0</v>
      </c>
      <c r="AC79" s="564">
        <v>0</v>
      </c>
      <c r="AD79" s="564">
        <v>1</v>
      </c>
      <c r="AF79" s="763"/>
      <c r="AG79" s="402" t="s">
        <v>190</v>
      </c>
      <c r="AH79" s="564">
        <v>0</v>
      </c>
      <c r="AI79" s="601">
        <v>0</v>
      </c>
      <c r="AJ79" s="601">
        <v>0</v>
      </c>
      <c r="AK79" s="601">
        <v>0</v>
      </c>
      <c r="AL79" s="601">
        <v>0</v>
      </c>
      <c r="AM79" s="601">
        <v>0</v>
      </c>
      <c r="AN79" s="601">
        <v>0</v>
      </c>
      <c r="AO79" s="601">
        <v>0</v>
      </c>
      <c r="AP79" s="601">
        <v>0</v>
      </c>
      <c r="AQ79" s="601">
        <v>0</v>
      </c>
      <c r="AR79" s="601">
        <v>0</v>
      </c>
      <c r="AS79" s="601">
        <v>1</v>
      </c>
    </row>
    <row r="80" spans="2:45">
      <c r="B80" s="763"/>
      <c r="C80" s="639" t="s">
        <v>190</v>
      </c>
      <c r="D80" s="640">
        <v>0.04</v>
      </c>
      <c r="E80" s="640">
        <v>0.04</v>
      </c>
      <c r="F80" s="640">
        <v>0.04</v>
      </c>
      <c r="G80" s="640">
        <v>0.04</v>
      </c>
      <c r="H80" s="640">
        <v>0.04</v>
      </c>
      <c r="I80" s="640">
        <v>0.04</v>
      </c>
      <c r="J80" s="640">
        <v>0.04</v>
      </c>
      <c r="K80" s="640">
        <v>0.04</v>
      </c>
      <c r="L80" s="640">
        <v>0.04</v>
      </c>
      <c r="M80" s="640">
        <v>0.04</v>
      </c>
      <c r="N80" s="640">
        <v>0.04</v>
      </c>
      <c r="O80" s="640">
        <v>0.04</v>
      </c>
      <c r="Q80" s="763"/>
      <c r="R80" s="639" t="s">
        <v>190</v>
      </c>
      <c r="S80" s="645">
        <v>0</v>
      </c>
      <c r="T80" s="640">
        <v>0</v>
      </c>
      <c r="U80" s="640">
        <v>0</v>
      </c>
      <c r="V80" s="640">
        <v>0</v>
      </c>
      <c r="W80" s="640">
        <v>0</v>
      </c>
      <c r="X80" s="640">
        <v>0</v>
      </c>
      <c r="Y80" s="640">
        <v>0</v>
      </c>
      <c r="Z80" s="640">
        <v>0</v>
      </c>
      <c r="AA80" s="640">
        <v>0</v>
      </c>
      <c r="AB80" s="640">
        <v>0</v>
      </c>
      <c r="AC80" s="640" t="e">
        <v>#DIV/0!</v>
      </c>
      <c r="AD80" s="640" t="e">
        <v>#DIV/0!</v>
      </c>
      <c r="AF80" s="763"/>
      <c r="AG80" s="639" t="s">
        <v>190</v>
      </c>
      <c r="AH80" s="640">
        <v>0</v>
      </c>
      <c r="AI80" s="646">
        <v>0</v>
      </c>
      <c r="AJ80" s="646">
        <v>0</v>
      </c>
      <c r="AK80" s="646">
        <v>0</v>
      </c>
      <c r="AL80" s="646">
        <v>0</v>
      </c>
      <c r="AM80" s="646">
        <v>0</v>
      </c>
      <c r="AN80" s="646">
        <v>0</v>
      </c>
      <c r="AO80" s="646">
        <v>0</v>
      </c>
      <c r="AP80" s="646">
        <v>0</v>
      </c>
      <c r="AQ80" s="646">
        <v>0</v>
      </c>
      <c r="AR80" s="646">
        <v>0</v>
      </c>
      <c r="AS80" s="646">
        <v>2.5503698036215251E-2</v>
      </c>
    </row>
    <row r="81" spans="2:45">
      <c r="B81" s="763" t="s">
        <v>88</v>
      </c>
      <c r="C81" s="402" t="s">
        <v>186</v>
      </c>
      <c r="D81" s="564"/>
      <c r="E81" s="564"/>
      <c r="F81" s="564"/>
      <c r="G81" s="564"/>
      <c r="H81" s="564"/>
      <c r="I81" s="564"/>
      <c r="J81" s="564"/>
      <c r="K81" s="564"/>
      <c r="L81" s="564"/>
      <c r="M81" s="564"/>
      <c r="N81" s="564"/>
      <c r="O81" s="564"/>
      <c r="Q81" s="763" t="s">
        <v>88</v>
      </c>
      <c r="R81" s="402" t="s">
        <v>186</v>
      </c>
      <c r="S81" s="600">
        <v>351</v>
      </c>
      <c r="T81" s="600">
        <v>334</v>
      </c>
      <c r="U81" s="600">
        <v>431</v>
      </c>
      <c r="V81" s="600">
        <v>335</v>
      </c>
      <c r="W81" s="600">
        <v>299</v>
      </c>
      <c r="X81" s="600">
        <v>269</v>
      </c>
      <c r="Y81" s="600">
        <v>308</v>
      </c>
      <c r="Z81" s="600">
        <v>322</v>
      </c>
      <c r="AA81" s="600">
        <v>290</v>
      </c>
      <c r="AB81" s="600">
        <v>290</v>
      </c>
      <c r="AC81" s="600">
        <v>0</v>
      </c>
      <c r="AD81" s="600">
        <v>0</v>
      </c>
      <c r="AF81" s="763" t="s">
        <v>88</v>
      </c>
      <c r="AG81" s="402" t="s">
        <v>186</v>
      </c>
      <c r="AH81" s="600">
        <v>351</v>
      </c>
      <c r="AI81" s="601">
        <v>685</v>
      </c>
      <c r="AJ81" s="601">
        <v>1116</v>
      </c>
      <c r="AK81" s="601">
        <v>1451</v>
      </c>
      <c r="AL81" s="601">
        <v>1750</v>
      </c>
      <c r="AM81" s="601">
        <v>2019</v>
      </c>
      <c r="AN81" s="601">
        <v>2327</v>
      </c>
      <c r="AO81" s="601">
        <v>2649</v>
      </c>
      <c r="AP81" s="601">
        <v>2939</v>
      </c>
      <c r="AQ81" s="601">
        <v>3229</v>
      </c>
      <c r="AR81" s="601">
        <v>3229</v>
      </c>
      <c r="AS81" s="601">
        <v>3229</v>
      </c>
    </row>
    <row r="82" spans="2:45">
      <c r="B82" s="763"/>
      <c r="C82" s="402" t="s">
        <v>190</v>
      </c>
      <c r="D82" s="564"/>
      <c r="E82" s="564"/>
      <c r="F82" s="564"/>
      <c r="G82" s="564"/>
      <c r="H82" s="564"/>
      <c r="I82" s="564"/>
      <c r="J82" s="564"/>
      <c r="K82" s="564"/>
      <c r="L82" s="564"/>
      <c r="M82" s="564"/>
      <c r="N82" s="564"/>
      <c r="O82" s="564"/>
      <c r="Q82" s="763"/>
      <c r="R82" s="402" t="s">
        <v>190</v>
      </c>
      <c r="S82" s="600">
        <v>0</v>
      </c>
      <c r="T82" s="600">
        <v>0</v>
      </c>
      <c r="U82" s="600">
        <v>0</v>
      </c>
      <c r="V82" s="600">
        <v>0</v>
      </c>
      <c r="W82" s="600">
        <v>0</v>
      </c>
      <c r="X82" s="600">
        <v>0</v>
      </c>
      <c r="Y82" s="600">
        <v>0</v>
      </c>
      <c r="Z82" s="600">
        <v>0</v>
      </c>
      <c r="AA82" s="600">
        <v>0</v>
      </c>
      <c r="AB82" s="600">
        <v>0</v>
      </c>
      <c r="AC82" s="600">
        <v>1</v>
      </c>
      <c r="AD82" s="600">
        <v>0</v>
      </c>
      <c r="AF82" s="763"/>
      <c r="AG82" s="402" t="s">
        <v>190</v>
      </c>
      <c r="AH82" s="600">
        <v>0</v>
      </c>
      <c r="AI82" s="601">
        <v>0</v>
      </c>
      <c r="AJ82" s="601">
        <v>0</v>
      </c>
      <c r="AK82" s="601">
        <v>0</v>
      </c>
      <c r="AL82" s="601">
        <v>0</v>
      </c>
      <c r="AM82" s="601">
        <v>0</v>
      </c>
      <c r="AN82" s="601">
        <v>0</v>
      </c>
      <c r="AO82" s="601">
        <v>0</v>
      </c>
      <c r="AP82" s="601">
        <v>0</v>
      </c>
      <c r="AQ82" s="601">
        <v>0</v>
      </c>
      <c r="AR82" s="601">
        <v>1</v>
      </c>
      <c r="AS82" s="601">
        <v>1</v>
      </c>
    </row>
    <row r="83" spans="2:45">
      <c r="B83" s="763"/>
      <c r="C83" s="639" t="s">
        <v>190</v>
      </c>
      <c r="D83" s="640">
        <v>0.04</v>
      </c>
      <c r="E83" s="640">
        <v>0.04</v>
      </c>
      <c r="F83" s="640">
        <v>0.04</v>
      </c>
      <c r="G83" s="640">
        <v>0.04</v>
      </c>
      <c r="H83" s="640">
        <v>0.04</v>
      </c>
      <c r="I83" s="640">
        <v>0.04</v>
      </c>
      <c r="J83" s="640">
        <v>0.04</v>
      </c>
      <c r="K83" s="640">
        <v>0.04</v>
      </c>
      <c r="L83" s="640">
        <v>0.04</v>
      </c>
      <c r="M83" s="640">
        <v>0.04</v>
      </c>
      <c r="N83" s="640">
        <v>0.04</v>
      </c>
      <c r="O83" s="640">
        <v>0.04</v>
      </c>
      <c r="Q83" s="763"/>
      <c r="R83" s="639" t="s">
        <v>190</v>
      </c>
      <c r="S83" s="645">
        <v>0</v>
      </c>
      <c r="T83" s="640">
        <v>0</v>
      </c>
      <c r="U83" s="640">
        <v>0</v>
      </c>
      <c r="V83" s="640">
        <v>0</v>
      </c>
      <c r="W83" s="640">
        <v>0</v>
      </c>
      <c r="X83" s="640">
        <v>0</v>
      </c>
      <c r="Y83" s="640">
        <v>0</v>
      </c>
      <c r="Z83" s="640">
        <v>0</v>
      </c>
      <c r="AA83" s="640">
        <v>0</v>
      </c>
      <c r="AB83" s="640">
        <v>0</v>
      </c>
      <c r="AC83" s="640" t="e">
        <v>#DIV/0!</v>
      </c>
      <c r="AD83" s="640" t="e">
        <v>#DIV/0!</v>
      </c>
      <c r="AF83" s="763"/>
      <c r="AG83" s="639" t="s">
        <v>190</v>
      </c>
      <c r="AH83" s="640">
        <v>0</v>
      </c>
      <c r="AI83" s="646">
        <v>0</v>
      </c>
      <c r="AJ83" s="646">
        <v>0</v>
      </c>
      <c r="AK83" s="646">
        <v>0</v>
      </c>
      <c r="AL83" s="646">
        <v>0</v>
      </c>
      <c r="AM83" s="646">
        <v>0</v>
      </c>
      <c r="AN83" s="646">
        <v>0</v>
      </c>
      <c r="AO83" s="646">
        <v>0</v>
      </c>
      <c r="AP83" s="646">
        <v>0</v>
      </c>
      <c r="AQ83" s="646">
        <v>0</v>
      </c>
      <c r="AR83" s="646">
        <v>3.0969340353050479E-2</v>
      </c>
      <c r="AS83" s="646">
        <v>3.0969340353050479E-2</v>
      </c>
    </row>
    <row r="84" spans="2:45">
      <c r="B84" s="763" t="s">
        <v>121</v>
      </c>
      <c r="C84" s="402" t="s">
        <v>186</v>
      </c>
      <c r="D84" s="564"/>
      <c r="E84" s="564"/>
      <c r="F84" s="564"/>
      <c r="G84" s="564"/>
      <c r="H84" s="564"/>
      <c r="I84" s="564"/>
      <c r="J84" s="564"/>
      <c r="K84" s="564"/>
      <c r="L84" s="564"/>
      <c r="M84" s="564"/>
      <c r="N84" s="564"/>
      <c r="O84" s="564"/>
      <c r="Q84" s="763" t="s">
        <v>121</v>
      </c>
      <c r="R84" s="402" t="s">
        <v>186</v>
      </c>
      <c r="S84" s="599">
        <v>209</v>
      </c>
      <c r="T84" s="599">
        <v>341</v>
      </c>
      <c r="U84" s="599">
        <v>351</v>
      </c>
      <c r="V84" s="599">
        <v>249</v>
      </c>
      <c r="W84" s="599">
        <v>213</v>
      </c>
      <c r="X84" s="599">
        <v>224</v>
      </c>
      <c r="Y84" s="599">
        <v>220</v>
      </c>
      <c r="Z84" s="599">
        <v>218</v>
      </c>
      <c r="AA84" s="599">
        <v>200</v>
      </c>
      <c r="AB84" s="599">
        <v>200</v>
      </c>
      <c r="AC84" s="599">
        <v>0</v>
      </c>
      <c r="AD84" s="599">
        <v>0</v>
      </c>
      <c r="AF84" s="763" t="s">
        <v>121</v>
      </c>
      <c r="AG84" s="402" t="s">
        <v>186</v>
      </c>
      <c r="AH84" s="599">
        <v>209</v>
      </c>
      <c r="AI84" s="601">
        <v>550</v>
      </c>
      <c r="AJ84" s="601">
        <v>901</v>
      </c>
      <c r="AK84" s="601">
        <v>1150</v>
      </c>
      <c r="AL84" s="601">
        <v>1363</v>
      </c>
      <c r="AM84" s="601">
        <v>1587</v>
      </c>
      <c r="AN84" s="601">
        <v>1807</v>
      </c>
      <c r="AO84" s="601">
        <v>2025</v>
      </c>
      <c r="AP84" s="601">
        <v>2225</v>
      </c>
      <c r="AQ84" s="601">
        <v>2425</v>
      </c>
      <c r="AR84" s="601">
        <v>2425</v>
      </c>
      <c r="AS84" s="601">
        <v>2425</v>
      </c>
    </row>
    <row r="85" spans="2:45">
      <c r="B85" s="763"/>
      <c r="C85" s="402" t="s">
        <v>190</v>
      </c>
      <c r="D85" s="564"/>
      <c r="E85" s="564"/>
      <c r="F85" s="564"/>
      <c r="G85" s="564"/>
      <c r="H85" s="564"/>
      <c r="I85" s="564"/>
      <c r="J85" s="564"/>
      <c r="K85" s="564"/>
      <c r="L85" s="564"/>
      <c r="M85" s="564"/>
      <c r="N85" s="564"/>
      <c r="O85" s="564"/>
      <c r="Q85" s="763"/>
      <c r="R85" s="402" t="s">
        <v>190</v>
      </c>
      <c r="S85" s="564">
        <v>0</v>
      </c>
      <c r="T85" s="564">
        <v>0</v>
      </c>
      <c r="U85" s="564">
        <v>0</v>
      </c>
      <c r="V85" s="564">
        <v>0</v>
      </c>
      <c r="W85" s="564">
        <v>0</v>
      </c>
      <c r="X85" s="564">
        <v>0</v>
      </c>
      <c r="Y85" s="564">
        <v>0</v>
      </c>
      <c r="Z85" s="564">
        <v>0</v>
      </c>
      <c r="AA85" s="564">
        <v>0</v>
      </c>
      <c r="AB85" s="564">
        <v>0</v>
      </c>
      <c r="AC85" s="564">
        <v>0</v>
      </c>
      <c r="AD85" s="564">
        <v>0</v>
      </c>
      <c r="AF85" s="763"/>
      <c r="AG85" s="402" t="s">
        <v>190</v>
      </c>
      <c r="AH85" s="564">
        <v>0</v>
      </c>
      <c r="AI85" s="601">
        <v>0</v>
      </c>
      <c r="AJ85" s="601">
        <v>0</v>
      </c>
      <c r="AK85" s="601">
        <v>0</v>
      </c>
      <c r="AL85" s="601">
        <v>0</v>
      </c>
      <c r="AM85" s="601">
        <v>0</v>
      </c>
      <c r="AN85" s="601">
        <v>0</v>
      </c>
      <c r="AO85" s="601">
        <v>0</v>
      </c>
      <c r="AP85" s="601">
        <v>0</v>
      </c>
      <c r="AQ85" s="601">
        <v>0</v>
      </c>
      <c r="AR85" s="601">
        <v>0</v>
      </c>
      <c r="AS85" s="601">
        <v>0</v>
      </c>
    </row>
    <row r="86" spans="2:45">
      <c r="B86" s="763"/>
      <c r="C86" s="639" t="s">
        <v>190</v>
      </c>
      <c r="D86" s="640">
        <v>0.04</v>
      </c>
      <c r="E86" s="640">
        <v>0.04</v>
      </c>
      <c r="F86" s="640">
        <v>0.04</v>
      </c>
      <c r="G86" s="640">
        <v>0.04</v>
      </c>
      <c r="H86" s="640">
        <v>0.04</v>
      </c>
      <c r="I86" s="640">
        <v>0.04</v>
      </c>
      <c r="J86" s="640">
        <v>0.04</v>
      </c>
      <c r="K86" s="640">
        <v>0.04</v>
      </c>
      <c r="L86" s="640">
        <v>0.04</v>
      </c>
      <c r="M86" s="640">
        <v>0.04</v>
      </c>
      <c r="N86" s="640">
        <v>0.04</v>
      </c>
      <c r="O86" s="640">
        <v>0.04</v>
      </c>
      <c r="Q86" s="763"/>
      <c r="R86" s="639" t="s">
        <v>190</v>
      </c>
      <c r="S86" s="645">
        <v>0</v>
      </c>
      <c r="T86" s="640">
        <v>0</v>
      </c>
      <c r="U86" s="640">
        <v>0</v>
      </c>
      <c r="V86" s="640">
        <v>0</v>
      </c>
      <c r="W86" s="640">
        <v>0</v>
      </c>
      <c r="X86" s="640">
        <v>0</v>
      </c>
      <c r="Y86" s="640">
        <v>0</v>
      </c>
      <c r="Z86" s="640">
        <v>0</v>
      </c>
      <c r="AA86" s="640">
        <v>0</v>
      </c>
      <c r="AB86" s="640">
        <v>0</v>
      </c>
      <c r="AC86" s="640" t="e">
        <v>#DIV/0!</v>
      </c>
      <c r="AD86" s="640" t="e">
        <v>#DIV/0!</v>
      </c>
      <c r="AF86" s="763"/>
      <c r="AG86" s="639" t="s">
        <v>190</v>
      </c>
      <c r="AH86" s="640">
        <v>0</v>
      </c>
      <c r="AI86" s="646">
        <v>0</v>
      </c>
      <c r="AJ86" s="646">
        <v>0</v>
      </c>
      <c r="AK86" s="646">
        <v>0</v>
      </c>
      <c r="AL86" s="646">
        <v>0</v>
      </c>
      <c r="AM86" s="646">
        <v>0</v>
      </c>
      <c r="AN86" s="646">
        <v>0</v>
      </c>
      <c r="AO86" s="646">
        <v>0</v>
      </c>
      <c r="AP86" s="646">
        <v>0</v>
      </c>
      <c r="AQ86" s="646">
        <v>0</v>
      </c>
      <c r="AR86" s="646">
        <v>0</v>
      </c>
      <c r="AS86" s="646">
        <v>0</v>
      </c>
    </row>
    <row r="87" spans="2:45">
      <c r="B87" s="763" t="s">
        <v>89</v>
      </c>
      <c r="C87" s="402" t="s">
        <v>186</v>
      </c>
      <c r="D87" s="564"/>
      <c r="E87" s="564"/>
      <c r="F87" s="564"/>
      <c r="G87" s="564"/>
      <c r="H87" s="564"/>
      <c r="I87" s="564"/>
      <c r="J87" s="564"/>
      <c r="K87" s="564"/>
      <c r="L87" s="564"/>
      <c r="M87" s="564"/>
      <c r="N87" s="564"/>
      <c r="O87" s="564"/>
      <c r="Q87" s="763" t="s">
        <v>89</v>
      </c>
      <c r="R87" s="402" t="s">
        <v>186</v>
      </c>
      <c r="S87" s="599">
        <v>947</v>
      </c>
      <c r="T87" s="599">
        <v>887</v>
      </c>
      <c r="U87" s="599">
        <v>975</v>
      </c>
      <c r="V87" s="599">
        <v>975</v>
      </c>
      <c r="W87" s="599">
        <v>892</v>
      </c>
      <c r="X87" s="599">
        <v>874</v>
      </c>
      <c r="Y87" s="599">
        <v>832</v>
      </c>
      <c r="Z87" s="599">
        <v>874</v>
      </c>
      <c r="AA87" s="599">
        <v>123</v>
      </c>
      <c r="AB87" s="599">
        <v>123</v>
      </c>
      <c r="AC87" s="599">
        <v>0</v>
      </c>
      <c r="AD87" s="599">
        <v>0</v>
      </c>
      <c r="AF87" s="763" t="s">
        <v>89</v>
      </c>
      <c r="AG87" s="402" t="s">
        <v>186</v>
      </c>
      <c r="AH87" s="599">
        <v>947</v>
      </c>
      <c r="AI87" s="601">
        <v>1834</v>
      </c>
      <c r="AJ87" s="601">
        <v>2809</v>
      </c>
      <c r="AK87" s="601">
        <v>3784</v>
      </c>
      <c r="AL87" s="601">
        <v>4676</v>
      </c>
      <c r="AM87" s="601">
        <v>5550</v>
      </c>
      <c r="AN87" s="601">
        <v>6382</v>
      </c>
      <c r="AO87" s="601">
        <v>7256</v>
      </c>
      <c r="AP87" s="601">
        <v>7379</v>
      </c>
      <c r="AQ87" s="601">
        <v>7502</v>
      </c>
      <c r="AR87" s="601">
        <v>7502</v>
      </c>
      <c r="AS87" s="601">
        <v>7502</v>
      </c>
    </row>
    <row r="88" spans="2:45">
      <c r="B88" s="763"/>
      <c r="C88" s="402" t="s">
        <v>190</v>
      </c>
      <c r="D88" s="564"/>
      <c r="E88" s="564"/>
      <c r="F88" s="564"/>
      <c r="G88" s="564"/>
      <c r="H88" s="564"/>
      <c r="I88" s="564"/>
      <c r="J88" s="564"/>
      <c r="K88" s="564"/>
      <c r="L88" s="564"/>
      <c r="M88" s="564"/>
      <c r="N88" s="564"/>
      <c r="O88" s="564"/>
      <c r="Q88" s="763"/>
      <c r="R88" s="402" t="s">
        <v>190</v>
      </c>
      <c r="S88" s="564">
        <v>0</v>
      </c>
      <c r="T88" s="564">
        <v>0</v>
      </c>
      <c r="U88" s="564">
        <v>0</v>
      </c>
      <c r="V88" s="564">
        <v>0</v>
      </c>
      <c r="W88" s="564">
        <v>0</v>
      </c>
      <c r="X88" s="564">
        <v>0</v>
      </c>
      <c r="Y88" s="564">
        <v>0</v>
      </c>
      <c r="Z88" s="564">
        <v>0</v>
      </c>
      <c r="AA88" s="564">
        <v>0</v>
      </c>
      <c r="AB88" s="564">
        <v>0</v>
      </c>
      <c r="AC88" s="564">
        <v>0</v>
      </c>
      <c r="AD88" s="564">
        <v>0</v>
      </c>
      <c r="AF88" s="763"/>
      <c r="AG88" s="402" t="s">
        <v>190</v>
      </c>
      <c r="AH88" s="564">
        <v>0</v>
      </c>
      <c r="AI88" s="601">
        <v>0</v>
      </c>
      <c r="AJ88" s="601">
        <v>0</v>
      </c>
      <c r="AK88" s="601">
        <v>0</v>
      </c>
      <c r="AL88" s="601">
        <v>0</v>
      </c>
      <c r="AM88" s="601">
        <v>0</v>
      </c>
      <c r="AN88" s="601">
        <v>0</v>
      </c>
      <c r="AO88" s="601">
        <v>0</v>
      </c>
      <c r="AP88" s="601">
        <v>0</v>
      </c>
      <c r="AQ88" s="601">
        <v>0</v>
      </c>
      <c r="AR88" s="601">
        <v>0</v>
      </c>
      <c r="AS88" s="601">
        <v>0</v>
      </c>
    </row>
    <row r="89" spans="2:45">
      <c r="B89" s="763"/>
      <c r="C89" s="639" t="s">
        <v>190</v>
      </c>
      <c r="D89" s="640">
        <v>0.04</v>
      </c>
      <c r="E89" s="640">
        <v>0.04</v>
      </c>
      <c r="F89" s="640">
        <v>0.04</v>
      </c>
      <c r="G89" s="640">
        <v>0.04</v>
      </c>
      <c r="H89" s="640">
        <v>0.04</v>
      </c>
      <c r="I89" s="640">
        <v>0.04</v>
      </c>
      <c r="J89" s="640">
        <v>0.04</v>
      </c>
      <c r="K89" s="640">
        <v>0.04</v>
      </c>
      <c r="L89" s="640">
        <v>0.04</v>
      </c>
      <c r="M89" s="640">
        <v>0.04</v>
      </c>
      <c r="N89" s="640">
        <v>0.04</v>
      </c>
      <c r="O89" s="640">
        <v>0.04</v>
      </c>
      <c r="Q89" s="763"/>
      <c r="R89" s="639" t="s">
        <v>190</v>
      </c>
      <c r="S89" s="645">
        <v>0</v>
      </c>
      <c r="T89" s="640">
        <v>0</v>
      </c>
      <c r="U89" s="640">
        <v>0</v>
      </c>
      <c r="V89" s="640">
        <v>0</v>
      </c>
      <c r="W89" s="640">
        <v>0</v>
      </c>
      <c r="X89" s="640">
        <v>0</v>
      </c>
      <c r="Y89" s="640">
        <v>0</v>
      </c>
      <c r="Z89" s="640">
        <v>0</v>
      </c>
      <c r="AA89" s="640">
        <v>0</v>
      </c>
      <c r="AB89" s="640">
        <v>0</v>
      </c>
      <c r="AC89" s="640" t="e">
        <v>#DIV/0!</v>
      </c>
      <c r="AD89" s="640" t="e">
        <v>#DIV/0!</v>
      </c>
      <c r="AF89" s="763"/>
      <c r="AG89" s="639" t="s">
        <v>190</v>
      </c>
      <c r="AH89" s="640">
        <v>0</v>
      </c>
      <c r="AI89" s="646">
        <v>0</v>
      </c>
      <c r="AJ89" s="646">
        <v>0</v>
      </c>
      <c r="AK89" s="646">
        <v>0</v>
      </c>
      <c r="AL89" s="646">
        <v>0</v>
      </c>
      <c r="AM89" s="646">
        <v>0</v>
      </c>
      <c r="AN89" s="646">
        <v>0</v>
      </c>
      <c r="AO89" s="646">
        <v>0</v>
      </c>
      <c r="AP89" s="646">
        <v>0</v>
      </c>
      <c r="AQ89" s="646">
        <v>0</v>
      </c>
      <c r="AR89" s="646">
        <v>0</v>
      </c>
      <c r="AS89" s="646">
        <v>0</v>
      </c>
    </row>
    <row r="90" spans="2:45">
      <c r="B90" s="763" t="s">
        <v>90</v>
      </c>
      <c r="C90" s="402" t="s">
        <v>186</v>
      </c>
      <c r="D90" s="564"/>
      <c r="E90" s="564"/>
      <c r="F90" s="564"/>
      <c r="G90" s="564"/>
      <c r="H90" s="564"/>
      <c r="I90" s="564"/>
      <c r="J90" s="564"/>
      <c r="K90" s="564"/>
      <c r="L90" s="564"/>
      <c r="M90" s="564"/>
      <c r="N90" s="564"/>
      <c r="O90" s="564"/>
      <c r="Q90" s="763" t="s">
        <v>90</v>
      </c>
      <c r="R90" s="402" t="s">
        <v>186</v>
      </c>
      <c r="S90" s="599">
        <v>2314</v>
      </c>
      <c r="T90" s="599">
        <v>2267</v>
      </c>
      <c r="U90" s="599">
        <v>2543</v>
      </c>
      <c r="V90" s="599">
        <v>2220</v>
      </c>
      <c r="W90" s="599">
        <v>2040</v>
      </c>
      <c r="X90" s="599">
        <v>1927</v>
      </c>
      <c r="Y90" s="599">
        <v>2101</v>
      </c>
      <c r="Z90" s="599">
        <v>2156</v>
      </c>
      <c r="AA90" s="599">
        <v>1402</v>
      </c>
      <c r="AB90" s="599">
        <v>1402</v>
      </c>
      <c r="AC90" s="599">
        <v>0</v>
      </c>
      <c r="AD90" s="599">
        <v>0</v>
      </c>
      <c r="AF90" s="763" t="s">
        <v>90</v>
      </c>
      <c r="AG90" s="402" t="s">
        <v>186</v>
      </c>
      <c r="AH90" s="599">
        <v>2314</v>
      </c>
      <c r="AI90" s="599">
        <v>4581</v>
      </c>
      <c r="AJ90" s="599">
        <v>7124</v>
      </c>
      <c r="AK90" s="599">
        <v>9344</v>
      </c>
      <c r="AL90" s="599">
        <v>11384</v>
      </c>
      <c r="AM90" s="599">
        <v>13311</v>
      </c>
      <c r="AN90" s="599">
        <v>15412</v>
      </c>
      <c r="AO90" s="599">
        <v>17568</v>
      </c>
      <c r="AP90" s="599">
        <v>18970</v>
      </c>
      <c r="AQ90" s="599">
        <v>20372</v>
      </c>
      <c r="AR90" s="599">
        <v>20372</v>
      </c>
      <c r="AS90" s="599">
        <v>20372</v>
      </c>
    </row>
    <row r="91" spans="2:45">
      <c r="B91" s="763"/>
      <c r="C91" s="402" t="s">
        <v>190</v>
      </c>
      <c r="D91" s="564"/>
      <c r="E91" s="564"/>
      <c r="F91" s="564"/>
      <c r="G91" s="564"/>
      <c r="H91" s="564"/>
      <c r="I91" s="564"/>
      <c r="J91" s="564"/>
      <c r="K91" s="564"/>
      <c r="L91" s="564"/>
      <c r="M91" s="564"/>
      <c r="N91" s="564"/>
      <c r="O91" s="564"/>
      <c r="Q91" s="763"/>
      <c r="R91" s="402" t="s">
        <v>190</v>
      </c>
      <c r="S91" s="600">
        <v>0</v>
      </c>
      <c r="T91" s="600">
        <v>0</v>
      </c>
      <c r="U91" s="600">
        <v>0</v>
      </c>
      <c r="V91" s="600">
        <v>0</v>
      </c>
      <c r="W91" s="600">
        <v>0</v>
      </c>
      <c r="X91" s="600">
        <v>0</v>
      </c>
      <c r="Y91" s="600">
        <v>0</v>
      </c>
      <c r="Z91" s="600">
        <v>0</v>
      </c>
      <c r="AA91" s="564">
        <v>0</v>
      </c>
      <c r="AB91" s="564">
        <v>0</v>
      </c>
      <c r="AC91" s="564">
        <v>0</v>
      </c>
      <c r="AD91" s="564">
        <v>1</v>
      </c>
      <c r="AF91" s="763"/>
      <c r="AG91" s="402" t="s">
        <v>190</v>
      </c>
      <c r="AH91" s="600">
        <v>0</v>
      </c>
      <c r="AI91" s="600">
        <v>0</v>
      </c>
      <c r="AJ91" s="600">
        <v>0</v>
      </c>
      <c r="AK91" s="600">
        <v>0</v>
      </c>
      <c r="AL91" s="600">
        <v>0</v>
      </c>
      <c r="AM91" s="600">
        <v>0</v>
      </c>
      <c r="AN91" s="600">
        <v>0</v>
      </c>
      <c r="AO91" s="600">
        <v>0</v>
      </c>
      <c r="AP91" s="600">
        <v>0</v>
      </c>
      <c r="AQ91" s="600">
        <v>0</v>
      </c>
      <c r="AR91" s="600">
        <v>0</v>
      </c>
      <c r="AS91" s="600">
        <v>1</v>
      </c>
    </row>
    <row r="92" spans="2:45">
      <c r="B92" s="763"/>
      <c r="C92" s="639" t="s">
        <v>190</v>
      </c>
      <c r="D92" s="640">
        <v>0.04</v>
      </c>
      <c r="E92" s="640">
        <v>0.04</v>
      </c>
      <c r="F92" s="640">
        <v>0.04</v>
      </c>
      <c r="G92" s="640">
        <v>0.04</v>
      </c>
      <c r="H92" s="640">
        <v>0.04</v>
      </c>
      <c r="I92" s="640">
        <v>0.04</v>
      </c>
      <c r="J92" s="640">
        <v>0.04</v>
      </c>
      <c r="K92" s="640">
        <v>0.04</v>
      </c>
      <c r="L92" s="640">
        <v>0.04</v>
      </c>
      <c r="M92" s="640">
        <v>0.04</v>
      </c>
      <c r="N92" s="640">
        <v>0.04</v>
      </c>
      <c r="O92" s="640">
        <v>0.04</v>
      </c>
      <c r="Q92" s="763"/>
      <c r="R92" s="639" t="s">
        <v>190</v>
      </c>
      <c r="S92" s="645">
        <v>0</v>
      </c>
      <c r="T92" s="640">
        <v>0</v>
      </c>
      <c r="U92" s="640">
        <v>0</v>
      </c>
      <c r="V92" s="640">
        <v>0</v>
      </c>
      <c r="W92" s="640">
        <v>0</v>
      </c>
      <c r="X92" s="640">
        <v>0</v>
      </c>
      <c r="Y92" s="640">
        <v>0</v>
      </c>
      <c r="Z92" s="640">
        <v>0</v>
      </c>
      <c r="AA92" s="640">
        <v>0</v>
      </c>
      <c r="AB92" s="640">
        <v>0</v>
      </c>
      <c r="AC92" s="640" t="e">
        <v>#DIV/0!</v>
      </c>
      <c r="AD92" s="640" t="e">
        <v>#DIV/0!</v>
      </c>
      <c r="AF92" s="763"/>
      <c r="AG92" s="639" t="s">
        <v>190</v>
      </c>
      <c r="AH92" s="640">
        <v>0</v>
      </c>
      <c r="AI92" s="640">
        <v>0</v>
      </c>
      <c r="AJ92" s="640">
        <v>0</v>
      </c>
      <c r="AK92" s="640">
        <v>0</v>
      </c>
      <c r="AL92" s="640">
        <v>0</v>
      </c>
      <c r="AM92" s="640">
        <v>0</v>
      </c>
      <c r="AN92" s="640">
        <v>0</v>
      </c>
      <c r="AO92" s="640">
        <v>0</v>
      </c>
      <c r="AP92" s="640">
        <v>0</v>
      </c>
      <c r="AQ92" s="640">
        <v>0</v>
      </c>
      <c r="AR92" s="640">
        <v>0</v>
      </c>
      <c r="AS92" s="640">
        <v>4.9086982132338502E-3</v>
      </c>
    </row>
    <row r="93" spans="2:45">
      <c r="B93" s="264"/>
      <c r="D93" s="105"/>
      <c r="E93" s="105"/>
      <c r="F93" s="105"/>
      <c r="G93" s="105"/>
      <c r="H93" s="105"/>
      <c r="I93" s="105"/>
      <c r="J93" s="105"/>
      <c r="K93" s="105"/>
      <c r="L93" s="105"/>
      <c r="M93" s="105"/>
      <c r="N93" s="105"/>
      <c r="O93" s="105"/>
      <c r="S93" s="577"/>
      <c r="T93" s="577"/>
      <c r="U93" s="577"/>
      <c r="V93" s="577"/>
      <c r="W93" s="577"/>
      <c r="X93" s="577"/>
      <c r="Y93" s="577"/>
      <c r="Z93" s="577"/>
      <c r="AA93" s="577"/>
      <c r="AB93" s="577"/>
      <c r="AC93" s="577"/>
      <c r="AD93" s="577"/>
      <c r="AH93" s="105"/>
      <c r="AI93" s="105"/>
      <c r="AJ93" s="105"/>
      <c r="AK93" s="105"/>
      <c r="AL93" s="105"/>
      <c r="AM93" s="105"/>
      <c r="AN93" s="105"/>
      <c r="AO93" s="105"/>
      <c r="AP93" s="105"/>
      <c r="AQ93" s="105"/>
      <c r="AR93" s="577"/>
      <c r="AS93" s="105"/>
    </row>
    <row r="94" spans="2:45">
      <c r="B94" s="687" t="s">
        <v>191</v>
      </c>
      <c r="D94" s="105"/>
      <c r="E94" s="105"/>
      <c r="F94" s="105"/>
      <c r="G94" s="105"/>
      <c r="H94" s="105"/>
      <c r="I94" s="105"/>
      <c r="J94" s="105"/>
      <c r="K94" s="105"/>
      <c r="L94" s="105"/>
      <c r="M94" s="105"/>
      <c r="N94" s="105"/>
      <c r="O94" s="105"/>
      <c r="Q94" s="181" t="s">
        <v>191</v>
      </c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5"/>
      <c r="AD94" s="105"/>
      <c r="AF94" s="181" t="s">
        <v>191</v>
      </c>
      <c r="AH94" s="105"/>
      <c r="AI94" s="105"/>
      <c r="AJ94" s="105"/>
      <c r="AK94" s="105"/>
      <c r="AL94" s="105"/>
      <c r="AM94" s="105"/>
      <c r="AN94" s="105"/>
      <c r="AO94" s="105"/>
      <c r="AP94" s="105"/>
      <c r="AQ94" s="105"/>
      <c r="AR94" s="105"/>
      <c r="AS94" s="105"/>
    </row>
    <row r="95" spans="2:45">
      <c r="B95" s="21" t="s">
        <v>100</v>
      </c>
      <c r="D95" s="105"/>
      <c r="E95" s="105"/>
      <c r="F95" s="105"/>
      <c r="G95" s="105"/>
      <c r="H95" s="105"/>
      <c r="I95" s="105"/>
      <c r="J95" s="105"/>
      <c r="K95" s="105"/>
      <c r="L95" s="105"/>
      <c r="M95" s="105"/>
      <c r="N95" s="105"/>
      <c r="O95" s="105"/>
      <c r="Q95" t="s">
        <v>126</v>
      </c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5"/>
      <c r="AD95" s="105"/>
      <c r="AF95" t="s">
        <v>181</v>
      </c>
      <c r="AH95" s="105"/>
      <c r="AI95" s="105"/>
      <c r="AJ95" s="105"/>
      <c r="AK95" s="105"/>
      <c r="AL95" s="105"/>
      <c r="AM95" s="105"/>
      <c r="AN95" s="105"/>
      <c r="AO95" s="105"/>
      <c r="AP95" s="105"/>
      <c r="AQ95" s="105"/>
      <c r="AR95" s="105"/>
      <c r="AS95" s="105"/>
    </row>
    <row r="96" spans="2:45">
      <c r="B96" s="752" t="s">
        <v>72</v>
      </c>
      <c r="C96" s="752"/>
      <c r="D96" s="552" t="s">
        <v>74</v>
      </c>
      <c r="E96" s="552" t="s">
        <v>75</v>
      </c>
      <c r="F96" s="552" t="s">
        <v>76</v>
      </c>
      <c r="G96" s="552" t="s">
        <v>77</v>
      </c>
      <c r="H96" s="552" t="s">
        <v>78</v>
      </c>
      <c r="I96" s="552" t="s">
        <v>79</v>
      </c>
      <c r="J96" s="552" t="s">
        <v>80</v>
      </c>
      <c r="K96" s="552" t="s">
        <v>81</v>
      </c>
      <c r="L96" s="552" t="s">
        <v>82</v>
      </c>
      <c r="M96" s="552" t="s">
        <v>83</v>
      </c>
      <c r="N96" s="552" t="s">
        <v>84</v>
      </c>
      <c r="O96" s="552" t="s">
        <v>85</v>
      </c>
      <c r="Q96" s="752" t="s">
        <v>72</v>
      </c>
      <c r="R96" s="752"/>
      <c r="S96" s="552" t="s">
        <v>74</v>
      </c>
      <c r="T96" s="552" t="s">
        <v>75</v>
      </c>
      <c r="U96" s="552" t="s">
        <v>76</v>
      </c>
      <c r="V96" s="552" t="s">
        <v>77</v>
      </c>
      <c r="W96" s="552" t="s">
        <v>78</v>
      </c>
      <c r="X96" s="552" t="s">
        <v>79</v>
      </c>
      <c r="Y96" s="552" t="s">
        <v>80</v>
      </c>
      <c r="Z96" s="552" t="s">
        <v>81</v>
      </c>
      <c r="AA96" s="552" t="s">
        <v>82</v>
      </c>
      <c r="AB96" s="552" t="s">
        <v>83</v>
      </c>
      <c r="AC96" s="552" t="s">
        <v>84</v>
      </c>
      <c r="AD96" s="552" t="s">
        <v>85</v>
      </c>
      <c r="AF96" s="752" t="s">
        <v>72</v>
      </c>
      <c r="AG96" s="752"/>
      <c r="AH96" s="552" t="s">
        <v>74</v>
      </c>
      <c r="AI96" s="552" t="s">
        <v>75</v>
      </c>
      <c r="AJ96" s="552" t="s">
        <v>76</v>
      </c>
      <c r="AK96" s="552" t="s">
        <v>77</v>
      </c>
      <c r="AL96" s="552" t="s">
        <v>78</v>
      </c>
      <c r="AM96" s="552" t="s">
        <v>79</v>
      </c>
      <c r="AN96" s="552" t="s">
        <v>80</v>
      </c>
      <c r="AO96" s="552" t="s">
        <v>81</v>
      </c>
      <c r="AP96" s="552" t="s">
        <v>82</v>
      </c>
      <c r="AQ96" s="552" t="s">
        <v>83</v>
      </c>
      <c r="AR96" s="552" t="s">
        <v>84</v>
      </c>
      <c r="AS96" s="552" t="s">
        <v>85</v>
      </c>
    </row>
    <row r="97" spans="1:47" s="124" customFormat="1" ht="30.6" customHeight="1">
      <c r="A97" s="125"/>
      <c r="B97" s="557" t="s">
        <v>192</v>
      </c>
      <c r="C97" s="683" t="s">
        <v>193</v>
      </c>
      <c r="D97" s="684">
        <v>4.9000000000000004</v>
      </c>
      <c r="E97" s="684">
        <v>4.9000000000000004</v>
      </c>
      <c r="F97" s="684">
        <v>4.9000000000000004</v>
      </c>
      <c r="G97" s="684">
        <v>4.9000000000000004</v>
      </c>
      <c r="H97" s="684">
        <v>4.9000000000000004</v>
      </c>
      <c r="I97" s="684">
        <v>4.9000000000000004</v>
      </c>
      <c r="J97" s="684">
        <v>4.9000000000000004</v>
      </c>
      <c r="K97" s="684">
        <v>4.9000000000000004</v>
      </c>
      <c r="L97" s="684">
        <v>4.9000000000000004</v>
      </c>
      <c r="M97" s="684">
        <v>4.9000000000000004</v>
      </c>
      <c r="N97" s="684">
        <v>4.9000000000000004</v>
      </c>
      <c r="O97" s="684">
        <v>4.9000000000000004</v>
      </c>
      <c r="Q97" s="557" t="s">
        <v>192</v>
      </c>
      <c r="R97" s="683" t="s">
        <v>193</v>
      </c>
      <c r="S97" s="685">
        <v>4.91</v>
      </c>
      <c r="T97" s="685">
        <v>4.91</v>
      </c>
      <c r="U97" s="685">
        <v>4.91</v>
      </c>
      <c r="V97" s="685">
        <v>4.91</v>
      </c>
      <c r="W97" s="685">
        <v>4.9000000000000004</v>
      </c>
      <c r="X97" s="685">
        <v>4.9000000000000004</v>
      </c>
      <c r="Y97" s="694">
        <v>4.9000000000000004</v>
      </c>
      <c r="Z97" s="694">
        <v>4.9000000000000004</v>
      </c>
      <c r="AA97" s="694">
        <v>4.9000000000000004</v>
      </c>
      <c r="AB97" s="694">
        <v>4.9000000000000004</v>
      </c>
      <c r="AC97" s="694">
        <v>4.9000000000000004</v>
      </c>
      <c r="AD97" s="694">
        <v>4.9000000000000004</v>
      </c>
      <c r="AF97" s="557" t="s">
        <v>192</v>
      </c>
      <c r="AG97" s="683" t="s">
        <v>193</v>
      </c>
      <c r="AH97" s="685">
        <v>4.91</v>
      </c>
      <c r="AI97" s="685">
        <v>4.91</v>
      </c>
      <c r="AJ97" s="685">
        <v>4.91</v>
      </c>
      <c r="AK97" s="685">
        <v>4.91</v>
      </c>
      <c r="AL97" s="685">
        <v>4.9000000000000004</v>
      </c>
      <c r="AM97" s="685">
        <v>4.9000000000000004</v>
      </c>
      <c r="AN97" s="685">
        <v>4.9000000000000004</v>
      </c>
      <c r="AO97" s="685">
        <v>4.9000000000000004</v>
      </c>
      <c r="AP97" s="685">
        <v>4.9000000000000004</v>
      </c>
      <c r="AQ97" s="685">
        <v>4.9000000000000004</v>
      </c>
      <c r="AR97" s="685">
        <v>4.9000000000000004</v>
      </c>
      <c r="AS97" s="685">
        <v>4.9000000000000004</v>
      </c>
      <c r="AU97" s="686"/>
    </row>
    <row r="98" spans="1:47">
      <c r="A98"/>
      <c r="D98" s="105"/>
      <c r="E98" s="105"/>
      <c r="F98" s="105"/>
      <c r="G98" s="105"/>
      <c r="H98" s="105"/>
      <c r="I98" s="105"/>
      <c r="J98" s="105"/>
      <c r="K98" s="105"/>
      <c r="L98" s="105"/>
      <c r="M98" s="105"/>
      <c r="N98" s="105"/>
      <c r="O98" s="105"/>
      <c r="S98" s="577"/>
      <c r="T98" s="577"/>
      <c r="U98" s="577"/>
      <c r="V98" s="577"/>
      <c r="W98" s="577"/>
      <c r="X98" s="577"/>
      <c r="Y98" s="577"/>
      <c r="Z98" s="577"/>
      <c r="AA98" s="577"/>
      <c r="AB98" s="577"/>
      <c r="AC98" s="577"/>
      <c r="AD98" s="577"/>
      <c r="AF98" t="s">
        <v>214</v>
      </c>
      <c r="AH98" s="577"/>
      <c r="AI98" s="577"/>
      <c r="AJ98" s="577"/>
      <c r="AK98" s="577"/>
      <c r="AL98" s="577"/>
      <c r="AM98" s="577"/>
      <c r="AN98" s="577"/>
      <c r="AO98" s="577"/>
      <c r="AP98" s="577"/>
      <c r="AQ98" s="577"/>
      <c r="AR98" s="577"/>
      <c r="AS98" s="577"/>
      <c r="AU98"/>
    </row>
    <row r="99" spans="1:47">
      <c r="A99"/>
      <c r="B99" s="687" t="s">
        <v>194</v>
      </c>
      <c r="D99" s="105"/>
      <c r="E99" s="105"/>
      <c r="F99" s="105"/>
      <c r="G99" s="105"/>
      <c r="H99" s="105"/>
      <c r="I99" s="105"/>
      <c r="J99" s="105"/>
      <c r="K99" s="105"/>
      <c r="L99" s="105"/>
      <c r="M99" s="105"/>
      <c r="N99" s="105"/>
      <c r="O99" s="105"/>
      <c r="Q99" s="181" t="s">
        <v>194</v>
      </c>
      <c r="S99" s="105"/>
      <c r="T99" s="105"/>
      <c r="U99" s="105"/>
      <c r="V99" s="105"/>
      <c r="W99" s="105"/>
      <c r="X99" s="105"/>
      <c r="Y99" s="105"/>
      <c r="Z99" s="105"/>
      <c r="AA99" s="105"/>
      <c r="AB99" s="105"/>
      <c r="AC99" s="105"/>
      <c r="AD99" s="105"/>
      <c r="AF99" s="181" t="s">
        <v>194</v>
      </c>
      <c r="AH99" s="105"/>
      <c r="AI99" s="105"/>
      <c r="AJ99" s="105"/>
      <c r="AK99" s="105"/>
      <c r="AL99" s="105"/>
      <c r="AM99" s="105"/>
      <c r="AN99" s="105"/>
      <c r="AO99" s="105"/>
      <c r="AP99" s="105"/>
      <c r="AQ99" s="105"/>
      <c r="AR99" s="105"/>
      <c r="AS99" s="105"/>
      <c r="AU99"/>
    </row>
    <row r="100" spans="1:47">
      <c r="A100"/>
      <c r="B100" s="21" t="s">
        <v>100</v>
      </c>
      <c r="D100" s="105"/>
      <c r="E100" s="105"/>
      <c r="F100" s="105"/>
      <c r="G100" s="105"/>
      <c r="H100" s="105"/>
      <c r="I100" s="105"/>
      <c r="J100" s="105"/>
      <c r="K100" s="105"/>
      <c r="L100" s="105"/>
      <c r="M100" s="105"/>
      <c r="N100" s="105"/>
      <c r="O100" s="105"/>
      <c r="Q100" t="s">
        <v>126</v>
      </c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5"/>
      <c r="AD100" s="105"/>
      <c r="AF100" t="s">
        <v>181</v>
      </c>
      <c r="AH100" s="105"/>
      <c r="AI100" s="105"/>
      <c r="AJ100" s="105"/>
      <c r="AK100" s="105"/>
      <c r="AL100" s="105"/>
      <c r="AM100" s="105"/>
      <c r="AN100" s="105"/>
      <c r="AO100" s="105"/>
      <c r="AP100" s="105"/>
      <c r="AQ100" s="105"/>
      <c r="AR100" s="105"/>
      <c r="AS100" s="105"/>
      <c r="AU100"/>
    </row>
    <row r="101" spans="1:47">
      <c r="A101"/>
      <c r="B101" s="752" t="s">
        <v>72</v>
      </c>
      <c r="C101" s="752"/>
      <c r="D101" s="552" t="s">
        <v>74</v>
      </c>
      <c r="E101" s="552" t="s">
        <v>75</v>
      </c>
      <c r="F101" s="552" t="s">
        <v>76</v>
      </c>
      <c r="G101" s="552" t="s">
        <v>77</v>
      </c>
      <c r="H101" s="552" t="s">
        <v>78</v>
      </c>
      <c r="I101" s="552" t="s">
        <v>79</v>
      </c>
      <c r="J101" s="552" t="s">
        <v>80</v>
      </c>
      <c r="K101" s="552" t="s">
        <v>81</v>
      </c>
      <c r="L101" s="552" t="s">
        <v>82</v>
      </c>
      <c r="M101" s="552" t="s">
        <v>83</v>
      </c>
      <c r="N101" s="552" t="s">
        <v>84</v>
      </c>
      <c r="O101" s="552" t="s">
        <v>85</v>
      </c>
      <c r="Q101" s="752" t="s">
        <v>72</v>
      </c>
      <c r="R101" s="752"/>
      <c r="S101" s="552" t="s">
        <v>74</v>
      </c>
      <c r="T101" s="552" t="s">
        <v>75</v>
      </c>
      <c r="U101" s="552" t="s">
        <v>76</v>
      </c>
      <c r="V101" s="552" t="s">
        <v>77</v>
      </c>
      <c r="W101" s="552" t="s">
        <v>78</v>
      </c>
      <c r="X101" s="552" t="s">
        <v>79</v>
      </c>
      <c r="Y101" s="552" t="s">
        <v>80</v>
      </c>
      <c r="Z101" s="552" t="s">
        <v>81</v>
      </c>
      <c r="AA101" s="552" t="s">
        <v>82</v>
      </c>
      <c r="AB101" s="552" t="s">
        <v>83</v>
      </c>
      <c r="AC101" s="552" t="s">
        <v>84</v>
      </c>
      <c r="AD101" s="552" t="s">
        <v>85</v>
      </c>
      <c r="AF101" s="752" t="s">
        <v>72</v>
      </c>
      <c r="AG101" s="752"/>
      <c r="AH101" s="552" t="s">
        <v>74</v>
      </c>
      <c r="AI101" s="552" t="s">
        <v>75</v>
      </c>
      <c r="AJ101" s="552" t="s">
        <v>76</v>
      </c>
      <c r="AK101" s="552" t="s">
        <v>77</v>
      </c>
      <c r="AL101" s="552" t="s">
        <v>78</v>
      </c>
      <c r="AM101" s="552" t="s">
        <v>79</v>
      </c>
      <c r="AN101" s="552" t="s">
        <v>80</v>
      </c>
      <c r="AO101" s="552" t="s">
        <v>81</v>
      </c>
      <c r="AP101" s="552" t="s">
        <v>82</v>
      </c>
      <c r="AQ101" s="552" t="s">
        <v>83</v>
      </c>
      <c r="AR101" s="552" t="s">
        <v>84</v>
      </c>
      <c r="AS101" s="552" t="s">
        <v>85</v>
      </c>
      <c r="AU101"/>
    </row>
    <row r="102" spans="1:47">
      <c r="A102"/>
      <c r="B102" s="557" t="s">
        <v>128</v>
      </c>
      <c r="C102" s="639" t="s">
        <v>195</v>
      </c>
      <c r="D102" s="676">
        <v>1598</v>
      </c>
      <c r="E102" s="676">
        <v>3042</v>
      </c>
      <c r="F102" s="676">
        <v>4641</v>
      </c>
      <c r="G102" s="676">
        <v>6188</v>
      </c>
      <c r="H102" s="676">
        <v>7786</v>
      </c>
      <c r="I102" s="676">
        <v>9333</v>
      </c>
      <c r="J102" s="676">
        <v>10381</v>
      </c>
      <c r="K102" s="676">
        <v>11430</v>
      </c>
      <c r="L102" s="676">
        <v>12444</v>
      </c>
      <c r="M102" s="676">
        <v>13492</v>
      </c>
      <c r="N102" s="676">
        <v>14507</v>
      </c>
      <c r="O102" s="676">
        <v>15555</v>
      </c>
      <c r="Q102" s="557" t="s">
        <v>128</v>
      </c>
      <c r="R102" s="639" t="s">
        <v>195</v>
      </c>
      <c r="S102" s="675">
        <v>859</v>
      </c>
      <c r="T102" s="676">
        <v>1155</v>
      </c>
      <c r="U102" s="676">
        <v>1832</v>
      </c>
      <c r="V102" s="676">
        <v>2510</v>
      </c>
      <c r="W102" s="676">
        <v>2246</v>
      </c>
      <c r="X102" s="676">
        <v>1704</v>
      </c>
      <c r="Y102" s="676">
        <v>1965</v>
      </c>
      <c r="Z102" s="676">
        <v>1940</v>
      </c>
      <c r="AA102" s="676">
        <v>1898</v>
      </c>
      <c r="AB102" s="676">
        <v>1826</v>
      </c>
      <c r="AC102" s="676"/>
      <c r="AD102" s="676"/>
      <c r="AF102" s="557" t="s">
        <v>128</v>
      </c>
      <c r="AG102" s="639" t="s">
        <v>195</v>
      </c>
      <c r="AH102" s="675">
        <v>859</v>
      </c>
      <c r="AI102" s="678">
        <v>2014</v>
      </c>
      <c r="AJ102" s="678">
        <v>3846</v>
      </c>
      <c r="AK102" s="678">
        <v>6356</v>
      </c>
      <c r="AL102" s="678">
        <v>8602</v>
      </c>
      <c r="AM102" s="678">
        <v>10306</v>
      </c>
      <c r="AN102" s="678">
        <v>12271</v>
      </c>
      <c r="AO102" s="678">
        <v>14211</v>
      </c>
      <c r="AP102" s="678">
        <v>16109</v>
      </c>
      <c r="AQ102" s="678">
        <v>17935</v>
      </c>
      <c r="AR102" s="678">
        <v>0</v>
      </c>
      <c r="AS102" s="678">
        <v>0</v>
      </c>
      <c r="AU102"/>
    </row>
    <row r="103" spans="1:47">
      <c r="A103"/>
      <c r="B103" s="557" t="s">
        <v>87</v>
      </c>
      <c r="C103" s="639" t="s">
        <v>195</v>
      </c>
      <c r="D103" s="676">
        <v>1826</v>
      </c>
      <c r="E103" s="676">
        <v>3476</v>
      </c>
      <c r="F103" s="676">
        <v>5303</v>
      </c>
      <c r="G103" s="676">
        <v>7070</v>
      </c>
      <c r="H103" s="676">
        <v>8896</v>
      </c>
      <c r="I103" s="676">
        <v>10664</v>
      </c>
      <c r="J103" s="676">
        <v>11862</v>
      </c>
      <c r="K103" s="676">
        <v>13060</v>
      </c>
      <c r="L103" s="676">
        <v>14219</v>
      </c>
      <c r="M103" s="676">
        <v>15417</v>
      </c>
      <c r="N103" s="676">
        <v>16576</v>
      </c>
      <c r="O103" s="676">
        <v>17774</v>
      </c>
      <c r="Q103" s="557" t="s">
        <v>87</v>
      </c>
      <c r="R103" s="639" t="s">
        <v>195</v>
      </c>
      <c r="S103" s="675">
        <v>1054</v>
      </c>
      <c r="T103" s="676">
        <v>1117</v>
      </c>
      <c r="U103" s="676">
        <v>3018</v>
      </c>
      <c r="V103" s="676">
        <v>2434</v>
      </c>
      <c r="W103" s="676">
        <v>2576</v>
      </c>
      <c r="X103" s="676">
        <v>2432</v>
      </c>
      <c r="Y103" s="676">
        <v>2646</v>
      </c>
      <c r="Z103" s="676">
        <v>1661</v>
      </c>
      <c r="AA103" s="676">
        <v>1615</v>
      </c>
      <c r="AB103" s="676">
        <v>1565</v>
      </c>
      <c r="AC103" s="676"/>
      <c r="AD103" s="676"/>
      <c r="AF103" s="557" t="s">
        <v>87</v>
      </c>
      <c r="AG103" s="639" t="s">
        <v>195</v>
      </c>
      <c r="AH103" s="675">
        <v>1054</v>
      </c>
      <c r="AI103" s="678">
        <v>2171</v>
      </c>
      <c r="AJ103" s="678">
        <v>5189</v>
      </c>
      <c r="AK103" s="678">
        <v>7623</v>
      </c>
      <c r="AL103" s="678">
        <v>10199</v>
      </c>
      <c r="AM103" s="678">
        <v>12631</v>
      </c>
      <c r="AN103" s="678">
        <v>15277</v>
      </c>
      <c r="AO103" s="678">
        <v>16938</v>
      </c>
      <c r="AP103" s="678">
        <v>18553</v>
      </c>
      <c r="AQ103" s="678">
        <v>20118</v>
      </c>
      <c r="AR103" s="678">
        <v>0</v>
      </c>
      <c r="AS103" s="678">
        <v>0</v>
      </c>
      <c r="AU103"/>
    </row>
    <row r="104" spans="1:47">
      <c r="A104"/>
      <c r="B104" s="557" t="s">
        <v>88</v>
      </c>
      <c r="C104" s="639" t="s">
        <v>195</v>
      </c>
      <c r="D104" s="676">
        <v>841</v>
      </c>
      <c r="E104" s="676">
        <v>1601</v>
      </c>
      <c r="F104" s="676">
        <v>2442</v>
      </c>
      <c r="G104" s="676">
        <v>3257</v>
      </c>
      <c r="H104" s="676">
        <v>4098</v>
      </c>
      <c r="I104" s="676">
        <v>4912</v>
      </c>
      <c r="J104" s="676">
        <v>5740</v>
      </c>
      <c r="K104" s="676">
        <v>6567</v>
      </c>
      <c r="L104" s="676">
        <v>7368</v>
      </c>
      <c r="M104" s="676">
        <v>8196</v>
      </c>
      <c r="N104" s="676">
        <v>8996</v>
      </c>
      <c r="O104" s="676">
        <v>9824</v>
      </c>
      <c r="Q104" s="557" t="s">
        <v>88</v>
      </c>
      <c r="R104" s="639" t="s">
        <v>195</v>
      </c>
      <c r="S104" s="675">
        <v>293</v>
      </c>
      <c r="T104" s="676">
        <v>222</v>
      </c>
      <c r="U104" s="676">
        <v>1609</v>
      </c>
      <c r="V104" s="676">
        <v>1844</v>
      </c>
      <c r="W104" s="676">
        <v>1467</v>
      </c>
      <c r="X104" s="676">
        <v>830</v>
      </c>
      <c r="Y104" s="676">
        <v>976</v>
      </c>
      <c r="Z104" s="676">
        <v>873</v>
      </c>
      <c r="AA104" s="676">
        <v>1374</v>
      </c>
      <c r="AB104" s="676">
        <v>986</v>
      </c>
      <c r="AC104" s="676"/>
      <c r="AD104" s="676"/>
      <c r="AF104" s="557" t="s">
        <v>88</v>
      </c>
      <c r="AG104" s="639" t="s">
        <v>195</v>
      </c>
      <c r="AH104" s="675">
        <v>293</v>
      </c>
      <c r="AI104" s="678">
        <v>515</v>
      </c>
      <c r="AJ104" s="678">
        <v>2124</v>
      </c>
      <c r="AK104" s="678">
        <v>3968</v>
      </c>
      <c r="AL104" s="678">
        <v>5435</v>
      </c>
      <c r="AM104" s="678">
        <v>6265</v>
      </c>
      <c r="AN104" s="678">
        <v>7241</v>
      </c>
      <c r="AO104" s="678">
        <v>8114</v>
      </c>
      <c r="AP104" s="678">
        <v>9488</v>
      </c>
      <c r="AQ104" s="678">
        <v>10474</v>
      </c>
      <c r="AR104" s="678">
        <v>0</v>
      </c>
      <c r="AS104" s="678">
        <v>0</v>
      </c>
      <c r="AU104"/>
    </row>
    <row r="105" spans="1:47">
      <c r="A105"/>
      <c r="B105" s="557" t="s">
        <v>121</v>
      </c>
      <c r="C105" s="639" t="s">
        <v>195</v>
      </c>
      <c r="D105" s="676">
        <v>987</v>
      </c>
      <c r="E105" s="676">
        <v>1878</v>
      </c>
      <c r="F105" s="676">
        <v>2865</v>
      </c>
      <c r="G105" s="676">
        <v>3820</v>
      </c>
      <c r="H105" s="676">
        <v>4807</v>
      </c>
      <c r="I105" s="676">
        <v>5762</v>
      </c>
      <c r="J105" s="676">
        <v>6409</v>
      </c>
      <c r="K105" s="676">
        <v>7056</v>
      </c>
      <c r="L105" s="676">
        <v>7683</v>
      </c>
      <c r="M105" s="676">
        <v>8330</v>
      </c>
      <c r="N105" s="676">
        <v>8956</v>
      </c>
      <c r="O105" s="676">
        <v>9603</v>
      </c>
      <c r="Q105" s="557" t="s">
        <v>121</v>
      </c>
      <c r="R105" s="639" t="s">
        <v>195</v>
      </c>
      <c r="S105" s="675">
        <v>239</v>
      </c>
      <c r="T105" s="676">
        <v>388</v>
      </c>
      <c r="U105" s="676">
        <v>1743</v>
      </c>
      <c r="V105" s="676">
        <v>1778</v>
      </c>
      <c r="W105" s="676">
        <v>2124</v>
      </c>
      <c r="X105" s="676">
        <v>2399</v>
      </c>
      <c r="Y105" s="676">
        <v>2001</v>
      </c>
      <c r="Z105" s="676">
        <v>1572</v>
      </c>
      <c r="AA105" s="676">
        <v>1058</v>
      </c>
      <c r="AB105" s="676">
        <v>1059</v>
      </c>
      <c r="AC105" s="676"/>
      <c r="AD105" s="676"/>
      <c r="AF105" s="557" t="s">
        <v>121</v>
      </c>
      <c r="AG105" s="639" t="s">
        <v>195</v>
      </c>
      <c r="AH105" s="675">
        <v>239</v>
      </c>
      <c r="AI105" s="678">
        <v>627</v>
      </c>
      <c r="AJ105" s="678">
        <v>2370</v>
      </c>
      <c r="AK105" s="678">
        <v>4148</v>
      </c>
      <c r="AL105" s="678">
        <v>6272</v>
      </c>
      <c r="AM105" s="678">
        <v>8671</v>
      </c>
      <c r="AN105" s="678">
        <v>10672</v>
      </c>
      <c r="AO105" s="678">
        <v>12244</v>
      </c>
      <c r="AP105" s="678">
        <v>13302</v>
      </c>
      <c r="AQ105" s="678">
        <v>14361</v>
      </c>
      <c r="AR105" s="678">
        <v>0</v>
      </c>
      <c r="AS105" s="678">
        <v>0</v>
      </c>
      <c r="AU105"/>
    </row>
    <row r="106" spans="1:47">
      <c r="A106"/>
      <c r="B106" s="557" t="s">
        <v>89</v>
      </c>
      <c r="C106" s="639" t="s">
        <v>195</v>
      </c>
      <c r="D106" s="676">
        <v>1043</v>
      </c>
      <c r="E106" s="676">
        <v>1985</v>
      </c>
      <c r="F106" s="676">
        <v>3029</v>
      </c>
      <c r="G106" s="676">
        <v>4038</v>
      </c>
      <c r="H106" s="676">
        <v>5081</v>
      </c>
      <c r="I106" s="676">
        <v>6091</v>
      </c>
      <c r="J106" s="676">
        <v>6775</v>
      </c>
      <c r="K106" s="676">
        <v>7459</v>
      </c>
      <c r="L106" s="676">
        <v>8122</v>
      </c>
      <c r="M106" s="676">
        <v>8806</v>
      </c>
      <c r="N106" s="676">
        <v>9468</v>
      </c>
      <c r="O106" s="676">
        <v>10152</v>
      </c>
      <c r="Q106" s="557" t="s">
        <v>89</v>
      </c>
      <c r="R106" s="639" t="s">
        <v>195</v>
      </c>
      <c r="S106" s="675">
        <v>336</v>
      </c>
      <c r="T106" s="676">
        <v>500</v>
      </c>
      <c r="U106" s="676">
        <v>1984</v>
      </c>
      <c r="V106" s="676">
        <v>1752</v>
      </c>
      <c r="W106" s="676">
        <v>1469</v>
      </c>
      <c r="X106" s="676">
        <v>1147</v>
      </c>
      <c r="Y106" s="676">
        <v>917</v>
      </c>
      <c r="Z106" s="676">
        <v>1060</v>
      </c>
      <c r="AA106" s="676">
        <v>1473</v>
      </c>
      <c r="AB106" s="676">
        <v>1474</v>
      </c>
      <c r="AC106" s="676"/>
      <c r="AD106" s="676"/>
      <c r="AF106" s="557" t="s">
        <v>89</v>
      </c>
      <c r="AG106" s="639" t="s">
        <v>195</v>
      </c>
      <c r="AH106" s="675">
        <v>336</v>
      </c>
      <c r="AI106" s="678">
        <v>836</v>
      </c>
      <c r="AJ106" s="678">
        <v>2820</v>
      </c>
      <c r="AK106" s="678">
        <v>4572</v>
      </c>
      <c r="AL106" s="678">
        <v>6041</v>
      </c>
      <c r="AM106" s="678">
        <v>7188</v>
      </c>
      <c r="AN106" s="678">
        <v>8105</v>
      </c>
      <c r="AO106" s="678">
        <v>9165</v>
      </c>
      <c r="AP106" s="678">
        <v>10638</v>
      </c>
      <c r="AQ106" s="678">
        <v>12112</v>
      </c>
      <c r="AR106" s="678">
        <v>0</v>
      </c>
      <c r="AS106" s="678">
        <v>0</v>
      </c>
      <c r="AU106"/>
    </row>
    <row r="107" spans="1:47">
      <c r="A107"/>
      <c r="B107" s="557" t="s">
        <v>90</v>
      </c>
      <c r="C107" s="639" t="s">
        <v>195</v>
      </c>
      <c r="D107" s="676">
        <v>5386</v>
      </c>
      <c r="E107" s="676">
        <v>10253</v>
      </c>
      <c r="F107" s="676">
        <v>15641</v>
      </c>
      <c r="G107" s="676">
        <v>20855</v>
      </c>
      <c r="H107" s="676">
        <v>26242</v>
      </c>
      <c r="I107" s="676">
        <v>31455</v>
      </c>
      <c r="J107" s="676">
        <v>36754</v>
      </c>
      <c r="K107" s="676">
        <v>42054</v>
      </c>
      <c r="L107" s="676">
        <v>47183</v>
      </c>
      <c r="M107" s="676">
        <v>52481</v>
      </c>
      <c r="N107" s="676">
        <v>57609</v>
      </c>
      <c r="O107" s="676">
        <v>62908</v>
      </c>
      <c r="Q107" s="557" t="s">
        <v>90</v>
      </c>
      <c r="R107" s="639" t="s">
        <v>195</v>
      </c>
      <c r="S107" s="675">
        <v>2781</v>
      </c>
      <c r="T107" s="675">
        <v>3382</v>
      </c>
      <c r="U107" s="675">
        <v>10186</v>
      </c>
      <c r="V107" s="675">
        <v>10318</v>
      </c>
      <c r="W107" s="675">
        <v>9882</v>
      </c>
      <c r="X107" s="675">
        <v>8512</v>
      </c>
      <c r="Y107" s="675">
        <v>8505</v>
      </c>
      <c r="Z107" s="675">
        <v>7106</v>
      </c>
      <c r="AA107" s="675">
        <v>7418</v>
      </c>
      <c r="AB107" s="675">
        <v>6910</v>
      </c>
      <c r="AC107" s="675">
        <v>0</v>
      </c>
      <c r="AD107" s="675">
        <v>0</v>
      </c>
      <c r="AF107" s="557" t="s">
        <v>90</v>
      </c>
      <c r="AG107" s="639" t="s">
        <v>195</v>
      </c>
      <c r="AH107" s="675">
        <v>2781</v>
      </c>
      <c r="AI107" s="678">
        <v>6163</v>
      </c>
      <c r="AJ107" s="678">
        <v>16349</v>
      </c>
      <c r="AK107" s="678">
        <v>26667</v>
      </c>
      <c r="AL107" s="678">
        <v>36549</v>
      </c>
      <c r="AM107" s="678">
        <v>45061</v>
      </c>
      <c r="AN107" s="678">
        <v>53566</v>
      </c>
      <c r="AO107" s="678">
        <v>60672</v>
      </c>
      <c r="AP107" s="678">
        <v>68090</v>
      </c>
      <c r="AQ107" s="678">
        <v>75000</v>
      </c>
      <c r="AR107" s="678">
        <v>0</v>
      </c>
      <c r="AS107" s="678">
        <v>0</v>
      </c>
      <c r="AU107"/>
    </row>
    <row r="108" spans="1:47">
      <c r="A108"/>
      <c r="D108" s="105"/>
      <c r="E108" s="105"/>
      <c r="F108" s="105"/>
      <c r="G108" s="105"/>
      <c r="H108" s="105"/>
      <c r="I108" s="105"/>
      <c r="J108" s="105"/>
      <c r="K108" s="105"/>
      <c r="L108" s="105"/>
      <c r="M108" s="105"/>
      <c r="N108" s="105"/>
      <c r="O108" s="105"/>
      <c r="S108" s="577"/>
      <c r="T108" s="577"/>
      <c r="U108" s="577"/>
      <c r="V108" s="577"/>
      <c r="W108" s="577"/>
      <c r="X108" s="577"/>
      <c r="Y108" s="577"/>
      <c r="Z108" s="577"/>
      <c r="AA108" s="577"/>
      <c r="AB108" s="577"/>
      <c r="AC108" s="577"/>
      <c r="AD108" s="577"/>
      <c r="AH108" s="577"/>
      <c r="AI108" s="577"/>
      <c r="AJ108" s="577"/>
      <c r="AK108" s="577"/>
      <c r="AL108" s="577"/>
      <c r="AM108" s="577"/>
      <c r="AN108" s="577"/>
      <c r="AO108" s="577"/>
      <c r="AP108" s="577"/>
      <c r="AQ108" s="577"/>
      <c r="AR108" s="577"/>
      <c r="AS108" s="577"/>
      <c r="AU108"/>
    </row>
    <row r="109" spans="1:47">
      <c r="A109"/>
      <c r="B109" s="264"/>
      <c r="D109" s="105"/>
      <c r="E109" s="105"/>
      <c r="F109" s="105"/>
      <c r="G109" s="105"/>
      <c r="H109" s="105"/>
      <c r="I109" s="105"/>
      <c r="J109" s="105"/>
      <c r="K109" s="105"/>
      <c r="L109" s="105"/>
      <c r="M109" s="105"/>
      <c r="N109" s="105"/>
      <c r="O109" s="105"/>
      <c r="S109" s="577"/>
      <c r="T109" s="577"/>
      <c r="U109" s="577"/>
      <c r="V109" s="577"/>
      <c r="W109" s="577"/>
      <c r="X109" s="577"/>
      <c r="Y109" s="577"/>
      <c r="Z109" s="577"/>
      <c r="AA109" s="577"/>
      <c r="AB109" s="577"/>
      <c r="AC109" s="577"/>
      <c r="AD109" s="577"/>
      <c r="AH109" s="105"/>
      <c r="AI109" s="105"/>
      <c r="AJ109" s="105"/>
      <c r="AK109" s="105"/>
      <c r="AL109" s="105"/>
      <c r="AM109" s="105"/>
      <c r="AN109" s="105"/>
      <c r="AO109" s="105"/>
      <c r="AP109" s="105"/>
      <c r="AQ109" s="105"/>
      <c r="AR109" s="577"/>
      <c r="AS109" s="105"/>
      <c r="AU109"/>
    </row>
    <row r="110" spans="1:47" s="105" customFormat="1">
      <c r="A110" s="105">
        <v>5</v>
      </c>
      <c r="B110" s="21" t="s">
        <v>196</v>
      </c>
      <c r="C110"/>
      <c r="Q110" t="s">
        <v>196</v>
      </c>
      <c r="R110"/>
      <c r="AE110"/>
      <c r="AF110" t="s">
        <v>196</v>
      </c>
      <c r="AG110"/>
      <c r="AU110" s="141"/>
    </row>
    <row r="111" spans="1:47" s="105" customFormat="1">
      <c r="B111" s="21" t="s">
        <v>100</v>
      </c>
      <c r="C111"/>
      <c r="Q111" t="s">
        <v>126</v>
      </c>
      <c r="R111"/>
      <c r="AE111"/>
      <c r="AF111" t="s">
        <v>127</v>
      </c>
      <c r="AG111"/>
      <c r="AU111" s="141"/>
    </row>
    <row r="112" spans="1:47">
      <c r="A112"/>
      <c r="B112" s="768" t="s">
        <v>72</v>
      </c>
      <c r="C112" s="769"/>
      <c r="D112" s="552" t="s">
        <v>74</v>
      </c>
      <c r="E112" s="552" t="s">
        <v>75</v>
      </c>
      <c r="F112" s="552" t="s">
        <v>76</v>
      </c>
      <c r="G112" s="552" t="s">
        <v>77</v>
      </c>
      <c r="H112" s="552" t="s">
        <v>78</v>
      </c>
      <c r="I112" s="552" t="s">
        <v>79</v>
      </c>
      <c r="J112" s="552" t="s">
        <v>80</v>
      </c>
      <c r="K112" s="552" t="s">
        <v>81</v>
      </c>
      <c r="L112" s="552" t="s">
        <v>82</v>
      </c>
      <c r="M112" s="552" t="s">
        <v>83</v>
      </c>
      <c r="N112" s="552" t="s">
        <v>84</v>
      </c>
      <c r="O112" s="552" t="s">
        <v>85</v>
      </c>
      <c r="Q112" s="768" t="s">
        <v>72</v>
      </c>
      <c r="R112" s="769"/>
      <c r="S112" s="552" t="s">
        <v>74</v>
      </c>
      <c r="T112" s="552" t="s">
        <v>75</v>
      </c>
      <c r="U112" s="552" t="s">
        <v>76</v>
      </c>
      <c r="V112" s="552" t="s">
        <v>77</v>
      </c>
      <c r="W112" s="552" t="s">
        <v>78</v>
      </c>
      <c r="X112" s="552" t="s">
        <v>79</v>
      </c>
      <c r="Y112" s="552" t="s">
        <v>80</v>
      </c>
      <c r="Z112" s="552" t="s">
        <v>81</v>
      </c>
      <c r="AA112" s="552" t="s">
        <v>82</v>
      </c>
      <c r="AB112" s="552" t="s">
        <v>83</v>
      </c>
      <c r="AC112" s="552" t="s">
        <v>84</v>
      </c>
      <c r="AD112" s="552" t="s">
        <v>85</v>
      </c>
      <c r="AF112" s="768" t="s">
        <v>72</v>
      </c>
      <c r="AG112" s="769"/>
      <c r="AH112" s="552" t="s">
        <v>74</v>
      </c>
      <c r="AI112" s="552" t="s">
        <v>75</v>
      </c>
      <c r="AJ112" s="552" t="s">
        <v>76</v>
      </c>
      <c r="AK112" s="552" t="s">
        <v>77</v>
      </c>
      <c r="AL112" s="552" t="s">
        <v>78</v>
      </c>
      <c r="AM112" s="552" t="s">
        <v>79</v>
      </c>
      <c r="AN112" s="552" t="s">
        <v>80</v>
      </c>
      <c r="AO112" s="552" t="s">
        <v>81</v>
      </c>
      <c r="AP112" s="552" t="s">
        <v>82</v>
      </c>
      <c r="AQ112" s="552" t="s">
        <v>83</v>
      </c>
      <c r="AR112" s="552" t="s">
        <v>84</v>
      </c>
      <c r="AS112" s="552" t="s">
        <v>85</v>
      </c>
      <c r="AU112"/>
    </row>
    <row r="113" spans="1:47" s="105" customFormat="1">
      <c r="B113" s="763" t="s">
        <v>128</v>
      </c>
      <c r="C113" s="672" t="s">
        <v>197</v>
      </c>
      <c r="D113" s="710">
        <v>30</v>
      </c>
      <c r="E113" s="710">
        <v>30</v>
      </c>
      <c r="F113" s="710">
        <v>30</v>
      </c>
      <c r="G113" s="710">
        <v>30</v>
      </c>
      <c r="H113" s="710">
        <v>30</v>
      </c>
      <c r="I113" s="710">
        <v>30</v>
      </c>
      <c r="J113" s="710">
        <v>30</v>
      </c>
      <c r="K113" s="710">
        <v>30</v>
      </c>
      <c r="L113" s="710">
        <v>30</v>
      </c>
      <c r="M113" s="710">
        <v>30</v>
      </c>
      <c r="N113" s="710">
        <v>30</v>
      </c>
      <c r="O113" s="710">
        <v>30</v>
      </c>
      <c r="Q113" s="762" t="s">
        <v>128</v>
      </c>
      <c r="R113" s="569" t="s">
        <v>197</v>
      </c>
      <c r="S113" s="609">
        <v>11.477160493827162</v>
      </c>
      <c r="T113" s="571">
        <v>11.274999999999997</v>
      </c>
      <c r="U113" s="571">
        <v>11.162053571428572</v>
      </c>
      <c r="V113" s="571">
        <v>11.401995305164318</v>
      </c>
      <c r="W113" s="571">
        <v>14.48</v>
      </c>
      <c r="X113" s="641">
        <v>13.317889908256882</v>
      </c>
      <c r="Y113" s="641">
        <v>13.317889908256882</v>
      </c>
      <c r="Z113" s="609">
        <v>14.690740740740743</v>
      </c>
      <c r="AA113" s="609">
        <v>14.942133726647004</v>
      </c>
      <c r="AB113" s="610">
        <v>14.707290322580644</v>
      </c>
      <c r="AC113" s="571"/>
      <c r="AD113" s="571"/>
      <c r="AE113"/>
      <c r="AF113" s="762" t="s">
        <v>128</v>
      </c>
      <c r="AG113" s="569" t="s">
        <v>197</v>
      </c>
      <c r="AH113" s="610">
        <v>11.477160493827162</v>
      </c>
      <c r="AI113" s="571">
        <v>11.376080246913579</v>
      </c>
      <c r="AJ113" s="571">
        <v>11.304738021751911</v>
      </c>
      <c r="AK113" s="571">
        <v>11.329052342605014</v>
      </c>
      <c r="AL113" s="571">
        <v>11.959241874084011</v>
      </c>
      <c r="AM113" s="571">
        <v>12.185683213112824</v>
      </c>
      <c r="AN113" s="609">
        <v>12.347427026704834</v>
      </c>
      <c r="AO113" s="571">
        <v>12.640341240959323</v>
      </c>
      <c r="AP113" s="571">
        <v>12.896095961591287</v>
      </c>
      <c r="AQ113" s="610">
        <v>13.077215397690221</v>
      </c>
      <c r="AR113" s="610">
        <v>13.077215397690221</v>
      </c>
      <c r="AS113" s="571">
        <v>13.077215397690221</v>
      </c>
      <c r="AU113" s="141"/>
    </row>
    <row r="114" spans="1:47">
      <c r="A114"/>
      <c r="B114" s="763"/>
      <c r="C114" s="591" t="s">
        <v>198</v>
      </c>
      <c r="D114" s="711"/>
      <c r="E114" s="711"/>
      <c r="F114" s="711"/>
      <c r="G114" s="711"/>
      <c r="H114" s="711"/>
      <c r="I114" s="711"/>
      <c r="J114" s="711"/>
      <c r="K114" s="711"/>
      <c r="L114" s="711"/>
      <c r="M114" s="711"/>
      <c r="N114" s="711"/>
      <c r="O114" s="711"/>
      <c r="Q114" s="762"/>
      <c r="R114" s="591" t="s">
        <v>198</v>
      </c>
      <c r="S114" s="602"/>
      <c r="T114" s="592"/>
      <c r="U114" s="592"/>
      <c r="V114" s="592"/>
      <c r="W114" s="592"/>
      <c r="X114" s="652"/>
      <c r="Y114" s="652"/>
      <c r="Z114" s="602"/>
      <c r="AA114" s="602"/>
      <c r="AB114" s="603"/>
      <c r="AC114" s="592"/>
      <c r="AD114" s="592"/>
      <c r="AF114" s="762"/>
      <c r="AG114" s="591" t="s">
        <v>198</v>
      </c>
      <c r="AH114" s="603"/>
      <c r="AI114" s="592"/>
      <c r="AJ114" s="592"/>
      <c r="AK114" s="592"/>
      <c r="AL114" s="592"/>
      <c r="AM114" s="592"/>
      <c r="AN114" s="602"/>
      <c r="AO114" s="592"/>
      <c r="AP114" s="592"/>
      <c r="AQ114" s="592"/>
      <c r="AR114" s="603"/>
      <c r="AS114" s="592"/>
      <c r="AU114"/>
    </row>
    <row r="115" spans="1:47">
      <c r="A115"/>
      <c r="B115" s="763" t="s">
        <v>87</v>
      </c>
      <c r="C115" s="403" t="s">
        <v>197</v>
      </c>
      <c r="D115" s="712">
        <v>30</v>
      </c>
      <c r="E115" s="712">
        <v>30</v>
      </c>
      <c r="F115" s="712">
        <v>30</v>
      </c>
      <c r="G115" s="712">
        <v>30</v>
      </c>
      <c r="H115" s="712">
        <v>30</v>
      </c>
      <c r="I115" s="712">
        <v>30</v>
      </c>
      <c r="J115" s="712">
        <v>30</v>
      </c>
      <c r="K115" s="712">
        <v>30</v>
      </c>
      <c r="L115" s="712">
        <v>30</v>
      </c>
      <c r="M115" s="712">
        <v>30</v>
      </c>
      <c r="N115" s="712">
        <v>30</v>
      </c>
      <c r="O115" s="712">
        <v>30</v>
      </c>
      <c r="Q115" s="762" t="s">
        <v>87</v>
      </c>
      <c r="R115" s="402" t="s">
        <v>197</v>
      </c>
      <c r="S115" s="609">
        <v>6.2834097859327196</v>
      </c>
      <c r="T115" s="571">
        <v>6.4696969696969688</v>
      </c>
      <c r="U115" s="571">
        <v>6.6301084990958419</v>
      </c>
      <c r="V115" s="571">
        <v>6.6203516377649327</v>
      </c>
      <c r="W115" s="571">
        <v>13.1</v>
      </c>
      <c r="X115" s="648">
        <v>8.6159428157799507</v>
      </c>
      <c r="Y115" s="648">
        <v>8.6159428157799507</v>
      </c>
      <c r="Z115" s="609">
        <v>10.588201383551114</v>
      </c>
      <c r="AA115" s="609">
        <v>11.401224226804125</v>
      </c>
      <c r="AB115" s="610">
        <v>11.41466766467066</v>
      </c>
      <c r="AC115" s="571"/>
      <c r="AD115" s="571"/>
      <c r="AF115" s="762" t="s">
        <v>87</v>
      </c>
      <c r="AG115" s="402" t="s">
        <v>197</v>
      </c>
      <c r="AH115" s="610">
        <v>6.2834097859327196</v>
      </c>
      <c r="AI115" s="571">
        <v>6.3765533778148438</v>
      </c>
      <c r="AJ115" s="571">
        <v>6.4610717515751759</v>
      </c>
      <c r="AK115" s="571">
        <v>6.5008917231226153</v>
      </c>
      <c r="AL115" s="571">
        <v>7.8207133784980929</v>
      </c>
      <c r="AM115" s="571">
        <v>7.9532516180450692</v>
      </c>
      <c r="AN115" s="609">
        <v>8.0479217891500525</v>
      </c>
      <c r="AO115" s="571">
        <v>8.3654567384501846</v>
      </c>
      <c r="AP115" s="571">
        <v>8.7027642371561775</v>
      </c>
      <c r="AQ115" s="571">
        <v>8.973954579907625</v>
      </c>
      <c r="AR115" s="610">
        <v>8.973954579907625</v>
      </c>
      <c r="AS115" s="571">
        <v>8.973954579907625</v>
      </c>
      <c r="AU115"/>
    </row>
    <row r="116" spans="1:47">
      <c r="A116"/>
      <c r="B116" s="763"/>
      <c r="C116" s="591" t="s">
        <v>198</v>
      </c>
      <c r="D116" s="713"/>
      <c r="E116" s="713"/>
      <c r="F116" s="713"/>
      <c r="G116" s="713"/>
      <c r="H116" s="713"/>
      <c r="I116" s="713"/>
      <c r="J116" s="713"/>
      <c r="K116" s="713"/>
      <c r="L116" s="713"/>
      <c r="M116" s="713"/>
      <c r="N116" s="713"/>
      <c r="O116" s="713"/>
      <c r="Q116" s="762"/>
      <c r="R116" s="591" t="s">
        <v>198</v>
      </c>
      <c r="S116" s="602"/>
      <c r="U116" s="592"/>
      <c r="V116" s="592"/>
      <c r="W116" s="592"/>
      <c r="X116" s="652"/>
      <c r="Y116" s="652"/>
      <c r="Z116" s="602"/>
      <c r="AA116" s="602"/>
      <c r="AB116" s="603"/>
      <c r="AC116" s="592"/>
      <c r="AD116" s="592"/>
      <c r="AF116" s="762"/>
      <c r="AG116" s="591" t="s">
        <v>198</v>
      </c>
      <c r="AH116" s="603"/>
      <c r="AI116" s="592"/>
      <c r="AJ116" s="592"/>
      <c r="AK116" s="592"/>
      <c r="AL116" s="592"/>
      <c r="AM116" s="592"/>
      <c r="AN116" s="602"/>
      <c r="AO116" s="592"/>
      <c r="AP116" s="592"/>
      <c r="AQ116" s="592"/>
      <c r="AR116" s="603"/>
      <c r="AS116" s="592"/>
      <c r="AU116"/>
    </row>
    <row r="117" spans="1:47">
      <c r="A117"/>
      <c r="B117" s="763" t="s">
        <v>88</v>
      </c>
      <c r="C117" s="403" t="s">
        <v>197</v>
      </c>
      <c r="D117" s="712">
        <v>30</v>
      </c>
      <c r="E117" s="712">
        <v>30</v>
      </c>
      <c r="F117" s="712">
        <v>30</v>
      </c>
      <c r="G117" s="712">
        <v>30</v>
      </c>
      <c r="H117" s="712">
        <v>30</v>
      </c>
      <c r="I117" s="712">
        <v>30</v>
      </c>
      <c r="J117" s="712">
        <v>30</v>
      </c>
      <c r="K117" s="712">
        <v>30</v>
      </c>
      <c r="L117" s="712">
        <v>30</v>
      </c>
      <c r="M117" s="712">
        <v>30</v>
      </c>
      <c r="N117" s="712">
        <v>30</v>
      </c>
      <c r="O117" s="712">
        <v>30</v>
      </c>
      <c r="Q117" s="762" t="s">
        <v>88</v>
      </c>
      <c r="R117" s="402" t="s">
        <v>197</v>
      </c>
      <c r="S117" s="609">
        <v>5.9774038461538472</v>
      </c>
      <c r="T117" s="592">
        <v>5.974621212121213</v>
      </c>
      <c r="U117" s="571">
        <v>6.0921744324970151</v>
      </c>
      <c r="V117" s="571">
        <v>5.9948260073260089</v>
      </c>
      <c r="W117" s="571">
        <v>13.29</v>
      </c>
      <c r="X117" s="648">
        <v>8.1517687074829936</v>
      </c>
      <c r="Y117" s="648">
        <v>8.1517687074829936</v>
      </c>
      <c r="Z117" s="609">
        <v>9.6373509590461399</v>
      </c>
      <c r="AA117" s="609">
        <v>11.975003226222741</v>
      </c>
      <c r="AB117" s="610">
        <v>10.242811111111109</v>
      </c>
      <c r="AC117" s="571"/>
      <c r="AD117" s="571"/>
      <c r="AF117" s="762" t="s">
        <v>88</v>
      </c>
      <c r="AG117" s="402" t="s">
        <v>197</v>
      </c>
      <c r="AH117" s="610">
        <v>5.9774038461538472</v>
      </c>
      <c r="AI117" s="571">
        <v>5.9760125291375301</v>
      </c>
      <c r="AJ117" s="571">
        <v>6.0147331635906918</v>
      </c>
      <c r="AK117" s="571">
        <v>6.009756374524521</v>
      </c>
      <c r="AL117" s="571">
        <v>7.465805099619617</v>
      </c>
      <c r="AM117" s="571">
        <v>7.5801323675968462</v>
      </c>
      <c r="AN117" s="609">
        <v>7.6617947018662962</v>
      </c>
      <c r="AO117" s="571">
        <v>7.9087392340137761</v>
      </c>
      <c r="AP117" s="571">
        <v>8.3605463442592161</v>
      </c>
      <c r="AQ117" s="571">
        <v>8.5487728209444054</v>
      </c>
      <c r="AR117" s="610">
        <v>8.5487728209444054</v>
      </c>
      <c r="AS117" s="571">
        <v>8.5487728209444054</v>
      </c>
      <c r="AU117"/>
    </row>
    <row r="118" spans="1:47">
      <c r="A118"/>
      <c r="B118" s="763"/>
      <c r="C118" s="591" t="s">
        <v>198</v>
      </c>
      <c r="D118" s="713"/>
      <c r="E118" s="713"/>
      <c r="F118" s="713"/>
      <c r="G118" s="713"/>
      <c r="H118" s="713"/>
      <c r="I118" s="713"/>
      <c r="J118" s="713"/>
      <c r="K118" s="713"/>
      <c r="L118" s="713"/>
      <c r="M118" s="713"/>
      <c r="N118" s="713"/>
      <c r="O118" s="713"/>
      <c r="Q118" s="762"/>
      <c r="R118" s="591" t="s">
        <v>198</v>
      </c>
      <c r="S118" s="602"/>
      <c r="T118" s="592"/>
      <c r="U118" s="592"/>
      <c r="V118" s="592"/>
      <c r="W118" s="592"/>
      <c r="X118" s="592"/>
      <c r="Y118" s="592"/>
      <c r="Z118" s="602"/>
      <c r="AA118" s="602"/>
      <c r="AB118" s="603"/>
      <c r="AC118" s="592"/>
      <c r="AD118" s="592"/>
      <c r="AF118" s="762"/>
      <c r="AG118" s="591" t="s">
        <v>198</v>
      </c>
      <c r="AH118" s="603"/>
      <c r="AI118" s="592"/>
      <c r="AJ118" s="592"/>
      <c r="AK118" s="592"/>
      <c r="AL118" s="592"/>
      <c r="AM118" s="592"/>
      <c r="AN118" s="602"/>
      <c r="AO118" s="592"/>
      <c r="AP118" s="592"/>
      <c r="AQ118" s="592"/>
      <c r="AR118" s="603"/>
      <c r="AS118" s="592"/>
      <c r="AU118"/>
    </row>
    <row r="119" spans="1:47">
      <c r="A119"/>
      <c r="B119" s="763" t="s">
        <v>121</v>
      </c>
      <c r="C119" s="403" t="s">
        <v>197</v>
      </c>
      <c r="D119" s="712">
        <v>30</v>
      </c>
      <c r="E119" s="712">
        <v>30</v>
      </c>
      <c r="F119" s="712">
        <v>30</v>
      </c>
      <c r="G119" s="712">
        <v>30</v>
      </c>
      <c r="H119" s="712">
        <v>30</v>
      </c>
      <c r="I119" s="712">
        <v>30</v>
      </c>
      <c r="J119" s="712">
        <v>30</v>
      </c>
      <c r="K119" s="712">
        <v>30</v>
      </c>
      <c r="L119" s="712">
        <v>30</v>
      </c>
      <c r="M119" s="712">
        <v>30</v>
      </c>
      <c r="N119" s="712">
        <v>30</v>
      </c>
      <c r="O119" s="712">
        <v>30</v>
      </c>
      <c r="Q119" s="762" t="s">
        <v>121</v>
      </c>
      <c r="R119" s="402" t="s">
        <v>197</v>
      </c>
      <c r="S119" s="609">
        <v>8.5426282051281994</v>
      </c>
      <c r="T119" s="571">
        <v>7.6664621676891596</v>
      </c>
      <c r="U119" s="571">
        <v>7.5857753357753355</v>
      </c>
      <c r="V119" s="571">
        <v>7.8081384015594555</v>
      </c>
      <c r="W119" s="571">
        <v>14.02</v>
      </c>
      <c r="X119" s="571">
        <v>8.9999170812603655</v>
      </c>
      <c r="Y119" s="571">
        <v>8.9999170812603655</v>
      </c>
      <c r="Z119" s="609">
        <v>9.7691973969631238</v>
      </c>
      <c r="AA119" s="609">
        <v>9.9535062439961592</v>
      </c>
      <c r="AB119" s="610">
        <v>12.285372972972976</v>
      </c>
      <c r="AC119" s="571"/>
      <c r="AD119" s="571"/>
      <c r="AF119" s="762" t="s">
        <v>121</v>
      </c>
      <c r="AG119" s="402" t="s">
        <v>197</v>
      </c>
      <c r="AH119" s="610">
        <v>8.5426282051281994</v>
      </c>
      <c r="AI119" s="571">
        <v>8.1045451864086786</v>
      </c>
      <c r="AJ119" s="571">
        <v>7.9316219028642303</v>
      </c>
      <c r="AK119" s="571">
        <v>7.9007510275380373</v>
      </c>
      <c r="AL119" s="571">
        <v>9.1246008220304304</v>
      </c>
      <c r="AM119" s="571">
        <v>9.1038201985687532</v>
      </c>
      <c r="AN119" s="609">
        <v>9.0889768960961259</v>
      </c>
      <c r="AO119" s="571">
        <v>9.1740044587045002</v>
      </c>
      <c r="AP119" s="571">
        <v>9.260615768181351</v>
      </c>
      <c r="AQ119" s="571">
        <v>9.5630914886605147</v>
      </c>
      <c r="AR119" s="610">
        <v>9.5630914886605147</v>
      </c>
      <c r="AS119" s="571">
        <v>9.5630914886605147</v>
      </c>
      <c r="AU119"/>
    </row>
    <row r="120" spans="1:47">
      <c r="A120"/>
      <c r="B120" s="763"/>
      <c r="C120" s="591" t="s">
        <v>198</v>
      </c>
      <c r="D120" s="713"/>
      <c r="E120" s="713"/>
      <c r="F120" s="713"/>
      <c r="G120" s="713"/>
      <c r="H120" s="713"/>
      <c r="I120" s="713"/>
      <c r="J120" s="713"/>
      <c r="K120" s="713"/>
      <c r="L120" s="713"/>
      <c r="M120" s="713"/>
      <c r="N120" s="713"/>
      <c r="O120" s="713"/>
      <c r="Q120" s="762"/>
      <c r="R120" s="591" t="s">
        <v>198</v>
      </c>
      <c r="S120" s="602"/>
      <c r="T120" s="592"/>
      <c r="U120" s="592"/>
      <c r="V120" s="592"/>
      <c r="W120" s="592"/>
      <c r="X120" s="592"/>
      <c r="Y120" s="592"/>
      <c r="Z120" s="602"/>
      <c r="AA120" s="602"/>
      <c r="AB120" s="603"/>
      <c r="AC120" s="592"/>
      <c r="AD120" s="592"/>
      <c r="AF120" s="762"/>
      <c r="AG120" s="591" t="s">
        <v>198</v>
      </c>
      <c r="AH120" s="603"/>
      <c r="AI120" s="592"/>
      <c r="AJ120" s="592"/>
      <c r="AK120" s="592"/>
      <c r="AL120" s="592"/>
      <c r="AM120" s="592"/>
      <c r="AN120" s="602"/>
      <c r="AO120" s="592"/>
      <c r="AP120" s="592"/>
      <c r="AQ120" s="592"/>
      <c r="AR120" s="603"/>
      <c r="AS120" s="592"/>
      <c r="AU120"/>
    </row>
    <row r="121" spans="1:47">
      <c r="A121"/>
      <c r="B121" s="763" t="s">
        <v>89</v>
      </c>
      <c r="C121" s="403" t="s">
        <v>197</v>
      </c>
      <c r="D121" s="712">
        <v>30</v>
      </c>
      <c r="E121" s="712">
        <v>30</v>
      </c>
      <c r="F121" s="712">
        <v>30</v>
      </c>
      <c r="G121" s="712">
        <v>30</v>
      </c>
      <c r="H121" s="712">
        <v>30</v>
      </c>
      <c r="I121" s="712">
        <v>30</v>
      </c>
      <c r="J121" s="712">
        <v>30</v>
      </c>
      <c r="K121" s="712">
        <v>30</v>
      </c>
      <c r="L121" s="712">
        <v>30</v>
      </c>
      <c r="M121" s="712">
        <v>30</v>
      </c>
      <c r="N121" s="712">
        <v>30</v>
      </c>
      <c r="O121" s="712">
        <v>30</v>
      </c>
      <c r="Q121" s="762" t="s">
        <v>89</v>
      </c>
      <c r="R121" s="402" t="s">
        <v>197</v>
      </c>
      <c r="S121" s="609">
        <v>11.382941176470585</v>
      </c>
      <c r="T121" s="571">
        <v>10.381023864511164</v>
      </c>
      <c r="U121" s="571">
        <v>9.5081346716854895</v>
      </c>
      <c r="V121" s="571">
        <v>9.1937881308929583</v>
      </c>
      <c r="W121" s="571">
        <v>13.35</v>
      </c>
      <c r="X121" s="571">
        <v>11.27453490356716</v>
      </c>
      <c r="Y121" s="571">
        <v>11.27453490356716</v>
      </c>
      <c r="Z121" s="609">
        <v>11.981792880258903</v>
      </c>
      <c r="AA121" s="609">
        <v>10.042837465564739</v>
      </c>
      <c r="AB121" s="610">
        <v>10.028670722433461</v>
      </c>
      <c r="AC121" s="571"/>
      <c r="AD121" s="571"/>
      <c r="AF121" s="762" t="s">
        <v>89</v>
      </c>
      <c r="AG121" s="402" t="s">
        <v>197</v>
      </c>
      <c r="AH121" s="610">
        <v>11.382941176470585</v>
      </c>
      <c r="AI121" s="571">
        <v>10.881982520490874</v>
      </c>
      <c r="AJ121" s="571">
        <v>10.424033237555745</v>
      </c>
      <c r="AK121" s="571">
        <v>10.116471960890049</v>
      </c>
      <c r="AL121" s="571">
        <v>10.76317756871204</v>
      </c>
      <c r="AM121" s="571">
        <v>10.848403791187893</v>
      </c>
      <c r="AN121" s="609">
        <v>10.909279664384931</v>
      </c>
      <c r="AO121" s="571">
        <v>11.043343816369179</v>
      </c>
      <c r="AP121" s="571">
        <v>10.932176444057575</v>
      </c>
      <c r="AQ121" s="571">
        <v>10.841825871895164</v>
      </c>
      <c r="AR121" s="610">
        <v>10.841825871895164</v>
      </c>
      <c r="AS121" s="571">
        <v>10.841825871895164</v>
      </c>
      <c r="AU121"/>
    </row>
    <row r="122" spans="1:47">
      <c r="A122"/>
      <c r="B122" s="763"/>
      <c r="C122" s="591" t="s">
        <v>198</v>
      </c>
      <c r="D122" s="713"/>
      <c r="E122" s="713"/>
      <c r="F122" s="713"/>
      <c r="G122" s="713"/>
      <c r="H122" s="713"/>
      <c r="I122" s="713"/>
      <c r="J122" s="713"/>
      <c r="K122" s="713"/>
      <c r="L122" s="713"/>
      <c r="M122" s="713"/>
      <c r="N122" s="713"/>
      <c r="O122" s="713"/>
      <c r="Q122" s="762"/>
      <c r="R122" s="591" t="s">
        <v>198</v>
      </c>
      <c r="S122" s="602"/>
      <c r="T122" s="592"/>
      <c r="U122" s="592"/>
      <c r="V122" s="592"/>
      <c r="W122" s="592"/>
      <c r="X122" s="592"/>
      <c r="Y122" s="592"/>
      <c r="Z122" s="602"/>
      <c r="AA122" s="602"/>
      <c r="AB122" s="603"/>
      <c r="AC122" s="592"/>
      <c r="AD122" s="592"/>
      <c r="AF122" s="762"/>
      <c r="AG122" s="591" t="s">
        <v>198</v>
      </c>
      <c r="AH122" s="603"/>
      <c r="AI122" s="592"/>
      <c r="AJ122" s="592"/>
      <c r="AK122" s="592"/>
      <c r="AL122" s="592"/>
      <c r="AM122" s="592"/>
      <c r="AN122" s="592"/>
      <c r="AO122" s="592"/>
      <c r="AP122" s="592"/>
      <c r="AQ122" s="592"/>
      <c r="AR122" s="603"/>
      <c r="AS122" s="592"/>
      <c r="AU122"/>
    </row>
    <row r="123" spans="1:47">
      <c r="A123"/>
      <c r="B123" s="763" t="s">
        <v>90</v>
      </c>
      <c r="C123" s="403" t="s">
        <v>197</v>
      </c>
      <c r="D123" s="712">
        <v>30</v>
      </c>
      <c r="E123" s="712">
        <v>30</v>
      </c>
      <c r="F123" s="712">
        <v>30</v>
      </c>
      <c r="G123" s="712">
        <v>30</v>
      </c>
      <c r="H123" s="712">
        <v>30</v>
      </c>
      <c r="I123" s="712">
        <v>30</v>
      </c>
      <c r="J123" s="712">
        <v>30</v>
      </c>
      <c r="K123" s="712">
        <v>30</v>
      </c>
      <c r="L123" s="712">
        <v>30</v>
      </c>
      <c r="M123" s="712">
        <v>30</v>
      </c>
      <c r="N123" s="712">
        <v>30</v>
      </c>
      <c r="O123" s="712">
        <v>30</v>
      </c>
      <c r="Q123" s="762" t="s">
        <v>90</v>
      </c>
      <c r="R123" s="402" t="s">
        <v>197</v>
      </c>
      <c r="S123" s="609">
        <v>8.1972562755399867</v>
      </c>
      <c r="T123" s="571">
        <v>8.1818381344307269</v>
      </c>
      <c r="U123" s="571">
        <v>8.0760758027143336</v>
      </c>
      <c r="V123" s="571">
        <v>8.0611962071480683</v>
      </c>
      <c r="W123" s="571">
        <v>13.55</v>
      </c>
      <c r="X123" s="571">
        <v>10.158153447121819</v>
      </c>
      <c r="Y123" s="571">
        <v>10.158153447121819</v>
      </c>
      <c r="Z123" s="609">
        <v>11.323204280768021</v>
      </c>
      <c r="AA123" s="609">
        <v>11.975003226222741</v>
      </c>
      <c r="AB123" s="610">
        <v>11.720880076773341</v>
      </c>
      <c r="AC123" s="571"/>
      <c r="AD123" s="571"/>
      <c r="AF123" s="762" t="s">
        <v>90</v>
      </c>
      <c r="AG123" s="402" t="s">
        <v>197</v>
      </c>
      <c r="AH123" s="610">
        <v>8.1972562755399867</v>
      </c>
      <c r="AI123" s="609">
        <v>8.1895472049853559</v>
      </c>
      <c r="AJ123" s="609">
        <v>8.1517234042283491</v>
      </c>
      <c r="AK123" s="609">
        <v>8.1290916049582798</v>
      </c>
      <c r="AL123" s="609">
        <v>9.2132732839666236</v>
      </c>
      <c r="AM123" s="609">
        <v>9.3707533111591559</v>
      </c>
      <c r="AN123" s="609">
        <v>9.4832390448681085</v>
      </c>
      <c r="AO123" s="609">
        <v>9.7132346993555974</v>
      </c>
      <c r="AP123" s="609">
        <v>9.9645423134519469</v>
      </c>
      <c r="AQ123" s="609">
        <v>10.140176089784086</v>
      </c>
      <c r="AR123" s="610">
        <v>10.140176089784086</v>
      </c>
      <c r="AS123" s="609">
        <v>10.140176089784086</v>
      </c>
      <c r="AU123"/>
    </row>
    <row r="124" spans="1:47">
      <c r="A124"/>
      <c r="B124" s="763"/>
      <c r="C124" s="591" t="s">
        <v>198</v>
      </c>
      <c r="D124" s="602"/>
      <c r="E124" s="602"/>
      <c r="F124" s="602"/>
      <c r="G124" s="602"/>
      <c r="H124" s="602"/>
      <c r="I124" s="602"/>
      <c r="J124" s="602"/>
      <c r="K124" s="602"/>
      <c r="L124" s="602"/>
      <c r="M124" s="602"/>
      <c r="N124" s="602"/>
      <c r="O124" s="602"/>
      <c r="Q124" s="762"/>
      <c r="R124" s="591" t="s">
        <v>198</v>
      </c>
      <c r="S124" s="602"/>
      <c r="T124" s="592"/>
      <c r="U124" s="592"/>
      <c r="V124" s="592"/>
      <c r="W124" s="592"/>
      <c r="X124" s="592"/>
      <c r="Y124" s="592"/>
      <c r="Z124" s="602"/>
      <c r="AA124" s="602"/>
      <c r="AB124" s="603"/>
      <c r="AC124" s="592"/>
      <c r="AD124" s="592"/>
      <c r="AF124" s="762"/>
      <c r="AG124" s="591" t="s">
        <v>198</v>
      </c>
      <c r="AH124" s="603"/>
      <c r="AI124" s="592"/>
      <c r="AJ124" s="592"/>
      <c r="AK124" s="592"/>
      <c r="AL124" s="592"/>
      <c r="AM124" s="592"/>
      <c r="AN124" s="592"/>
      <c r="AO124" s="592"/>
      <c r="AP124" s="592"/>
      <c r="AQ124" s="592"/>
      <c r="AR124" s="592"/>
      <c r="AS124" s="592"/>
      <c r="AU124"/>
    </row>
    <row r="125" spans="1:47">
      <c r="A125"/>
      <c r="B125" s="125"/>
      <c r="C125" s="263"/>
      <c r="D125" s="576"/>
      <c r="E125" s="576"/>
      <c r="F125" s="576"/>
      <c r="G125" s="576"/>
      <c r="H125" s="576"/>
      <c r="I125" s="576"/>
      <c r="J125" s="576"/>
      <c r="K125" s="576"/>
      <c r="L125" s="576"/>
      <c r="M125" s="576"/>
      <c r="N125" s="576"/>
      <c r="O125" s="576"/>
      <c r="Q125" s="125"/>
      <c r="R125" s="263"/>
      <c r="S125" s="576"/>
      <c r="T125" s="576"/>
      <c r="U125" s="576"/>
      <c r="V125" s="576"/>
      <c r="W125" s="576"/>
      <c r="X125" s="576"/>
      <c r="Y125" s="576"/>
      <c r="Z125" s="576"/>
      <c r="AA125" s="576"/>
      <c r="AB125" s="576"/>
      <c r="AC125" s="576"/>
      <c r="AD125" s="576"/>
      <c r="AF125" s="125"/>
      <c r="AG125" s="263"/>
      <c r="AH125" s="576"/>
      <c r="AI125" s="576"/>
      <c r="AJ125" s="576"/>
      <c r="AK125" s="576"/>
      <c r="AL125" s="576"/>
      <c r="AM125" s="576"/>
      <c r="AN125" s="576"/>
      <c r="AO125" s="576"/>
      <c r="AP125" s="576"/>
      <c r="AQ125" s="576"/>
      <c r="AR125" s="576"/>
      <c r="AS125" s="576"/>
      <c r="AU125"/>
    </row>
    <row r="126" spans="1:47" s="105" customFormat="1">
      <c r="A126" s="105">
        <v>5</v>
      </c>
      <c r="B126" s="21" t="s">
        <v>199</v>
      </c>
      <c r="C126"/>
      <c r="Q126" t="s">
        <v>199</v>
      </c>
      <c r="R126"/>
      <c r="AE126"/>
      <c r="AF126" t="s">
        <v>199</v>
      </c>
      <c r="AG126"/>
      <c r="AU126" s="141"/>
    </row>
    <row r="127" spans="1:47" s="105" customFormat="1">
      <c r="B127" s="21" t="s">
        <v>100</v>
      </c>
      <c r="C127"/>
      <c r="Q127" t="s">
        <v>126</v>
      </c>
      <c r="R127"/>
      <c r="AE127"/>
      <c r="AF127" t="s">
        <v>127</v>
      </c>
      <c r="AG127"/>
      <c r="AU127" s="141"/>
    </row>
    <row r="128" spans="1:47">
      <c r="A128"/>
      <c r="B128" s="768" t="s">
        <v>72</v>
      </c>
      <c r="C128" s="769"/>
      <c r="D128" s="552" t="s">
        <v>74</v>
      </c>
      <c r="E128" s="552" t="s">
        <v>75</v>
      </c>
      <c r="F128" s="552" t="s">
        <v>76</v>
      </c>
      <c r="G128" s="552" t="s">
        <v>77</v>
      </c>
      <c r="H128" s="552" t="s">
        <v>78</v>
      </c>
      <c r="I128" s="552" t="s">
        <v>79</v>
      </c>
      <c r="J128" s="552" t="s">
        <v>80</v>
      </c>
      <c r="K128" s="552" t="s">
        <v>81</v>
      </c>
      <c r="L128" s="552" t="s">
        <v>82</v>
      </c>
      <c r="M128" s="552" t="s">
        <v>83</v>
      </c>
      <c r="N128" s="552" t="s">
        <v>84</v>
      </c>
      <c r="O128" s="552" t="s">
        <v>85</v>
      </c>
      <c r="Q128" s="768" t="s">
        <v>72</v>
      </c>
      <c r="R128" s="769"/>
      <c r="S128" s="552" t="s">
        <v>74</v>
      </c>
      <c r="T128" s="552" t="s">
        <v>75</v>
      </c>
      <c r="U128" s="552" t="s">
        <v>76</v>
      </c>
      <c r="V128" s="552" t="s">
        <v>77</v>
      </c>
      <c r="W128" s="552" t="s">
        <v>78</v>
      </c>
      <c r="X128" s="552" t="s">
        <v>79</v>
      </c>
      <c r="Y128" s="552" t="s">
        <v>80</v>
      </c>
      <c r="Z128" s="552" t="s">
        <v>81</v>
      </c>
      <c r="AA128" s="552" t="s">
        <v>82</v>
      </c>
      <c r="AB128" s="552" t="s">
        <v>83</v>
      </c>
      <c r="AC128" s="552" t="s">
        <v>84</v>
      </c>
      <c r="AD128" s="552" t="s">
        <v>85</v>
      </c>
      <c r="AF128" s="768" t="s">
        <v>72</v>
      </c>
      <c r="AG128" s="769"/>
      <c r="AH128" s="552" t="s">
        <v>74</v>
      </c>
      <c r="AI128" s="552" t="s">
        <v>75</v>
      </c>
      <c r="AJ128" s="552" t="s">
        <v>76</v>
      </c>
      <c r="AK128" s="552" t="s">
        <v>77</v>
      </c>
      <c r="AL128" s="552" t="s">
        <v>78</v>
      </c>
      <c r="AM128" s="552" t="s">
        <v>79</v>
      </c>
      <c r="AN128" s="552" t="s">
        <v>80</v>
      </c>
      <c r="AO128" s="552" t="s">
        <v>81</v>
      </c>
      <c r="AP128" s="552" t="s">
        <v>82</v>
      </c>
      <c r="AQ128" s="552" t="s">
        <v>83</v>
      </c>
      <c r="AR128" s="552" t="s">
        <v>84</v>
      </c>
      <c r="AS128" s="552" t="s">
        <v>85</v>
      </c>
      <c r="AU128"/>
    </row>
    <row r="129" spans="2:47" s="105" customFormat="1">
      <c r="B129" s="763" t="s">
        <v>128</v>
      </c>
      <c r="C129" s="672" t="s">
        <v>200</v>
      </c>
      <c r="D129" s="710">
        <v>0</v>
      </c>
      <c r="E129" s="710">
        <v>0</v>
      </c>
      <c r="F129" s="710">
        <v>0</v>
      </c>
      <c r="G129" s="710">
        <v>0</v>
      </c>
      <c r="H129" s="710">
        <v>0</v>
      </c>
      <c r="I129" s="710">
        <v>0</v>
      </c>
      <c r="J129" s="710">
        <v>0</v>
      </c>
      <c r="K129" s="710">
        <v>0</v>
      </c>
      <c r="L129" s="710">
        <v>0</v>
      </c>
      <c r="M129" s="710">
        <v>0</v>
      </c>
      <c r="N129" s="710">
        <v>0</v>
      </c>
      <c r="O129" s="710">
        <v>0</v>
      </c>
      <c r="Q129" s="762" t="s">
        <v>128</v>
      </c>
      <c r="R129" s="569" t="s">
        <v>200</v>
      </c>
      <c r="S129" s="722">
        <v>0</v>
      </c>
      <c r="T129" s="722">
        <v>0</v>
      </c>
      <c r="U129" s="722">
        <v>0</v>
      </c>
      <c r="V129" s="722">
        <v>0</v>
      </c>
      <c r="W129" s="722">
        <v>0</v>
      </c>
      <c r="X129" s="722">
        <v>0</v>
      </c>
      <c r="Y129" s="722">
        <v>0</v>
      </c>
      <c r="Z129" s="722">
        <v>0</v>
      </c>
      <c r="AA129" s="722">
        <v>0</v>
      </c>
      <c r="AB129" s="722">
        <v>0</v>
      </c>
      <c r="AC129" s="571"/>
      <c r="AD129" s="571"/>
      <c r="AE129"/>
      <c r="AF129" s="762" t="s">
        <v>128</v>
      </c>
      <c r="AG129" s="569" t="s">
        <v>200</v>
      </c>
      <c r="AH129" s="722">
        <v>0</v>
      </c>
      <c r="AI129" s="722">
        <v>0</v>
      </c>
      <c r="AJ129" s="722">
        <v>0</v>
      </c>
      <c r="AK129" s="722">
        <v>0</v>
      </c>
      <c r="AL129" s="722">
        <v>0</v>
      </c>
      <c r="AM129" s="722">
        <v>0</v>
      </c>
      <c r="AN129" s="722">
        <v>0</v>
      </c>
      <c r="AO129" s="722">
        <v>0</v>
      </c>
      <c r="AP129" s="722">
        <v>0</v>
      </c>
      <c r="AQ129" s="722">
        <v>0</v>
      </c>
      <c r="AR129" s="722">
        <v>0</v>
      </c>
      <c r="AS129" s="722">
        <v>0</v>
      </c>
      <c r="AU129" s="141"/>
    </row>
    <row r="130" spans="2:47">
      <c r="B130" s="763"/>
      <c r="C130" s="591"/>
      <c r="D130" s="711"/>
      <c r="E130" s="711"/>
      <c r="F130" s="711"/>
      <c r="G130" s="711"/>
      <c r="H130" s="711"/>
      <c r="I130" s="711"/>
      <c r="J130" s="711"/>
      <c r="K130" s="711"/>
      <c r="L130" s="711"/>
      <c r="M130" s="711"/>
      <c r="N130" s="711"/>
      <c r="O130" s="711"/>
      <c r="Q130" s="762"/>
      <c r="R130" s="591"/>
      <c r="S130" s="602"/>
      <c r="T130" s="602"/>
      <c r="U130" s="602"/>
      <c r="V130" s="602"/>
      <c r="W130" s="602"/>
      <c r="X130" s="602"/>
      <c r="Y130" s="602"/>
      <c r="Z130" s="602"/>
      <c r="AA130" s="602"/>
      <c r="AB130" s="602"/>
      <c r="AC130" s="592"/>
      <c r="AD130" s="592"/>
      <c r="AF130" s="762"/>
      <c r="AG130" s="591"/>
      <c r="AH130" s="723"/>
      <c r="AI130" s="723"/>
      <c r="AJ130" s="723"/>
      <c r="AK130" s="723"/>
      <c r="AL130" s="723"/>
      <c r="AM130" s="723"/>
      <c r="AN130" s="723"/>
      <c r="AO130" s="723"/>
      <c r="AP130" s="723"/>
      <c r="AQ130" s="723"/>
      <c r="AR130" s="723"/>
      <c r="AS130" s="723"/>
      <c r="AU130"/>
    </row>
    <row r="131" spans="2:47">
      <c r="B131" s="763" t="s">
        <v>87</v>
      </c>
      <c r="C131" s="403" t="s">
        <v>200</v>
      </c>
      <c r="D131" s="712">
        <v>0</v>
      </c>
      <c r="E131" s="712">
        <v>0</v>
      </c>
      <c r="F131" s="712">
        <v>0</v>
      </c>
      <c r="G131" s="712">
        <v>0</v>
      </c>
      <c r="H131" s="712">
        <v>0</v>
      </c>
      <c r="I131" s="712">
        <v>0</v>
      </c>
      <c r="J131" s="712">
        <v>0</v>
      </c>
      <c r="K131" s="712">
        <v>0</v>
      </c>
      <c r="L131" s="712">
        <v>0</v>
      </c>
      <c r="M131" s="712">
        <v>0</v>
      </c>
      <c r="N131" s="712">
        <v>0</v>
      </c>
      <c r="O131" s="712">
        <v>0</v>
      </c>
      <c r="Q131" s="762" t="s">
        <v>87</v>
      </c>
      <c r="R131" s="402" t="s">
        <v>200</v>
      </c>
      <c r="S131" s="722">
        <v>0</v>
      </c>
      <c r="T131" s="722">
        <v>0</v>
      </c>
      <c r="U131" s="722">
        <v>0</v>
      </c>
      <c r="V131" s="722">
        <v>0</v>
      </c>
      <c r="W131" s="722">
        <v>0</v>
      </c>
      <c r="X131" s="722">
        <v>0</v>
      </c>
      <c r="Y131" s="722">
        <v>0</v>
      </c>
      <c r="Z131" s="722">
        <v>0</v>
      </c>
      <c r="AA131" s="722">
        <v>0</v>
      </c>
      <c r="AB131" s="722">
        <v>0</v>
      </c>
      <c r="AC131" s="571"/>
      <c r="AD131" s="571"/>
      <c r="AF131" s="762" t="s">
        <v>87</v>
      </c>
      <c r="AG131" s="402" t="s">
        <v>200</v>
      </c>
      <c r="AH131" s="722">
        <v>0</v>
      </c>
      <c r="AI131" s="722">
        <v>0</v>
      </c>
      <c r="AJ131" s="722">
        <v>0</v>
      </c>
      <c r="AK131" s="722">
        <v>0</v>
      </c>
      <c r="AL131" s="722">
        <v>0</v>
      </c>
      <c r="AM131" s="722">
        <v>0</v>
      </c>
      <c r="AN131" s="722">
        <v>0</v>
      </c>
      <c r="AO131" s="722">
        <v>0</v>
      </c>
      <c r="AP131" s="722">
        <v>0</v>
      </c>
      <c r="AQ131" s="722">
        <v>0</v>
      </c>
      <c r="AR131" s="722">
        <v>0</v>
      </c>
      <c r="AS131" s="722">
        <v>0</v>
      </c>
      <c r="AU131"/>
    </row>
    <row r="132" spans="2:47">
      <c r="B132" s="763"/>
      <c r="C132" s="591"/>
      <c r="D132" s="713"/>
      <c r="E132" s="713"/>
      <c r="F132" s="713"/>
      <c r="G132" s="713"/>
      <c r="H132" s="713"/>
      <c r="I132" s="713"/>
      <c r="J132" s="713"/>
      <c r="K132" s="713"/>
      <c r="L132" s="713"/>
      <c r="M132" s="713"/>
      <c r="N132" s="713"/>
      <c r="O132" s="713"/>
      <c r="Q132" s="762"/>
      <c r="R132" s="591"/>
      <c r="S132" s="602"/>
      <c r="T132" s="602"/>
      <c r="U132" s="602"/>
      <c r="V132" s="602"/>
      <c r="W132" s="602"/>
      <c r="X132" s="602"/>
      <c r="Y132" s="602"/>
      <c r="Z132" s="602"/>
      <c r="AA132" s="602"/>
      <c r="AB132" s="602"/>
      <c r="AC132" s="592"/>
      <c r="AD132" s="592"/>
      <c r="AF132" s="762"/>
      <c r="AG132" s="591"/>
      <c r="AH132" s="723"/>
      <c r="AI132" s="723"/>
      <c r="AJ132" s="723"/>
      <c r="AK132" s="723"/>
      <c r="AL132" s="723"/>
      <c r="AM132" s="723"/>
      <c r="AN132" s="723"/>
      <c r="AO132" s="723"/>
      <c r="AP132" s="723"/>
      <c r="AQ132" s="723"/>
      <c r="AR132" s="723"/>
      <c r="AS132" s="723"/>
      <c r="AU132"/>
    </row>
    <row r="133" spans="2:47">
      <c r="B133" s="763" t="s">
        <v>88</v>
      </c>
      <c r="C133" s="403" t="s">
        <v>200</v>
      </c>
      <c r="D133" s="712">
        <v>0</v>
      </c>
      <c r="E133" s="712">
        <v>0</v>
      </c>
      <c r="F133" s="712">
        <v>0</v>
      </c>
      <c r="G133" s="712">
        <v>0</v>
      </c>
      <c r="H133" s="712">
        <v>0</v>
      </c>
      <c r="I133" s="712">
        <v>0</v>
      </c>
      <c r="J133" s="712">
        <v>0</v>
      </c>
      <c r="K133" s="712">
        <v>0</v>
      </c>
      <c r="L133" s="712">
        <v>0</v>
      </c>
      <c r="M133" s="712">
        <v>0</v>
      </c>
      <c r="N133" s="712">
        <v>0</v>
      </c>
      <c r="O133" s="712">
        <v>0</v>
      </c>
      <c r="Q133" s="762" t="s">
        <v>88</v>
      </c>
      <c r="R133" s="402" t="s">
        <v>200</v>
      </c>
      <c r="S133" s="722">
        <v>0</v>
      </c>
      <c r="T133" s="722">
        <v>0</v>
      </c>
      <c r="U133" s="722">
        <v>0</v>
      </c>
      <c r="V133" s="722">
        <v>0</v>
      </c>
      <c r="W133" s="722">
        <v>0</v>
      </c>
      <c r="X133" s="722">
        <v>0</v>
      </c>
      <c r="Y133" s="722">
        <v>0</v>
      </c>
      <c r="Z133" s="722">
        <v>0</v>
      </c>
      <c r="AA133" s="722">
        <v>0</v>
      </c>
      <c r="AB133" s="722">
        <v>0</v>
      </c>
      <c r="AC133" s="571"/>
      <c r="AD133" s="571"/>
      <c r="AF133" s="762" t="s">
        <v>88</v>
      </c>
      <c r="AG133" s="402" t="s">
        <v>200</v>
      </c>
      <c r="AH133" s="722">
        <v>0</v>
      </c>
      <c r="AI133" s="722">
        <v>0</v>
      </c>
      <c r="AJ133" s="722">
        <v>0</v>
      </c>
      <c r="AK133" s="722">
        <v>0</v>
      </c>
      <c r="AL133" s="722">
        <v>0</v>
      </c>
      <c r="AM133" s="722">
        <v>0</v>
      </c>
      <c r="AN133" s="722">
        <v>0</v>
      </c>
      <c r="AO133" s="722">
        <v>0</v>
      </c>
      <c r="AP133" s="722">
        <v>0</v>
      </c>
      <c r="AQ133" s="722">
        <v>0</v>
      </c>
      <c r="AR133" s="722">
        <v>0</v>
      </c>
      <c r="AS133" s="722">
        <v>0</v>
      </c>
      <c r="AU133"/>
    </row>
    <row r="134" spans="2:47">
      <c r="B134" s="763"/>
      <c r="C134" s="591"/>
      <c r="D134" s="713"/>
      <c r="E134" s="713"/>
      <c r="F134" s="713"/>
      <c r="G134" s="713"/>
      <c r="H134" s="713"/>
      <c r="I134" s="713"/>
      <c r="J134" s="713"/>
      <c r="K134" s="713"/>
      <c r="L134" s="713"/>
      <c r="M134" s="713"/>
      <c r="N134" s="713"/>
      <c r="O134" s="713"/>
      <c r="Q134" s="762"/>
      <c r="R134" s="591"/>
      <c r="S134" s="602"/>
      <c r="T134" s="602"/>
      <c r="U134" s="602"/>
      <c r="V134" s="602"/>
      <c r="W134" s="602"/>
      <c r="X134" s="602"/>
      <c r="Y134" s="602"/>
      <c r="Z134" s="602"/>
      <c r="AA134" s="602"/>
      <c r="AB134" s="602"/>
      <c r="AC134" s="592"/>
      <c r="AD134" s="592"/>
      <c r="AF134" s="762"/>
      <c r="AG134" s="591"/>
      <c r="AH134" s="723"/>
      <c r="AI134" s="723"/>
      <c r="AJ134" s="723"/>
      <c r="AK134" s="723"/>
      <c r="AL134" s="723"/>
      <c r="AM134" s="723"/>
      <c r="AN134" s="723"/>
      <c r="AO134" s="723"/>
      <c r="AP134" s="723"/>
      <c r="AQ134" s="723"/>
      <c r="AR134" s="723"/>
      <c r="AS134" s="723"/>
      <c r="AU134"/>
    </row>
    <row r="135" spans="2:47">
      <c r="B135" s="763" t="s">
        <v>121</v>
      </c>
      <c r="C135" s="403" t="s">
        <v>200</v>
      </c>
      <c r="D135" s="712">
        <v>0</v>
      </c>
      <c r="E135" s="712">
        <v>0</v>
      </c>
      <c r="F135" s="712">
        <v>0</v>
      </c>
      <c r="G135" s="712">
        <v>0</v>
      </c>
      <c r="H135" s="712">
        <v>0</v>
      </c>
      <c r="I135" s="712">
        <v>0</v>
      </c>
      <c r="J135" s="712">
        <v>0</v>
      </c>
      <c r="K135" s="712">
        <v>0</v>
      </c>
      <c r="L135" s="712">
        <v>0</v>
      </c>
      <c r="M135" s="712">
        <v>0</v>
      </c>
      <c r="N135" s="712">
        <v>0</v>
      </c>
      <c r="O135" s="712">
        <v>0</v>
      </c>
      <c r="Q135" s="762" t="s">
        <v>121</v>
      </c>
      <c r="R135" s="402" t="s">
        <v>200</v>
      </c>
      <c r="S135" s="722">
        <v>0</v>
      </c>
      <c r="T135" s="722">
        <v>0</v>
      </c>
      <c r="U135" s="722">
        <v>0</v>
      </c>
      <c r="V135" s="722">
        <v>0</v>
      </c>
      <c r="W135" s="722">
        <v>0</v>
      </c>
      <c r="X135" s="722">
        <v>0</v>
      </c>
      <c r="Y135" s="722">
        <v>0</v>
      </c>
      <c r="Z135" s="722">
        <v>0</v>
      </c>
      <c r="AA135" s="722">
        <v>0</v>
      </c>
      <c r="AB135" s="722">
        <v>0</v>
      </c>
      <c r="AC135" s="571"/>
      <c r="AD135" s="571"/>
      <c r="AF135" s="762" t="s">
        <v>121</v>
      </c>
      <c r="AG135" s="402" t="s">
        <v>200</v>
      </c>
      <c r="AH135" s="722">
        <v>0</v>
      </c>
      <c r="AI135" s="722">
        <v>0</v>
      </c>
      <c r="AJ135" s="722">
        <v>0</v>
      </c>
      <c r="AK135" s="722">
        <v>0</v>
      </c>
      <c r="AL135" s="722">
        <v>0</v>
      </c>
      <c r="AM135" s="722">
        <v>0</v>
      </c>
      <c r="AN135" s="722">
        <v>0</v>
      </c>
      <c r="AO135" s="722">
        <v>0</v>
      </c>
      <c r="AP135" s="722">
        <v>0</v>
      </c>
      <c r="AQ135" s="722">
        <v>0</v>
      </c>
      <c r="AR135" s="722">
        <v>0</v>
      </c>
      <c r="AS135" s="722">
        <v>0</v>
      </c>
      <c r="AU135"/>
    </row>
    <row r="136" spans="2:47">
      <c r="B136" s="763"/>
      <c r="C136" s="591"/>
      <c r="D136" s="713"/>
      <c r="E136" s="713"/>
      <c r="F136" s="713"/>
      <c r="G136" s="713"/>
      <c r="H136" s="713"/>
      <c r="I136" s="713"/>
      <c r="J136" s="713"/>
      <c r="K136" s="713"/>
      <c r="L136" s="713"/>
      <c r="M136" s="713"/>
      <c r="N136" s="713"/>
      <c r="O136" s="713"/>
      <c r="Q136" s="762"/>
      <c r="R136" s="591"/>
      <c r="S136" s="602"/>
      <c r="T136" s="602"/>
      <c r="U136" s="602"/>
      <c r="V136" s="602"/>
      <c r="W136" s="602"/>
      <c r="X136" s="602"/>
      <c r="Y136" s="602"/>
      <c r="Z136" s="602"/>
      <c r="AA136" s="602"/>
      <c r="AB136" s="602"/>
      <c r="AC136" s="592"/>
      <c r="AD136" s="592"/>
      <c r="AF136" s="762"/>
      <c r="AG136" s="591"/>
      <c r="AH136" s="723"/>
      <c r="AI136" s="723"/>
      <c r="AJ136" s="723"/>
      <c r="AK136" s="723"/>
      <c r="AL136" s="723"/>
      <c r="AM136" s="723"/>
      <c r="AN136" s="723"/>
      <c r="AO136" s="723"/>
      <c r="AP136" s="723"/>
      <c r="AQ136" s="723"/>
      <c r="AR136" s="723"/>
      <c r="AS136" s="723"/>
      <c r="AU136"/>
    </row>
    <row r="137" spans="2:47">
      <c r="B137" s="763" t="s">
        <v>89</v>
      </c>
      <c r="C137" s="403" t="s">
        <v>200</v>
      </c>
      <c r="D137" s="712">
        <v>0</v>
      </c>
      <c r="E137" s="712">
        <v>0</v>
      </c>
      <c r="F137" s="712">
        <v>0</v>
      </c>
      <c r="G137" s="712">
        <v>0</v>
      </c>
      <c r="H137" s="712">
        <v>0</v>
      </c>
      <c r="I137" s="712">
        <v>0</v>
      </c>
      <c r="J137" s="712">
        <v>0</v>
      </c>
      <c r="K137" s="712">
        <v>0</v>
      </c>
      <c r="L137" s="712">
        <v>0</v>
      </c>
      <c r="M137" s="712">
        <v>0</v>
      </c>
      <c r="N137" s="712">
        <v>0</v>
      </c>
      <c r="O137" s="712">
        <v>0</v>
      </c>
      <c r="Q137" s="762" t="s">
        <v>89</v>
      </c>
      <c r="R137" s="402" t="s">
        <v>200</v>
      </c>
      <c r="S137" s="722">
        <v>0</v>
      </c>
      <c r="T137" s="722">
        <v>0</v>
      </c>
      <c r="U137" s="722">
        <v>0</v>
      </c>
      <c r="V137" s="722">
        <v>0</v>
      </c>
      <c r="W137" s="722">
        <v>0</v>
      </c>
      <c r="X137" s="722">
        <v>0</v>
      </c>
      <c r="Y137" s="722">
        <v>0</v>
      </c>
      <c r="Z137" s="722">
        <v>0</v>
      </c>
      <c r="AA137" s="722">
        <v>0</v>
      </c>
      <c r="AB137" s="722">
        <v>0</v>
      </c>
      <c r="AC137" s="571"/>
      <c r="AD137" s="571"/>
      <c r="AF137" s="762" t="s">
        <v>89</v>
      </c>
      <c r="AG137" s="402" t="s">
        <v>200</v>
      </c>
      <c r="AH137" s="722">
        <v>0</v>
      </c>
      <c r="AI137" s="722">
        <v>0</v>
      </c>
      <c r="AJ137" s="722">
        <v>0</v>
      </c>
      <c r="AK137" s="722">
        <v>0</v>
      </c>
      <c r="AL137" s="722">
        <v>0</v>
      </c>
      <c r="AM137" s="722">
        <v>0</v>
      </c>
      <c r="AN137" s="722">
        <v>0</v>
      </c>
      <c r="AO137" s="722">
        <v>0</v>
      </c>
      <c r="AP137" s="722">
        <v>0</v>
      </c>
      <c r="AQ137" s="722">
        <v>0</v>
      </c>
      <c r="AR137" s="722">
        <v>0</v>
      </c>
      <c r="AS137" s="722">
        <v>0</v>
      </c>
      <c r="AU137"/>
    </row>
    <row r="138" spans="2:47">
      <c r="B138" s="763"/>
      <c r="C138" s="591"/>
      <c r="D138" s="713"/>
      <c r="E138" s="713"/>
      <c r="F138" s="713"/>
      <c r="G138" s="713"/>
      <c r="H138" s="713"/>
      <c r="I138" s="713"/>
      <c r="J138" s="713"/>
      <c r="K138" s="713"/>
      <c r="L138" s="713"/>
      <c r="M138" s="713"/>
      <c r="N138" s="713"/>
      <c r="O138" s="713"/>
      <c r="Q138" s="762"/>
      <c r="R138" s="591"/>
      <c r="S138" s="602"/>
      <c r="T138" s="602"/>
      <c r="U138" s="602"/>
      <c r="V138" s="602"/>
      <c r="W138" s="602"/>
      <c r="X138" s="602"/>
      <c r="Y138" s="602"/>
      <c r="Z138" s="602"/>
      <c r="AA138" s="602"/>
      <c r="AB138" s="602"/>
      <c r="AC138" s="592"/>
      <c r="AD138" s="592"/>
      <c r="AF138" s="762"/>
      <c r="AG138" s="591"/>
      <c r="AH138" s="723"/>
      <c r="AI138" s="723"/>
      <c r="AJ138" s="723"/>
      <c r="AK138" s="723"/>
      <c r="AL138" s="723"/>
      <c r="AM138" s="723"/>
      <c r="AN138" s="723"/>
      <c r="AO138" s="723"/>
      <c r="AP138" s="723"/>
      <c r="AQ138" s="723"/>
      <c r="AR138" s="723"/>
      <c r="AS138" s="723"/>
      <c r="AU138"/>
    </row>
    <row r="139" spans="2:47">
      <c r="B139" s="763" t="s">
        <v>90</v>
      </c>
      <c r="C139" s="403" t="s">
        <v>200</v>
      </c>
      <c r="D139" s="712">
        <v>0</v>
      </c>
      <c r="E139" s="712">
        <v>0</v>
      </c>
      <c r="F139" s="712">
        <v>0</v>
      </c>
      <c r="G139" s="712">
        <v>0</v>
      </c>
      <c r="H139" s="712">
        <v>0</v>
      </c>
      <c r="I139" s="712">
        <v>0</v>
      </c>
      <c r="J139" s="712">
        <v>0</v>
      </c>
      <c r="K139" s="712">
        <v>0</v>
      </c>
      <c r="L139" s="712">
        <v>0</v>
      </c>
      <c r="M139" s="712">
        <v>0</v>
      </c>
      <c r="N139" s="712">
        <v>0</v>
      </c>
      <c r="O139" s="712">
        <v>0</v>
      </c>
      <c r="Q139" s="762" t="s">
        <v>90</v>
      </c>
      <c r="R139" s="402" t="s">
        <v>200</v>
      </c>
      <c r="S139" s="722">
        <v>0</v>
      </c>
      <c r="T139" s="722">
        <v>0</v>
      </c>
      <c r="U139" s="722">
        <v>0</v>
      </c>
      <c r="V139" s="722">
        <v>0</v>
      </c>
      <c r="W139" s="722">
        <v>0</v>
      </c>
      <c r="X139" s="722">
        <v>0</v>
      </c>
      <c r="Y139" s="722">
        <v>0</v>
      </c>
      <c r="Z139" s="722">
        <v>0</v>
      </c>
      <c r="AA139" s="722">
        <v>0</v>
      </c>
      <c r="AB139" s="722">
        <v>0</v>
      </c>
      <c r="AC139" s="571"/>
      <c r="AD139" s="571"/>
      <c r="AF139" s="762" t="s">
        <v>90</v>
      </c>
      <c r="AG139" s="402" t="s">
        <v>200</v>
      </c>
      <c r="AH139" s="722">
        <v>0</v>
      </c>
      <c r="AI139" s="722">
        <v>0</v>
      </c>
      <c r="AJ139" s="722">
        <v>0</v>
      </c>
      <c r="AK139" s="722">
        <v>0</v>
      </c>
      <c r="AL139" s="722">
        <v>0</v>
      </c>
      <c r="AM139" s="722">
        <v>0</v>
      </c>
      <c r="AN139" s="722">
        <v>0</v>
      </c>
      <c r="AO139" s="722">
        <v>0</v>
      </c>
      <c r="AP139" s="722">
        <v>0</v>
      </c>
      <c r="AQ139" s="722">
        <v>0</v>
      </c>
      <c r="AR139" s="722">
        <v>0</v>
      </c>
      <c r="AS139" s="722">
        <v>0</v>
      </c>
      <c r="AU139"/>
    </row>
    <row r="140" spans="2:47">
      <c r="B140" s="763"/>
      <c r="C140" s="591"/>
      <c r="D140" s="602"/>
      <c r="E140" s="602"/>
      <c r="F140" s="602"/>
      <c r="G140" s="602"/>
      <c r="H140" s="602"/>
      <c r="I140" s="602"/>
      <c r="J140" s="602"/>
      <c r="K140" s="602"/>
      <c r="L140" s="602"/>
      <c r="M140" s="602"/>
      <c r="N140" s="602"/>
      <c r="O140" s="602"/>
      <c r="Q140" s="762"/>
      <c r="R140" s="591"/>
      <c r="S140" s="602"/>
      <c r="T140" s="592"/>
      <c r="U140" s="592"/>
      <c r="V140" s="592"/>
      <c r="W140" s="592"/>
      <c r="X140" s="592"/>
      <c r="Y140" s="592"/>
      <c r="Z140" s="602"/>
      <c r="AA140" s="602"/>
      <c r="AB140" s="603"/>
      <c r="AC140" s="592"/>
      <c r="AD140" s="592"/>
      <c r="AF140" s="762"/>
      <c r="AG140" s="591"/>
      <c r="AH140" s="723"/>
      <c r="AI140" s="723"/>
      <c r="AJ140" s="723"/>
      <c r="AK140" s="723"/>
      <c r="AL140" s="723"/>
      <c r="AM140" s="723"/>
      <c r="AN140" s="723"/>
      <c r="AO140" s="723"/>
      <c r="AP140" s="723"/>
      <c r="AQ140" s="723"/>
      <c r="AR140" s="723"/>
      <c r="AS140" s="723"/>
      <c r="AU140"/>
    </row>
    <row r="141" spans="2:47">
      <c r="B141" s="264"/>
      <c r="C141" s="701"/>
      <c r="D141" s="702"/>
      <c r="E141" s="702"/>
      <c r="F141" s="702"/>
      <c r="G141" s="702"/>
      <c r="H141" s="702"/>
      <c r="I141" s="702"/>
      <c r="J141" s="702"/>
      <c r="K141" s="702"/>
      <c r="L141" s="702"/>
      <c r="M141" s="702"/>
      <c r="N141" s="702"/>
      <c r="O141" s="702"/>
      <c r="Q141" s="125"/>
      <c r="R141" s="701"/>
      <c r="S141" s="702"/>
      <c r="T141" s="703"/>
      <c r="U141" s="703"/>
      <c r="V141" s="703"/>
      <c r="W141" s="703"/>
      <c r="X141" s="703"/>
      <c r="Y141" s="703"/>
      <c r="Z141" s="702"/>
      <c r="AA141" s="702"/>
      <c r="AB141" s="704"/>
      <c r="AC141" s="703"/>
      <c r="AD141" s="703"/>
      <c r="AF141" s="125"/>
      <c r="AG141" s="701"/>
      <c r="AH141" s="704"/>
      <c r="AI141" s="703"/>
      <c r="AJ141" s="703"/>
      <c r="AK141" s="703"/>
      <c r="AL141" s="703"/>
      <c r="AM141" s="703"/>
      <c r="AN141" s="703"/>
      <c r="AO141" s="703"/>
      <c r="AP141" s="703"/>
      <c r="AQ141" s="703"/>
      <c r="AR141" s="703"/>
      <c r="AS141" s="703"/>
      <c r="AU141"/>
    </row>
    <row r="142" spans="2:47">
      <c r="B142" s="687" t="s">
        <v>201</v>
      </c>
      <c r="D142" s="105"/>
      <c r="E142" s="105"/>
      <c r="F142" s="105"/>
      <c r="G142" s="105"/>
      <c r="H142" s="105"/>
      <c r="I142" s="105"/>
      <c r="J142" s="105"/>
      <c r="K142" s="105"/>
      <c r="L142" s="105"/>
      <c r="M142" s="105"/>
      <c r="N142" s="105"/>
      <c r="O142" s="105"/>
      <c r="Q142" s="181" t="s">
        <v>201</v>
      </c>
      <c r="S142" s="105"/>
      <c r="T142" s="105"/>
      <c r="U142" s="105"/>
      <c r="V142" s="105"/>
      <c r="W142" s="105"/>
      <c r="X142" s="105"/>
      <c r="Y142" s="105"/>
      <c r="Z142" s="105"/>
      <c r="AA142" s="105"/>
      <c r="AB142" s="105"/>
      <c r="AC142" s="105"/>
      <c r="AD142" s="105"/>
      <c r="AF142" s="181" t="s">
        <v>201</v>
      </c>
      <c r="AH142" s="105"/>
      <c r="AI142" s="105"/>
      <c r="AJ142" s="105"/>
      <c r="AK142" s="105"/>
      <c r="AL142" s="105"/>
      <c r="AM142" s="105"/>
      <c r="AN142" s="105"/>
      <c r="AO142" s="105"/>
      <c r="AP142" s="105"/>
      <c r="AQ142" s="105"/>
      <c r="AR142" s="105"/>
      <c r="AS142" s="105"/>
      <c r="AU142"/>
    </row>
    <row r="143" spans="2:47">
      <c r="B143" s="21" t="s">
        <v>100</v>
      </c>
      <c r="D143" s="105"/>
      <c r="E143" s="105"/>
      <c r="F143" s="105"/>
      <c r="G143" s="105"/>
      <c r="H143" s="105"/>
      <c r="I143" s="105"/>
      <c r="J143" s="105"/>
      <c r="K143" s="105"/>
      <c r="L143" s="105"/>
      <c r="M143" s="105"/>
      <c r="N143" s="105"/>
      <c r="O143" s="105"/>
      <c r="Q143" t="s">
        <v>126</v>
      </c>
      <c r="S143" s="105"/>
      <c r="T143" s="105"/>
      <c r="U143" s="105"/>
      <c r="V143" s="105"/>
      <c r="W143" s="105"/>
      <c r="X143" s="105"/>
      <c r="Y143" s="105"/>
      <c r="Z143" s="105"/>
      <c r="AA143" s="105"/>
      <c r="AB143" s="105"/>
      <c r="AC143" s="105"/>
      <c r="AD143" s="105"/>
      <c r="AF143" t="s">
        <v>181</v>
      </c>
      <c r="AH143" s="105"/>
      <c r="AI143" s="105"/>
      <c r="AJ143" s="105"/>
      <c r="AK143" s="105"/>
      <c r="AL143" s="105"/>
      <c r="AM143" s="105"/>
      <c r="AN143" s="105"/>
      <c r="AO143" s="105"/>
      <c r="AP143" s="105"/>
      <c r="AQ143" s="105"/>
      <c r="AR143" s="105"/>
      <c r="AS143" s="105"/>
      <c r="AU143"/>
    </row>
    <row r="144" spans="2:47">
      <c r="B144" s="752" t="s">
        <v>72</v>
      </c>
      <c r="C144" s="752"/>
      <c r="D144" s="552" t="s">
        <v>74</v>
      </c>
      <c r="E144" s="552" t="s">
        <v>75</v>
      </c>
      <c r="F144" s="552" t="s">
        <v>76</v>
      </c>
      <c r="G144" s="552" t="s">
        <v>77</v>
      </c>
      <c r="H144" s="552" t="s">
        <v>78</v>
      </c>
      <c r="I144" s="552" t="s">
        <v>79</v>
      </c>
      <c r="J144" s="552" t="s">
        <v>80</v>
      </c>
      <c r="K144" s="552" t="s">
        <v>81</v>
      </c>
      <c r="L144" s="552" t="s">
        <v>82</v>
      </c>
      <c r="M144" s="552" t="s">
        <v>83</v>
      </c>
      <c r="N144" s="552" t="s">
        <v>84</v>
      </c>
      <c r="O144" s="552" t="s">
        <v>85</v>
      </c>
      <c r="Q144" s="752" t="s">
        <v>72</v>
      </c>
      <c r="R144" s="752"/>
      <c r="S144" s="552" t="s">
        <v>74</v>
      </c>
      <c r="T144" s="552" t="s">
        <v>75</v>
      </c>
      <c r="U144" s="552" t="s">
        <v>76</v>
      </c>
      <c r="V144" s="552" t="s">
        <v>77</v>
      </c>
      <c r="W144" s="552" t="s">
        <v>78</v>
      </c>
      <c r="X144" s="552" t="s">
        <v>79</v>
      </c>
      <c r="Y144" s="552" t="s">
        <v>80</v>
      </c>
      <c r="Z144" s="552" t="s">
        <v>81</v>
      </c>
      <c r="AA144" s="552" t="s">
        <v>82</v>
      </c>
      <c r="AB144" s="552" t="s">
        <v>83</v>
      </c>
      <c r="AC144" s="552" t="s">
        <v>84</v>
      </c>
      <c r="AD144" s="552" t="s">
        <v>85</v>
      </c>
      <c r="AF144" s="752" t="s">
        <v>72</v>
      </c>
      <c r="AG144" s="752"/>
      <c r="AH144" s="552" t="s">
        <v>74</v>
      </c>
      <c r="AI144" s="552" t="s">
        <v>75</v>
      </c>
      <c r="AJ144" s="552" t="s">
        <v>76</v>
      </c>
      <c r="AK144" s="552" t="s">
        <v>77</v>
      </c>
      <c r="AL144" s="552" t="s">
        <v>78</v>
      </c>
      <c r="AM144" s="552" t="s">
        <v>79</v>
      </c>
      <c r="AN144" s="552" t="s">
        <v>80</v>
      </c>
      <c r="AO144" s="552" t="s">
        <v>81</v>
      </c>
      <c r="AP144" s="552" t="s">
        <v>82</v>
      </c>
      <c r="AQ144" s="552" t="s">
        <v>83</v>
      </c>
      <c r="AR144" s="552" t="s">
        <v>84</v>
      </c>
      <c r="AS144" s="552" t="s">
        <v>85</v>
      </c>
      <c r="AU144"/>
    </row>
    <row r="145" spans="2:45">
      <c r="B145" s="557" t="s">
        <v>128</v>
      </c>
      <c r="C145" s="639" t="s">
        <v>202</v>
      </c>
      <c r="D145" s="640">
        <v>100</v>
      </c>
      <c r="E145" s="640">
        <v>100</v>
      </c>
      <c r="F145" s="640">
        <v>100</v>
      </c>
      <c r="G145" s="640">
        <v>100</v>
      </c>
      <c r="H145" s="640">
        <v>100</v>
      </c>
      <c r="I145" s="640">
        <v>100</v>
      </c>
      <c r="J145" s="640">
        <v>100</v>
      </c>
      <c r="K145" s="640">
        <v>100</v>
      </c>
      <c r="L145" s="640">
        <v>100</v>
      </c>
      <c r="M145" s="640">
        <v>100</v>
      </c>
      <c r="N145" s="640">
        <v>100</v>
      </c>
      <c r="O145" s="640">
        <v>100</v>
      </c>
      <c r="Q145" s="557" t="s">
        <v>128</v>
      </c>
      <c r="R145" s="639" t="s">
        <v>202</v>
      </c>
      <c r="S145" s="675">
        <v>60.75</v>
      </c>
      <c r="T145" s="676">
        <v>76.5</v>
      </c>
      <c r="U145" s="676">
        <v>107.25</v>
      </c>
      <c r="V145" s="676">
        <v>109.25</v>
      </c>
      <c r="W145" s="676">
        <v>110</v>
      </c>
      <c r="X145" s="676">
        <v>110</v>
      </c>
      <c r="Y145" s="676">
        <v>110</v>
      </c>
      <c r="Z145" s="676">
        <v>110</v>
      </c>
      <c r="AA145" s="676">
        <v>110</v>
      </c>
      <c r="AB145" s="676">
        <v>110</v>
      </c>
      <c r="AC145" s="676"/>
      <c r="AD145" s="676"/>
      <c r="AF145" s="557" t="s">
        <v>128</v>
      </c>
      <c r="AG145" s="639" t="s">
        <v>202</v>
      </c>
      <c r="AH145" s="675">
        <v>60.75</v>
      </c>
      <c r="AI145" s="675">
        <v>76.5</v>
      </c>
      <c r="AJ145" s="675">
        <v>107.25</v>
      </c>
      <c r="AK145" s="675">
        <v>109.25</v>
      </c>
      <c r="AL145" s="675">
        <v>110</v>
      </c>
      <c r="AM145" s="675">
        <v>110</v>
      </c>
      <c r="AN145" s="675">
        <v>110</v>
      </c>
      <c r="AO145" s="675">
        <v>110</v>
      </c>
      <c r="AP145" s="675">
        <v>110</v>
      </c>
      <c r="AQ145" s="675">
        <v>110</v>
      </c>
      <c r="AR145" s="675">
        <v>0</v>
      </c>
      <c r="AS145" s="675">
        <v>0</v>
      </c>
    </row>
    <row r="146" spans="2:45">
      <c r="B146" s="557"/>
      <c r="C146" s="639"/>
      <c r="D146" s="640"/>
      <c r="E146" s="640"/>
      <c r="F146" s="640"/>
      <c r="G146" s="640"/>
      <c r="H146" s="640"/>
      <c r="I146" s="640"/>
      <c r="J146" s="640"/>
      <c r="K146" s="640"/>
      <c r="L146" s="640"/>
      <c r="M146" s="640"/>
      <c r="N146" s="640"/>
      <c r="O146" s="640"/>
      <c r="Q146" s="557"/>
      <c r="R146" s="639"/>
      <c r="S146" s="675"/>
      <c r="T146" s="676"/>
      <c r="U146" s="676"/>
      <c r="V146" s="676"/>
      <c r="W146" s="676"/>
      <c r="X146" s="676"/>
      <c r="Y146" s="676"/>
      <c r="Z146" s="676"/>
      <c r="AA146" s="676"/>
      <c r="AB146" s="676"/>
      <c r="AC146" s="676"/>
      <c r="AD146" s="676"/>
      <c r="AF146" s="557"/>
      <c r="AG146" s="639"/>
      <c r="AH146" s="675"/>
      <c r="AI146" s="675"/>
      <c r="AJ146" s="675"/>
      <c r="AK146" s="675"/>
      <c r="AL146" s="675"/>
      <c r="AM146" s="675"/>
      <c r="AN146" s="675"/>
      <c r="AO146" s="675"/>
      <c r="AP146" s="675"/>
      <c r="AQ146" s="675"/>
      <c r="AR146" s="675"/>
      <c r="AS146" s="675"/>
    </row>
    <row r="147" spans="2:45">
      <c r="B147" s="557"/>
      <c r="C147" s="639"/>
      <c r="D147" s="640"/>
      <c r="E147" s="640"/>
      <c r="F147" s="640"/>
      <c r="G147" s="640"/>
      <c r="H147" s="640"/>
      <c r="I147" s="640"/>
      <c r="J147" s="640"/>
      <c r="K147" s="640"/>
      <c r="L147" s="640"/>
      <c r="M147" s="640"/>
      <c r="N147" s="640"/>
      <c r="O147" s="640"/>
      <c r="Q147" s="557"/>
      <c r="R147" s="639"/>
      <c r="S147" s="645"/>
      <c r="T147" s="640"/>
      <c r="U147" s="640"/>
      <c r="V147" s="640"/>
      <c r="W147" s="640"/>
      <c r="X147" s="640"/>
      <c r="Y147" s="640"/>
      <c r="Z147" s="640"/>
      <c r="AA147" s="640"/>
      <c r="AB147" s="640"/>
      <c r="AC147" s="640"/>
      <c r="AD147" s="640"/>
      <c r="AF147" s="557"/>
      <c r="AG147" s="639"/>
      <c r="AH147" s="675"/>
      <c r="AI147" s="675"/>
      <c r="AJ147" s="675"/>
      <c r="AK147" s="675"/>
      <c r="AL147" s="675"/>
      <c r="AM147" s="675"/>
      <c r="AN147" s="675"/>
      <c r="AO147" s="675"/>
      <c r="AP147" s="675"/>
      <c r="AQ147" s="675"/>
      <c r="AR147" s="675"/>
      <c r="AS147" s="675"/>
    </row>
    <row r="148" spans="2:45">
      <c r="B148" s="557" t="s">
        <v>87</v>
      </c>
      <c r="C148" s="639" t="s">
        <v>202</v>
      </c>
      <c r="D148" s="640">
        <v>100</v>
      </c>
      <c r="E148" s="640">
        <v>100</v>
      </c>
      <c r="F148" s="640">
        <v>100</v>
      </c>
      <c r="G148" s="640">
        <v>100</v>
      </c>
      <c r="H148" s="640">
        <v>100</v>
      </c>
      <c r="I148" s="640">
        <v>100</v>
      </c>
      <c r="J148" s="640">
        <v>100</v>
      </c>
      <c r="K148" s="640">
        <v>100</v>
      </c>
      <c r="L148" s="640">
        <v>100</v>
      </c>
      <c r="M148" s="640">
        <v>100</v>
      </c>
      <c r="N148" s="640">
        <v>100</v>
      </c>
      <c r="O148" s="640">
        <v>100</v>
      </c>
      <c r="Q148" s="557" t="s">
        <v>87</v>
      </c>
      <c r="R148" s="639" t="s">
        <v>202</v>
      </c>
      <c r="S148" s="675">
        <v>108.25</v>
      </c>
      <c r="T148" s="676">
        <v>84.25</v>
      </c>
      <c r="U148" s="676">
        <v>101.25</v>
      </c>
      <c r="V148" s="676">
        <v>107</v>
      </c>
      <c r="W148" s="676">
        <v>109.5</v>
      </c>
      <c r="X148" s="676">
        <v>109.5</v>
      </c>
      <c r="Y148" s="676">
        <v>109.5</v>
      </c>
      <c r="Z148" s="676">
        <v>110</v>
      </c>
      <c r="AA148" s="676">
        <v>110</v>
      </c>
      <c r="AB148" s="676">
        <v>110</v>
      </c>
      <c r="AC148" s="676"/>
      <c r="AD148" s="676"/>
      <c r="AF148" s="557" t="s">
        <v>87</v>
      </c>
      <c r="AG148" s="639" t="s">
        <v>202</v>
      </c>
      <c r="AH148" s="675">
        <v>108.25</v>
      </c>
      <c r="AI148" s="675">
        <v>84.25</v>
      </c>
      <c r="AJ148" s="675">
        <v>101.25</v>
      </c>
      <c r="AK148" s="675">
        <v>107</v>
      </c>
      <c r="AL148" s="675">
        <v>109.5</v>
      </c>
      <c r="AM148" s="675">
        <v>109.5</v>
      </c>
      <c r="AN148" s="675">
        <v>109.5</v>
      </c>
      <c r="AO148" s="675">
        <v>110</v>
      </c>
      <c r="AP148" s="675">
        <v>110</v>
      </c>
      <c r="AQ148" s="675">
        <v>110</v>
      </c>
      <c r="AR148" s="675">
        <v>0</v>
      </c>
      <c r="AS148" s="675">
        <v>0</v>
      </c>
    </row>
    <row r="149" spans="2:45">
      <c r="B149" s="557"/>
      <c r="C149" s="639"/>
      <c r="D149" s="640"/>
      <c r="E149" s="640"/>
      <c r="F149" s="640"/>
      <c r="G149" s="640"/>
      <c r="H149" s="640"/>
      <c r="I149" s="640"/>
      <c r="J149" s="640"/>
      <c r="K149" s="640"/>
      <c r="L149" s="640"/>
      <c r="M149" s="640"/>
      <c r="N149" s="640"/>
      <c r="O149" s="640"/>
      <c r="Q149" s="557"/>
      <c r="R149" s="639"/>
      <c r="S149" s="675"/>
      <c r="T149" s="676"/>
      <c r="U149" s="676"/>
      <c r="V149" s="676"/>
      <c r="W149" s="676"/>
      <c r="X149" s="676"/>
      <c r="Y149" s="676"/>
      <c r="Z149" s="676"/>
      <c r="AA149" s="676"/>
      <c r="AB149" s="676"/>
      <c r="AC149" s="676"/>
      <c r="AD149" s="676"/>
      <c r="AF149" s="557"/>
      <c r="AG149" s="639"/>
      <c r="AH149" s="675"/>
      <c r="AI149" s="675"/>
      <c r="AJ149" s="675"/>
      <c r="AK149" s="675"/>
      <c r="AL149" s="675"/>
      <c r="AM149" s="675"/>
      <c r="AN149" s="675"/>
      <c r="AO149" s="675"/>
      <c r="AP149" s="675"/>
      <c r="AQ149" s="675"/>
      <c r="AR149" s="675"/>
      <c r="AS149" s="675"/>
    </row>
    <row r="150" spans="2:45">
      <c r="B150" s="557"/>
      <c r="C150" s="639"/>
      <c r="D150" s="640"/>
      <c r="E150" s="640"/>
      <c r="F150" s="640"/>
      <c r="G150" s="640"/>
      <c r="H150" s="640"/>
      <c r="I150" s="640"/>
      <c r="J150" s="640"/>
      <c r="K150" s="640"/>
      <c r="L150" s="640"/>
      <c r="M150" s="640"/>
      <c r="N150" s="640"/>
      <c r="O150" s="640"/>
      <c r="Q150" s="557"/>
      <c r="R150" s="639"/>
      <c r="S150" s="645"/>
      <c r="T150" s="640"/>
      <c r="U150" s="640"/>
      <c r="V150" s="640"/>
      <c r="W150" s="640"/>
      <c r="X150" s="640"/>
      <c r="Y150" s="640"/>
      <c r="Z150" s="640"/>
      <c r="AA150" s="640"/>
      <c r="AB150" s="640"/>
      <c r="AC150" s="640"/>
      <c r="AD150" s="640"/>
      <c r="AF150" s="557"/>
      <c r="AG150" s="639"/>
      <c r="AH150" s="675"/>
      <c r="AI150" s="675"/>
      <c r="AJ150" s="675"/>
      <c r="AK150" s="675"/>
      <c r="AL150" s="675"/>
      <c r="AM150" s="675"/>
      <c r="AN150" s="675"/>
      <c r="AO150" s="675"/>
      <c r="AP150" s="675"/>
      <c r="AQ150" s="675"/>
      <c r="AR150" s="675"/>
      <c r="AS150" s="675"/>
    </row>
    <row r="151" spans="2:45">
      <c r="B151" s="557" t="s">
        <v>88</v>
      </c>
      <c r="C151" s="639" t="s">
        <v>202</v>
      </c>
      <c r="D151" s="640">
        <v>100</v>
      </c>
      <c r="E151" s="640">
        <v>100</v>
      </c>
      <c r="F151" s="640">
        <v>100</v>
      </c>
      <c r="G151" s="640">
        <v>100</v>
      </c>
      <c r="H151" s="640">
        <v>100</v>
      </c>
      <c r="I151" s="640">
        <v>100</v>
      </c>
      <c r="J151" s="640">
        <v>100</v>
      </c>
      <c r="K151" s="640">
        <v>100</v>
      </c>
      <c r="L151" s="640">
        <v>100</v>
      </c>
      <c r="M151" s="640">
        <v>100</v>
      </c>
      <c r="N151" s="640">
        <v>100</v>
      </c>
      <c r="O151" s="640">
        <v>100</v>
      </c>
      <c r="Q151" s="557" t="s">
        <v>88</v>
      </c>
      <c r="R151" s="639" t="s">
        <v>202</v>
      </c>
      <c r="S151" s="675">
        <v>110</v>
      </c>
      <c r="T151" s="676">
        <v>110</v>
      </c>
      <c r="U151" s="676">
        <v>110</v>
      </c>
      <c r="V151" s="676">
        <v>110</v>
      </c>
      <c r="W151" s="676">
        <v>110</v>
      </c>
      <c r="X151" s="676">
        <v>110</v>
      </c>
      <c r="Y151" s="676">
        <v>110</v>
      </c>
      <c r="Z151" s="676">
        <v>110</v>
      </c>
      <c r="AA151" s="676">
        <v>110</v>
      </c>
      <c r="AB151" s="676">
        <v>110</v>
      </c>
      <c r="AC151" s="676"/>
      <c r="AD151" s="676"/>
      <c r="AF151" s="557" t="s">
        <v>88</v>
      </c>
      <c r="AG151" s="639" t="s">
        <v>202</v>
      </c>
      <c r="AH151" s="675">
        <v>110</v>
      </c>
      <c r="AI151" s="675">
        <v>110</v>
      </c>
      <c r="AJ151" s="675">
        <v>110</v>
      </c>
      <c r="AK151" s="675">
        <v>110</v>
      </c>
      <c r="AL151" s="675">
        <v>110</v>
      </c>
      <c r="AM151" s="675">
        <v>110</v>
      </c>
      <c r="AN151" s="675">
        <v>110</v>
      </c>
      <c r="AO151" s="675">
        <v>110</v>
      </c>
      <c r="AP151" s="675">
        <v>110</v>
      </c>
      <c r="AQ151" s="675">
        <v>110</v>
      </c>
      <c r="AR151" s="675">
        <v>0</v>
      </c>
      <c r="AS151" s="675">
        <v>0</v>
      </c>
    </row>
    <row r="152" spans="2:45">
      <c r="B152" s="557"/>
      <c r="C152" s="639"/>
      <c r="D152" s="640"/>
      <c r="E152" s="640"/>
      <c r="F152" s="640"/>
      <c r="G152" s="640"/>
      <c r="H152" s="640"/>
      <c r="I152" s="640"/>
      <c r="J152" s="640"/>
      <c r="K152" s="640"/>
      <c r="L152" s="640"/>
      <c r="M152" s="640"/>
      <c r="N152" s="640"/>
      <c r="O152" s="640"/>
      <c r="Q152" s="557"/>
      <c r="R152" s="639"/>
      <c r="S152" s="675"/>
      <c r="T152" s="676"/>
      <c r="U152" s="676"/>
      <c r="V152" s="676"/>
      <c r="W152" s="676"/>
      <c r="X152" s="676"/>
      <c r="Y152" s="676"/>
      <c r="Z152" s="676"/>
      <c r="AA152" s="676"/>
      <c r="AB152" s="676"/>
      <c r="AC152" s="676"/>
      <c r="AD152" s="676"/>
      <c r="AF152" s="557"/>
      <c r="AG152" s="639"/>
      <c r="AH152" s="675"/>
      <c r="AI152" s="675"/>
      <c r="AJ152" s="675"/>
      <c r="AK152" s="675"/>
      <c r="AL152" s="675"/>
      <c r="AM152" s="675"/>
      <c r="AN152" s="675"/>
      <c r="AO152" s="675"/>
      <c r="AP152" s="675"/>
      <c r="AQ152" s="675"/>
      <c r="AR152" s="675"/>
      <c r="AS152" s="675"/>
    </row>
    <row r="153" spans="2:45">
      <c r="B153" s="557"/>
      <c r="C153" s="639"/>
      <c r="D153" s="640"/>
      <c r="E153" s="640"/>
      <c r="F153" s="640"/>
      <c r="G153" s="640"/>
      <c r="H153" s="640"/>
      <c r="I153" s="640"/>
      <c r="J153" s="640"/>
      <c r="K153" s="640"/>
      <c r="L153" s="640"/>
      <c r="M153" s="640"/>
      <c r="N153" s="640"/>
      <c r="O153" s="640"/>
      <c r="Q153" s="557"/>
      <c r="R153" s="639"/>
      <c r="S153" s="645"/>
      <c r="T153" s="640"/>
      <c r="U153" s="640"/>
      <c r="V153" s="640"/>
      <c r="W153" s="640"/>
      <c r="X153" s="640"/>
      <c r="Y153" s="640"/>
      <c r="Z153" s="640"/>
      <c r="AA153" s="640"/>
      <c r="AB153" s="640"/>
      <c r="AC153" s="640"/>
      <c r="AD153" s="640"/>
      <c r="AF153" s="557"/>
      <c r="AG153" s="639"/>
      <c r="AH153" s="675"/>
      <c r="AI153" s="675"/>
      <c r="AJ153" s="675"/>
      <c r="AK153" s="675"/>
      <c r="AL153" s="675"/>
      <c r="AM153" s="675"/>
      <c r="AN153" s="675"/>
      <c r="AO153" s="675"/>
      <c r="AP153" s="675"/>
      <c r="AQ153" s="675"/>
      <c r="AR153" s="675"/>
      <c r="AS153" s="675"/>
    </row>
    <row r="154" spans="2:45">
      <c r="B154" s="557" t="s">
        <v>121</v>
      </c>
      <c r="C154" s="639" t="s">
        <v>202</v>
      </c>
      <c r="D154" s="640">
        <v>100</v>
      </c>
      <c r="E154" s="640">
        <v>100</v>
      </c>
      <c r="F154" s="640">
        <v>100</v>
      </c>
      <c r="G154" s="640">
        <v>100</v>
      </c>
      <c r="H154" s="640">
        <v>100</v>
      </c>
      <c r="I154" s="640">
        <v>100</v>
      </c>
      <c r="J154" s="640">
        <v>100</v>
      </c>
      <c r="K154" s="640">
        <v>100</v>
      </c>
      <c r="L154" s="640">
        <v>100</v>
      </c>
      <c r="M154" s="640">
        <v>100</v>
      </c>
      <c r="N154" s="640">
        <v>100</v>
      </c>
      <c r="O154" s="640">
        <v>100</v>
      </c>
      <c r="Q154" s="557" t="s">
        <v>121</v>
      </c>
      <c r="R154" s="639" t="s">
        <v>202</v>
      </c>
      <c r="S154" s="675">
        <v>110</v>
      </c>
      <c r="T154" s="676">
        <v>110</v>
      </c>
      <c r="U154" s="676">
        <v>110</v>
      </c>
      <c r="V154" s="676">
        <v>110</v>
      </c>
      <c r="W154" s="676">
        <v>110</v>
      </c>
      <c r="X154" s="676">
        <v>110</v>
      </c>
      <c r="Y154" s="676">
        <v>110</v>
      </c>
      <c r="Z154" s="676">
        <v>110</v>
      </c>
      <c r="AA154" s="676">
        <v>110</v>
      </c>
      <c r="AB154" s="676">
        <v>110</v>
      </c>
      <c r="AC154" s="676"/>
      <c r="AD154" s="676"/>
      <c r="AF154" s="557" t="s">
        <v>121</v>
      </c>
      <c r="AG154" s="639" t="s">
        <v>202</v>
      </c>
      <c r="AH154" s="675">
        <v>110</v>
      </c>
      <c r="AI154" s="675">
        <v>110</v>
      </c>
      <c r="AJ154" s="675">
        <v>110</v>
      </c>
      <c r="AK154" s="675">
        <v>110</v>
      </c>
      <c r="AL154" s="675">
        <v>110</v>
      </c>
      <c r="AM154" s="675">
        <v>110</v>
      </c>
      <c r="AN154" s="675">
        <v>110</v>
      </c>
      <c r="AO154" s="675">
        <v>110</v>
      </c>
      <c r="AP154" s="675">
        <v>110</v>
      </c>
      <c r="AQ154" s="675">
        <v>110</v>
      </c>
      <c r="AR154" s="675">
        <v>0</v>
      </c>
      <c r="AS154" s="675">
        <v>0</v>
      </c>
    </row>
    <row r="155" spans="2:45">
      <c r="B155" s="557"/>
      <c r="C155" s="639"/>
      <c r="D155" s="640"/>
      <c r="E155" s="640"/>
      <c r="F155" s="640"/>
      <c r="G155" s="640"/>
      <c r="H155" s="640"/>
      <c r="I155" s="640"/>
      <c r="J155" s="640"/>
      <c r="K155" s="640"/>
      <c r="L155" s="640"/>
      <c r="M155" s="640"/>
      <c r="N155" s="640"/>
      <c r="O155" s="640"/>
      <c r="Q155" s="557"/>
      <c r="R155" s="639"/>
      <c r="S155" s="675"/>
      <c r="T155" s="676"/>
      <c r="U155" s="676"/>
      <c r="V155" s="676"/>
      <c r="W155" s="676"/>
      <c r="X155" s="676"/>
      <c r="Y155" s="676"/>
      <c r="Z155" s="676"/>
      <c r="AA155" s="676"/>
      <c r="AB155" s="676"/>
      <c r="AC155" s="676"/>
      <c r="AD155" s="676"/>
      <c r="AF155" s="557"/>
      <c r="AG155" s="639"/>
      <c r="AH155" s="675"/>
      <c r="AI155" s="675"/>
      <c r="AJ155" s="675"/>
      <c r="AK155" s="675"/>
      <c r="AL155" s="675"/>
      <c r="AM155" s="675"/>
      <c r="AN155" s="675"/>
      <c r="AO155" s="675"/>
      <c r="AP155" s="675"/>
      <c r="AQ155" s="675"/>
      <c r="AR155" s="675"/>
      <c r="AS155" s="675"/>
    </row>
    <row r="156" spans="2:45">
      <c r="B156" s="557"/>
      <c r="C156" s="639"/>
      <c r="D156" s="640"/>
      <c r="E156" s="640"/>
      <c r="F156" s="640"/>
      <c r="G156" s="640"/>
      <c r="H156" s="640"/>
      <c r="I156" s="640"/>
      <c r="J156" s="640"/>
      <c r="K156" s="640"/>
      <c r="L156" s="640"/>
      <c r="M156" s="640"/>
      <c r="N156" s="640"/>
      <c r="O156" s="640"/>
      <c r="Q156" s="557"/>
      <c r="R156" s="639"/>
      <c r="S156" s="645"/>
      <c r="T156" s="640"/>
      <c r="U156" s="640"/>
      <c r="V156" s="640"/>
      <c r="W156" s="640"/>
      <c r="X156" s="640"/>
      <c r="Y156" s="640"/>
      <c r="Z156" s="640"/>
      <c r="AA156" s="640"/>
      <c r="AB156" s="640"/>
      <c r="AC156" s="640"/>
      <c r="AD156" s="640"/>
      <c r="AF156" s="557"/>
      <c r="AG156" s="639"/>
      <c r="AH156" s="675"/>
      <c r="AI156" s="675"/>
      <c r="AJ156" s="675"/>
      <c r="AK156" s="675"/>
      <c r="AL156" s="675"/>
      <c r="AM156" s="675"/>
      <c r="AN156" s="675"/>
      <c r="AO156" s="675"/>
      <c r="AP156" s="675"/>
      <c r="AQ156" s="675"/>
      <c r="AR156" s="675"/>
      <c r="AS156" s="675"/>
    </row>
    <row r="157" spans="2:45">
      <c r="B157" s="557" t="s">
        <v>89</v>
      </c>
      <c r="C157" s="639" t="s">
        <v>202</v>
      </c>
      <c r="D157" s="640">
        <v>100</v>
      </c>
      <c r="E157" s="640">
        <v>100</v>
      </c>
      <c r="F157" s="640">
        <v>100</v>
      </c>
      <c r="G157" s="640">
        <v>100</v>
      </c>
      <c r="H157" s="640">
        <v>100</v>
      </c>
      <c r="I157" s="640">
        <v>100</v>
      </c>
      <c r="J157" s="640">
        <v>100</v>
      </c>
      <c r="K157" s="640">
        <v>100</v>
      </c>
      <c r="L157" s="640">
        <v>100</v>
      </c>
      <c r="M157" s="640">
        <v>100</v>
      </c>
      <c r="N157" s="640">
        <v>100</v>
      </c>
      <c r="O157" s="640">
        <v>100</v>
      </c>
      <c r="Q157" s="557" t="s">
        <v>89</v>
      </c>
      <c r="R157" s="639" t="s">
        <v>202</v>
      </c>
      <c r="S157" s="675">
        <v>110</v>
      </c>
      <c r="T157" s="676">
        <v>110</v>
      </c>
      <c r="U157" s="676">
        <v>110</v>
      </c>
      <c r="V157" s="676">
        <v>110</v>
      </c>
      <c r="W157" s="676">
        <v>110</v>
      </c>
      <c r="X157" s="676">
        <v>110</v>
      </c>
      <c r="Y157" s="676">
        <v>110</v>
      </c>
      <c r="Z157" s="676">
        <v>110</v>
      </c>
      <c r="AA157" s="676">
        <v>110</v>
      </c>
      <c r="AB157" s="676">
        <v>110</v>
      </c>
      <c r="AC157" s="676"/>
      <c r="AD157" s="676"/>
      <c r="AF157" s="557" t="s">
        <v>89</v>
      </c>
      <c r="AG157" s="639" t="s">
        <v>202</v>
      </c>
      <c r="AH157" s="675">
        <v>110</v>
      </c>
      <c r="AI157" s="675">
        <v>110</v>
      </c>
      <c r="AJ157" s="675">
        <v>110</v>
      </c>
      <c r="AK157" s="675">
        <v>110</v>
      </c>
      <c r="AL157" s="675">
        <v>110</v>
      </c>
      <c r="AM157" s="675">
        <v>110</v>
      </c>
      <c r="AN157" s="675">
        <v>110</v>
      </c>
      <c r="AO157" s="675">
        <v>110</v>
      </c>
      <c r="AP157" s="675">
        <v>110</v>
      </c>
      <c r="AQ157" s="675">
        <v>110</v>
      </c>
      <c r="AR157" s="675">
        <v>0</v>
      </c>
      <c r="AS157" s="675">
        <v>0</v>
      </c>
    </row>
    <row r="158" spans="2:45">
      <c r="B158" s="557"/>
      <c r="C158" s="639"/>
      <c r="D158" s="640"/>
      <c r="E158" s="640"/>
      <c r="F158" s="640"/>
      <c r="G158" s="640"/>
      <c r="H158" s="640"/>
      <c r="I158" s="640"/>
      <c r="J158" s="640"/>
      <c r="K158" s="640"/>
      <c r="L158" s="640"/>
      <c r="M158" s="640"/>
      <c r="N158" s="640"/>
      <c r="O158" s="640"/>
      <c r="Q158" s="557"/>
      <c r="R158" s="639"/>
      <c r="S158" s="675"/>
      <c r="T158" s="676"/>
      <c r="U158" s="676"/>
      <c r="V158" s="676"/>
      <c r="W158" s="676"/>
      <c r="X158" s="676"/>
      <c r="Y158" s="676"/>
      <c r="Z158" s="676"/>
      <c r="AA158" s="676"/>
      <c r="AB158" s="676"/>
      <c r="AC158" s="676"/>
      <c r="AD158" s="676"/>
      <c r="AF158" s="557"/>
      <c r="AG158" s="639"/>
      <c r="AH158" s="675"/>
      <c r="AI158" s="675"/>
      <c r="AJ158" s="675"/>
      <c r="AK158" s="675"/>
      <c r="AL158" s="675"/>
      <c r="AM158" s="675"/>
      <c r="AN158" s="675"/>
      <c r="AO158" s="675"/>
      <c r="AP158" s="675"/>
      <c r="AQ158" s="675"/>
      <c r="AR158" s="675"/>
      <c r="AS158" s="675"/>
    </row>
    <row r="159" spans="2:45">
      <c r="B159" s="557"/>
      <c r="C159" s="639"/>
      <c r="D159" s="640"/>
      <c r="E159" s="640"/>
      <c r="F159" s="640"/>
      <c r="G159" s="640"/>
      <c r="H159" s="640"/>
      <c r="I159" s="640"/>
      <c r="J159" s="640"/>
      <c r="K159" s="640"/>
      <c r="L159" s="640"/>
      <c r="M159" s="640"/>
      <c r="N159" s="640"/>
      <c r="O159" s="640"/>
      <c r="Q159" s="557"/>
      <c r="R159" s="639"/>
      <c r="S159" s="645"/>
      <c r="T159" s="640"/>
      <c r="U159" s="640"/>
      <c r="V159" s="640"/>
      <c r="W159" s="640"/>
      <c r="X159" s="640"/>
      <c r="Y159" s="640"/>
      <c r="Z159" s="640"/>
      <c r="AA159" s="640"/>
      <c r="AB159" s="640"/>
      <c r="AC159" s="640"/>
      <c r="AD159" s="640"/>
      <c r="AF159" s="557"/>
      <c r="AG159" s="639"/>
      <c r="AH159" s="675"/>
      <c r="AI159" s="675"/>
      <c r="AJ159" s="675"/>
      <c r="AK159" s="675"/>
      <c r="AL159" s="675"/>
      <c r="AM159" s="675"/>
      <c r="AN159" s="675"/>
      <c r="AO159" s="675"/>
      <c r="AP159" s="675"/>
      <c r="AQ159" s="675"/>
      <c r="AR159" s="675"/>
      <c r="AS159" s="675"/>
    </row>
    <row r="160" spans="2:45">
      <c r="B160" s="557" t="s">
        <v>90</v>
      </c>
      <c r="C160" s="639" t="s">
        <v>202</v>
      </c>
      <c r="D160" s="640">
        <v>100</v>
      </c>
      <c r="E160" s="640">
        <v>100</v>
      </c>
      <c r="F160" s="640">
        <v>100</v>
      </c>
      <c r="G160" s="640">
        <v>100</v>
      </c>
      <c r="H160" s="640">
        <v>100</v>
      </c>
      <c r="I160" s="640">
        <v>100</v>
      </c>
      <c r="J160" s="640">
        <v>100</v>
      </c>
      <c r="K160" s="640">
        <v>100</v>
      </c>
      <c r="L160" s="640">
        <v>100</v>
      </c>
      <c r="M160" s="640">
        <v>100</v>
      </c>
      <c r="N160" s="640">
        <v>100</v>
      </c>
      <c r="O160" s="640">
        <v>100</v>
      </c>
      <c r="Q160" s="557" t="s">
        <v>90</v>
      </c>
      <c r="R160" s="639" t="s">
        <v>202</v>
      </c>
      <c r="S160" s="675">
        <v>92.25</v>
      </c>
      <c r="T160" s="676">
        <v>90.5</v>
      </c>
      <c r="U160" s="676">
        <v>110</v>
      </c>
      <c r="V160" s="676">
        <v>110</v>
      </c>
      <c r="W160" s="676">
        <v>110</v>
      </c>
      <c r="X160" s="676">
        <v>110</v>
      </c>
      <c r="Y160" s="676">
        <v>110</v>
      </c>
      <c r="Z160" s="676">
        <v>110</v>
      </c>
      <c r="AA160" s="676">
        <v>110</v>
      </c>
      <c r="AB160" s="676">
        <v>110</v>
      </c>
      <c r="AC160" s="676"/>
      <c r="AD160" s="676"/>
      <c r="AF160" s="557" t="s">
        <v>90</v>
      </c>
      <c r="AG160" s="639" t="s">
        <v>202</v>
      </c>
      <c r="AH160" s="675">
        <v>92.25</v>
      </c>
      <c r="AI160" s="675">
        <v>90.5</v>
      </c>
      <c r="AJ160" s="675">
        <v>110</v>
      </c>
      <c r="AK160" s="675">
        <v>110</v>
      </c>
      <c r="AL160" s="675">
        <v>110</v>
      </c>
      <c r="AM160" s="675">
        <v>110</v>
      </c>
      <c r="AN160" s="675">
        <v>110</v>
      </c>
      <c r="AO160" s="675">
        <v>110</v>
      </c>
      <c r="AP160" s="675">
        <v>110</v>
      </c>
      <c r="AQ160" s="675">
        <v>110</v>
      </c>
      <c r="AR160" s="675">
        <v>0</v>
      </c>
      <c r="AS160" s="675">
        <v>0</v>
      </c>
    </row>
    <row r="161" spans="2:47">
      <c r="B161" s="557"/>
      <c r="C161" s="639"/>
      <c r="D161" s="640"/>
      <c r="E161" s="640"/>
      <c r="F161" s="640"/>
      <c r="G161" s="640"/>
      <c r="H161" s="640"/>
      <c r="I161" s="640"/>
      <c r="J161" s="640"/>
      <c r="K161" s="640"/>
      <c r="L161" s="640"/>
      <c r="M161" s="640"/>
      <c r="N161" s="640"/>
      <c r="O161" s="640"/>
      <c r="Q161" s="557"/>
      <c r="R161" s="639"/>
      <c r="S161" s="675"/>
      <c r="T161" s="676"/>
      <c r="U161" s="676"/>
      <c r="V161" s="676"/>
      <c r="W161" s="676"/>
      <c r="X161" s="676"/>
      <c r="Y161" s="676"/>
      <c r="Z161" s="676"/>
      <c r="AA161" s="676"/>
      <c r="AB161" s="676"/>
      <c r="AC161" s="676"/>
      <c r="AD161" s="676"/>
      <c r="AF161" s="557"/>
      <c r="AG161" s="639"/>
      <c r="AH161" s="675"/>
      <c r="AI161" s="675"/>
      <c r="AJ161" s="675"/>
      <c r="AK161" s="675"/>
      <c r="AL161" s="675"/>
      <c r="AM161" s="675"/>
      <c r="AN161" s="675"/>
      <c r="AO161" s="675"/>
      <c r="AP161" s="675"/>
      <c r="AQ161" s="675"/>
      <c r="AR161" s="675"/>
      <c r="AS161" s="675"/>
      <c r="AU161"/>
    </row>
    <row r="162" spans="2:47">
      <c r="B162" s="557"/>
      <c r="C162" s="639"/>
      <c r="D162" s="640"/>
      <c r="E162" s="640"/>
      <c r="F162" s="640"/>
      <c r="G162" s="640"/>
      <c r="H162" s="640"/>
      <c r="I162" s="640"/>
      <c r="J162" s="640"/>
      <c r="K162" s="640"/>
      <c r="L162" s="640"/>
      <c r="M162" s="640"/>
      <c r="N162" s="640"/>
      <c r="O162" s="640"/>
      <c r="Q162" s="557"/>
      <c r="R162" s="639"/>
      <c r="S162" s="645"/>
      <c r="T162" s="640"/>
      <c r="U162" s="640"/>
      <c r="V162" s="640"/>
      <c r="W162" s="640"/>
      <c r="X162" s="640"/>
      <c r="Y162" s="640"/>
      <c r="Z162" s="640"/>
      <c r="AA162" s="640"/>
      <c r="AB162" s="640"/>
      <c r="AC162" s="640"/>
      <c r="AD162" s="640"/>
      <c r="AF162" s="557"/>
      <c r="AG162" s="639"/>
      <c r="AH162" s="675"/>
      <c r="AI162" s="675"/>
      <c r="AJ162" s="675"/>
      <c r="AK162" s="675"/>
      <c r="AL162" s="675"/>
      <c r="AM162" s="675"/>
      <c r="AN162" s="675"/>
      <c r="AO162" s="675"/>
      <c r="AP162" s="675"/>
      <c r="AQ162" s="675"/>
      <c r="AR162" s="675"/>
      <c r="AS162" s="675"/>
      <c r="AU162"/>
    </row>
    <row r="163" spans="2:47">
      <c r="B163" s="125"/>
      <c r="C163" s="263"/>
      <c r="D163" s="606"/>
      <c r="E163" s="606"/>
      <c r="F163" s="606"/>
      <c r="G163" s="606"/>
      <c r="H163" s="606"/>
      <c r="I163" s="606"/>
      <c r="J163" s="606"/>
      <c r="K163" s="606"/>
      <c r="L163" s="606"/>
      <c r="M163" s="606"/>
      <c r="N163" s="606"/>
      <c r="O163" s="606"/>
      <c r="Q163" s="125"/>
      <c r="R163" s="263"/>
      <c r="S163" s="576"/>
      <c r="T163" s="576"/>
      <c r="U163" s="576"/>
      <c r="V163" s="576"/>
      <c r="W163" s="576"/>
      <c r="X163" s="576"/>
      <c r="Y163" s="576"/>
      <c r="Z163" s="576"/>
      <c r="AA163" s="576"/>
      <c r="AB163" s="576"/>
      <c r="AC163" s="576"/>
      <c r="AD163" s="576"/>
      <c r="AF163" s="125"/>
      <c r="AG163" s="263"/>
      <c r="AH163" s="576"/>
      <c r="AI163" s="576"/>
      <c r="AJ163" s="576"/>
      <c r="AK163" s="576"/>
      <c r="AL163" s="576"/>
      <c r="AM163" s="576"/>
      <c r="AN163" s="576"/>
      <c r="AO163" s="576"/>
      <c r="AP163" s="576"/>
      <c r="AQ163" s="576"/>
      <c r="AR163" s="576"/>
      <c r="AS163" s="576"/>
      <c r="AU163"/>
    </row>
    <row r="164" spans="2:47">
      <c r="B164" s="687" t="s">
        <v>203</v>
      </c>
      <c r="D164" s="105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  <c r="Q164" s="181" t="s">
        <v>203</v>
      </c>
      <c r="S164" s="105"/>
      <c r="T164" s="105"/>
      <c r="U164" s="105"/>
      <c r="V164" s="105"/>
      <c r="W164" s="105"/>
      <c r="X164" s="105"/>
      <c r="Y164" s="105"/>
      <c r="Z164" s="105"/>
      <c r="AA164" s="105"/>
      <c r="AB164" s="105"/>
      <c r="AC164" s="105"/>
      <c r="AD164" s="105"/>
      <c r="AF164" s="181" t="s">
        <v>203</v>
      </c>
      <c r="AH164" s="105"/>
      <c r="AI164" s="105"/>
      <c r="AJ164" s="105"/>
      <c r="AK164" s="105"/>
      <c r="AL164" s="105"/>
      <c r="AM164" s="105"/>
      <c r="AN164" s="105"/>
      <c r="AO164" s="105"/>
      <c r="AP164" s="105"/>
      <c r="AQ164" s="105"/>
      <c r="AR164" s="105"/>
      <c r="AS164" s="105"/>
      <c r="AU164"/>
    </row>
    <row r="165" spans="2:47">
      <c r="B165" t="s">
        <v>100</v>
      </c>
      <c r="D165" s="105"/>
      <c r="E165" s="105"/>
      <c r="F165" s="105"/>
      <c r="G165" s="105"/>
      <c r="H165" s="105"/>
      <c r="I165" s="105"/>
      <c r="J165" s="105"/>
      <c r="K165" s="105"/>
      <c r="L165" s="105"/>
      <c r="M165" s="105"/>
      <c r="N165" s="105"/>
      <c r="O165" s="105"/>
      <c r="Q165" t="s">
        <v>126</v>
      </c>
      <c r="S165" s="105"/>
      <c r="T165" s="105"/>
      <c r="U165" s="105"/>
      <c r="V165" s="105"/>
      <c r="W165" s="105"/>
      <c r="X165" s="105"/>
      <c r="Y165" s="105"/>
      <c r="Z165" s="105"/>
      <c r="AA165" s="105"/>
      <c r="AB165" s="105"/>
      <c r="AC165" s="105"/>
      <c r="AD165" s="105"/>
      <c r="AF165" t="s">
        <v>181</v>
      </c>
      <c r="AH165" s="105"/>
      <c r="AI165" s="105"/>
      <c r="AJ165" s="105"/>
      <c r="AK165" s="105"/>
      <c r="AL165" s="105"/>
      <c r="AM165" s="105"/>
      <c r="AN165" s="105"/>
      <c r="AO165" s="105"/>
      <c r="AP165" s="105"/>
      <c r="AQ165" s="105"/>
      <c r="AR165" s="105"/>
      <c r="AS165" s="105"/>
      <c r="AU165"/>
    </row>
    <row r="166" spans="2:47">
      <c r="B166" s="752" t="s">
        <v>72</v>
      </c>
      <c r="C166" s="752"/>
      <c r="D166" s="552" t="s">
        <v>74</v>
      </c>
      <c r="E166" s="552" t="s">
        <v>75</v>
      </c>
      <c r="F166" s="552" t="s">
        <v>76</v>
      </c>
      <c r="G166" s="552" t="s">
        <v>77</v>
      </c>
      <c r="H166" s="552" t="s">
        <v>78</v>
      </c>
      <c r="I166" s="552" t="s">
        <v>79</v>
      </c>
      <c r="J166" s="552" t="s">
        <v>80</v>
      </c>
      <c r="K166" s="552" t="s">
        <v>81</v>
      </c>
      <c r="L166" s="552" t="s">
        <v>82</v>
      </c>
      <c r="M166" s="552" t="s">
        <v>83</v>
      </c>
      <c r="N166" s="552" t="s">
        <v>84</v>
      </c>
      <c r="O166" s="552" t="s">
        <v>85</v>
      </c>
      <c r="Q166" s="752" t="s">
        <v>72</v>
      </c>
      <c r="R166" s="752"/>
      <c r="S166" s="552" t="s">
        <v>74</v>
      </c>
      <c r="T166" s="552" t="s">
        <v>75</v>
      </c>
      <c r="U166" s="552" t="s">
        <v>76</v>
      </c>
      <c r="V166" s="552" t="s">
        <v>77</v>
      </c>
      <c r="W166" s="552" t="s">
        <v>78</v>
      </c>
      <c r="X166" s="552" t="s">
        <v>79</v>
      </c>
      <c r="Y166" s="552" t="s">
        <v>80</v>
      </c>
      <c r="Z166" s="552" t="s">
        <v>81</v>
      </c>
      <c r="AA166" s="552" t="s">
        <v>82</v>
      </c>
      <c r="AB166" s="552" t="s">
        <v>83</v>
      </c>
      <c r="AC166" s="552" t="s">
        <v>84</v>
      </c>
      <c r="AD166" s="552" t="s">
        <v>85</v>
      </c>
      <c r="AF166" s="752" t="s">
        <v>72</v>
      </c>
      <c r="AG166" s="752"/>
      <c r="AH166" s="552" t="s">
        <v>74</v>
      </c>
      <c r="AI166" s="552" t="s">
        <v>75</v>
      </c>
      <c r="AJ166" s="552" t="s">
        <v>76</v>
      </c>
      <c r="AK166" s="552" t="s">
        <v>77</v>
      </c>
      <c r="AL166" s="552" t="s">
        <v>78</v>
      </c>
      <c r="AM166" s="552" t="s">
        <v>79</v>
      </c>
      <c r="AN166" s="552" t="s">
        <v>80</v>
      </c>
      <c r="AO166" s="552" t="s">
        <v>81</v>
      </c>
      <c r="AP166" s="552" t="s">
        <v>82</v>
      </c>
      <c r="AQ166" s="552" t="s">
        <v>83</v>
      </c>
      <c r="AR166" s="552" t="s">
        <v>84</v>
      </c>
      <c r="AS166" s="552" t="s">
        <v>85</v>
      </c>
      <c r="AU166"/>
    </row>
    <row r="167" spans="2:47">
      <c r="B167" s="557" t="s">
        <v>128</v>
      </c>
      <c r="C167" s="639" t="s">
        <v>204</v>
      </c>
      <c r="D167" s="640">
        <v>100</v>
      </c>
      <c r="E167" s="640">
        <v>100</v>
      </c>
      <c r="F167" s="640">
        <v>100</v>
      </c>
      <c r="G167" s="640">
        <v>100</v>
      </c>
      <c r="H167" s="640">
        <v>100</v>
      </c>
      <c r="I167" s="640">
        <v>100</v>
      </c>
      <c r="J167" s="640">
        <v>100</v>
      </c>
      <c r="K167" s="640">
        <v>100</v>
      </c>
      <c r="L167" s="640">
        <v>100</v>
      </c>
      <c r="M167" s="640">
        <v>100</v>
      </c>
      <c r="N167" s="640">
        <v>100</v>
      </c>
      <c r="O167" s="640">
        <v>100</v>
      </c>
      <c r="Q167" s="557" t="s">
        <v>128</v>
      </c>
      <c r="R167" s="639" t="s">
        <v>204</v>
      </c>
      <c r="S167" s="675">
        <v>110</v>
      </c>
      <c r="T167" s="675">
        <v>110</v>
      </c>
      <c r="U167" s="675">
        <v>110</v>
      </c>
      <c r="V167" s="675">
        <v>110</v>
      </c>
      <c r="W167" s="675">
        <v>110</v>
      </c>
      <c r="X167" s="675">
        <v>110</v>
      </c>
      <c r="Y167" s="675">
        <v>110</v>
      </c>
      <c r="Z167" s="675">
        <v>110</v>
      </c>
      <c r="AA167" s="675">
        <v>110</v>
      </c>
      <c r="AB167" s="675">
        <v>110</v>
      </c>
      <c r="AC167" s="676"/>
      <c r="AD167" s="676"/>
      <c r="AF167" s="557" t="s">
        <v>128</v>
      </c>
      <c r="AG167" s="639" t="s">
        <v>204</v>
      </c>
      <c r="AH167" s="675">
        <v>110</v>
      </c>
      <c r="AI167" s="675">
        <v>110</v>
      </c>
      <c r="AJ167" s="675">
        <v>110</v>
      </c>
      <c r="AK167" s="675">
        <v>110</v>
      </c>
      <c r="AL167" s="675">
        <v>110</v>
      </c>
      <c r="AM167" s="675">
        <v>110</v>
      </c>
      <c r="AN167" s="675">
        <v>110</v>
      </c>
      <c r="AO167" s="675">
        <v>110</v>
      </c>
      <c r="AP167" s="675">
        <v>110</v>
      </c>
      <c r="AQ167" s="675">
        <v>110</v>
      </c>
      <c r="AR167" s="675">
        <v>0</v>
      </c>
      <c r="AS167" s="675">
        <v>0</v>
      </c>
      <c r="AU167"/>
    </row>
    <row r="168" spans="2:47">
      <c r="B168" s="557"/>
      <c r="C168" s="639"/>
      <c r="D168" s="640"/>
      <c r="E168" s="640"/>
      <c r="F168" s="640"/>
      <c r="G168" s="640"/>
      <c r="H168" s="640"/>
      <c r="I168" s="640"/>
      <c r="J168" s="640"/>
      <c r="K168" s="640"/>
      <c r="L168" s="640"/>
      <c r="M168" s="640"/>
      <c r="N168" s="640"/>
      <c r="O168" s="640"/>
      <c r="Q168" s="557"/>
      <c r="R168" s="639"/>
      <c r="S168" s="675"/>
      <c r="T168" s="676"/>
      <c r="U168" s="676"/>
      <c r="V168" s="676"/>
      <c r="W168" s="676"/>
      <c r="X168" s="676"/>
      <c r="Y168" s="676"/>
      <c r="Z168" s="676"/>
      <c r="AA168" s="676"/>
      <c r="AB168" s="676"/>
      <c r="AC168" s="676"/>
      <c r="AD168" s="676"/>
      <c r="AF168" s="557"/>
      <c r="AG168" s="639"/>
      <c r="AH168" s="675"/>
      <c r="AI168" s="675"/>
      <c r="AJ168" s="675"/>
      <c r="AK168" s="675"/>
      <c r="AL168" s="675"/>
      <c r="AM168" s="675"/>
      <c r="AN168" s="675"/>
      <c r="AO168" s="675"/>
      <c r="AP168" s="675"/>
      <c r="AQ168" s="675"/>
      <c r="AR168" s="675"/>
      <c r="AS168" s="675"/>
      <c r="AU168"/>
    </row>
    <row r="169" spans="2:47">
      <c r="B169" s="557"/>
      <c r="C169" s="639"/>
      <c r="D169" s="640"/>
      <c r="E169" s="640"/>
      <c r="F169" s="640"/>
      <c r="G169" s="640"/>
      <c r="H169" s="640"/>
      <c r="I169" s="640"/>
      <c r="J169" s="640"/>
      <c r="K169" s="640"/>
      <c r="L169" s="640"/>
      <c r="M169" s="640"/>
      <c r="N169" s="640"/>
      <c r="O169" s="640"/>
      <c r="Q169" s="557"/>
      <c r="R169" s="639"/>
      <c r="S169" s="645"/>
      <c r="T169" s="640"/>
      <c r="U169" s="640"/>
      <c r="V169" s="640"/>
      <c r="W169" s="640"/>
      <c r="X169" s="640"/>
      <c r="Y169" s="640"/>
      <c r="Z169" s="640"/>
      <c r="AA169" s="640"/>
      <c r="AB169" s="640"/>
      <c r="AC169" s="640"/>
      <c r="AD169" s="640"/>
      <c r="AF169" s="557"/>
      <c r="AG169" s="639"/>
      <c r="AH169" s="645"/>
      <c r="AI169" s="645"/>
      <c r="AJ169" s="645"/>
      <c r="AK169" s="645"/>
      <c r="AL169" s="645"/>
      <c r="AM169" s="645"/>
      <c r="AN169" s="645"/>
      <c r="AO169" s="645"/>
      <c r="AP169" s="645"/>
      <c r="AQ169" s="645"/>
      <c r="AR169" s="645"/>
      <c r="AS169" s="645"/>
      <c r="AU169"/>
    </row>
    <row r="170" spans="2:47">
      <c r="B170" s="557" t="s">
        <v>87</v>
      </c>
      <c r="C170" s="639" t="s">
        <v>204</v>
      </c>
      <c r="D170" s="640">
        <v>100</v>
      </c>
      <c r="E170" s="640">
        <v>100</v>
      </c>
      <c r="F170" s="640">
        <v>100</v>
      </c>
      <c r="G170" s="640">
        <v>100</v>
      </c>
      <c r="H170" s="640">
        <v>100</v>
      </c>
      <c r="I170" s="640">
        <v>100</v>
      </c>
      <c r="J170" s="640">
        <v>100</v>
      </c>
      <c r="K170" s="640">
        <v>100</v>
      </c>
      <c r="L170" s="640">
        <v>100</v>
      </c>
      <c r="M170" s="640">
        <v>100</v>
      </c>
      <c r="N170" s="640">
        <v>100</v>
      </c>
      <c r="O170" s="640">
        <v>100</v>
      </c>
      <c r="Q170" s="557" t="s">
        <v>87</v>
      </c>
      <c r="R170" s="639" t="s">
        <v>204</v>
      </c>
      <c r="S170" s="675">
        <v>110</v>
      </c>
      <c r="T170" s="675">
        <v>110</v>
      </c>
      <c r="U170" s="675">
        <v>110</v>
      </c>
      <c r="V170" s="675">
        <v>110</v>
      </c>
      <c r="W170" s="675">
        <v>110</v>
      </c>
      <c r="X170" s="675">
        <v>110</v>
      </c>
      <c r="Y170" s="675">
        <v>110</v>
      </c>
      <c r="Z170" s="675">
        <v>110</v>
      </c>
      <c r="AA170" s="675">
        <v>110</v>
      </c>
      <c r="AB170" s="675">
        <v>110</v>
      </c>
      <c r="AC170" s="676"/>
      <c r="AD170" s="676"/>
      <c r="AF170" s="557" t="s">
        <v>87</v>
      </c>
      <c r="AG170" s="639" t="s">
        <v>204</v>
      </c>
      <c r="AH170" s="675">
        <v>110</v>
      </c>
      <c r="AI170" s="675">
        <v>110</v>
      </c>
      <c r="AJ170" s="675">
        <v>110</v>
      </c>
      <c r="AK170" s="675">
        <v>110</v>
      </c>
      <c r="AL170" s="675">
        <v>110</v>
      </c>
      <c r="AM170" s="675">
        <v>110</v>
      </c>
      <c r="AN170" s="675">
        <v>110</v>
      </c>
      <c r="AO170" s="675">
        <v>110</v>
      </c>
      <c r="AP170" s="675">
        <v>110</v>
      </c>
      <c r="AQ170" s="675">
        <v>110</v>
      </c>
      <c r="AR170" s="675">
        <v>0</v>
      </c>
      <c r="AS170" s="675">
        <v>0</v>
      </c>
      <c r="AU170"/>
    </row>
    <row r="171" spans="2:47">
      <c r="B171" s="557"/>
      <c r="C171" s="639"/>
      <c r="D171" s="640"/>
      <c r="E171" s="640"/>
      <c r="F171" s="640"/>
      <c r="G171" s="640"/>
      <c r="H171" s="640"/>
      <c r="I171" s="640"/>
      <c r="J171" s="640"/>
      <c r="K171" s="640"/>
      <c r="L171" s="640"/>
      <c r="M171" s="640"/>
      <c r="N171" s="640"/>
      <c r="O171" s="640"/>
      <c r="Q171" s="557"/>
      <c r="R171" s="639"/>
      <c r="S171" s="675"/>
      <c r="T171" s="676"/>
      <c r="U171" s="676"/>
      <c r="V171" s="676"/>
      <c r="W171" s="676"/>
      <c r="X171" s="676"/>
      <c r="Y171" s="676"/>
      <c r="Z171" s="676"/>
      <c r="AA171" s="676"/>
      <c r="AB171" s="676"/>
      <c r="AC171" s="676"/>
      <c r="AD171" s="676"/>
      <c r="AF171" s="557"/>
      <c r="AG171" s="639"/>
      <c r="AH171" s="675"/>
      <c r="AI171" s="675"/>
      <c r="AJ171" s="675"/>
      <c r="AK171" s="675"/>
      <c r="AL171" s="675"/>
      <c r="AM171" s="675"/>
      <c r="AN171" s="675"/>
      <c r="AO171" s="675"/>
      <c r="AP171" s="675"/>
      <c r="AQ171" s="675"/>
      <c r="AR171" s="675"/>
      <c r="AS171" s="675"/>
      <c r="AU171"/>
    </row>
    <row r="172" spans="2:47">
      <c r="B172" s="557"/>
      <c r="C172" s="639"/>
      <c r="D172" s="640"/>
      <c r="E172" s="640"/>
      <c r="F172" s="640"/>
      <c r="G172" s="640"/>
      <c r="H172" s="640"/>
      <c r="I172" s="640"/>
      <c r="J172" s="640"/>
      <c r="K172" s="640"/>
      <c r="L172" s="640"/>
      <c r="M172" s="640"/>
      <c r="N172" s="640"/>
      <c r="O172" s="640"/>
      <c r="Q172" s="557"/>
      <c r="R172" s="639"/>
      <c r="S172" s="645"/>
      <c r="T172" s="640"/>
      <c r="U172" s="640"/>
      <c r="V172" s="640"/>
      <c r="W172" s="640"/>
      <c r="X172" s="640"/>
      <c r="Y172" s="640"/>
      <c r="Z172" s="640"/>
      <c r="AA172" s="640"/>
      <c r="AB172" s="640"/>
      <c r="AC172" s="640"/>
      <c r="AD172" s="640"/>
      <c r="AF172" s="557"/>
      <c r="AG172" s="639"/>
      <c r="AH172" s="645"/>
      <c r="AI172" s="645"/>
      <c r="AJ172" s="645"/>
      <c r="AK172" s="645"/>
      <c r="AL172" s="645"/>
      <c r="AM172" s="645"/>
      <c r="AN172" s="645"/>
      <c r="AO172" s="645"/>
      <c r="AP172" s="645"/>
      <c r="AQ172" s="645"/>
      <c r="AR172" s="645"/>
      <c r="AS172" s="645"/>
      <c r="AU172"/>
    </row>
    <row r="173" spans="2:47">
      <c r="B173" s="557" t="s">
        <v>88</v>
      </c>
      <c r="C173" s="639" t="s">
        <v>204</v>
      </c>
      <c r="D173" s="640">
        <v>100</v>
      </c>
      <c r="E173" s="640">
        <v>100</v>
      </c>
      <c r="F173" s="640">
        <v>100</v>
      </c>
      <c r="G173" s="640">
        <v>100</v>
      </c>
      <c r="H173" s="640">
        <v>100</v>
      </c>
      <c r="I173" s="640">
        <v>100</v>
      </c>
      <c r="J173" s="640">
        <v>100</v>
      </c>
      <c r="K173" s="640">
        <v>100</v>
      </c>
      <c r="L173" s="640">
        <v>100</v>
      </c>
      <c r="M173" s="640">
        <v>100</v>
      </c>
      <c r="N173" s="640">
        <v>100</v>
      </c>
      <c r="O173" s="640">
        <v>100</v>
      </c>
      <c r="Q173" s="557" t="s">
        <v>88</v>
      </c>
      <c r="R173" s="639" t="s">
        <v>204</v>
      </c>
      <c r="S173" s="675">
        <v>110</v>
      </c>
      <c r="T173" s="676">
        <v>110</v>
      </c>
      <c r="U173" s="676">
        <v>110</v>
      </c>
      <c r="V173" s="676">
        <v>110</v>
      </c>
      <c r="W173" s="676">
        <v>110</v>
      </c>
      <c r="X173" s="676">
        <v>110</v>
      </c>
      <c r="Y173" s="676">
        <v>110</v>
      </c>
      <c r="Z173" s="676">
        <v>110</v>
      </c>
      <c r="AA173" s="676">
        <v>110</v>
      </c>
      <c r="AB173" s="676">
        <v>110</v>
      </c>
      <c r="AC173" s="676"/>
      <c r="AD173" s="676"/>
      <c r="AF173" s="557" t="s">
        <v>88</v>
      </c>
      <c r="AG173" s="639" t="s">
        <v>204</v>
      </c>
      <c r="AH173" s="675">
        <v>110</v>
      </c>
      <c r="AI173" s="675">
        <v>110</v>
      </c>
      <c r="AJ173" s="675">
        <v>110</v>
      </c>
      <c r="AK173" s="675">
        <v>110</v>
      </c>
      <c r="AL173" s="675">
        <v>110</v>
      </c>
      <c r="AM173" s="675">
        <v>110</v>
      </c>
      <c r="AN173" s="675">
        <v>110</v>
      </c>
      <c r="AO173" s="675">
        <v>110</v>
      </c>
      <c r="AP173" s="675">
        <v>110</v>
      </c>
      <c r="AQ173" s="675">
        <v>110</v>
      </c>
      <c r="AR173" s="675">
        <v>0</v>
      </c>
      <c r="AS173" s="675">
        <v>0</v>
      </c>
      <c r="AU173"/>
    </row>
    <row r="174" spans="2:47">
      <c r="B174" s="557"/>
      <c r="C174" s="639"/>
      <c r="D174" s="640"/>
      <c r="E174" s="640"/>
      <c r="F174" s="640"/>
      <c r="G174" s="640"/>
      <c r="H174" s="640"/>
      <c r="I174" s="640"/>
      <c r="J174" s="640"/>
      <c r="K174" s="640"/>
      <c r="L174" s="640"/>
      <c r="M174" s="640"/>
      <c r="N174" s="640"/>
      <c r="O174" s="640"/>
      <c r="Q174" s="557"/>
      <c r="R174" s="639"/>
      <c r="S174" s="675"/>
      <c r="T174" s="676"/>
      <c r="U174" s="676"/>
      <c r="V174" s="676"/>
      <c r="W174" s="676"/>
      <c r="X174" s="676"/>
      <c r="Y174" s="676"/>
      <c r="Z174" s="676"/>
      <c r="AA174" s="676"/>
      <c r="AB174" s="676"/>
      <c r="AC174" s="676"/>
      <c r="AD174" s="676"/>
      <c r="AF174" s="557"/>
      <c r="AG174" s="639"/>
      <c r="AH174" s="675"/>
      <c r="AI174" s="675"/>
      <c r="AJ174" s="675"/>
      <c r="AK174" s="675"/>
      <c r="AL174" s="675"/>
      <c r="AM174" s="675"/>
      <c r="AN174" s="675"/>
      <c r="AO174" s="675"/>
      <c r="AP174" s="675"/>
      <c r="AQ174" s="675"/>
      <c r="AR174" s="675"/>
      <c r="AS174" s="675"/>
      <c r="AU174"/>
    </row>
    <row r="175" spans="2:47">
      <c r="B175" s="557"/>
      <c r="C175" s="639"/>
      <c r="D175" s="640"/>
      <c r="E175" s="640"/>
      <c r="F175" s="640"/>
      <c r="G175" s="640"/>
      <c r="H175" s="640"/>
      <c r="I175" s="640"/>
      <c r="J175" s="640"/>
      <c r="K175" s="640"/>
      <c r="L175" s="640"/>
      <c r="M175" s="640"/>
      <c r="N175" s="640"/>
      <c r="O175" s="640"/>
      <c r="Q175" s="557"/>
      <c r="R175" s="639"/>
      <c r="S175" s="645"/>
      <c r="T175" s="640"/>
      <c r="U175" s="640"/>
      <c r="V175" s="640"/>
      <c r="W175" s="640"/>
      <c r="X175" s="640"/>
      <c r="Y175" s="640"/>
      <c r="Z175" s="640"/>
      <c r="AA175" s="640"/>
      <c r="AB175" s="640"/>
      <c r="AC175" s="640"/>
      <c r="AD175" s="640"/>
      <c r="AF175" s="557"/>
      <c r="AG175" s="639"/>
      <c r="AH175" s="645"/>
      <c r="AI175" s="645"/>
      <c r="AJ175" s="645"/>
      <c r="AK175" s="645"/>
      <c r="AL175" s="645"/>
      <c r="AM175" s="645"/>
      <c r="AN175" s="645"/>
      <c r="AO175" s="645"/>
      <c r="AP175" s="645"/>
      <c r="AQ175" s="645"/>
      <c r="AR175" s="645"/>
      <c r="AS175" s="645"/>
      <c r="AU175"/>
    </row>
    <row r="176" spans="2:47">
      <c r="B176" s="557" t="s">
        <v>121</v>
      </c>
      <c r="C176" s="639" t="s">
        <v>204</v>
      </c>
      <c r="D176" s="640">
        <v>100</v>
      </c>
      <c r="E176" s="640">
        <v>100</v>
      </c>
      <c r="F176" s="640">
        <v>100</v>
      </c>
      <c r="G176" s="640">
        <v>100</v>
      </c>
      <c r="H176" s="640">
        <v>100</v>
      </c>
      <c r="I176" s="640">
        <v>100</v>
      </c>
      <c r="J176" s="640">
        <v>100</v>
      </c>
      <c r="K176" s="640">
        <v>100</v>
      </c>
      <c r="L176" s="640">
        <v>100</v>
      </c>
      <c r="M176" s="640">
        <v>100</v>
      </c>
      <c r="N176" s="640">
        <v>100</v>
      </c>
      <c r="O176" s="640">
        <v>100</v>
      </c>
      <c r="Q176" s="557" t="s">
        <v>121</v>
      </c>
      <c r="R176" s="639" t="s">
        <v>204</v>
      </c>
      <c r="S176" s="675">
        <v>110</v>
      </c>
      <c r="T176" s="676">
        <v>110</v>
      </c>
      <c r="U176" s="676">
        <v>110</v>
      </c>
      <c r="V176" s="676">
        <v>110</v>
      </c>
      <c r="W176" s="676">
        <v>110</v>
      </c>
      <c r="X176" s="676">
        <v>110</v>
      </c>
      <c r="Y176" s="676">
        <v>110</v>
      </c>
      <c r="Z176" s="676">
        <v>110</v>
      </c>
      <c r="AA176" s="676">
        <v>110</v>
      </c>
      <c r="AB176" s="676">
        <v>110</v>
      </c>
      <c r="AC176" s="676"/>
      <c r="AD176" s="676"/>
      <c r="AF176" s="557" t="s">
        <v>121</v>
      </c>
      <c r="AG176" s="639" t="s">
        <v>204</v>
      </c>
      <c r="AH176" s="675">
        <v>110</v>
      </c>
      <c r="AI176" s="675">
        <v>110</v>
      </c>
      <c r="AJ176" s="675">
        <v>110</v>
      </c>
      <c r="AK176" s="675">
        <v>110</v>
      </c>
      <c r="AL176" s="675">
        <v>110</v>
      </c>
      <c r="AM176" s="675">
        <v>110</v>
      </c>
      <c r="AN176" s="675">
        <v>110</v>
      </c>
      <c r="AO176" s="675">
        <v>110</v>
      </c>
      <c r="AP176" s="675">
        <v>110</v>
      </c>
      <c r="AQ176" s="675">
        <v>110</v>
      </c>
      <c r="AR176" s="675">
        <v>0</v>
      </c>
      <c r="AS176" s="675">
        <v>0</v>
      </c>
      <c r="AU176"/>
    </row>
    <row r="177" spans="1:59">
      <c r="A177"/>
      <c r="B177" s="557"/>
      <c r="C177" s="639"/>
      <c r="D177" s="640"/>
      <c r="E177" s="640"/>
      <c r="F177" s="640"/>
      <c r="G177" s="640"/>
      <c r="H177" s="640"/>
      <c r="I177" s="640"/>
      <c r="J177" s="640"/>
      <c r="K177" s="640"/>
      <c r="L177" s="640"/>
      <c r="M177" s="640"/>
      <c r="N177" s="640"/>
      <c r="O177" s="640"/>
      <c r="Q177" s="557"/>
      <c r="R177" s="639"/>
      <c r="S177" s="675"/>
      <c r="T177" s="676"/>
      <c r="U177" s="676"/>
      <c r="V177" s="676"/>
      <c r="W177" s="676"/>
      <c r="X177" s="676"/>
      <c r="Y177" s="676"/>
      <c r="Z177" s="676"/>
      <c r="AA177" s="676"/>
      <c r="AB177" s="676"/>
      <c r="AC177" s="676"/>
      <c r="AD177" s="676"/>
      <c r="AF177" s="557"/>
      <c r="AG177" s="639"/>
      <c r="AH177" s="675"/>
      <c r="AI177" s="675"/>
      <c r="AJ177" s="675"/>
      <c r="AK177" s="675"/>
      <c r="AL177" s="675"/>
      <c r="AM177" s="675"/>
      <c r="AN177" s="675"/>
      <c r="AO177" s="675"/>
      <c r="AP177" s="675"/>
      <c r="AQ177" s="675"/>
      <c r="AR177" s="675"/>
      <c r="AS177" s="675"/>
      <c r="AU177"/>
    </row>
    <row r="178" spans="1:59">
      <c r="A178"/>
      <c r="B178" s="557"/>
      <c r="C178" s="639"/>
      <c r="D178" s="640"/>
      <c r="E178" s="640"/>
      <c r="F178" s="640"/>
      <c r="G178" s="640"/>
      <c r="H178" s="640"/>
      <c r="I178" s="640"/>
      <c r="J178" s="640"/>
      <c r="K178" s="640"/>
      <c r="L178" s="640"/>
      <c r="M178" s="640"/>
      <c r="N178" s="640"/>
      <c r="O178" s="640"/>
      <c r="Q178" s="557"/>
      <c r="R178" s="639"/>
      <c r="S178" s="645"/>
      <c r="T178" s="640"/>
      <c r="U178" s="640"/>
      <c r="V178" s="640"/>
      <c r="W178" s="640"/>
      <c r="X178" s="640"/>
      <c r="Y178" s="640"/>
      <c r="Z178" s="640"/>
      <c r="AA178" s="640"/>
      <c r="AB178" s="640"/>
      <c r="AC178" s="640"/>
      <c r="AD178" s="640"/>
      <c r="AF178" s="557"/>
      <c r="AG178" s="639"/>
      <c r="AH178" s="645"/>
      <c r="AI178" s="645"/>
      <c r="AJ178" s="645"/>
      <c r="AK178" s="645"/>
      <c r="AL178" s="645"/>
      <c r="AM178" s="645"/>
      <c r="AN178" s="645"/>
      <c r="AO178" s="645"/>
      <c r="AP178" s="645"/>
      <c r="AQ178" s="645"/>
      <c r="AR178" s="645"/>
      <c r="AS178" s="645"/>
      <c r="AU178"/>
    </row>
    <row r="179" spans="1:59">
      <c r="A179"/>
      <c r="B179" s="557" t="s">
        <v>89</v>
      </c>
      <c r="C179" s="639" t="s">
        <v>204</v>
      </c>
      <c r="D179" s="640">
        <v>100</v>
      </c>
      <c r="E179" s="640">
        <v>100</v>
      </c>
      <c r="F179" s="640">
        <v>100</v>
      </c>
      <c r="G179" s="640">
        <v>100</v>
      </c>
      <c r="H179" s="640">
        <v>100</v>
      </c>
      <c r="I179" s="640">
        <v>100</v>
      </c>
      <c r="J179" s="640">
        <v>100</v>
      </c>
      <c r="K179" s="640">
        <v>100</v>
      </c>
      <c r="L179" s="640">
        <v>100</v>
      </c>
      <c r="M179" s="640">
        <v>100</v>
      </c>
      <c r="N179" s="640">
        <v>100</v>
      </c>
      <c r="O179" s="640">
        <v>100</v>
      </c>
      <c r="Q179" s="557" t="s">
        <v>89</v>
      </c>
      <c r="R179" s="639" t="s">
        <v>204</v>
      </c>
      <c r="S179" s="675">
        <v>110</v>
      </c>
      <c r="T179" s="676">
        <v>110</v>
      </c>
      <c r="U179" s="676">
        <v>110</v>
      </c>
      <c r="V179" s="676">
        <v>110</v>
      </c>
      <c r="W179" s="676">
        <v>110</v>
      </c>
      <c r="X179" s="676">
        <v>110</v>
      </c>
      <c r="Y179" s="676">
        <v>110</v>
      </c>
      <c r="Z179" s="676">
        <v>110</v>
      </c>
      <c r="AA179" s="676">
        <v>110</v>
      </c>
      <c r="AB179" s="676">
        <v>110</v>
      </c>
      <c r="AC179" s="676"/>
      <c r="AD179" s="676"/>
      <c r="AF179" s="557" t="s">
        <v>89</v>
      </c>
      <c r="AG179" s="639" t="s">
        <v>204</v>
      </c>
      <c r="AH179" s="675">
        <v>110</v>
      </c>
      <c r="AI179" s="675">
        <v>110</v>
      </c>
      <c r="AJ179" s="675">
        <v>110</v>
      </c>
      <c r="AK179" s="675">
        <v>110</v>
      </c>
      <c r="AL179" s="675">
        <v>110</v>
      </c>
      <c r="AM179" s="675">
        <v>110</v>
      </c>
      <c r="AN179" s="675">
        <v>110</v>
      </c>
      <c r="AO179" s="675">
        <v>110</v>
      </c>
      <c r="AP179" s="675">
        <v>110</v>
      </c>
      <c r="AQ179" s="675">
        <v>110</v>
      </c>
      <c r="AR179" s="675">
        <v>0</v>
      </c>
      <c r="AS179" s="675">
        <v>0</v>
      </c>
      <c r="AU179"/>
    </row>
    <row r="180" spans="1:59">
      <c r="A180"/>
      <c r="B180" s="557"/>
      <c r="C180" s="639"/>
      <c r="D180" s="640"/>
      <c r="E180" s="640"/>
      <c r="F180" s="640"/>
      <c r="G180" s="640"/>
      <c r="H180" s="640"/>
      <c r="I180" s="640"/>
      <c r="J180" s="640"/>
      <c r="K180" s="640"/>
      <c r="L180" s="640"/>
      <c r="M180" s="640"/>
      <c r="N180" s="640"/>
      <c r="O180" s="640"/>
      <c r="Q180" s="557"/>
      <c r="R180" s="639"/>
      <c r="S180" s="675"/>
      <c r="T180" s="676"/>
      <c r="U180" s="676"/>
      <c r="V180" s="676"/>
      <c r="W180" s="676"/>
      <c r="X180" s="676"/>
      <c r="Y180" s="676"/>
      <c r="Z180" s="676"/>
      <c r="AA180" s="676"/>
      <c r="AB180" s="676"/>
      <c r="AC180" s="676"/>
      <c r="AD180" s="676"/>
      <c r="AF180" s="557"/>
      <c r="AG180" s="639"/>
      <c r="AH180" s="675"/>
      <c r="AI180" s="675"/>
      <c r="AJ180" s="675"/>
      <c r="AK180" s="675"/>
      <c r="AL180" s="675"/>
      <c r="AM180" s="675"/>
      <c r="AN180" s="675"/>
      <c r="AO180" s="675"/>
      <c r="AP180" s="675"/>
      <c r="AQ180" s="675"/>
      <c r="AR180" s="675"/>
      <c r="AS180" s="675"/>
      <c r="AU180"/>
    </row>
    <row r="181" spans="1:59">
      <c r="A181"/>
      <c r="B181" s="557"/>
      <c r="C181" s="639"/>
      <c r="D181" s="640"/>
      <c r="E181" s="640"/>
      <c r="F181" s="640"/>
      <c r="G181" s="640"/>
      <c r="H181" s="640"/>
      <c r="I181" s="640"/>
      <c r="J181" s="640"/>
      <c r="K181" s="640"/>
      <c r="L181" s="640"/>
      <c r="M181" s="640"/>
      <c r="N181" s="640"/>
      <c r="O181" s="640"/>
      <c r="Q181" s="557"/>
      <c r="R181" s="639"/>
      <c r="S181" s="645"/>
      <c r="T181" s="640"/>
      <c r="U181" s="640"/>
      <c r="V181" s="640"/>
      <c r="W181" s="640"/>
      <c r="X181" s="640"/>
      <c r="Y181" s="640"/>
      <c r="Z181" s="640"/>
      <c r="AA181" s="640"/>
      <c r="AB181" s="640"/>
      <c r="AC181" s="640"/>
      <c r="AD181" s="640"/>
      <c r="AF181" s="557"/>
      <c r="AG181" s="639"/>
      <c r="AH181" s="645"/>
      <c r="AI181" s="645"/>
      <c r="AJ181" s="645"/>
      <c r="AK181" s="645"/>
      <c r="AL181" s="645"/>
      <c r="AM181" s="645"/>
      <c r="AN181" s="645"/>
      <c r="AO181" s="645"/>
      <c r="AP181" s="645"/>
      <c r="AQ181" s="645"/>
      <c r="AR181" s="645"/>
      <c r="AS181" s="645"/>
      <c r="AU181"/>
    </row>
    <row r="182" spans="1:59">
      <c r="A182"/>
      <c r="B182" s="557" t="s">
        <v>90</v>
      </c>
      <c r="C182" s="639" t="s">
        <v>204</v>
      </c>
      <c r="D182" s="640">
        <v>100</v>
      </c>
      <c r="E182" s="640">
        <v>100</v>
      </c>
      <c r="F182" s="640">
        <v>100</v>
      </c>
      <c r="G182" s="640">
        <v>100</v>
      </c>
      <c r="H182" s="640">
        <v>100</v>
      </c>
      <c r="I182" s="640">
        <v>100</v>
      </c>
      <c r="J182" s="640">
        <v>100</v>
      </c>
      <c r="K182" s="640">
        <v>100</v>
      </c>
      <c r="L182" s="640">
        <v>100</v>
      </c>
      <c r="M182" s="640">
        <v>100</v>
      </c>
      <c r="N182" s="640">
        <v>100</v>
      </c>
      <c r="O182" s="640">
        <v>100</v>
      </c>
      <c r="Q182" s="557" t="s">
        <v>90</v>
      </c>
      <c r="R182" s="639" t="s">
        <v>204</v>
      </c>
      <c r="S182" s="675">
        <v>110</v>
      </c>
      <c r="T182" s="676">
        <v>110</v>
      </c>
      <c r="U182" s="676">
        <v>110</v>
      </c>
      <c r="V182" s="676">
        <v>110</v>
      </c>
      <c r="W182" s="676">
        <v>110</v>
      </c>
      <c r="X182" s="676">
        <v>110</v>
      </c>
      <c r="Y182" s="676">
        <v>110</v>
      </c>
      <c r="Z182" s="676">
        <v>110</v>
      </c>
      <c r="AA182" s="676">
        <v>110</v>
      </c>
      <c r="AB182" s="676">
        <v>110</v>
      </c>
      <c r="AC182" s="676"/>
      <c r="AD182" s="676"/>
      <c r="AF182" s="557" t="s">
        <v>90</v>
      </c>
      <c r="AG182" s="639" t="s">
        <v>204</v>
      </c>
      <c r="AH182" s="675">
        <v>110</v>
      </c>
      <c r="AI182" s="675">
        <v>110</v>
      </c>
      <c r="AJ182" s="675">
        <v>110</v>
      </c>
      <c r="AK182" s="675">
        <v>110</v>
      </c>
      <c r="AL182" s="675">
        <v>110</v>
      </c>
      <c r="AM182" s="675">
        <v>110</v>
      </c>
      <c r="AN182" s="675">
        <v>110</v>
      </c>
      <c r="AO182" s="675">
        <v>110</v>
      </c>
      <c r="AP182" s="675">
        <v>110</v>
      </c>
      <c r="AQ182" s="675">
        <v>110</v>
      </c>
      <c r="AR182" s="675">
        <v>0</v>
      </c>
      <c r="AS182" s="675">
        <v>0</v>
      </c>
      <c r="AU182"/>
    </row>
    <row r="183" spans="1:59">
      <c r="A183"/>
      <c r="B183" s="557"/>
      <c r="C183" s="639"/>
      <c r="D183" s="640"/>
      <c r="E183" s="640"/>
      <c r="F183" s="640"/>
      <c r="G183" s="640"/>
      <c r="H183" s="640"/>
      <c r="I183" s="640"/>
      <c r="J183" s="640"/>
      <c r="K183" s="640"/>
      <c r="L183" s="640"/>
      <c r="M183" s="640"/>
      <c r="N183" s="640"/>
      <c r="O183" s="640"/>
      <c r="Q183" s="557"/>
      <c r="R183" s="639"/>
      <c r="S183" s="675"/>
      <c r="T183" s="676"/>
      <c r="U183" s="676"/>
      <c r="V183" s="676"/>
      <c r="W183" s="676"/>
      <c r="X183" s="676"/>
      <c r="Y183" s="676"/>
      <c r="Z183" s="676"/>
      <c r="AA183" s="676"/>
      <c r="AB183" s="676"/>
      <c r="AC183" s="676"/>
      <c r="AD183" s="676"/>
      <c r="AF183" s="557"/>
      <c r="AG183" s="639"/>
      <c r="AH183" s="675"/>
      <c r="AI183" s="675"/>
      <c r="AJ183" s="675"/>
      <c r="AK183" s="675"/>
      <c r="AL183" s="675"/>
      <c r="AM183" s="675"/>
      <c r="AN183" s="675"/>
      <c r="AO183" s="675"/>
      <c r="AP183" s="675"/>
      <c r="AQ183" s="675"/>
      <c r="AR183" s="675"/>
      <c r="AS183" s="675"/>
      <c r="AU183"/>
    </row>
    <row r="184" spans="1:59">
      <c r="A184"/>
      <c r="B184" s="557"/>
      <c r="C184" s="639"/>
      <c r="D184" s="640"/>
      <c r="E184" s="640"/>
      <c r="F184" s="640"/>
      <c r="G184" s="640"/>
      <c r="H184" s="640"/>
      <c r="I184" s="640"/>
      <c r="J184" s="640"/>
      <c r="K184" s="640"/>
      <c r="L184" s="640"/>
      <c r="M184" s="640"/>
      <c r="N184" s="640"/>
      <c r="O184" s="640"/>
      <c r="Q184" s="557"/>
      <c r="R184" s="639"/>
      <c r="S184" s="645"/>
      <c r="T184" s="640"/>
      <c r="U184" s="640"/>
      <c r="V184" s="640"/>
      <c r="W184" s="640"/>
      <c r="X184" s="640"/>
      <c r="Y184" s="640"/>
      <c r="Z184" s="640"/>
      <c r="AA184" s="640"/>
      <c r="AB184" s="640"/>
      <c r="AC184" s="640"/>
      <c r="AD184" s="640"/>
      <c r="AF184" s="557"/>
      <c r="AG184" s="639"/>
      <c r="AH184" s="645"/>
      <c r="AI184" s="645"/>
      <c r="AJ184" s="645"/>
      <c r="AK184" s="645"/>
      <c r="AL184" s="645"/>
      <c r="AM184" s="645"/>
      <c r="AN184" s="645"/>
      <c r="AO184" s="645"/>
      <c r="AP184" s="645"/>
      <c r="AQ184" s="645"/>
      <c r="AR184" s="645"/>
      <c r="AS184" s="645"/>
      <c r="AU184"/>
    </row>
    <row r="185" spans="1:59">
      <c r="A185"/>
      <c r="B185" s="125"/>
      <c r="C185" s="263"/>
      <c r="D185" s="606"/>
      <c r="E185" s="606"/>
      <c r="F185" s="606"/>
      <c r="G185" s="606"/>
      <c r="H185" s="606"/>
      <c r="I185" s="606"/>
      <c r="J185" s="606"/>
      <c r="K185" s="606"/>
      <c r="L185" s="606"/>
      <c r="M185" s="606"/>
      <c r="N185" s="606"/>
      <c r="O185" s="606"/>
      <c r="Q185" s="125"/>
      <c r="R185" s="263"/>
      <c r="S185" s="576"/>
      <c r="T185" s="576"/>
      <c r="U185" s="576"/>
      <c r="V185" s="576"/>
      <c r="W185" s="576"/>
      <c r="X185" s="576"/>
      <c r="Y185" s="576"/>
      <c r="Z185" s="576"/>
      <c r="AA185" s="576"/>
      <c r="AB185" s="576"/>
      <c r="AC185" s="576"/>
      <c r="AD185" s="576"/>
      <c r="AF185" s="125"/>
      <c r="AG185" s="263"/>
      <c r="AH185" s="576"/>
      <c r="AI185" s="576"/>
      <c r="AJ185" s="576"/>
      <c r="AK185" s="576"/>
      <c r="AL185" s="576"/>
      <c r="AM185" s="576"/>
      <c r="AN185" s="576"/>
      <c r="AO185" s="576"/>
      <c r="AP185" s="576"/>
      <c r="AQ185" s="576"/>
      <c r="AR185" s="576"/>
      <c r="AS185" s="576"/>
      <c r="AU185"/>
    </row>
    <row r="186" spans="1:59">
      <c r="A186" s="105">
        <v>6</v>
      </c>
      <c r="B186" s="687" t="s">
        <v>205</v>
      </c>
      <c r="C186" s="263"/>
      <c r="D186" s="576"/>
      <c r="E186" s="576"/>
      <c r="F186" s="576"/>
      <c r="G186" s="576"/>
      <c r="H186" s="576"/>
      <c r="I186" s="576"/>
      <c r="J186" s="576"/>
      <c r="K186" s="576"/>
      <c r="L186" s="576"/>
      <c r="M186" s="576"/>
      <c r="N186" s="576"/>
      <c r="O186" s="576"/>
      <c r="Q186" s="315" t="s">
        <v>205</v>
      </c>
      <c r="R186" s="263"/>
      <c r="S186" s="576"/>
      <c r="T186" s="576"/>
      <c r="U186" s="576"/>
      <c r="V186" s="576"/>
      <c r="W186" s="576"/>
      <c r="X186" s="576"/>
      <c r="Y186" s="576"/>
      <c r="Z186" s="576"/>
      <c r="AA186" s="576"/>
      <c r="AB186" s="576"/>
      <c r="AC186" s="576"/>
      <c r="AD186" s="576"/>
      <c r="AF186" s="653" t="s">
        <v>205</v>
      </c>
      <c r="AG186" s="263"/>
      <c r="AH186" s="576"/>
      <c r="AI186" s="576"/>
      <c r="AJ186" s="576"/>
      <c r="AK186" s="576"/>
      <c r="AL186" s="576"/>
      <c r="AM186" s="576"/>
      <c r="AN186" s="576"/>
      <c r="AO186" s="576"/>
      <c r="AP186" s="576"/>
      <c r="AQ186" s="576"/>
      <c r="AR186" s="576"/>
      <c r="AS186" s="576"/>
      <c r="AU186"/>
    </row>
    <row r="187" spans="1:59">
      <c r="A187"/>
      <c r="B187" s="687" t="s">
        <v>100</v>
      </c>
      <c r="C187" s="263"/>
      <c r="D187" s="576"/>
      <c r="E187" s="576"/>
      <c r="F187" s="576"/>
      <c r="G187" s="576"/>
      <c r="H187" s="576"/>
      <c r="I187" s="576"/>
      <c r="J187" s="576"/>
      <c r="K187" s="576"/>
      <c r="L187" s="576"/>
      <c r="M187" s="576"/>
      <c r="N187" s="576"/>
      <c r="O187" s="576"/>
      <c r="Q187" s="21" t="s">
        <v>126</v>
      </c>
      <c r="R187" s="263"/>
      <c r="S187" s="576"/>
      <c r="T187" s="576"/>
      <c r="U187" s="576"/>
      <c r="V187" s="576"/>
      <c r="W187" s="576"/>
      <c r="X187" s="576"/>
      <c r="Y187" s="576"/>
      <c r="Z187" s="576"/>
      <c r="AA187" s="576"/>
      <c r="AB187" s="576"/>
      <c r="AC187" s="576"/>
      <c r="AD187" s="576"/>
      <c r="AF187" t="s">
        <v>127</v>
      </c>
      <c r="AG187" s="263"/>
      <c r="AH187" s="576"/>
      <c r="AI187" s="576"/>
      <c r="AJ187" s="576"/>
      <c r="AK187" s="576"/>
      <c r="AL187" s="576"/>
      <c r="AM187" s="576"/>
      <c r="AN187" s="576"/>
      <c r="AO187" s="576"/>
      <c r="AP187" s="576"/>
      <c r="AQ187" s="576"/>
      <c r="AR187" s="576"/>
      <c r="AS187" s="576"/>
      <c r="AU187"/>
    </row>
    <row r="188" spans="1:59">
      <c r="A188"/>
      <c r="B188" s="768" t="s">
        <v>72</v>
      </c>
      <c r="C188" s="769"/>
      <c r="D188" s="552" t="s">
        <v>74</v>
      </c>
      <c r="E188" s="552" t="s">
        <v>75</v>
      </c>
      <c r="F188" s="552" t="s">
        <v>76</v>
      </c>
      <c r="G188" s="552" t="s">
        <v>77</v>
      </c>
      <c r="H188" s="552" t="s">
        <v>78</v>
      </c>
      <c r="I188" s="552" t="s">
        <v>79</v>
      </c>
      <c r="J188" s="552" t="s">
        <v>80</v>
      </c>
      <c r="K188" s="552" t="s">
        <v>81</v>
      </c>
      <c r="L188" s="552" t="s">
        <v>82</v>
      </c>
      <c r="M188" s="552" t="s">
        <v>83</v>
      </c>
      <c r="N188" s="552" t="s">
        <v>84</v>
      </c>
      <c r="O188" s="552" t="s">
        <v>85</v>
      </c>
      <c r="Q188" s="768" t="s">
        <v>72</v>
      </c>
      <c r="R188" s="769"/>
      <c r="S188" s="552" t="s">
        <v>74</v>
      </c>
      <c r="T188" s="552" t="s">
        <v>75</v>
      </c>
      <c r="U188" s="552" t="s">
        <v>76</v>
      </c>
      <c r="V188" s="552" t="s">
        <v>77</v>
      </c>
      <c r="W188" s="552" t="s">
        <v>78</v>
      </c>
      <c r="X188" s="552" t="s">
        <v>79</v>
      </c>
      <c r="Y188" s="552" t="s">
        <v>80</v>
      </c>
      <c r="Z188" s="552" t="s">
        <v>81</v>
      </c>
      <c r="AA188" s="552" t="s">
        <v>82</v>
      </c>
      <c r="AB188" s="552" t="s">
        <v>83</v>
      </c>
      <c r="AC188" s="552" t="s">
        <v>84</v>
      </c>
      <c r="AD188" s="552" t="s">
        <v>85</v>
      </c>
      <c r="AF188" s="768" t="s">
        <v>72</v>
      </c>
      <c r="AG188" s="769"/>
      <c r="AH188" s="552" t="s">
        <v>74</v>
      </c>
      <c r="AI188" s="552" t="s">
        <v>75</v>
      </c>
      <c r="AJ188" s="552" t="s">
        <v>76</v>
      </c>
      <c r="AK188" s="552" t="s">
        <v>77</v>
      </c>
      <c r="AL188" s="552" t="s">
        <v>78</v>
      </c>
      <c r="AM188" s="552" t="s">
        <v>79</v>
      </c>
      <c r="AN188" s="552" t="s">
        <v>80</v>
      </c>
      <c r="AO188" s="552" t="s">
        <v>81</v>
      </c>
      <c r="AP188" s="552" t="s">
        <v>82</v>
      </c>
      <c r="AQ188" s="552" t="s">
        <v>83</v>
      </c>
      <c r="AR188" s="552" t="s">
        <v>84</v>
      </c>
      <c r="AS188" s="552" t="s">
        <v>85</v>
      </c>
      <c r="AU188"/>
    </row>
    <row r="189" spans="1:59" ht="23.45" customHeight="1">
      <c r="A189"/>
      <c r="B189" s="688" t="s">
        <v>90</v>
      </c>
      <c r="C189" s="673" t="s">
        <v>206</v>
      </c>
      <c r="D189" s="557">
        <v>100</v>
      </c>
      <c r="E189" s="557">
        <v>100</v>
      </c>
      <c r="F189" s="557">
        <v>100</v>
      </c>
      <c r="G189" s="557">
        <v>100</v>
      </c>
      <c r="H189" s="557">
        <v>100</v>
      </c>
      <c r="I189" s="557">
        <v>100</v>
      </c>
      <c r="J189" s="557">
        <v>100</v>
      </c>
      <c r="K189" s="557">
        <v>100</v>
      </c>
      <c r="L189" s="557">
        <v>100</v>
      </c>
      <c r="M189" s="557">
        <v>100</v>
      </c>
      <c r="N189" s="557">
        <v>100</v>
      </c>
      <c r="O189" s="557">
        <v>100</v>
      </c>
      <c r="Q189" s="727" t="s">
        <v>90</v>
      </c>
      <c r="R189" s="673" t="s">
        <v>206</v>
      </c>
      <c r="S189" s="557">
        <v>99.06</v>
      </c>
      <c r="T189" s="557">
        <v>116.19</v>
      </c>
      <c r="U189" s="557">
        <v>118.81</v>
      </c>
      <c r="V189" s="557">
        <v>120.77</v>
      </c>
      <c r="W189" s="557">
        <v>121.31</v>
      </c>
      <c r="X189" s="557">
        <v>121.31</v>
      </c>
      <c r="Y189" s="557">
        <v>98.6</v>
      </c>
      <c r="Z189" s="557">
        <v>101.98</v>
      </c>
      <c r="AA189" s="557">
        <v>101.95</v>
      </c>
      <c r="AB189" s="557">
        <v>101.95</v>
      </c>
      <c r="AC189" s="557"/>
      <c r="AD189" s="557"/>
      <c r="AE189" s="124"/>
      <c r="AF189" s="724" t="s">
        <v>90</v>
      </c>
      <c r="AG189" s="677" t="s">
        <v>206</v>
      </c>
      <c r="AH189" s="557">
        <v>99.06</v>
      </c>
      <c r="AI189" s="557">
        <v>116.19</v>
      </c>
      <c r="AJ189" s="557">
        <v>118.81</v>
      </c>
      <c r="AK189" s="557">
        <v>120.77</v>
      </c>
      <c r="AL189" s="557">
        <v>121.31</v>
      </c>
      <c r="AM189" s="557">
        <v>121.31</v>
      </c>
      <c r="AN189" s="557">
        <v>98.6</v>
      </c>
      <c r="AO189" s="557">
        <v>101.98</v>
      </c>
      <c r="AP189" s="557">
        <v>101.95</v>
      </c>
      <c r="AQ189" s="557">
        <v>101.95</v>
      </c>
      <c r="AR189" s="557">
        <v>0</v>
      </c>
      <c r="AS189" s="557">
        <v>0</v>
      </c>
      <c r="AU189"/>
    </row>
    <row r="190" spans="1:59">
      <c r="A190"/>
      <c r="B190" s="125"/>
      <c r="C190" s="263"/>
      <c r="D190" s="606"/>
      <c r="E190" s="606"/>
      <c r="F190" s="606"/>
      <c r="G190" s="606"/>
      <c r="H190" s="606"/>
      <c r="I190" s="606"/>
      <c r="J190" s="606"/>
      <c r="K190" s="606"/>
      <c r="L190" s="606"/>
      <c r="M190" s="606"/>
      <c r="N190" s="606"/>
      <c r="O190" s="606"/>
      <c r="Q190" s="125"/>
      <c r="R190" s="263"/>
      <c r="S190" s="576"/>
      <c r="T190" s="576"/>
      <c r="U190" s="576"/>
      <c r="V190" s="576"/>
      <c r="W190" s="576"/>
      <c r="X190" s="576"/>
      <c r="Y190" s="576"/>
      <c r="Z190" s="576"/>
      <c r="AA190" s="576"/>
      <c r="AB190" s="576"/>
      <c r="AC190" s="576"/>
      <c r="AD190" s="576"/>
      <c r="AF190" s="125"/>
      <c r="AG190" s="263"/>
      <c r="AH190" s="576"/>
      <c r="AI190" s="576"/>
      <c r="AJ190" s="576"/>
      <c r="AK190" s="576"/>
      <c r="AL190" s="576"/>
      <c r="AM190" s="576"/>
      <c r="AN190" s="576"/>
      <c r="AO190" s="576"/>
      <c r="AP190" s="576"/>
      <c r="AQ190" s="576"/>
      <c r="AR190" s="576"/>
      <c r="AS190" s="576"/>
      <c r="AU190"/>
      <c r="BE190">
        <v>0.22434999999999999</v>
      </c>
      <c r="BF190">
        <v>0.16520000000000001</v>
      </c>
      <c r="BG190">
        <v>0.17175000000000001</v>
      </c>
    </row>
    <row r="191" spans="1:59">
      <c r="A191" s="105">
        <v>7</v>
      </c>
      <c r="B191" s="315" t="s">
        <v>207</v>
      </c>
      <c r="D191" s="105"/>
      <c r="E191" s="105"/>
      <c r="F191" s="105"/>
      <c r="G191" s="105"/>
      <c r="H191" s="105"/>
      <c r="I191" s="105"/>
      <c r="J191" s="105"/>
      <c r="K191" s="105"/>
      <c r="L191" s="105"/>
      <c r="M191" s="105"/>
      <c r="N191" s="105"/>
      <c r="O191" s="105"/>
      <c r="Q191" s="630" t="s">
        <v>207</v>
      </c>
      <c r="S191" s="105"/>
      <c r="T191" s="105"/>
      <c r="U191" s="105"/>
      <c r="V191" s="105"/>
      <c r="W191" s="105"/>
      <c r="X191" s="105"/>
      <c r="Y191" s="105"/>
      <c r="Z191" s="105"/>
      <c r="AA191" s="105"/>
      <c r="AB191" s="105"/>
      <c r="AC191" s="105"/>
      <c r="AD191" s="105"/>
      <c r="AF191" s="653" t="s">
        <v>207</v>
      </c>
      <c r="AH191" s="105"/>
      <c r="AI191" s="105"/>
      <c r="AJ191" s="105"/>
      <c r="AK191" s="105"/>
      <c r="AL191" s="105"/>
      <c r="AM191" s="105"/>
      <c r="AN191" s="105"/>
      <c r="AO191" s="105"/>
      <c r="AP191" s="105"/>
      <c r="AQ191" s="105"/>
      <c r="AR191" s="105"/>
      <c r="AS191" s="105"/>
      <c r="AU191"/>
      <c r="BE191">
        <v>0.11225</v>
      </c>
      <c r="BF191">
        <v>0.1226</v>
      </c>
      <c r="BG191">
        <v>0.11175</v>
      </c>
    </row>
    <row r="192" spans="1:59">
      <c r="A192"/>
      <c r="B192" s="21" t="s">
        <v>100</v>
      </c>
      <c r="D192" s="105"/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  <c r="O192" s="105"/>
      <c r="Q192" t="s">
        <v>126</v>
      </c>
      <c r="S192" s="105"/>
      <c r="T192" s="105"/>
      <c r="U192" s="105"/>
      <c r="V192" s="105"/>
      <c r="W192" s="105"/>
      <c r="X192" s="105"/>
      <c r="Y192" s="105"/>
      <c r="Z192" s="105"/>
      <c r="AA192" s="105"/>
      <c r="AB192" s="105"/>
      <c r="AC192" s="105"/>
      <c r="AD192" s="105"/>
      <c r="AF192" t="s">
        <v>127</v>
      </c>
      <c r="AH192" s="105"/>
      <c r="AI192" s="105"/>
      <c r="AJ192" s="105"/>
      <c r="AK192" s="105"/>
      <c r="AL192" s="105"/>
      <c r="AM192" s="105"/>
      <c r="AN192" s="105"/>
      <c r="AO192" s="105"/>
      <c r="AP192" s="105"/>
      <c r="AQ192" s="105"/>
      <c r="AR192" s="105"/>
      <c r="AS192" s="105"/>
      <c r="AU192"/>
      <c r="BE192">
        <v>0.23050000000000001</v>
      </c>
      <c r="BF192">
        <v>4.3150000000000001E-2</v>
      </c>
      <c r="BG192">
        <v>7.0150000000000004E-2</v>
      </c>
    </row>
    <row r="193" spans="2:59">
      <c r="B193" s="768" t="s">
        <v>72</v>
      </c>
      <c r="C193" s="769"/>
      <c r="D193" s="552" t="s">
        <v>74</v>
      </c>
      <c r="E193" s="552" t="s">
        <v>75</v>
      </c>
      <c r="F193" s="552" t="s">
        <v>76</v>
      </c>
      <c r="G193" s="552" t="s">
        <v>77</v>
      </c>
      <c r="H193" s="552" t="s">
        <v>78</v>
      </c>
      <c r="I193" s="552" t="s">
        <v>79</v>
      </c>
      <c r="J193" s="552" t="s">
        <v>80</v>
      </c>
      <c r="K193" s="552" t="s">
        <v>81</v>
      </c>
      <c r="L193" s="552" t="s">
        <v>82</v>
      </c>
      <c r="M193" s="552" t="s">
        <v>83</v>
      </c>
      <c r="N193" s="552" t="s">
        <v>84</v>
      </c>
      <c r="O193" s="552" t="s">
        <v>85</v>
      </c>
      <c r="Q193" s="768" t="s">
        <v>72</v>
      </c>
      <c r="R193" s="769"/>
      <c r="S193" s="552" t="s">
        <v>74</v>
      </c>
      <c r="T193" s="552" t="s">
        <v>75</v>
      </c>
      <c r="U193" s="552" t="s">
        <v>76</v>
      </c>
      <c r="V193" s="552" t="s">
        <v>77</v>
      </c>
      <c r="W193" s="552" t="s">
        <v>78</v>
      </c>
      <c r="X193" s="552" t="s">
        <v>79</v>
      </c>
      <c r="Y193" s="552" t="s">
        <v>80</v>
      </c>
      <c r="Z193" s="552" t="s">
        <v>81</v>
      </c>
      <c r="AA193" s="552" t="s">
        <v>82</v>
      </c>
      <c r="AB193" s="552" t="s">
        <v>83</v>
      </c>
      <c r="AC193" s="552" t="s">
        <v>84</v>
      </c>
      <c r="AD193" s="552" t="s">
        <v>85</v>
      </c>
      <c r="AF193" s="768" t="s">
        <v>72</v>
      </c>
      <c r="AG193" s="769"/>
      <c r="AH193" s="552" t="s">
        <v>74</v>
      </c>
      <c r="AI193" s="552" t="s">
        <v>75</v>
      </c>
      <c r="AJ193" s="552" t="s">
        <v>76</v>
      </c>
      <c r="AK193" s="552" t="s">
        <v>77</v>
      </c>
      <c r="AL193" s="552" t="s">
        <v>78</v>
      </c>
      <c r="AM193" s="552" t="s">
        <v>79</v>
      </c>
      <c r="AN193" s="552" t="s">
        <v>80</v>
      </c>
      <c r="AO193" s="552" t="s">
        <v>81</v>
      </c>
      <c r="AP193" s="552" t="s">
        <v>82</v>
      </c>
      <c r="AQ193" s="552" t="s">
        <v>83</v>
      </c>
      <c r="AR193" s="552" t="s">
        <v>84</v>
      </c>
      <c r="AS193" s="552" t="s">
        <v>85</v>
      </c>
      <c r="AU193"/>
      <c r="BE193">
        <v>5.4449999999999998E-2</v>
      </c>
      <c r="BF193">
        <v>7.7450000000000005E-2</v>
      </c>
      <c r="BG193">
        <v>5.8000000000000003E-2</v>
      </c>
    </row>
    <row r="194" spans="2:59" ht="14.45" customHeight="1">
      <c r="B194" s="775" t="s">
        <v>208</v>
      </c>
      <c r="C194" s="655" t="s">
        <v>128</v>
      </c>
      <c r="D194" s="697">
        <v>0.25</v>
      </c>
      <c r="E194" s="697">
        <v>0.51</v>
      </c>
      <c r="F194" s="697">
        <v>0.78</v>
      </c>
      <c r="G194" s="697">
        <v>1.04</v>
      </c>
      <c r="H194" s="697">
        <v>1.43</v>
      </c>
      <c r="I194" s="697">
        <v>1.82</v>
      </c>
      <c r="J194" s="570">
        <v>2.2200000000000002</v>
      </c>
      <c r="K194" s="570">
        <v>2.62</v>
      </c>
      <c r="L194" s="570">
        <v>3.01</v>
      </c>
      <c r="M194" s="570">
        <v>3.4</v>
      </c>
      <c r="N194" s="570">
        <v>3.79</v>
      </c>
      <c r="O194" s="570">
        <v>4.59</v>
      </c>
      <c r="Q194" s="775" t="s">
        <v>208</v>
      </c>
      <c r="R194" s="655" t="s">
        <v>128</v>
      </c>
      <c r="S194" s="656">
        <v>0.22434999999999999</v>
      </c>
      <c r="T194" s="656">
        <v>0.16520000000000001</v>
      </c>
      <c r="U194" s="656">
        <v>0.17175000000000001</v>
      </c>
      <c r="V194" s="600">
        <v>6.9499999999999996E-3</v>
      </c>
      <c r="W194" s="656">
        <v>-0.24360000000000001</v>
      </c>
      <c r="X194" s="643">
        <v>0.106</v>
      </c>
      <c r="Y194" s="657">
        <v>0.1507</v>
      </c>
      <c r="Z194" s="657">
        <v>0.18809999999999999</v>
      </c>
      <c r="AA194" s="657">
        <v>1.0502</v>
      </c>
      <c r="AB194" s="657">
        <v>0.18659999999999999</v>
      </c>
      <c r="AC194" s="657"/>
      <c r="AD194" s="657"/>
      <c r="AF194" s="775" t="s">
        <v>208</v>
      </c>
      <c r="AG194" s="655" t="s">
        <v>128</v>
      </c>
      <c r="AH194" s="656">
        <v>0.22434999999999999</v>
      </c>
      <c r="AI194" s="656">
        <v>0.38955000000000001</v>
      </c>
      <c r="AJ194" s="656">
        <v>0.56130000000000002</v>
      </c>
      <c r="AK194" s="656">
        <v>0.56825000000000003</v>
      </c>
      <c r="AL194" s="656">
        <v>0.32464999999999999</v>
      </c>
      <c r="AM194" s="656">
        <v>0.43064999999999998</v>
      </c>
      <c r="AN194" s="656">
        <v>0.58135000000000003</v>
      </c>
      <c r="AO194" s="656">
        <v>0.76944999999999997</v>
      </c>
      <c r="AP194" s="656">
        <v>1.81965</v>
      </c>
      <c r="AQ194" s="656">
        <v>2.0062500000000001</v>
      </c>
      <c r="AR194" s="656">
        <v>0</v>
      </c>
      <c r="AS194" s="656">
        <v>0</v>
      </c>
      <c r="AU194"/>
      <c r="BE194">
        <v>0.13285</v>
      </c>
      <c r="BF194">
        <v>0.11119999999999999</v>
      </c>
      <c r="BG194">
        <v>0.13750000000000001</v>
      </c>
    </row>
    <row r="195" spans="2:59" ht="16.5">
      <c r="B195" s="776"/>
      <c r="C195" s="655" t="s">
        <v>87</v>
      </c>
      <c r="D195" s="697">
        <v>0.19</v>
      </c>
      <c r="E195" s="697">
        <v>0.38</v>
      </c>
      <c r="F195" s="697">
        <v>0.59</v>
      </c>
      <c r="G195" s="697">
        <v>0.79</v>
      </c>
      <c r="H195" s="697">
        <v>1.0900000000000001</v>
      </c>
      <c r="I195" s="697">
        <v>1.38</v>
      </c>
      <c r="J195" s="570">
        <v>1.69</v>
      </c>
      <c r="K195" s="570">
        <v>1.99</v>
      </c>
      <c r="L195" s="570">
        <v>2.2799999999999998</v>
      </c>
      <c r="M195" s="570">
        <v>2.59</v>
      </c>
      <c r="N195" s="570">
        <v>2.88</v>
      </c>
      <c r="O195" s="570">
        <v>3.49</v>
      </c>
      <c r="Q195" s="776"/>
      <c r="R195" s="655" t="s">
        <v>87</v>
      </c>
      <c r="S195" s="656">
        <v>0.11225</v>
      </c>
      <c r="T195" s="656">
        <v>0.1226</v>
      </c>
      <c r="U195" s="656">
        <v>0.11175</v>
      </c>
      <c r="V195" s="600">
        <v>0.11553333333333334</v>
      </c>
      <c r="W195" s="656">
        <v>0.1258</v>
      </c>
      <c r="X195" s="656">
        <v>0.11</v>
      </c>
      <c r="Y195" s="657">
        <v>0.1159</v>
      </c>
      <c r="Z195" s="657">
        <v>0.2084</v>
      </c>
      <c r="AA195" s="657">
        <v>0.16209999999999999</v>
      </c>
      <c r="AB195" s="657">
        <v>0.21445</v>
      </c>
      <c r="AC195" s="657"/>
      <c r="AD195" s="657"/>
      <c r="AF195" s="776"/>
      <c r="AG195" s="655" t="s">
        <v>87</v>
      </c>
      <c r="AH195" s="656">
        <v>0.11225</v>
      </c>
      <c r="AI195" s="656">
        <v>0.23485</v>
      </c>
      <c r="AJ195" s="656">
        <v>0.34660000000000002</v>
      </c>
      <c r="AK195" s="656">
        <v>0.46213333333333334</v>
      </c>
      <c r="AL195" s="656">
        <v>0.58793333333333331</v>
      </c>
      <c r="AM195" s="656">
        <v>0.69793333333333329</v>
      </c>
      <c r="AN195" s="656">
        <v>0.8138333333333333</v>
      </c>
      <c r="AO195" s="656">
        <v>1.0222333333333333</v>
      </c>
      <c r="AP195" s="656">
        <v>1.1843333333333332</v>
      </c>
      <c r="AQ195" s="656">
        <v>1.3987833333333333</v>
      </c>
      <c r="AR195" s="656">
        <v>0</v>
      </c>
      <c r="AS195" s="656">
        <v>0</v>
      </c>
      <c r="AU195"/>
    </row>
    <row r="196" spans="2:59" ht="16.5">
      <c r="B196" s="776"/>
      <c r="C196" s="655" t="s">
        <v>88</v>
      </c>
      <c r="D196" s="697">
        <v>0.08</v>
      </c>
      <c r="E196" s="697">
        <v>0.17</v>
      </c>
      <c r="F196" s="697">
        <v>0.26</v>
      </c>
      <c r="G196" s="697">
        <v>0.35</v>
      </c>
      <c r="H196" s="697">
        <v>0.49</v>
      </c>
      <c r="I196" s="697">
        <v>0.62</v>
      </c>
      <c r="J196" s="570">
        <v>0.76</v>
      </c>
      <c r="K196" s="570">
        <v>0.89</v>
      </c>
      <c r="L196" s="570">
        <v>1.03</v>
      </c>
      <c r="M196" s="570">
        <v>1.1599999999999999</v>
      </c>
      <c r="N196" s="570">
        <v>1.29</v>
      </c>
      <c r="O196" s="570">
        <v>1.57</v>
      </c>
      <c r="Q196" s="776"/>
      <c r="R196" s="655" t="s">
        <v>88</v>
      </c>
      <c r="S196" s="656">
        <v>0.23050000000000001</v>
      </c>
      <c r="T196" s="656">
        <v>4.3150000000000001E-2</v>
      </c>
      <c r="U196" s="656">
        <v>7.0150000000000004E-2</v>
      </c>
      <c r="V196" s="600">
        <v>0.11459999999999999</v>
      </c>
      <c r="W196" s="656">
        <v>6.565E-2</v>
      </c>
      <c r="X196" s="656">
        <v>5.96E-2</v>
      </c>
      <c r="Y196" s="657">
        <v>7.4550000000000005E-2</v>
      </c>
      <c r="Z196" s="657">
        <v>0.1113</v>
      </c>
      <c r="AA196" s="657">
        <v>9.35E-2</v>
      </c>
      <c r="AB196" s="657">
        <v>6.7400000000000002E-2</v>
      </c>
      <c r="AC196" s="657"/>
      <c r="AD196" s="657"/>
      <c r="AF196" s="776"/>
      <c r="AG196" s="655" t="s">
        <v>88</v>
      </c>
      <c r="AH196" s="656">
        <v>0.23050000000000001</v>
      </c>
      <c r="AI196" s="656">
        <v>0.27365</v>
      </c>
      <c r="AJ196" s="656">
        <v>0.34379999999999999</v>
      </c>
      <c r="AK196" s="656">
        <v>0.45839999999999997</v>
      </c>
      <c r="AL196" s="656">
        <v>0.52405000000000002</v>
      </c>
      <c r="AM196" s="656">
        <v>0.58365</v>
      </c>
      <c r="AN196" s="656">
        <v>0.65820000000000001</v>
      </c>
      <c r="AO196" s="656">
        <v>0.76949999999999996</v>
      </c>
      <c r="AP196" s="656">
        <v>0.86299999999999999</v>
      </c>
      <c r="AQ196" s="656">
        <v>0.9304</v>
      </c>
      <c r="AR196" s="656">
        <v>0</v>
      </c>
      <c r="AS196" s="656">
        <v>0</v>
      </c>
      <c r="AU196"/>
    </row>
    <row r="197" spans="2:59" ht="16.5">
      <c r="B197" s="776"/>
      <c r="C197" s="655" t="s">
        <v>121</v>
      </c>
      <c r="D197" s="697">
        <v>7.0000000000000007E-2</v>
      </c>
      <c r="E197" s="697">
        <v>0.14000000000000001</v>
      </c>
      <c r="F197" s="697">
        <v>0.21</v>
      </c>
      <c r="G197" s="697">
        <v>0.28000000000000003</v>
      </c>
      <c r="H197" s="697">
        <v>0.39</v>
      </c>
      <c r="I197" s="697">
        <v>0.5</v>
      </c>
      <c r="J197" s="570">
        <v>0.61</v>
      </c>
      <c r="K197" s="570">
        <v>0.72</v>
      </c>
      <c r="L197" s="570">
        <v>0.82</v>
      </c>
      <c r="M197" s="570">
        <v>0.93</v>
      </c>
      <c r="N197" s="570">
        <v>1.04</v>
      </c>
      <c r="O197" s="570">
        <v>1.26</v>
      </c>
      <c r="Q197" s="776"/>
      <c r="R197" s="655" t="s">
        <v>121</v>
      </c>
      <c r="S197" s="656">
        <v>5.4449999999999998E-2</v>
      </c>
      <c r="T197" s="656">
        <v>7.7450000000000005E-2</v>
      </c>
      <c r="U197" s="656">
        <v>5.8000000000000003E-2</v>
      </c>
      <c r="V197" s="600">
        <v>6.3299999999999995E-2</v>
      </c>
      <c r="W197" s="656">
        <v>4.215E-2</v>
      </c>
      <c r="X197" s="656">
        <v>5.645E-2</v>
      </c>
      <c r="Y197" s="657">
        <v>4.385E-2</v>
      </c>
      <c r="Z197" s="657">
        <v>5.1950000000000003E-2</v>
      </c>
      <c r="AA197" s="657">
        <v>8.2650000000000001E-2</v>
      </c>
      <c r="AB197" s="657">
        <v>0.27350000000000002</v>
      </c>
      <c r="AC197" s="657"/>
      <c r="AD197" s="657"/>
      <c r="AF197" s="776"/>
      <c r="AG197" s="655" t="s">
        <v>121</v>
      </c>
      <c r="AH197" s="656">
        <v>5.4449999999999998E-2</v>
      </c>
      <c r="AI197" s="656">
        <v>0.13190000000000002</v>
      </c>
      <c r="AJ197" s="656">
        <v>0.18990000000000001</v>
      </c>
      <c r="AK197" s="656">
        <v>0.25319999999999998</v>
      </c>
      <c r="AL197" s="656">
        <v>0.29535</v>
      </c>
      <c r="AM197" s="656">
        <v>0.3518</v>
      </c>
      <c r="AN197" s="656">
        <v>0.39565</v>
      </c>
      <c r="AO197" s="656">
        <v>0.4476</v>
      </c>
      <c r="AP197" s="656">
        <v>0.53025</v>
      </c>
      <c r="AQ197" s="656">
        <v>0.80374999999999996</v>
      </c>
      <c r="AR197" s="656">
        <v>0</v>
      </c>
      <c r="AS197" s="656">
        <v>0</v>
      </c>
      <c r="AU197"/>
    </row>
    <row r="198" spans="2:59" ht="16.5">
      <c r="B198" s="776"/>
      <c r="C198" s="655" t="s">
        <v>89</v>
      </c>
      <c r="D198" s="697">
        <v>0.13</v>
      </c>
      <c r="E198" s="697">
        <v>0.27</v>
      </c>
      <c r="F198" s="697">
        <v>0.42</v>
      </c>
      <c r="G198" s="697">
        <v>0.55000000000000004</v>
      </c>
      <c r="H198" s="697">
        <v>0.77</v>
      </c>
      <c r="I198" s="697">
        <v>0.97</v>
      </c>
      <c r="J198" s="570">
        <v>1.19</v>
      </c>
      <c r="K198" s="570">
        <v>1.4</v>
      </c>
      <c r="L198" s="570">
        <v>1.61</v>
      </c>
      <c r="M198" s="570">
        <v>1.82</v>
      </c>
      <c r="N198" s="570">
        <v>2.0299999999999998</v>
      </c>
      <c r="O198" s="570">
        <v>2.46</v>
      </c>
      <c r="Q198" s="776"/>
      <c r="R198" s="655" t="s">
        <v>89</v>
      </c>
      <c r="S198" s="656">
        <v>0.13285</v>
      </c>
      <c r="T198" s="656">
        <v>0.11119999999999999</v>
      </c>
      <c r="U198" s="656">
        <v>0.13750000000000001</v>
      </c>
      <c r="V198" s="600">
        <v>0.19655</v>
      </c>
      <c r="W198" s="656">
        <v>0.14810000000000001</v>
      </c>
      <c r="X198" s="656">
        <v>0.1512</v>
      </c>
      <c r="Y198" s="657">
        <v>0.20230000000000001</v>
      </c>
      <c r="Z198" s="657">
        <v>0.12765000000000001</v>
      </c>
      <c r="AA198" s="657">
        <v>0.17985000000000001</v>
      </c>
      <c r="AB198" s="657">
        <v>0.2467</v>
      </c>
      <c r="AC198" s="657"/>
      <c r="AD198" s="657"/>
      <c r="AF198" s="776"/>
      <c r="AG198" s="655" t="s">
        <v>89</v>
      </c>
      <c r="AH198" s="656">
        <v>0.13285</v>
      </c>
      <c r="AI198" s="656">
        <v>0.24404999999999999</v>
      </c>
      <c r="AJ198" s="656">
        <v>0.38155</v>
      </c>
      <c r="AK198" s="656">
        <v>0.57810000000000006</v>
      </c>
      <c r="AL198" s="656">
        <v>0.72620000000000007</v>
      </c>
      <c r="AM198" s="656">
        <v>0.87740000000000007</v>
      </c>
      <c r="AN198" s="656">
        <v>1.0797000000000001</v>
      </c>
      <c r="AO198" s="656">
        <v>1.2073500000000001</v>
      </c>
      <c r="AP198" s="656">
        <v>1.3872000000000002</v>
      </c>
      <c r="AQ198" s="656">
        <v>1.6339000000000001</v>
      </c>
      <c r="AR198" s="656">
        <v>0</v>
      </c>
      <c r="AS198" s="656">
        <v>0</v>
      </c>
      <c r="AU198"/>
    </row>
    <row r="199" spans="2:59" ht="16.5">
      <c r="B199" s="777"/>
      <c r="C199" s="658" t="s">
        <v>90</v>
      </c>
      <c r="D199" s="698">
        <v>0.72</v>
      </c>
      <c r="E199" s="698">
        <v>1.47</v>
      </c>
      <c r="F199" s="698">
        <v>2.2599999999999998</v>
      </c>
      <c r="G199" s="698">
        <v>3.01</v>
      </c>
      <c r="H199" s="698">
        <v>4.18</v>
      </c>
      <c r="I199" s="698">
        <v>5.3</v>
      </c>
      <c r="J199" s="642">
        <v>6.46</v>
      </c>
      <c r="K199" s="642">
        <v>7.62</v>
      </c>
      <c r="L199" s="642">
        <v>8.75</v>
      </c>
      <c r="M199" s="642">
        <v>9.91</v>
      </c>
      <c r="N199" s="642">
        <v>11.03</v>
      </c>
      <c r="O199" s="642">
        <v>13.36</v>
      </c>
      <c r="Q199" s="777"/>
      <c r="R199" s="658" t="s">
        <v>90</v>
      </c>
      <c r="S199" s="659">
        <v>0.75440000000000007</v>
      </c>
      <c r="T199" s="659">
        <v>0.51960000000000006</v>
      </c>
      <c r="U199" s="659">
        <v>0.54915000000000003</v>
      </c>
      <c r="V199" s="659">
        <v>0.49693333333333334</v>
      </c>
      <c r="W199" s="659">
        <v>0.1381</v>
      </c>
      <c r="X199" s="659">
        <v>0.48325000000000001</v>
      </c>
      <c r="Y199" s="659">
        <v>0.58730000000000004</v>
      </c>
      <c r="Z199" s="659">
        <v>0.68740000000000001</v>
      </c>
      <c r="AA199" s="659">
        <v>1.5682999999999998</v>
      </c>
      <c r="AB199" s="659">
        <v>0.98865000000000014</v>
      </c>
      <c r="AC199" s="659">
        <v>0</v>
      </c>
      <c r="AD199" s="659">
        <v>0</v>
      </c>
      <c r="AF199" s="777"/>
      <c r="AG199" s="658" t="s">
        <v>90</v>
      </c>
      <c r="AH199" s="659">
        <v>0.75440000000000007</v>
      </c>
      <c r="AI199" s="659">
        <v>1.274</v>
      </c>
      <c r="AJ199" s="659">
        <v>1.82315</v>
      </c>
      <c r="AK199" s="659">
        <v>2.3200833333333333</v>
      </c>
      <c r="AL199" s="659">
        <v>2.4581833333333334</v>
      </c>
      <c r="AM199" s="659">
        <v>2.9414333333333333</v>
      </c>
      <c r="AN199" s="659">
        <v>3.5287333333333333</v>
      </c>
      <c r="AO199" s="659">
        <v>4.2161333333333335</v>
      </c>
      <c r="AP199" s="659">
        <v>5.7844333333333333</v>
      </c>
      <c r="AQ199" s="659">
        <v>6.773083333333334</v>
      </c>
      <c r="AR199" s="659">
        <v>0</v>
      </c>
      <c r="AS199" s="659">
        <v>0</v>
      </c>
      <c r="AU199"/>
    </row>
    <row r="200" spans="2:59" ht="15.6" customHeight="1">
      <c r="B200" s="775" t="s">
        <v>209</v>
      </c>
      <c r="C200" s="655" t="s">
        <v>128</v>
      </c>
      <c r="D200" s="656">
        <v>150</v>
      </c>
      <c r="E200" s="656">
        <v>304</v>
      </c>
      <c r="F200" s="656">
        <v>467</v>
      </c>
      <c r="G200" s="656">
        <v>623</v>
      </c>
      <c r="H200" s="656">
        <v>863</v>
      </c>
      <c r="I200" s="656">
        <v>1095</v>
      </c>
      <c r="J200" s="565">
        <v>1335</v>
      </c>
      <c r="K200" s="565">
        <v>1575</v>
      </c>
      <c r="L200" s="565">
        <v>1808</v>
      </c>
      <c r="M200" s="565">
        <v>2048</v>
      </c>
      <c r="N200" s="565">
        <v>2280</v>
      </c>
      <c r="O200" s="565">
        <v>2521</v>
      </c>
      <c r="Q200" s="775" t="s">
        <v>209</v>
      </c>
      <c r="R200" s="655" t="s">
        <v>128</v>
      </c>
      <c r="S200" s="656">
        <v>70</v>
      </c>
      <c r="T200" s="656">
        <v>126</v>
      </c>
      <c r="U200" s="656">
        <v>107</v>
      </c>
      <c r="V200" s="656">
        <v>93</v>
      </c>
      <c r="W200" s="656">
        <v>92</v>
      </c>
      <c r="X200" s="697">
        <v>95</v>
      </c>
      <c r="Y200" s="565">
        <v>96</v>
      </c>
      <c r="Z200" s="565">
        <v>100</v>
      </c>
      <c r="AA200" s="565">
        <v>106</v>
      </c>
      <c r="AB200" s="565">
        <v>166</v>
      </c>
      <c r="AC200" s="565"/>
      <c r="AD200" s="565"/>
      <c r="AE200" s="695"/>
      <c r="AF200" s="775" t="s">
        <v>209</v>
      </c>
      <c r="AG200" s="655" t="s">
        <v>128</v>
      </c>
      <c r="AH200" s="656">
        <v>70</v>
      </c>
      <c r="AI200" s="656">
        <v>196</v>
      </c>
      <c r="AJ200" s="656">
        <v>303</v>
      </c>
      <c r="AK200" s="656">
        <v>396</v>
      </c>
      <c r="AL200" s="656">
        <v>488</v>
      </c>
      <c r="AM200" s="656">
        <v>583</v>
      </c>
      <c r="AN200" s="656">
        <v>679</v>
      </c>
      <c r="AO200" s="656">
        <v>779</v>
      </c>
      <c r="AP200" s="656">
        <v>885</v>
      </c>
      <c r="AQ200" s="656">
        <v>1051</v>
      </c>
      <c r="AR200" s="656">
        <v>0</v>
      </c>
      <c r="AS200" s="656">
        <v>0</v>
      </c>
      <c r="AU200"/>
    </row>
    <row r="201" spans="2:59" ht="16.5">
      <c r="B201" s="776"/>
      <c r="C201" s="655" t="s">
        <v>87</v>
      </c>
      <c r="D201" s="656">
        <v>154</v>
      </c>
      <c r="E201" s="656">
        <v>313</v>
      </c>
      <c r="F201" s="656">
        <v>480</v>
      </c>
      <c r="G201" s="656">
        <v>641</v>
      </c>
      <c r="H201" s="656">
        <v>888</v>
      </c>
      <c r="I201" s="656">
        <v>1127</v>
      </c>
      <c r="J201" s="565">
        <v>1374</v>
      </c>
      <c r="K201" s="565">
        <v>1621</v>
      </c>
      <c r="L201" s="565">
        <v>1860</v>
      </c>
      <c r="M201" s="565">
        <v>2107</v>
      </c>
      <c r="N201" s="565">
        <v>2346</v>
      </c>
      <c r="O201" s="565">
        <v>2594</v>
      </c>
      <c r="Q201" s="776"/>
      <c r="R201" s="655" t="s">
        <v>87</v>
      </c>
      <c r="S201" s="656">
        <v>62</v>
      </c>
      <c r="T201" s="656">
        <v>108</v>
      </c>
      <c r="U201" s="656">
        <v>93</v>
      </c>
      <c r="V201" s="656">
        <v>103</v>
      </c>
      <c r="W201" s="656">
        <v>81</v>
      </c>
      <c r="X201" s="697">
        <v>107</v>
      </c>
      <c r="Y201" s="565">
        <v>85</v>
      </c>
      <c r="Z201" s="565">
        <v>136</v>
      </c>
      <c r="AA201" s="565">
        <v>123</v>
      </c>
      <c r="AB201" s="565">
        <v>162</v>
      </c>
      <c r="AC201" s="565"/>
      <c r="AD201" s="565"/>
      <c r="AF201" s="776"/>
      <c r="AG201" s="655" t="s">
        <v>87</v>
      </c>
      <c r="AH201" s="656">
        <v>62</v>
      </c>
      <c r="AI201" s="656">
        <v>170</v>
      </c>
      <c r="AJ201" s="656">
        <v>263</v>
      </c>
      <c r="AK201" s="656">
        <v>366</v>
      </c>
      <c r="AL201" s="656">
        <v>447</v>
      </c>
      <c r="AM201" s="656">
        <v>554</v>
      </c>
      <c r="AN201" s="656">
        <v>639</v>
      </c>
      <c r="AO201" s="656">
        <v>775</v>
      </c>
      <c r="AP201" s="656">
        <v>898</v>
      </c>
      <c r="AQ201" s="656">
        <v>1060</v>
      </c>
      <c r="AR201" s="656">
        <v>0</v>
      </c>
      <c r="AS201" s="656">
        <v>0</v>
      </c>
      <c r="AU201"/>
    </row>
    <row r="202" spans="2:59" ht="16.5">
      <c r="B202" s="776"/>
      <c r="C202" s="655" t="s">
        <v>88</v>
      </c>
      <c r="D202" s="656">
        <v>76</v>
      </c>
      <c r="E202" s="656">
        <v>154</v>
      </c>
      <c r="F202" s="656">
        <v>237</v>
      </c>
      <c r="G202" s="656">
        <v>316</v>
      </c>
      <c r="H202" s="656">
        <v>438</v>
      </c>
      <c r="I202" s="656">
        <v>556</v>
      </c>
      <c r="J202" s="565">
        <v>678</v>
      </c>
      <c r="K202" s="565">
        <v>800</v>
      </c>
      <c r="L202" s="565">
        <v>918</v>
      </c>
      <c r="M202" s="565">
        <v>1040</v>
      </c>
      <c r="N202" s="565">
        <v>1158</v>
      </c>
      <c r="O202" s="565">
        <v>1280</v>
      </c>
      <c r="Q202" s="776"/>
      <c r="R202" s="655" t="s">
        <v>88</v>
      </c>
      <c r="S202" s="656">
        <v>168</v>
      </c>
      <c r="T202" s="656">
        <v>46</v>
      </c>
      <c r="U202" s="656">
        <v>47</v>
      </c>
      <c r="V202" s="656">
        <v>51</v>
      </c>
      <c r="W202" s="656">
        <v>53</v>
      </c>
      <c r="X202" s="697">
        <v>59</v>
      </c>
      <c r="Y202" s="565">
        <v>38</v>
      </c>
      <c r="Z202" s="565">
        <v>38</v>
      </c>
      <c r="AA202" s="565">
        <v>57</v>
      </c>
      <c r="AB202" s="565">
        <v>61</v>
      </c>
      <c r="AC202" s="565"/>
      <c r="AD202" s="565"/>
      <c r="AF202" s="776"/>
      <c r="AG202" s="655" t="s">
        <v>88</v>
      </c>
      <c r="AH202" s="656">
        <v>168</v>
      </c>
      <c r="AI202" s="656">
        <v>214</v>
      </c>
      <c r="AJ202" s="656">
        <v>261</v>
      </c>
      <c r="AK202" s="656">
        <v>312</v>
      </c>
      <c r="AL202" s="656">
        <v>365</v>
      </c>
      <c r="AM202" s="656">
        <v>424</v>
      </c>
      <c r="AN202" s="656">
        <v>462</v>
      </c>
      <c r="AO202" s="656">
        <v>500</v>
      </c>
      <c r="AP202" s="656">
        <v>557</v>
      </c>
      <c r="AQ202" s="656">
        <v>618</v>
      </c>
      <c r="AR202" s="656">
        <v>0</v>
      </c>
      <c r="AS202" s="656">
        <v>0</v>
      </c>
      <c r="AU202"/>
    </row>
    <row r="203" spans="2:59" ht="16.5">
      <c r="B203" s="776"/>
      <c r="C203" s="655" t="s">
        <v>121</v>
      </c>
      <c r="D203" s="656">
        <v>102</v>
      </c>
      <c r="E203" s="656">
        <v>208</v>
      </c>
      <c r="F203" s="656">
        <v>319</v>
      </c>
      <c r="G203" s="656">
        <v>425</v>
      </c>
      <c r="H203" s="656">
        <v>589</v>
      </c>
      <c r="I203" s="656">
        <v>748</v>
      </c>
      <c r="J203" s="565">
        <v>912</v>
      </c>
      <c r="K203" s="565">
        <v>1076</v>
      </c>
      <c r="L203" s="565">
        <v>1234</v>
      </c>
      <c r="M203" s="565">
        <v>1398</v>
      </c>
      <c r="N203" s="565">
        <v>1557</v>
      </c>
      <c r="O203" s="565">
        <v>1721</v>
      </c>
      <c r="Q203" s="776"/>
      <c r="R203" s="655" t="s">
        <v>121</v>
      </c>
      <c r="S203" s="656">
        <v>84</v>
      </c>
      <c r="T203" s="656">
        <v>88</v>
      </c>
      <c r="U203" s="656">
        <v>43</v>
      </c>
      <c r="V203" s="656">
        <v>39</v>
      </c>
      <c r="W203" s="656">
        <v>40</v>
      </c>
      <c r="X203" s="697">
        <v>52</v>
      </c>
      <c r="Y203" s="565">
        <v>47</v>
      </c>
      <c r="Z203" s="565">
        <v>20</v>
      </c>
      <c r="AA203" s="565">
        <v>44</v>
      </c>
      <c r="AB203" s="565">
        <v>84</v>
      </c>
      <c r="AC203" s="565"/>
      <c r="AD203" s="565"/>
      <c r="AF203" s="776"/>
      <c r="AG203" s="655" t="s">
        <v>121</v>
      </c>
      <c r="AH203" s="656">
        <v>84</v>
      </c>
      <c r="AI203" s="656">
        <v>172</v>
      </c>
      <c r="AJ203" s="656">
        <v>215</v>
      </c>
      <c r="AK203" s="656">
        <v>254</v>
      </c>
      <c r="AL203" s="656">
        <v>294</v>
      </c>
      <c r="AM203" s="656">
        <v>346</v>
      </c>
      <c r="AN203" s="656">
        <v>393</v>
      </c>
      <c r="AO203" s="656">
        <v>413</v>
      </c>
      <c r="AP203" s="656">
        <v>457</v>
      </c>
      <c r="AQ203" s="656">
        <v>541</v>
      </c>
      <c r="AR203" s="656">
        <v>0</v>
      </c>
      <c r="AS203" s="656">
        <v>0</v>
      </c>
      <c r="AU203"/>
    </row>
    <row r="204" spans="2:59" ht="16.5">
      <c r="B204" s="776"/>
      <c r="C204" s="655" t="s">
        <v>89</v>
      </c>
      <c r="D204" s="656">
        <v>149</v>
      </c>
      <c r="E204" s="656">
        <v>304</v>
      </c>
      <c r="F204" s="656">
        <v>466</v>
      </c>
      <c r="G204" s="656">
        <v>622</v>
      </c>
      <c r="H204" s="656">
        <v>861</v>
      </c>
      <c r="I204" s="656">
        <v>1093</v>
      </c>
      <c r="J204" s="565">
        <v>1333</v>
      </c>
      <c r="K204" s="565">
        <v>1573</v>
      </c>
      <c r="L204" s="565">
        <v>1805</v>
      </c>
      <c r="M204" s="565">
        <v>2045</v>
      </c>
      <c r="N204" s="565">
        <v>2277</v>
      </c>
      <c r="O204" s="565">
        <v>2517</v>
      </c>
      <c r="Q204" s="776"/>
      <c r="R204" s="655" t="s">
        <v>89</v>
      </c>
      <c r="S204" s="656">
        <v>114</v>
      </c>
      <c r="T204" s="656">
        <v>99</v>
      </c>
      <c r="U204" s="656">
        <v>109</v>
      </c>
      <c r="V204" s="656">
        <v>142</v>
      </c>
      <c r="W204" s="656">
        <v>95</v>
      </c>
      <c r="X204" s="697">
        <v>95</v>
      </c>
      <c r="Y204" s="565">
        <v>103</v>
      </c>
      <c r="Z204" s="565">
        <v>69</v>
      </c>
      <c r="AA204" s="565">
        <v>138</v>
      </c>
      <c r="AB204" s="565">
        <v>153</v>
      </c>
      <c r="AC204" s="565"/>
      <c r="AD204" s="565"/>
      <c r="AF204" s="776"/>
      <c r="AG204" s="655" t="s">
        <v>89</v>
      </c>
      <c r="AH204" s="656">
        <v>114</v>
      </c>
      <c r="AI204" s="656">
        <v>213</v>
      </c>
      <c r="AJ204" s="656">
        <v>322</v>
      </c>
      <c r="AK204" s="656">
        <v>464</v>
      </c>
      <c r="AL204" s="656">
        <v>559</v>
      </c>
      <c r="AM204" s="656">
        <v>654</v>
      </c>
      <c r="AN204" s="656">
        <v>757</v>
      </c>
      <c r="AO204" s="656">
        <v>826</v>
      </c>
      <c r="AP204" s="656">
        <v>964</v>
      </c>
      <c r="AQ204" s="656">
        <v>1117</v>
      </c>
      <c r="AR204" s="656">
        <v>0</v>
      </c>
      <c r="AS204" s="656">
        <v>0</v>
      </c>
      <c r="AU204"/>
    </row>
    <row r="205" spans="2:59" ht="16.5">
      <c r="B205" s="777"/>
      <c r="C205" s="658" t="s">
        <v>90</v>
      </c>
      <c r="D205" s="659">
        <v>631</v>
      </c>
      <c r="E205" s="659">
        <v>1283</v>
      </c>
      <c r="F205" s="659">
        <v>1968</v>
      </c>
      <c r="G205" s="659">
        <v>2626</v>
      </c>
      <c r="H205" s="659">
        <v>3639</v>
      </c>
      <c r="I205" s="659">
        <v>4619</v>
      </c>
      <c r="J205" s="594">
        <v>5632</v>
      </c>
      <c r="K205" s="594">
        <v>6645</v>
      </c>
      <c r="L205" s="594">
        <v>7625</v>
      </c>
      <c r="M205" s="594">
        <v>8638</v>
      </c>
      <c r="N205" s="594">
        <v>9618</v>
      </c>
      <c r="O205" s="594">
        <v>10632</v>
      </c>
      <c r="Q205" s="777"/>
      <c r="R205" s="658" t="s">
        <v>90</v>
      </c>
      <c r="S205" s="659">
        <v>498</v>
      </c>
      <c r="T205" s="659">
        <v>467</v>
      </c>
      <c r="U205" s="659">
        <v>399</v>
      </c>
      <c r="V205" s="659">
        <v>428</v>
      </c>
      <c r="W205" s="659">
        <v>361</v>
      </c>
      <c r="X205" s="698">
        <v>408</v>
      </c>
      <c r="Y205" s="691">
        <v>369</v>
      </c>
      <c r="Z205" s="691">
        <v>363</v>
      </c>
      <c r="AA205" s="691">
        <v>468</v>
      </c>
      <c r="AB205" s="691">
        <v>626</v>
      </c>
      <c r="AC205" s="691">
        <v>0</v>
      </c>
      <c r="AD205" s="691">
        <v>0</v>
      </c>
      <c r="AF205" s="777"/>
      <c r="AG205" s="658" t="s">
        <v>90</v>
      </c>
      <c r="AH205" s="659">
        <v>498</v>
      </c>
      <c r="AI205" s="659">
        <v>965</v>
      </c>
      <c r="AJ205" s="659">
        <v>1364</v>
      </c>
      <c r="AK205" s="659">
        <v>1792</v>
      </c>
      <c r="AL205" s="659">
        <v>2153</v>
      </c>
      <c r="AM205" s="659">
        <v>2561</v>
      </c>
      <c r="AN205" s="659">
        <v>2930</v>
      </c>
      <c r="AO205" s="659">
        <v>3293</v>
      </c>
      <c r="AP205" s="659">
        <v>3761</v>
      </c>
      <c r="AQ205" s="659">
        <v>4387</v>
      </c>
      <c r="AR205" s="659">
        <v>0</v>
      </c>
      <c r="AS205" s="659">
        <v>0</v>
      </c>
      <c r="AU205"/>
    </row>
    <row r="206" spans="2:59" ht="14.45" customHeight="1">
      <c r="B206" s="775" t="s">
        <v>210</v>
      </c>
      <c r="C206" s="655" t="s">
        <v>128</v>
      </c>
      <c r="D206" s="656">
        <v>28</v>
      </c>
      <c r="E206" s="656">
        <v>56</v>
      </c>
      <c r="F206" s="656">
        <v>84</v>
      </c>
      <c r="G206" s="656">
        <v>112</v>
      </c>
      <c r="H206" s="656">
        <v>140</v>
      </c>
      <c r="I206" s="656">
        <v>168</v>
      </c>
      <c r="J206" s="565">
        <v>186</v>
      </c>
      <c r="K206" s="565">
        <v>204</v>
      </c>
      <c r="L206" s="565">
        <v>222</v>
      </c>
      <c r="M206" s="565">
        <v>240</v>
      </c>
      <c r="N206" s="565">
        <v>258</v>
      </c>
      <c r="O206" s="565">
        <v>276</v>
      </c>
      <c r="Q206" s="775" t="s">
        <v>210</v>
      </c>
      <c r="R206" s="655" t="s">
        <v>128</v>
      </c>
      <c r="S206" s="656">
        <v>54</v>
      </c>
      <c r="T206" s="656">
        <v>8</v>
      </c>
      <c r="U206" s="656">
        <v>16</v>
      </c>
      <c r="V206" s="656">
        <v>0</v>
      </c>
      <c r="W206" s="656">
        <v>22</v>
      </c>
      <c r="X206" s="656">
        <v>60</v>
      </c>
      <c r="Y206" s="565">
        <v>70</v>
      </c>
      <c r="Z206" s="565">
        <v>30</v>
      </c>
      <c r="AA206" s="565">
        <v>22</v>
      </c>
      <c r="AB206" s="565">
        <v>68</v>
      </c>
      <c r="AC206" s="565"/>
      <c r="AD206" s="565"/>
      <c r="AF206" s="775" t="s">
        <v>210</v>
      </c>
      <c r="AG206" s="655" t="s">
        <v>128</v>
      </c>
      <c r="AH206" s="656">
        <v>54</v>
      </c>
      <c r="AI206" s="656">
        <v>62</v>
      </c>
      <c r="AJ206" s="656">
        <v>78</v>
      </c>
      <c r="AK206" s="656">
        <v>78</v>
      </c>
      <c r="AL206" s="656">
        <v>100</v>
      </c>
      <c r="AM206" s="656">
        <v>160</v>
      </c>
      <c r="AN206" s="565">
        <v>230</v>
      </c>
      <c r="AO206" s="565">
        <v>260</v>
      </c>
      <c r="AP206" s="565">
        <v>282</v>
      </c>
      <c r="AQ206" s="565">
        <v>350</v>
      </c>
      <c r="AR206" s="565">
        <v>0</v>
      </c>
      <c r="AS206" s="565">
        <v>0</v>
      </c>
      <c r="AU206"/>
    </row>
    <row r="207" spans="2:59" ht="16.5">
      <c r="B207" s="776"/>
      <c r="C207" s="655" t="s">
        <v>87</v>
      </c>
      <c r="D207" s="656">
        <v>22</v>
      </c>
      <c r="E207" s="656">
        <v>44</v>
      </c>
      <c r="F207" s="656">
        <v>66</v>
      </c>
      <c r="G207" s="656">
        <v>88</v>
      </c>
      <c r="H207" s="656">
        <v>110</v>
      </c>
      <c r="I207" s="656">
        <v>132</v>
      </c>
      <c r="J207" s="565">
        <v>147</v>
      </c>
      <c r="K207" s="565">
        <v>162</v>
      </c>
      <c r="L207" s="565">
        <v>177</v>
      </c>
      <c r="M207" s="565">
        <v>192</v>
      </c>
      <c r="N207" s="565">
        <v>207</v>
      </c>
      <c r="O207" s="565">
        <v>222</v>
      </c>
      <c r="Q207" s="776"/>
      <c r="R207" s="655" t="s">
        <v>87</v>
      </c>
      <c r="S207" s="656">
        <v>19</v>
      </c>
      <c r="T207" s="656">
        <v>20</v>
      </c>
      <c r="U207" s="656">
        <v>3</v>
      </c>
      <c r="V207" s="656">
        <v>0</v>
      </c>
      <c r="W207" s="656">
        <v>16</v>
      </c>
      <c r="X207" s="656">
        <v>10</v>
      </c>
      <c r="Y207" s="565">
        <v>16</v>
      </c>
      <c r="Z207" s="565">
        <v>24</v>
      </c>
      <c r="AA207" s="565">
        <v>10</v>
      </c>
      <c r="AB207" s="565">
        <v>25</v>
      </c>
      <c r="AC207" s="565"/>
      <c r="AD207" s="565"/>
      <c r="AF207" s="776"/>
      <c r="AG207" s="655" t="s">
        <v>87</v>
      </c>
      <c r="AH207" s="656">
        <v>19</v>
      </c>
      <c r="AI207" s="656">
        <v>39</v>
      </c>
      <c r="AJ207" s="656">
        <v>42</v>
      </c>
      <c r="AK207" s="656">
        <v>42</v>
      </c>
      <c r="AL207" s="656">
        <v>58</v>
      </c>
      <c r="AM207" s="656">
        <v>68</v>
      </c>
      <c r="AN207" s="565">
        <v>84</v>
      </c>
      <c r="AO207" s="565">
        <v>108</v>
      </c>
      <c r="AP207" s="565">
        <v>118</v>
      </c>
      <c r="AQ207" s="565">
        <v>143</v>
      </c>
      <c r="AR207" s="565">
        <v>0</v>
      </c>
      <c r="AS207" s="565">
        <v>0</v>
      </c>
      <c r="AU207"/>
    </row>
    <row r="208" spans="2:59" ht="16.5">
      <c r="B208" s="776"/>
      <c r="C208" s="655" t="s">
        <v>88</v>
      </c>
      <c r="D208" s="656">
        <v>15</v>
      </c>
      <c r="E208" s="656">
        <v>30</v>
      </c>
      <c r="F208" s="656">
        <v>45</v>
      </c>
      <c r="G208" s="656">
        <v>60</v>
      </c>
      <c r="H208" s="656">
        <v>75</v>
      </c>
      <c r="I208" s="656">
        <v>90</v>
      </c>
      <c r="J208" s="565">
        <v>100</v>
      </c>
      <c r="K208" s="565">
        <v>110</v>
      </c>
      <c r="L208" s="565">
        <v>120</v>
      </c>
      <c r="M208" s="565">
        <v>130</v>
      </c>
      <c r="N208" s="565">
        <v>140</v>
      </c>
      <c r="O208" s="565">
        <v>150</v>
      </c>
      <c r="Q208" s="776"/>
      <c r="R208" s="655" t="s">
        <v>88</v>
      </c>
      <c r="S208" s="656">
        <v>17</v>
      </c>
      <c r="T208" s="656">
        <v>1</v>
      </c>
      <c r="U208" s="656">
        <v>16</v>
      </c>
      <c r="V208" s="656">
        <v>0</v>
      </c>
      <c r="W208" s="656">
        <v>16</v>
      </c>
      <c r="X208" s="656">
        <v>49</v>
      </c>
      <c r="Y208" s="565">
        <v>0</v>
      </c>
      <c r="Z208" s="565">
        <v>34</v>
      </c>
      <c r="AA208" s="565">
        <v>5</v>
      </c>
      <c r="AB208" s="565">
        <v>8</v>
      </c>
      <c r="AC208" s="565"/>
      <c r="AD208" s="565"/>
      <c r="AF208" s="776"/>
      <c r="AG208" s="655" t="s">
        <v>88</v>
      </c>
      <c r="AH208" s="656">
        <v>17</v>
      </c>
      <c r="AI208" s="656">
        <v>18</v>
      </c>
      <c r="AJ208" s="656">
        <v>34</v>
      </c>
      <c r="AK208" s="656">
        <v>34</v>
      </c>
      <c r="AL208" s="656">
        <v>50</v>
      </c>
      <c r="AM208" s="656">
        <v>99</v>
      </c>
      <c r="AN208" s="565">
        <v>99</v>
      </c>
      <c r="AO208" s="565">
        <v>133</v>
      </c>
      <c r="AP208" s="565">
        <v>138</v>
      </c>
      <c r="AQ208" s="565">
        <v>146</v>
      </c>
      <c r="AR208" s="565">
        <v>0</v>
      </c>
      <c r="AS208" s="565">
        <v>0</v>
      </c>
      <c r="AU208"/>
    </row>
    <row r="209" spans="2:45" ht="16.5">
      <c r="B209" s="776"/>
      <c r="C209" s="655" t="s">
        <v>121</v>
      </c>
      <c r="D209" s="656">
        <v>15</v>
      </c>
      <c r="E209" s="656">
        <v>30</v>
      </c>
      <c r="F209" s="656">
        <v>45</v>
      </c>
      <c r="G209" s="656">
        <v>60</v>
      </c>
      <c r="H209" s="656">
        <v>75</v>
      </c>
      <c r="I209" s="656">
        <v>90</v>
      </c>
      <c r="J209" s="565">
        <v>100</v>
      </c>
      <c r="K209" s="565">
        <v>110</v>
      </c>
      <c r="L209" s="565">
        <v>120</v>
      </c>
      <c r="M209" s="565">
        <v>130</v>
      </c>
      <c r="N209" s="565">
        <v>140</v>
      </c>
      <c r="O209" s="565">
        <v>150</v>
      </c>
      <c r="Q209" s="776"/>
      <c r="R209" s="655" t="s">
        <v>121</v>
      </c>
      <c r="S209" s="656">
        <v>8</v>
      </c>
      <c r="T209" s="656">
        <v>4</v>
      </c>
      <c r="U209" s="656">
        <v>21</v>
      </c>
      <c r="V209" s="656">
        <v>0</v>
      </c>
      <c r="W209" s="656">
        <v>9</v>
      </c>
      <c r="X209" s="656">
        <v>0</v>
      </c>
      <c r="Y209" s="565">
        <v>0</v>
      </c>
      <c r="Z209" s="565">
        <v>26</v>
      </c>
      <c r="AA209" s="565">
        <v>10</v>
      </c>
      <c r="AB209" s="565">
        <v>4</v>
      </c>
      <c r="AC209" s="105"/>
      <c r="AD209" s="565"/>
      <c r="AF209" s="776"/>
      <c r="AG209" s="655" t="s">
        <v>121</v>
      </c>
      <c r="AH209" s="656">
        <v>8</v>
      </c>
      <c r="AI209" s="656">
        <v>12</v>
      </c>
      <c r="AJ209" s="656">
        <v>33</v>
      </c>
      <c r="AK209" s="656">
        <v>33</v>
      </c>
      <c r="AL209" s="656">
        <v>42</v>
      </c>
      <c r="AM209" s="656">
        <v>42</v>
      </c>
      <c r="AN209" s="565">
        <v>42</v>
      </c>
      <c r="AO209" s="565">
        <v>68</v>
      </c>
      <c r="AP209" s="565">
        <v>78</v>
      </c>
      <c r="AQ209" s="565">
        <v>82</v>
      </c>
      <c r="AR209" s="565">
        <v>0</v>
      </c>
      <c r="AS209" s="565">
        <v>0</v>
      </c>
    </row>
    <row r="210" spans="2:45" ht="16.5">
      <c r="B210" s="776"/>
      <c r="C210" s="655" t="s">
        <v>89</v>
      </c>
      <c r="D210" s="656">
        <v>20</v>
      </c>
      <c r="E210" s="656">
        <v>40</v>
      </c>
      <c r="F210" s="656">
        <v>60</v>
      </c>
      <c r="G210" s="656">
        <v>80</v>
      </c>
      <c r="H210" s="656">
        <v>100</v>
      </c>
      <c r="I210" s="656">
        <v>120</v>
      </c>
      <c r="J210" s="565">
        <v>133</v>
      </c>
      <c r="K210" s="565">
        <v>146</v>
      </c>
      <c r="L210" s="565">
        <v>159</v>
      </c>
      <c r="M210" s="565">
        <v>172</v>
      </c>
      <c r="N210" s="565">
        <v>185</v>
      </c>
      <c r="O210" s="565">
        <v>198</v>
      </c>
      <c r="Q210" s="776"/>
      <c r="R210" s="655" t="s">
        <v>89</v>
      </c>
      <c r="S210" s="656">
        <v>28</v>
      </c>
      <c r="T210" s="656">
        <v>12</v>
      </c>
      <c r="U210" s="656">
        <v>24</v>
      </c>
      <c r="V210" s="656">
        <v>0</v>
      </c>
      <c r="W210" s="656">
        <v>33</v>
      </c>
      <c r="X210" s="656">
        <v>41</v>
      </c>
      <c r="Y210" s="565">
        <v>6</v>
      </c>
      <c r="Z210" s="565">
        <v>31</v>
      </c>
      <c r="AA210" s="565">
        <v>23</v>
      </c>
      <c r="AB210" s="565">
        <v>20</v>
      </c>
      <c r="AC210" s="565"/>
      <c r="AD210" s="565"/>
      <c r="AF210" s="776"/>
      <c r="AG210" s="655" t="s">
        <v>89</v>
      </c>
      <c r="AH210" s="656">
        <v>28</v>
      </c>
      <c r="AI210" s="656">
        <v>40</v>
      </c>
      <c r="AJ210" s="656">
        <v>64</v>
      </c>
      <c r="AK210" s="656">
        <v>64</v>
      </c>
      <c r="AL210" s="656">
        <v>97</v>
      </c>
      <c r="AM210" s="656">
        <v>138</v>
      </c>
      <c r="AN210" s="565">
        <v>144</v>
      </c>
      <c r="AO210" s="565">
        <v>175</v>
      </c>
      <c r="AP210" s="565">
        <v>198</v>
      </c>
      <c r="AQ210" s="565">
        <v>218</v>
      </c>
      <c r="AR210" s="565">
        <v>0</v>
      </c>
      <c r="AS210" s="565">
        <v>0</v>
      </c>
    </row>
    <row r="211" spans="2:45" ht="16.5">
      <c r="B211" s="777"/>
      <c r="C211" s="658" t="s">
        <v>90</v>
      </c>
      <c r="D211" s="659">
        <v>100</v>
      </c>
      <c r="E211" s="659">
        <v>200</v>
      </c>
      <c r="F211" s="659">
        <v>300</v>
      </c>
      <c r="G211" s="659">
        <v>400</v>
      </c>
      <c r="H211" s="659">
        <v>500</v>
      </c>
      <c r="I211" s="659">
        <v>600</v>
      </c>
      <c r="J211" s="659">
        <v>666</v>
      </c>
      <c r="K211" s="659">
        <v>732</v>
      </c>
      <c r="L211" s="659">
        <v>798</v>
      </c>
      <c r="M211" s="659">
        <v>864</v>
      </c>
      <c r="N211" s="659">
        <v>930</v>
      </c>
      <c r="O211" s="659">
        <v>996</v>
      </c>
      <c r="Q211" s="777"/>
      <c r="R211" s="658" t="s">
        <v>90</v>
      </c>
      <c r="S211" s="659">
        <v>126</v>
      </c>
      <c r="T211" s="659">
        <v>45</v>
      </c>
      <c r="U211" s="659">
        <v>80</v>
      </c>
      <c r="V211" s="659">
        <v>0</v>
      </c>
      <c r="W211" s="659">
        <v>96</v>
      </c>
      <c r="X211" s="659">
        <v>160</v>
      </c>
      <c r="Y211" s="659">
        <v>92</v>
      </c>
      <c r="Z211" s="659">
        <v>145</v>
      </c>
      <c r="AA211" s="659">
        <v>70</v>
      </c>
      <c r="AB211" s="659">
        <v>125</v>
      </c>
      <c r="AC211" s="659">
        <v>0</v>
      </c>
      <c r="AD211" s="659">
        <v>0</v>
      </c>
      <c r="AF211" s="777"/>
      <c r="AG211" s="658" t="s">
        <v>90</v>
      </c>
      <c r="AH211" s="659">
        <v>126</v>
      </c>
      <c r="AI211" s="659">
        <v>171</v>
      </c>
      <c r="AJ211" s="659">
        <v>251</v>
      </c>
      <c r="AK211" s="659">
        <v>251</v>
      </c>
      <c r="AL211" s="659">
        <v>347</v>
      </c>
      <c r="AM211" s="659">
        <v>507</v>
      </c>
      <c r="AN211" s="659">
        <v>599</v>
      </c>
      <c r="AO211" s="659">
        <v>744</v>
      </c>
      <c r="AP211" s="659">
        <v>814</v>
      </c>
      <c r="AQ211" s="659">
        <v>939</v>
      </c>
      <c r="AR211" s="659">
        <v>0</v>
      </c>
      <c r="AS211" s="659">
        <v>0</v>
      </c>
    </row>
    <row r="212" spans="2:45" ht="14.45" customHeight="1">
      <c r="B212" s="775" t="s">
        <v>211</v>
      </c>
      <c r="C212" s="655" t="s">
        <v>128</v>
      </c>
      <c r="D212" s="656">
        <v>0</v>
      </c>
      <c r="E212" s="656">
        <v>0</v>
      </c>
      <c r="F212" s="656">
        <v>0</v>
      </c>
      <c r="G212" s="656">
        <v>4</v>
      </c>
      <c r="H212" s="656">
        <v>4</v>
      </c>
      <c r="I212" s="656">
        <v>4</v>
      </c>
      <c r="J212" s="565">
        <v>5</v>
      </c>
      <c r="K212" s="565">
        <v>5</v>
      </c>
      <c r="L212" s="565">
        <v>5</v>
      </c>
      <c r="M212" s="565">
        <v>5</v>
      </c>
      <c r="N212" s="565">
        <v>5</v>
      </c>
      <c r="O212" s="565">
        <v>5</v>
      </c>
      <c r="Q212" s="775" t="s">
        <v>211</v>
      </c>
      <c r="R212" s="655" t="s">
        <v>128</v>
      </c>
      <c r="S212" s="656">
        <v>0</v>
      </c>
      <c r="T212" s="656">
        <v>0</v>
      </c>
      <c r="U212" s="656">
        <v>0</v>
      </c>
      <c r="V212" s="656">
        <v>5</v>
      </c>
      <c r="W212" s="656">
        <v>0</v>
      </c>
      <c r="X212" s="656">
        <v>0</v>
      </c>
      <c r="Y212" s="565">
        <v>1</v>
      </c>
      <c r="Z212" s="565">
        <v>0</v>
      </c>
      <c r="AA212" s="565">
        <v>0</v>
      </c>
      <c r="AB212" s="565">
        <v>0</v>
      </c>
      <c r="AC212" s="565"/>
      <c r="AD212" s="565"/>
      <c r="AF212" s="775" t="s">
        <v>211</v>
      </c>
      <c r="AG212" s="655" t="s">
        <v>128</v>
      </c>
      <c r="AH212" s="656">
        <v>0</v>
      </c>
      <c r="AI212" s="656">
        <v>0</v>
      </c>
      <c r="AJ212" s="656">
        <v>0</v>
      </c>
      <c r="AK212" s="656">
        <v>5</v>
      </c>
      <c r="AL212" s="656">
        <v>5</v>
      </c>
      <c r="AM212" s="656">
        <v>5</v>
      </c>
      <c r="AN212" s="656">
        <v>6</v>
      </c>
      <c r="AO212" s="656">
        <v>6</v>
      </c>
      <c r="AP212" s="656">
        <v>6</v>
      </c>
      <c r="AQ212" s="656">
        <v>6</v>
      </c>
      <c r="AR212" s="565">
        <v>0</v>
      </c>
      <c r="AS212" s="565">
        <v>0</v>
      </c>
    </row>
    <row r="213" spans="2:45" ht="16.5">
      <c r="B213" s="776"/>
      <c r="C213" s="655" t="s">
        <v>87</v>
      </c>
      <c r="D213" s="656">
        <v>0</v>
      </c>
      <c r="E213" s="656">
        <v>0</v>
      </c>
      <c r="F213" s="656">
        <v>0</v>
      </c>
      <c r="G213" s="656">
        <v>0</v>
      </c>
      <c r="H213" s="656">
        <v>0</v>
      </c>
      <c r="I213" s="656">
        <v>0</v>
      </c>
      <c r="J213" s="565">
        <v>0</v>
      </c>
      <c r="K213" s="565">
        <v>0</v>
      </c>
      <c r="L213" s="565">
        <v>0</v>
      </c>
      <c r="M213" s="565">
        <v>0</v>
      </c>
      <c r="N213" s="565">
        <v>0</v>
      </c>
      <c r="O213" s="565">
        <v>0</v>
      </c>
      <c r="Q213" s="776"/>
      <c r="R213" s="655" t="s">
        <v>87</v>
      </c>
      <c r="S213" s="656">
        <v>0</v>
      </c>
      <c r="T213" s="656">
        <v>0</v>
      </c>
      <c r="U213" s="656">
        <v>0</v>
      </c>
      <c r="V213" s="656">
        <v>0</v>
      </c>
      <c r="W213" s="656">
        <v>0</v>
      </c>
      <c r="X213" s="656">
        <v>0</v>
      </c>
      <c r="Y213" s="565">
        <v>0</v>
      </c>
      <c r="Z213" s="565">
        <v>0</v>
      </c>
      <c r="AA213" s="565">
        <v>0</v>
      </c>
      <c r="AB213" s="565">
        <v>0</v>
      </c>
      <c r="AC213" s="565"/>
      <c r="AD213" s="565"/>
      <c r="AF213" s="776"/>
      <c r="AG213" s="655" t="s">
        <v>87</v>
      </c>
      <c r="AH213" s="656">
        <v>0</v>
      </c>
      <c r="AI213" s="656">
        <v>0</v>
      </c>
      <c r="AJ213" s="656">
        <v>0</v>
      </c>
      <c r="AK213" s="656">
        <v>0</v>
      </c>
      <c r="AL213" s="656">
        <v>0</v>
      </c>
      <c r="AM213" s="656">
        <v>0</v>
      </c>
      <c r="AN213" s="656">
        <v>0</v>
      </c>
      <c r="AO213" s="565">
        <v>0</v>
      </c>
      <c r="AP213" s="565">
        <v>0</v>
      </c>
      <c r="AQ213" s="565">
        <v>0</v>
      </c>
      <c r="AR213" s="565">
        <v>0</v>
      </c>
      <c r="AS213" s="565">
        <v>0</v>
      </c>
    </row>
    <row r="214" spans="2:45" ht="16.5">
      <c r="B214" s="776"/>
      <c r="C214" s="655" t="s">
        <v>88</v>
      </c>
      <c r="D214" s="656">
        <v>0</v>
      </c>
      <c r="E214" s="656">
        <v>0</v>
      </c>
      <c r="F214" s="656">
        <v>0</v>
      </c>
      <c r="G214" s="656">
        <v>1</v>
      </c>
      <c r="H214" s="656">
        <v>1</v>
      </c>
      <c r="I214" s="656">
        <v>1</v>
      </c>
      <c r="J214" s="656">
        <v>1</v>
      </c>
      <c r="K214" s="656">
        <v>1</v>
      </c>
      <c r="L214" s="656">
        <v>1</v>
      </c>
      <c r="M214" s="656">
        <v>1</v>
      </c>
      <c r="N214" s="656">
        <v>1</v>
      </c>
      <c r="O214" s="656">
        <v>1</v>
      </c>
      <c r="Q214" s="776"/>
      <c r="R214" s="655" t="s">
        <v>88</v>
      </c>
      <c r="S214" s="656">
        <v>0</v>
      </c>
      <c r="T214" s="656">
        <v>0</v>
      </c>
      <c r="U214" s="656">
        <v>0</v>
      </c>
      <c r="V214" s="656">
        <v>0</v>
      </c>
      <c r="W214" s="656">
        <v>0</v>
      </c>
      <c r="X214" s="656">
        <v>0</v>
      </c>
      <c r="Y214" s="565">
        <v>0</v>
      </c>
      <c r="Z214" s="565">
        <v>0</v>
      </c>
      <c r="AA214" s="565">
        <v>0</v>
      </c>
      <c r="AB214" s="565">
        <v>0</v>
      </c>
      <c r="AC214" s="565"/>
      <c r="AD214" s="565"/>
      <c r="AF214" s="776"/>
      <c r="AG214" s="655" t="s">
        <v>88</v>
      </c>
      <c r="AH214" s="656">
        <v>0</v>
      </c>
      <c r="AI214" s="656">
        <v>0</v>
      </c>
      <c r="AJ214" s="656">
        <v>0</v>
      </c>
      <c r="AK214" s="656">
        <v>0</v>
      </c>
      <c r="AL214" s="656">
        <v>0</v>
      </c>
      <c r="AM214" s="656">
        <v>0</v>
      </c>
      <c r="AN214" s="656">
        <v>0</v>
      </c>
      <c r="AO214" s="565">
        <v>0</v>
      </c>
      <c r="AP214" s="565">
        <v>0</v>
      </c>
      <c r="AQ214" s="565">
        <v>0</v>
      </c>
      <c r="AR214" s="565">
        <v>0</v>
      </c>
      <c r="AS214" s="565">
        <v>0</v>
      </c>
    </row>
    <row r="215" spans="2:45" ht="16.5">
      <c r="B215" s="776"/>
      <c r="C215" s="655" t="s">
        <v>121</v>
      </c>
      <c r="D215" s="656">
        <v>0</v>
      </c>
      <c r="E215" s="656">
        <v>0</v>
      </c>
      <c r="F215" s="656">
        <v>0</v>
      </c>
      <c r="G215" s="656">
        <v>2</v>
      </c>
      <c r="H215" s="656">
        <v>2</v>
      </c>
      <c r="I215" s="656">
        <v>2</v>
      </c>
      <c r="J215" s="565">
        <v>2</v>
      </c>
      <c r="K215" s="565">
        <v>2</v>
      </c>
      <c r="L215" s="565">
        <v>2</v>
      </c>
      <c r="M215" s="565">
        <v>2</v>
      </c>
      <c r="N215" s="565">
        <v>2</v>
      </c>
      <c r="O215" s="565">
        <v>2</v>
      </c>
      <c r="Q215" s="776"/>
      <c r="R215" s="655" t="s">
        <v>121</v>
      </c>
      <c r="S215" s="656">
        <v>0</v>
      </c>
      <c r="T215" s="656">
        <v>0</v>
      </c>
      <c r="U215" s="656">
        <v>0</v>
      </c>
      <c r="V215" s="656">
        <v>2</v>
      </c>
      <c r="W215" s="656">
        <v>0</v>
      </c>
      <c r="X215" s="656">
        <v>0</v>
      </c>
      <c r="Y215" s="565">
        <v>0</v>
      </c>
      <c r="Z215" s="565">
        <v>0</v>
      </c>
      <c r="AA215" s="565">
        <v>0</v>
      </c>
      <c r="AB215" s="565">
        <v>0</v>
      </c>
      <c r="AC215" s="565"/>
      <c r="AD215" s="565"/>
      <c r="AF215" s="776"/>
      <c r="AG215" s="655" t="s">
        <v>121</v>
      </c>
      <c r="AH215" s="656">
        <v>0</v>
      </c>
      <c r="AI215" s="656">
        <v>0</v>
      </c>
      <c r="AJ215" s="656">
        <v>0</v>
      </c>
      <c r="AK215" s="656">
        <v>2</v>
      </c>
      <c r="AL215" s="656">
        <v>2</v>
      </c>
      <c r="AM215" s="656">
        <v>2</v>
      </c>
      <c r="AN215" s="656">
        <v>2</v>
      </c>
      <c r="AO215" s="656">
        <v>2</v>
      </c>
      <c r="AP215" s="656">
        <v>2</v>
      </c>
      <c r="AQ215" s="656">
        <v>2</v>
      </c>
      <c r="AR215" s="565">
        <v>0</v>
      </c>
      <c r="AS215" s="565">
        <v>0</v>
      </c>
    </row>
    <row r="216" spans="2:45" ht="16.5">
      <c r="B216" s="776"/>
      <c r="C216" s="655" t="s">
        <v>89</v>
      </c>
      <c r="D216" s="656">
        <v>0</v>
      </c>
      <c r="E216" s="656">
        <v>0</v>
      </c>
      <c r="F216" s="656">
        <v>0</v>
      </c>
      <c r="G216" s="656">
        <v>0</v>
      </c>
      <c r="H216" s="656">
        <v>0</v>
      </c>
      <c r="I216" s="656">
        <v>0</v>
      </c>
      <c r="J216" s="565">
        <v>0</v>
      </c>
      <c r="K216" s="565">
        <v>0</v>
      </c>
      <c r="L216" s="565">
        <v>0</v>
      </c>
      <c r="M216" s="565">
        <v>0</v>
      </c>
      <c r="N216" s="565">
        <v>0</v>
      </c>
      <c r="O216" s="565">
        <v>0</v>
      </c>
      <c r="Q216" s="776"/>
      <c r="R216" s="655" t="s">
        <v>89</v>
      </c>
      <c r="S216" s="656">
        <v>0</v>
      </c>
      <c r="T216" s="656">
        <v>0</v>
      </c>
      <c r="U216" s="656">
        <v>0</v>
      </c>
      <c r="V216" s="656">
        <v>0</v>
      </c>
      <c r="W216" s="656">
        <v>0</v>
      </c>
      <c r="X216" s="656">
        <v>0</v>
      </c>
      <c r="Y216" s="565">
        <v>0</v>
      </c>
      <c r="Z216" s="565">
        <v>0</v>
      </c>
      <c r="AA216" s="565">
        <v>0</v>
      </c>
      <c r="AB216" s="565">
        <v>0</v>
      </c>
      <c r="AC216" s="565"/>
      <c r="AD216" s="565"/>
      <c r="AF216" s="776"/>
      <c r="AG216" s="655" t="s">
        <v>89</v>
      </c>
      <c r="AH216" s="656">
        <v>0</v>
      </c>
      <c r="AI216" s="656">
        <v>0</v>
      </c>
      <c r="AJ216" s="656">
        <v>0</v>
      </c>
      <c r="AK216" s="656">
        <v>0</v>
      </c>
      <c r="AL216" s="656">
        <v>0</v>
      </c>
      <c r="AM216" s="656">
        <v>0</v>
      </c>
      <c r="AN216" s="656">
        <v>0</v>
      </c>
      <c r="AO216" s="565">
        <v>0</v>
      </c>
      <c r="AP216" s="565">
        <v>0</v>
      </c>
      <c r="AQ216" s="565">
        <v>0</v>
      </c>
      <c r="AR216" s="565">
        <v>0</v>
      </c>
      <c r="AS216" s="565">
        <v>0</v>
      </c>
    </row>
    <row r="217" spans="2:45" ht="16.5">
      <c r="B217" s="777"/>
      <c r="C217" s="658" t="s">
        <v>90</v>
      </c>
      <c r="D217" s="659">
        <v>0</v>
      </c>
      <c r="E217" s="659">
        <v>0</v>
      </c>
      <c r="F217" s="659">
        <v>0</v>
      </c>
      <c r="G217" s="659">
        <v>7</v>
      </c>
      <c r="H217" s="659">
        <v>7</v>
      </c>
      <c r="I217" s="659">
        <v>7</v>
      </c>
      <c r="J217" s="659">
        <v>8</v>
      </c>
      <c r="K217" s="659">
        <v>8</v>
      </c>
      <c r="L217" s="659">
        <v>8</v>
      </c>
      <c r="M217" s="659">
        <v>8</v>
      </c>
      <c r="N217" s="659">
        <v>8</v>
      </c>
      <c r="O217" s="659">
        <v>8</v>
      </c>
      <c r="Q217" s="777"/>
      <c r="R217" s="658" t="s">
        <v>90</v>
      </c>
      <c r="S217" s="659">
        <v>0</v>
      </c>
      <c r="T217" s="659">
        <v>0</v>
      </c>
      <c r="U217" s="659">
        <v>0</v>
      </c>
      <c r="V217" s="659">
        <v>7</v>
      </c>
      <c r="W217" s="659">
        <v>0</v>
      </c>
      <c r="X217" s="659">
        <v>0</v>
      </c>
      <c r="Y217" s="659">
        <v>1</v>
      </c>
      <c r="Z217" s="659">
        <v>0</v>
      </c>
      <c r="AA217" s="659">
        <v>0</v>
      </c>
      <c r="AB217" s="659">
        <v>0</v>
      </c>
      <c r="AC217" s="659">
        <v>0</v>
      </c>
      <c r="AD217" s="659">
        <v>0</v>
      </c>
      <c r="AF217" s="777"/>
      <c r="AG217" s="658" t="s">
        <v>90</v>
      </c>
      <c r="AH217" s="659">
        <v>0</v>
      </c>
      <c r="AI217" s="659">
        <v>0</v>
      </c>
      <c r="AJ217" s="659">
        <v>0</v>
      </c>
      <c r="AK217" s="659">
        <v>7</v>
      </c>
      <c r="AL217" s="659">
        <v>7</v>
      </c>
      <c r="AM217" s="659">
        <v>7</v>
      </c>
      <c r="AN217" s="594">
        <v>8</v>
      </c>
      <c r="AO217" s="594">
        <v>8</v>
      </c>
      <c r="AP217" s="594">
        <v>8</v>
      </c>
      <c r="AQ217" s="594">
        <v>8</v>
      </c>
      <c r="AR217" s="594">
        <v>0</v>
      </c>
      <c r="AS217" s="594">
        <v>0</v>
      </c>
    </row>
    <row r="218" spans="2:45" ht="14.45" customHeight="1">
      <c r="B218" s="775" t="s">
        <v>212</v>
      </c>
      <c r="C218" s="655" t="s">
        <v>128</v>
      </c>
      <c r="D218" s="656">
        <v>1</v>
      </c>
      <c r="E218" s="656">
        <v>1</v>
      </c>
      <c r="F218" s="656">
        <v>1</v>
      </c>
      <c r="G218" s="656">
        <v>1</v>
      </c>
      <c r="H218" s="656">
        <v>2</v>
      </c>
      <c r="I218" s="656">
        <v>4</v>
      </c>
      <c r="J218" s="565">
        <v>13</v>
      </c>
      <c r="K218" s="565">
        <v>21</v>
      </c>
      <c r="L218" s="565">
        <v>35</v>
      </c>
      <c r="M218" s="565">
        <v>57</v>
      </c>
      <c r="N218" s="565">
        <v>95</v>
      </c>
      <c r="O218" s="565">
        <v>157</v>
      </c>
      <c r="Q218" s="775" t="s">
        <v>212</v>
      </c>
      <c r="R218" s="655" t="s">
        <v>128</v>
      </c>
      <c r="S218" s="656">
        <v>0</v>
      </c>
      <c r="T218" s="656">
        <v>2</v>
      </c>
      <c r="U218" s="656">
        <v>5</v>
      </c>
      <c r="V218" s="656">
        <v>3</v>
      </c>
      <c r="W218" s="656">
        <v>0</v>
      </c>
      <c r="X218" s="656">
        <v>0</v>
      </c>
      <c r="Y218" s="565">
        <v>0</v>
      </c>
      <c r="Z218" s="565">
        <v>1</v>
      </c>
      <c r="AA218" s="565">
        <v>0</v>
      </c>
      <c r="AB218" s="565">
        <v>1</v>
      </c>
      <c r="AC218" s="565"/>
      <c r="AD218" s="565"/>
      <c r="AF218" s="775" t="s">
        <v>212</v>
      </c>
      <c r="AG218" s="655" t="s">
        <v>128</v>
      </c>
      <c r="AH218" s="656">
        <v>0</v>
      </c>
      <c r="AI218" s="656">
        <v>2</v>
      </c>
      <c r="AJ218" s="656">
        <v>7</v>
      </c>
      <c r="AK218" s="656">
        <v>10</v>
      </c>
      <c r="AL218" s="656">
        <v>10</v>
      </c>
      <c r="AM218" s="656">
        <v>10</v>
      </c>
      <c r="AN218" s="565">
        <v>10</v>
      </c>
      <c r="AO218" s="565">
        <v>11</v>
      </c>
      <c r="AP218" s="565">
        <v>11</v>
      </c>
      <c r="AQ218" s="565">
        <v>12</v>
      </c>
      <c r="AR218" s="565">
        <v>0</v>
      </c>
      <c r="AS218" s="565">
        <v>0</v>
      </c>
    </row>
    <row r="219" spans="2:45" ht="16.5">
      <c r="B219" s="776"/>
      <c r="C219" s="655" t="s">
        <v>87</v>
      </c>
      <c r="D219" s="656">
        <v>1</v>
      </c>
      <c r="E219" s="656">
        <v>1</v>
      </c>
      <c r="F219" s="656">
        <v>1</v>
      </c>
      <c r="G219" s="656">
        <v>1</v>
      </c>
      <c r="H219" s="656">
        <v>2</v>
      </c>
      <c r="I219" s="656">
        <v>3</v>
      </c>
      <c r="J219" s="565">
        <v>3</v>
      </c>
      <c r="K219" s="565">
        <v>5</v>
      </c>
      <c r="L219" s="565">
        <v>8</v>
      </c>
      <c r="M219" s="565">
        <v>12</v>
      </c>
      <c r="N219" s="565">
        <v>20</v>
      </c>
      <c r="O219" s="565">
        <v>33</v>
      </c>
      <c r="Q219" s="776"/>
      <c r="R219" s="655" t="s">
        <v>87</v>
      </c>
      <c r="S219" s="656">
        <v>2</v>
      </c>
      <c r="T219" s="656">
        <v>0</v>
      </c>
      <c r="U219" s="656">
        <v>1</v>
      </c>
      <c r="V219" s="656">
        <v>6</v>
      </c>
      <c r="W219" s="656">
        <v>2</v>
      </c>
      <c r="X219" s="656">
        <v>0</v>
      </c>
      <c r="Y219" s="565">
        <v>2</v>
      </c>
      <c r="Z219" s="565">
        <v>1</v>
      </c>
      <c r="AA219" s="565">
        <v>1</v>
      </c>
      <c r="AB219" s="565">
        <v>2</v>
      </c>
      <c r="AC219" s="565"/>
      <c r="AD219" s="565"/>
      <c r="AF219" s="776"/>
      <c r="AG219" s="655" t="s">
        <v>87</v>
      </c>
      <c r="AH219" s="656">
        <v>2</v>
      </c>
      <c r="AI219" s="656">
        <v>2</v>
      </c>
      <c r="AJ219" s="656">
        <v>3</v>
      </c>
      <c r="AK219" s="656">
        <v>9</v>
      </c>
      <c r="AL219" s="656">
        <v>11</v>
      </c>
      <c r="AM219" s="656">
        <v>11</v>
      </c>
      <c r="AN219" s="565">
        <v>13</v>
      </c>
      <c r="AO219" s="565">
        <v>14</v>
      </c>
      <c r="AP219" s="565">
        <v>15</v>
      </c>
      <c r="AQ219" s="565">
        <v>17</v>
      </c>
      <c r="AR219" s="565">
        <v>0</v>
      </c>
      <c r="AS219" s="565">
        <v>0</v>
      </c>
    </row>
    <row r="220" spans="2:45" ht="16.5">
      <c r="B220" s="776"/>
      <c r="C220" s="655" t="s">
        <v>88</v>
      </c>
      <c r="D220" s="656">
        <v>0</v>
      </c>
      <c r="E220" s="656">
        <v>1</v>
      </c>
      <c r="F220" s="656">
        <v>1</v>
      </c>
      <c r="G220" s="656">
        <v>1</v>
      </c>
      <c r="H220" s="656">
        <v>2</v>
      </c>
      <c r="I220" s="656">
        <v>4</v>
      </c>
      <c r="J220" s="565">
        <v>11</v>
      </c>
      <c r="K220" s="565">
        <v>18</v>
      </c>
      <c r="L220" s="565">
        <v>29</v>
      </c>
      <c r="M220" s="565">
        <v>47</v>
      </c>
      <c r="N220" s="565">
        <v>77</v>
      </c>
      <c r="O220" s="565">
        <v>128</v>
      </c>
      <c r="Q220" s="776"/>
      <c r="R220" s="655" t="s">
        <v>88</v>
      </c>
      <c r="S220" s="656">
        <v>35</v>
      </c>
      <c r="T220" s="656">
        <v>9</v>
      </c>
      <c r="U220" s="656">
        <v>4</v>
      </c>
      <c r="V220" s="656">
        <v>5</v>
      </c>
      <c r="W220" s="656">
        <v>1</v>
      </c>
      <c r="X220" s="656">
        <v>0</v>
      </c>
      <c r="Y220" s="565">
        <v>0</v>
      </c>
      <c r="Z220" s="565">
        <v>0</v>
      </c>
      <c r="AA220" s="565">
        <v>0</v>
      </c>
      <c r="AB220" s="565">
        <v>3</v>
      </c>
      <c r="AC220" s="565"/>
      <c r="AD220" s="565"/>
      <c r="AF220" s="776"/>
      <c r="AG220" s="655" t="s">
        <v>88</v>
      </c>
      <c r="AH220" s="656">
        <v>35</v>
      </c>
      <c r="AI220" s="656">
        <v>44</v>
      </c>
      <c r="AJ220" s="656">
        <v>48</v>
      </c>
      <c r="AK220" s="656">
        <v>53</v>
      </c>
      <c r="AL220" s="656">
        <v>54</v>
      </c>
      <c r="AM220" s="656">
        <v>54</v>
      </c>
      <c r="AN220" s="565">
        <v>54</v>
      </c>
      <c r="AO220" s="565">
        <v>54</v>
      </c>
      <c r="AP220" s="565">
        <v>54</v>
      </c>
      <c r="AQ220" s="565">
        <v>57</v>
      </c>
      <c r="AR220" s="565">
        <v>0</v>
      </c>
      <c r="AS220" s="565">
        <v>0</v>
      </c>
    </row>
    <row r="221" spans="2:45" ht="16.5">
      <c r="B221" s="776"/>
      <c r="C221" s="655" t="s">
        <v>121</v>
      </c>
      <c r="D221" s="656">
        <v>0</v>
      </c>
      <c r="E221" s="656">
        <v>0</v>
      </c>
      <c r="F221" s="656">
        <v>0</v>
      </c>
      <c r="G221" s="656">
        <v>0</v>
      </c>
      <c r="H221" s="656">
        <v>0</v>
      </c>
      <c r="I221" s="656">
        <v>0</v>
      </c>
      <c r="J221" s="565">
        <v>0</v>
      </c>
      <c r="K221" s="565">
        <v>0</v>
      </c>
      <c r="L221" s="565">
        <v>0</v>
      </c>
      <c r="M221" s="565">
        <v>0</v>
      </c>
      <c r="N221" s="565">
        <v>0</v>
      </c>
      <c r="O221" s="565">
        <v>0</v>
      </c>
      <c r="Q221" s="776"/>
      <c r="R221" s="655" t="s">
        <v>121</v>
      </c>
      <c r="S221" s="656">
        <v>1</v>
      </c>
      <c r="T221" s="656">
        <v>1</v>
      </c>
      <c r="U221" s="656">
        <v>1</v>
      </c>
      <c r="V221" s="656">
        <v>0</v>
      </c>
      <c r="W221" s="656">
        <v>0</v>
      </c>
      <c r="X221" s="656">
        <v>0</v>
      </c>
      <c r="Y221" s="565">
        <v>2</v>
      </c>
      <c r="Z221" s="565">
        <v>0</v>
      </c>
      <c r="AA221" s="565">
        <v>1</v>
      </c>
      <c r="AB221" s="565">
        <v>2</v>
      </c>
      <c r="AC221" s="565"/>
      <c r="AD221" s="565"/>
      <c r="AF221" s="776"/>
      <c r="AG221" s="655" t="s">
        <v>121</v>
      </c>
      <c r="AH221" s="656">
        <v>1</v>
      </c>
      <c r="AI221" s="656">
        <v>2</v>
      </c>
      <c r="AJ221" s="656">
        <v>3</v>
      </c>
      <c r="AK221" s="656">
        <v>3</v>
      </c>
      <c r="AL221" s="656">
        <v>3</v>
      </c>
      <c r="AM221" s="656">
        <v>3</v>
      </c>
      <c r="AN221" s="565">
        <v>5</v>
      </c>
      <c r="AO221" s="565">
        <v>5</v>
      </c>
      <c r="AP221" s="565">
        <v>6</v>
      </c>
      <c r="AQ221" s="565">
        <v>8</v>
      </c>
      <c r="AR221" s="565">
        <v>0</v>
      </c>
      <c r="AS221" s="565">
        <v>0</v>
      </c>
    </row>
    <row r="222" spans="2:45" ht="16.5">
      <c r="B222" s="776"/>
      <c r="C222" s="655" t="s">
        <v>89</v>
      </c>
      <c r="D222" s="656">
        <v>1</v>
      </c>
      <c r="E222" s="656">
        <v>1</v>
      </c>
      <c r="F222" s="656">
        <v>1</v>
      </c>
      <c r="G222" s="656">
        <v>1</v>
      </c>
      <c r="H222" s="656">
        <v>2</v>
      </c>
      <c r="I222" s="656">
        <v>3</v>
      </c>
      <c r="J222" s="565">
        <v>11</v>
      </c>
      <c r="K222" s="565">
        <v>17</v>
      </c>
      <c r="L222" s="565">
        <v>27</v>
      </c>
      <c r="M222" s="565">
        <v>45</v>
      </c>
      <c r="N222" s="565">
        <v>74</v>
      </c>
      <c r="O222" s="565">
        <v>123</v>
      </c>
      <c r="Q222" s="776"/>
      <c r="R222" s="655" t="s">
        <v>89</v>
      </c>
      <c r="S222" s="656">
        <v>12</v>
      </c>
      <c r="T222" s="656">
        <v>9</v>
      </c>
      <c r="U222" s="656">
        <v>5</v>
      </c>
      <c r="V222" s="656">
        <v>12</v>
      </c>
      <c r="W222" s="656">
        <v>18</v>
      </c>
      <c r="X222" s="656">
        <v>8</v>
      </c>
      <c r="Y222" s="565">
        <v>4</v>
      </c>
      <c r="Z222" s="565">
        <v>7</v>
      </c>
      <c r="AA222" s="565">
        <v>8</v>
      </c>
      <c r="AB222" s="565">
        <v>9</v>
      </c>
      <c r="AC222" s="565"/>
      <c r="AD222" s="565"/>
      <c r="AF222" s="776"/>
      <c r="AG222" s="655" t="s">
        <v>89</v>
      </c>
      <c r="AH222" s="656">
        <v>12</v>
      </c>
      <c r="AI222" s="656">
        <v>21</v>
      </c>
      <c r="AJ222" s="656">
        <v>26</v>
      </c>
      <c r="AK222" s="656">
        <v>38</v>
      </c>
      <c r="AL222" s="656">
        <v>56</v>
      </c>
      <c r="AM222" s="656">
        <v>64</v>
      </c>
      <c r="AN222" s="565">
        <v>68</v>
      </c>
      <c r="AO222" s="565">
        <v>75</v>
      </c>
      <c r="AP222" s="565">
        <v>83</v>
      </c>
      <c r="AQ222" s="565">
        <v>92</v>
      </c>
      <c r="AR222" s="565">
        <v>0</v>
      </c>
      <c r="AS222" s="565">
        <v>0</v>
      </c>
    </row>
    <row r="223" spans="2:45" ht="16.5">
      <c r="B223" s="777"/>
      <c r="C223" s="658" t="s">
        <v>90</v>
      </c>
      <c r="D223" s="659">
        <v>3</v>
      </c>
      <c r="E223" s="659">
        <v>4</v>
      </c>
      <c r="F223" s="659">
        <v>4</v>
      </c>
      <c r="G223" s="659">
        <v>4</v>
      </c>
      <c r="H223" s="659">
        <v>8</v>
      </c>
      <c r="I223" s="659">
        <v>14</v>
      </c>
      <c r="J223" s="659">
        <v>38</v>
      </c>
      <c r="K223" s="659">
        <v>61</v>
      </c>
      <c r="L223" s="659">
        <v>99</v>
      </c>
      <c r="M223" s="659">
        <v>161</v>
      </c>
      <c r="N223" s="659">
        <v>266</v>
      </c>
      <c r="O223" s="659">
        <v>441</v>
      </c>
      <c r="Q223" s="777"/>
      <c r="R223" s="658" t="s">
        <v>90</v>
      </c>
      <c r="S223" s="659">
        <v>50</v>
      </c>
      <c r="T223" s="659">
        <v>21</v>
      </c>
      <c r="U223" s="659">
        <v>16</v>
      </c>
      <c r="V223" s="659">
        <v>26</v>
      </c>
      <c r="W223" s="659">
        <v>21</v>
      </c>
      <c r="X223" s="659">
        <v>8</v>
      </c>
      <c r="Y223" s="659">
        <v>8</v>
      </c>
      <c r="Z223" s="659">
        <v>9</v>
      </c>
      <c r="AA223" s="659">
        <v>10</v>
      </c>
      <c r="AB223" s="659">
        <v>17</v>
      </c>
      <c r="AC223" s="659">
        <v>0</v>
      </c>
      <c r="AD223" s="659">
        <v>0</v>
      </c>
      <c r="AF223" s="777"/>
      <c r="AG223" s="658" t="s">
        <v>90</v>
      </c>
      <c r="AH223" s="659">
        <v>50</v>
      </c>
      <c r="AI223" s="659">
        <v>71</v>
      </c>
      <c r="AJ223" s="659">
        <v>87</v>
      </c>
      <c r="AK223" s="659">
        <v>113</v>
      </c>
      <c r="AL223" s="659">
        <v>134</v>
      </c>
      <c r="AM223" s="659">
        <v>142</v>
      </c>
      <c r="AN223" s="594">
        <v>150</v>
      </c>
      <c r="AO223" s="594">
        <v>159</v>
      </c>
      <c r="AP223" s="594">
        <v>169</v>
      </c>
      <c r="AQ223" s="594">
        <v>186</v>
      </c>
      <c r="AR223" s="594">
        <v>0</v>
      </c>
      <c r="AS223" s="594">
        <v>0</v>
      </c>
    </row>
    <row r="224" spans="2:45" ht="14.45" customHeight="1">
      <c r="B224" s="775" t="s">
        <v>213</v>
      </c>
      <c r="C224" s="655" t="s">
        <v>128</v>
      </c>
      <c r="D224" s="656">
        <v>40.5</v>
      </c>
      <c r="E224" s="656">
        <v>40.5</v>
      </c>
      <c r="F224" s="656">
        <v>40.5</v>
      </c>
      <c r="G224" s="656">
        <v>40.5</v>
      </c>
      <c r="H224" s="656">
        <v>81</v>
      </c>
      <c r="I224" s="656">
        <v>162</v>
      </c>
      <c r="J224" s="565">
        <v>1737.7840000000001</v>
      </c>
      <c r="K224" s="565">
        <v>2807.19</v>
      </c>
      <c r="L224" s="565">
        <v>4678.6499999999996</v>
      </c>
      <c r="M224" s="565">
        <v>7619.5159999999996</v>
      </c>
      <c r="N224" s="565">
        <v>12699.192999999999</v>
      </c>
      <c r="O224" s="565">
        <v>20987.087</v>
      </c>
      <c r="Q224" s="775" t="s">
        <v>213</v>
      </c>
      <c r="R224" s="655" t="s">
        <v>128</v>
      </c>
      <c r="S224" s="656">
        <v>0</v>
      </c>
      <c r="T224" s="656">
        <v>778.1</v>
      </c>
      <c r="U224" s="656">
        <v>388.6</v>
      </c>
      <c r="V224" s="656">
        <v>248.9</v>
      </c>
      <c r="W224" s="656">
        <v>479.90000000000009</v>
      </c>
      <c r="X224" s="656">
        <v>284.49999999999977</v>
      </c>
      <c r="Y224" s="565">
        <v>660.30000000000018</v>
      </c>
      <c r="Z224" s="565">
        <v>727.5</v>
      </c>
      <c r="AA224" s="565">
        <v>351.80000000000018</v>
      </c>
      <c r="AB224" s="565">
        <v>628.9</v>
      </c>
      <c r="AC224" s="565"/>
      <c r="AD224" s="565"/>
      <c r="AF224" s="775" t="s">
        <v>213</v>
      </c>
      <c r="AG224" s="655" t="s">
        <v>128</v>
      </c>
      <c r="AH224" s="656">
        <v>0</v>
      </c>
      <c r="AI224" s="656">
        <v>778.1</v>
      </c>
      <c r="AJ224" s="656">
        <v>1166.7</v>
      </c>
      <c r="AK224" s="656">
        <v>1415.6000000000001</v>
      </c>
      <c r="AL224" s="656">
        <v>1895.5000000000002</v>
      </c>
      <c r="AM224" s="656">
        <v>2180</v>
      </c>
      <c r="AN224" s="565">
        <v>2840.3</v>
      </c>
      <c r="AO224" s="565">
        <v>3567.8</v>
      </c>
      <c r="AP224" s="565">
        <v>3919.6000000000004</v>
      </c>
      <c r="AQ224" s="565">
        <v>4548.5</v>
      </c>
      <c r="AR224" s="565">
        <v>0</v>
      </c>
      <c r="AS224" s="565">
        <v>0</v>
      </c>
    </row>
    <row r="225" spans="1:47" ht="16.5">
      <c r="A225"/>
      <c r="B225" s="776"/>
      <c r="C225" s="655" t="s">
        <v>87</v>
      </c>
      <c r="D225" s="656">
        <v>40.5</v>
      </c>
      <c r="E225" s="656">
        <v>40.5</v>
      </c>
      <c r="F225" s="656">
        <v>40.5</v>
      </c>
      <c r="G225" s="656">
        <v>40.5</v>
      </c>
      <c r="H225" s="656">
        <v>81</v>
      </c>
      <c r="I225" s="656">
        <v>121.5</v>
      </c>
      <c r="J225" s="565">
        <v>401.02699999999999</v>
      </c>
      <c r="K225" s="565">
        <v>668.37900000000002</v>
      </c>
      <c r="L225" s="565">
        <v>1069.4059999999999</v>
      </c>
      <c r="M225" s="565">
        <v>1604.1089999999999</v>
      </c>
      <c r="N225" s="565">
        <v>2673.5140000000001</v>
      </c>
      <c r="O225" s="565">
        <v>4411.299</v>
      </c>
      <c r="Q225" s="776"/>
      <c r="R225" s="655" t="s">
        <v>87</v>
      </c>
      <c r="S225" s="656">
        <v>450.9</v>
      </c>
      <c r="T225" s="656">
        <v>511.1</v>
      </c>
      <c r="U225" s="656">
        <v>15.700000000000045</v>
      </c>
      <c r="V225" s="656">
        <v>344.8</v>
      </c>
      <c r="W225" s="656">
        <v>150.40000000000009</v>
      </c>
      <c r="X225" s="656">
        <v>287.20000000000005</v>
      </c>
      <c r="Y225" s="565">
        <v>743.60000000000014</v>
      </c>
      <c r="Z225" s="565">
        <v>344.40000000000009</v>
      </c>
      <c r="AA225" s="565">
        <v>449.40000000000009</v>
      </c>
      <c r="AB225" s="565">
        <v>734.20000000000027</v>
      </c>
      <c r="AC225" s="565"/>
      <c r="AD225" s="565"/>
      <c r="AF225" s="776"/>
      <c r="AG225" s="655" t="s">
        <v>87</v>
      </c>
      <c r="AH225" s="656">
        <v>450.9</v>
      </c>
      <c r="AI225" s="656">
        <v>962</v>
      </c>
      <c r="AJ225" s="656">
        <v>977.7</v>
      </c>
      <c r="AK225" s="656">
        <v>1322.5</v>
      </c>
      <c r="AL225" s="656">
        <v>1472.9</v>
      </c>
      <c r="AM225" s="656">
        <v>1760.1000000000001</v>
      </c>
      <c r="AN225" s="565">
        <v>2503.7000000000003</v>
      </c>
      <c r="AO225" s="565">
        <v>2848.1000000000004</v>
      </c>
      <c r="AP225" s="565">
        <v>3297.5000000000005</v>
      </c>
      <c r="AQ225" s="565">
        <v>4031.7000000000007</v>
      </c>
      <c r="AR225" s="565">
        <v>0</v>
      </c>
      <c r="AS225" s="565">
        <v>0</v>
      </c>
    </row>
    <row r="226" spans="1:47" ht="16.5">
      <c r="A226"/>
      <c r="B226" s="776"/>
      <c r="C226" s="655" t="s">
        <v>88</v>
      </c>
      <c r="D226" s="656">
        <v>0</v>
      </c>
      <c r="E226" s="656">
        <v>40.5</v>
      </c>
      <c r="F226" s="656">
        <v>40.5</v>
      </c>
      <c r="G226" s="656">
        <v>40.5</v>
      </c>
      <c r="H226" s="656">
        <v>81</v>
      </c>
      <c r="I226" s="656">
        <v>162</v>
      </c>
      <c r="J226" s="565">
        <v>1470.433</v>
      </c>
      <c r="K226" s="565">
        <v>2406.163</v>
      </c>
      <c r="L226" s="565">
        <v>3876.596</v>
      </c>
      <c r="M226" s="565">
        <v>6282.759</v>
      </c>
      <c r="N226" s="565">
        <v>10293.030000000001</v>
      </c>
      <c r="O226" s="565">
        <v>17110.491000000002</v>
      </c>
      <c r="Q226" s="776"/>
      <c r="R226" s="655" t="s">
        <v>88</v>
      </c>
      <c r="S226" s="656">
        <v>8530</v>
      </c>
      <c r="T226" s="656">
        <v>5696.8</v>
      </c>
      <c r="U226" s="656">
        <v>573.60000000000218</v>
      </c>
      <c r="V226" s="656">
        <v>932.8</v>
      </c>
      <c r="W226" s="656">
        <v>1947.1000000000022</v>
      </c>
      <c r="X226" s="656">
        <v>1293.5</v>
      </c>
      <c r="Y226" s="565">
        <v>1744.0999999999985</v>
      </c>
      <c r="Z226" s="565">
        <v>1748.2999999999993</v>
      </c>
      <c r="AA226" s="565">
        <v>1943.5999999999985</v>
      </c>
      <c r="AB226" s="565">
        <v>2496.8000000000002</v>
      </c>
      <c r="AC226" s="565"/>
      <c r="AD226" s="565"/>
      <c r="AF226" s="776"/>
      <c r="AG226" s="655" t="s">
        <v>88</v>
      </c>
      <c r="AH226" s="656">
        <v>8530</v>
      </c>
      <c r="AI226" s="656">
        <v>14226.8</v>
      </c>
      <c r="AJ226" s="656">
        <v>14800.400000000001</v>
      </c>
      <c r="AK226" s="656">
        <v>15733.2</v>
      </c>
      <c r="AL226" s="656">
        <v>17680.300000000003</v>
      </c>
      <c r="AM226" s="656">
        <v>18973.800000000003</v>
      </c>
      <c r="AN226" s="565">
        <v>20717.900000000001</v>
      </c>
      <c r="AO226" s="565">
        <v>22466.2</v>
      </c>
      <c r="AP226" s="565">
        <v>24409.8</v>
      </c>
      <c r="AQ226" s="565">
        <v>26906.6</v>
      </c>
      <c r="AR226" s="565">
        <v>0</v>
      </c>
      <c r="AS226" s="565">
        <v>0</v>
      </c>
    </row>
    <row r="227" spans="1:47" ht="16.5">
      <c r="A227"/>
      <c r="B227" s="776"/>
      <c r="C227" s="655" t="s">
        <v>121</v>
      </c>
      <c r="D227" s="656">
        <v>0</v>
      </c>
      <c r="E227" s="656">
        <v>0</v>
      </c>
      <c r="F227" s="656">
        <v>0</v>
      </c>
      <c r="G227" s="656">
        <v>0</v>
      </c>
      <c r="H227" s="656">
        <v>0</v>
      </c>
      <c r="I227" s="656">
        <v>0</v>
      </c>
      <c r="J227" s="565">
        <v>0</v>
      </c>
      <c r="K227" s="565">
        <v>0</v>
      </c>
      <c r="L227" s="565">
        <v>0</v>
      </c>
      <c r="M227" s="565">
        <v>0</v>
      </c>
      <c r="N227" s="565">
        <v>0</v>
      </c>
      <c r="O227" s="565">
        <v>0</v>
      </c>
      <c r="Q227" s="776"/>
      <c r="R227" s="655" t="s">
        <v>121</v>
      </c>
      <c r="S227" s="656">
        <v>219.1</v>
      </c>
      <c r="T227" s="656">
        <v>150.30000000000001</v>
      </c>
      <c r="U227" s="656">
        <v>150.30000000000004</v>
      </c>
      <c r="V227" s="656">
        <v>0</v>
      </c>
      <c r="W227" s="656">
        <v>335.09999999999991</v>
      </c>
      <c r="X227" s="656">
        <v>260</v>
      </c>
      <c r="Y227" s="565">
        <v>799</v>
      </c>
      <c r="Z227" s="565">
        <v>184.79999999999995</v>
      </c>
      <c r="AA227" s="565">
        <v>244.09999999999991</v>
      </c>
      <c r="AB227" s="565">
        <v>745.4</v>
      </c>
      <c r="AC227" s="565"/>
      <c r="AD227" s="565"/>
      <c r="AF227" s="776"/>
      <c r="AG227" s="655" t="s">
        <v>121</v>
      </c>
      <c r="AH227" s="656">
        <v>219.1</v>
      </c>
      <c r="AI227" s="656">
        <v>369.4</v>
      </c>
      <c r="AJ227" s="656">
        <v>519.70000000000005</v>
      </c>
      <c r="AK227" s="656">
        <v>519.70000000000005</v>
      </c>
      <c r="AL227" s="656">
        <v>854.8</v>
      </c>
      <c r="AM227" s="656">
        <v>1114.8</v>
      </c>
      <c r="AN227" s="565">
        <v>1913.8</v>
      </c>
      <c r="AO227" s="565">
        <v>2098.6</v>
      </c>
      <c r="AP227" s="565">
        <v>2342.6999999999998</v>
      </c>
      <c r="AQ227" s="565">
        <v>3088.1</v>
      </c>
      <c r="AR227" s="565">
        <v>0</v>
      </c>
      <c r="AS227" s="565">
        <v>0</v>
      </c>
    </row>
    <row r="228" spans="1:47" ht="16.5">
      <c r="A228"/>
      <c r="B228" s="776"/>
      <c r="C228" s="655" t="s">
        <v>89</v>
      </c>
      <c r="D228" s="656">
        <v>40.5</v>
      </c>
      <c r="E228" s="656">
        <v>40.5</v>
      </c>
      <c r="F228" s="656">
        <v>40.5</v>
      </c>
      <c r="G228" s="656">
        <v>40.5</v>
      </c>
      <c r="H228" s="656">
        <v>81</v>
      </c>
      <c r="I228" s="656">
        <v>121.5</v>
      </c>
      <c r="J228" s="565">
        <v>1470.433</v>
      </c>
      <c r="K228" s="565">
        <v>2272.4870000000001</v>
      </c>
      <c r="L228" s="565">
        <v>3609.2440000000001</v>
      </c>
      <c r="M228" s="565">
        <v>6015.4070000000002</v>
      </c>
      <c r="N228" s="565">
        <v>9892.0030000000006</v>
      </c>
      <c r="O228" s="565">
        <v>16442.113000000001</v>
      </c>
      <c r="Q228" s="776"/>
      <c r="R228" s="655" t="s">
        <v>89</v>
      </c>
      <c r="S228" s="656">
        <v>2884.1</v>
      </c>
      <c r="T228" s="656">
        <v>4429.1000000000004</v>
      </c>
      <c r="U228" s="656">
        <v>850.80000000000064</v>
      </c>
      <c r="V228" s="656">
        <v>2440.6999999999998</v>
      </c>
      <c r="W228" s="656">
        <v>3817.5</v>
      </c>
      <c r="X228" s="656">
        <v>3946.8999999999978</v>
      </c>
      <c r="Y228" s="565">
        <v>3446.0999999999985</v>
      </c>
      <c r="Z228" s="565">
        <v>3870.4000000000015</v>
      </c>
      <c r="AA228" s="565">
        <v>4350.5</v>
      </c>
      <c r="AB228" s="565">
        <v>5806.7</v>
      </c>
      <c r="AC228" s="565"/>
      <c r="AD228" s="565"/>
      <c r="AF228" s="776"/>
      <c r="AG228" s="655" t="s">
        <v>89</v>
      </c>
      <c r="AH228" s="656">
        <v>2884.1</v>
      </c>
      <c r="AI228" s="656">
        <v>7313.2000000000007</v>
      </c>
      <c r="AJ228" s="656">
        <v>8164.0000000000018</v>
      </c>
      <c r="AK228" s="656">
        <v>10604.7</v>
      </c>
      <c r="AL228" s="656">
        <v>14422.2</v>
      </c>
      <c r="AM228" s="656">
        <v>18369.099999999999</v>
      </c>
      <c r="AN228" s="565">
        <v>21815.199999999997</v>
      </c>
      <c r="AO228" s="565">
        <v>25685.599999999999</v>
      </c>
      <c r="AP228" s="565">
        <v>30036.1</v>
      </c>
      <c r="AQ228" s="565">
        <v>35842.799999999996</v>
      </c>
      <c r="AR228" s="565">
        <v>0</v>
      </c>
      <c r="AS228" s="565">
        <v>0</v>
      </c>
    </row>
    <row r="229" spans="1:47" ht="16.5">
      <c r="A229"/>
      <c r="B229" s="777"/>
      <c r="C229" s="658" t="s">
        <v>90</v>
      </c>
      <c r="D229" s="659">
        <v>121.5</v>
      </c>
      <c r="E229" s="659">
        <v>162</v>
      </c>
      <c r="F229" s="659">
        <v>162</v>
      </c>
      <c r="G229" s="659">
        <v>162</v>
      </c>
      <c r="H229" s="659">
        <v>324</v>
      </c>
      <c r="I229" s="659">
        <v>567</v>
      </c>
      <c r="J229" s="659">
        <v>5079.6769999999997</v>
      </c>
      <c r="K229" s="659">
        <v>8154.2190000000001</v>
      </c>
      <c r="L229" s="659">
        <v>13233.896000000001</v>
      </c>
      <c r="M229" s="659">
        <v>21521.791000000001</v>
      </c>
      <c r="N229" s="659">
        <v>35557.740000000005</v>
      </c>
      <c r="O229" s="659">
        <v>58950.990000000005</v>
      </c>
      <c r="Q229" s="777"/>
      <c r="R229" s="658" t="s">
        <v>90</v>
      </c>
      <c r="S229" s="659">
        <v>12084.1</v>
      </c>
      <c r="T229" s="659">
        <v>11565.400000000001</v>
      </c>
      <c r="U229" s="659">
        <v>1979.000000000003</v>
      </c>
      <c r="V229" s="659">
        <v>3967.2</v>
      </c>
      <c r="W229" s="659">
        <v>6730.0000000000018</v>
      </c>
      <c r="X229" s="659">
        <v>6072.0999999999976</v>
      </c>
      <c r="Y229" s="659">
        <v>7393.0999999999976</v>
      </c>
      <c r="Z229" s="659">
        <v>6875.4000000000005</v>
      </c>
      <c r="AA229" s="659">
        <v>7339.3999999999987</v>
      </c>
      <c r="AB229" s="659">
        <v>10412</v>
      </c>
      <c r="AC229" s="659">
        <v>0</v>
      </c>
      <c r="AD229" s="659">
        <v>0</v>
      </c>
      <c r="AF229" s="777"/>
      <c r="AG229" s="658" t="s">
        <v>90</v>
      </c>
      <c r="AH229" s="659">
        <v>12084.1</v>
      </c>
      <c r="AI229" s="659">
        <v>23649.5</v>
      </c>
      <c r="AJ229" s="659">
        <v>25628.500000000007</v>
      </c>
      <c r="AK229" s="659">
        <v>29595.700000000004</v>
      </c>
      <c r="AL229" s="659">
        <v>36325.700000000004</v>
      </c>
      <c r="AM229" s="659">
        <v>42397.8</v>
      </c>
      <c r="AN229" s="594">
        <v>49790.899999999994</v>
      </c>
      <c r="AO229" s="594">
        <v>56666.3</v>
      </c>
      <c r="AP229" s="594">
        <v>64005.7</v>
      </c>
      <c r="AQ229" s="594">
        <v>74417.7</v>
      </c>
      <c r="AR229" s="594">
        <v>0</v>
      </c>
      <c r="AS229" s="594">
        <v>0</v>
      </c>
    </row>
    <row r="230" spans="1:47" ht="16.5">
      <c r="A230"/>
      <c r="B230" s="316"/>
      <c r="C230" s="705"/>
      <c r="D230" s="706"/>
      <c r="E230" s="706"/>
      <c r="F230" s="706"/>
      <c r="G230" s="706"/>
      <c r="H230" s="706"/>
      <c r="I230" s="706"/>
      <c r="J230" s="706"/>
      <c r="K230" s="706"/>
      <c r="L230" s="706"/>
      <c r="M230" s="706"/>
      <c r="N230" s="706"/>
      <c r="O230" s="706"/>
      <c r="Q230" s="316"/>
      <c r="R230" s="705"/>
      <c r="S230" s="706"/>
      <c r="T230" s="706"/>
      <c r="U230" s="706"/>
      <c r="V230" s="706"/>
      <c r="W230" s="706"/>
      <c r="X230" s="706"/>
      <c r="Y230" s="706"/>
      <c r="Z230" s="706"/>
      <c r="AA230" s="706"/>
      <c r="AB230" s="706"/>
      <c r="AC230" s="706"/>
      <c r="AD230" s="706"/>
      <c r="AF230" s="316"/>
      <c r="AG230" s="705"/>
      <c r="AH230" s="706"/>
      <c r="AI230" s="706"/>
      <c r="AJ230" s="706"/>
      <c r="AK230" s="706"/>
      <c r="AL230" s="706"/>
      <c r="AM230" s="706"/>
      <c r="AN230" s="707"/>
      <c r="AO230" s="707"/>
      <c r="AP230" s="707"/>
      <c r="AQ230" s="707"/>
      <c r="AR230" s="707"/>
      <c r="AS230" s="707"/>
    </row>
    <row r="231" spans="1:47">
      <c r="B231" s="21" t="s">
        <v>214</v>
      </c>
      <c r="D231" s="105"/>
      <c r="E231" s="105"/>
      <c r="F231" s="105"/>
      <c r="G231" s="105"/>
      <c r="H231" s="105"/>
      <c r="I231" s="105"/>
      <c r="J231" s="105"/>
      <c r="K231" s="105"/>
      <c r="L231" s="105"/>
      <c r="M231" s="105"/>
      <c r="N231" s="105"/>
      <c r="O231" s="105"/>
      <c r="S231" s="577"/>
      <c r="T231" s="577"/>
      <c r="U231" s="577"/>
      <c r="V231" s="577"/>
      <c r="W231" s="577"/>
      <c r="X231" s="577"/>
      <c r="Y231" s="577"/>
      <c r="Z231" s="577"/>
      <c r="AA231" s="577"/>
      <c r="AB231" s="577"/>
      <c r="AC231" s="577"/>
      <c r="AD231" s="577"/>
      <c r="AH231" s="577"/>
      <c r="AI231" s="577"/>
      <c r="AJ231" s="577"/>
      <c r="AK231" s="577"/>
      <c r="AL231" s="577"/>
      <c r="AM231" s="577"/>
      <c r="AN231" s="577"/>
      <c r="AO231" s="577"/>
      <c r="AP231" s="577"/>
      <c r="AQ231" s="577"/>
      <c r="AR231" s="577"/>
      <c r="AS231" s="577"/>
      <c r="AU231"/>
    </row>
    <row r="232" spans="1:47">
      <c r="B232" s="21" t="s">
        <v>100</v>
      </c>
      <c r="D232" s="105"/>
      <c r="E232" s="105"/>
      <c r="F232" s="105"/>
      <c r="G232" s="105"/>
      <c r="H232" s="105"/>
      <c r="I232" s="105"/>
      <c r="J232" s="105"/>
      <c r="K232" s="105"/>
      <c r="L232" s="105"/>
      <c r="M232" s="105"/>
      <c r="N232" s="105"/>
      <c r="O232" s="105"/>
      <c r="Q232" t="s">
        <v>126</v>
      </c>
      <c r="S232" s="577"/>
      <c r="T232" s="577"/>
      <c r="U232" s="577"/>
      <c r="V232" s="577"/>
      <c r="W232" s="577"/>
      <c r="X232" s="577"/>
      <c r="Y232" s="577"/>
      <c r="Z232" s="577"/>
      <c r="AA232" s="577"/>
      <c r="AB232" s="577"/>
      <c r="AC232" s="577"/>
      <c r="AD232" s="577"/>
      <c r="AF232" t="s">
        <v>127</v>
      </c>
      <c r="AH232" s="577"/>
      <c r="AI232" s="577"/>
      <c r="AJ232" s="577"/>
      <c r="AK232" s="577"/>
      <c r="AL232" s="577"/>
      <c r="AM232" s="577"/>
      <c r="AN232" s="577"/>
      <c r="AO232" s="577"/>
      <c r="AP232" s="577"/>
      <c r="AQ232" s="577"/>
      <c r="AR232" s="577"/>
      <c r="AS232" s="577"/>
      <c r="AU232"/>
    </row>
    <row r="233" spans="1:47">
      <c r="A233"/>
      <c r="B233" s="752" t="s">
        <v>72</v>
      </c>
      <c r="C233" s="752"/>
      <c r="D233" s="552" t="s">
        <v>74</v>
      </c>
      <c r="E233" s="552" t="s">
        <v>75</v>
      </c>
      <c r="F233" s="552" t="s">
        <v>76</v>
      </c>
      <c r="G233" s="552" t="s">
        <v>77</v>
      </c>
      <c r="H233" s="552" t="s">
        <v>78</v>
      </c>
      <c r="I233" s="552" t="s">
        <v>79</v>
      </c>
      <c r="J233" s="552" t="s">
        <v>80</v>
      </c>
      <c r="K233" s="552" t="s">
        <v>81</v>
      </c>
      <c r="L233" s="552" t="s">
        <v>82</v>
      </c>
      <c r="M233" s="552" t="s">
        <v>83</v>
      </c>
      <c r="N233" s="552" t="s">
        <v>84</v>
      </c>
      <c r="O233" s="552" t="s">
        <v>85</v>
      </c>
      <c r="Q233" s="752" t="s">
        <v>72</v>
      </c>
      <c r="R233" s="752"/>
      <c r="S233" s="552" t="s">
        <v>74</v>
      </c>
      <c r="T233" s="552" t="s">
        <v>75</v>
      </c>
      <c r="U233" s="552" t="s">
        <v>76</v>
      </c>
      <c r="V233" s="552" t="s">
        <v>77</v>
      </c>
      <c r="W233" s="552" t="s">
        <v>78</v>
      </c>
      <c r="X233" s="552" t="s">
        <v>79</v>
      </c>
      <c r="Y233" s="552" t="s">
        <v>80</v>
      </c>
      <c r="Z233" s="552" t="s">
        <v>81</v>
      </c>
      <c r="AA233" s="552" t="s">
        <v>82</v>
      </c>
      <c r="AB233" s="552" t="s">
        <v>83</v>
      </c>
      <c r="AC233" s="552" t="s">
        <v>84</v>
      </c>
      <c r="AD233" s="552" t="s">
        <v>85</v>
      </c>
      <c r="AF233" s="752" t="s">
        <v>72</v>
      </c>
      <c r="AG233" s="752"/>
      <c r="AH233" s="552" t="s">
        <v>74</v>
      </c>
      <c r="AI233" s="552" t="s">
        <v>75</v>
      </c>
      <c r="AJ233" s="552" t="s">
        <v>76</v>
      </c>
      <c r="AK233" s="552" t="s">
        <v>77</v>
      </c>
      <c r="AL233" s="552" t="s">
        <v>78</v>
      </c>
      <c r="AM233" s="552" t="s">
        <v>79</v>
      </c>
      <c r="AN233" s="552" t="s">
        <v>80</v>
      </c>
      <c r="AO233" s="552" t="s">
        <v>81</v>
      </c>
      <c r="AP233" s="552" t="s">
        <v>82</v>
      </c>
      <c r="AQ233" s="552" t="s">
        <v>83</v>
      </c>
      <c r="AR233" s="552" t="s">
        <v>84</v>
      </c>
      <c r="AS233" s="552" t="s">
        <v>85</v>
      </c>
    </row>
    <row r="234" spans="1:47">
      <c r="A234"/>
      <c r="B234" s="557" t="s">
        <v>128</v>
      </c>
      <c r="C234" s="402" t="s">
        <v>215</v>
      </c>
      <c r="D234" s="599">
        <v>2110</v>
      </c>
      <c r="E234" s="599">
        <v>2110</v>
      </c>
      <c r="F234" s="599">
        <v>2110</v>
      </c>
      <c r="G234" s="599">
        <v>2110</v>
      </c>
      <c r="H234" s="599">
        <v>2110</v>
      </c>
      <c r="I234" s="599">
        <v>2110</v>
      </c>
      <c r="J234" s="599">
        <v>2110</v>
      </c>
      <c r="K234" s="599">
        <v>2110</v>
      </c>
      <c r="L234" s="599">
        <v>2110</v>
      </c>
      <c r="M234" s="599">
        <v>2110</v>
      </c>
      <c r="N234" s="599">
        <v>2110</v>
      </c>
      <c r="O234" s="599">
        <v>2110</v>
      </c>
      <c r="Q234" s="557" t="s">
        <v>128</v>
      </c>
      <c r="R234" s="402" t="s">
        <v>215</v>
      </c>
      <c r="S234" s="601">
        <v>3556</v>
      </c>
      <c r="T234" s="601">
        <v>2966</v>
      </c>
      <c r="U234" s="601">
        <v>4272</v>
      </c>
      <c r="V234" s="601">
        <v>2474</v>
      </c>
      <c r="W234" s="601">
        <v>2683</v>
      </c>
      <c r="X234" s="601">
        <v>2782</v>
      </c>
      <c r="Y234" s="601">
        <v>2842</v>
      </c>
      <c r="Z234" s="601">
        <v>2842</v>
      </c>
      <c r="AA234" s="601">
        <v>2619</v>
      </c>
      <c r="AB234" s="601">
        <v>2583</v>
      </c>
      <c r="AC234" s="601"/>
      <c r="AD234" s="601"/>
      <c r="AF234" s="557" t="s">
        <v>128</v>
      </c>
      <c r="AG234" s="402" t="s">
        <v>215</v>
      </c>
      <c r="AH234" s="601">
        <v>3556</v>
      </c>
      <c r="AI234" s="601">
        <v>3261</v>
      </c>
      <c r="AJ234" s="601">
        <v>3619</v>
      </c>
      <c r="AK234" s="601">
        <v>3317</v>
      </c>
      <c r="AL234" s="601">
        <v>3190.2</v>
      </c>
      <c r="AM234" s="601">
        <v>3122.1666666666665</v>
      </c>
      <c r="AN234" s="601">
        <v>3082.1428571428573</v>
      </c>
      <c r="AO234" s="601">
        <v>3052.125</v>
      </c>
      <c r="AP234" s="601">
        <v>3004</v>
      </c>
      <c r="AQ234" s="601">
        <v>2961.9</v>
      </c>
      <c r="AR234" s="601">
        <v>2961.9</v>
      </c>
      <c r="AS234" s="601">
        <v>2961.9</v>
      </c>
    </row>
    <row r="235" spans="1:47">
      <c r="A235"/>
      <c r="B235" s="557" t="s">
        <v>87</v>
      </c>
      <c r="C235" s="402" t="s">
        <v>215</v>
      </c>
      <c r="D235" s="599">
        <v>1449</v>
      </c>
      <c r="E235" s="599">
        <v>1449</v>
      </c>
      <c r="F235" s="599">
        <v>1449</v>
      </c>
      <c r="G235" s="599">
        <v>1449</v>
      </c>
      <c r="H235" s="599">
        <v>1449</v>
      </c>
      <c r="I235" s="599">
        <v>1449</v>
      </c>
      <c r="J235" s="599">
        <v>1449</v>
      </c>
      <c r="K235" s="599">
        <v>1449</v>
      </c>
      <c r="L235" s="599">
        <v>1449</v>
      </c>
      <c r="M235" s="599">
        <v>1449</v>
      </c>
      <c r="N235" s="599">
        <v>1449</v>
      </c>
      <c r="O235" s="599">
        <v>1449</v>
      </c>
      <c r="Q235" s="557" t="s">
        <v>87</v>
      </c>
      <c r="R235" s="402" t="s">
        <v>215</v>
      </c>
      <c r="S235" s="599">
        <v>3652</v>
      </c>
      <c r="T235" s="601">
        <v>2120</v>
      </c>
      <c r="U235" s="601">
        <v>3035</v>
      </c>
      <c r="V235" s="601">
        <v>845</v>
      </c>
      <c r="W235" s="601">
        <v>919</v>
      </c>
      <c r="X235" s="601">
        <v>1476</v>
      </c>
      <c r="Y235" s="601">
        <v>1304</v>
      </c>
      <c r="Z235" s="601">
        <v>1229</v>
      </c>
      <c r="AA235" s="601">
        <v>1398</v>
      </c>
      <c r="AB235" s="601">
        <v>1556</v>
      </c>
      <c r="AC235" s="601"/>
      <c r="AD235" s="601"/>
      <c r="AF235" s="557" t="s">
        <v>87</v>
      </c>
      <c r="AG235" s="402" t="s">
        <v>215</v>
      </c>
      <c r="AH235" s="601">
        <v>3652</v>
      </c>
      <c r="AI235" s="601">
        <v>2886</v>
      </c>
      <c r="AJ235" s="601">
        <v>2577.5</v>
      </c>
      <c r="AK235" s="601">
        <v>2413</v>
      </c>
      <c r="AL235" s="601">
        <v>2114.1999999999998</v>
      </c>
      <c r="AM235" s="601">
        <v>2007.8333333333333</v>
      </c>
      <c r="AN235" s="601">
        <v>1907.2857142857142</v>
      </c>
      <c r="AO235" s="601">
        <v>1822.5</v>
      </c>
      <c r="AP235" s="601">
        <v>1775.3333333333333</v>
      </c>
      <c r="AQ235" s="601">
        <v>1753.4</v>
      </c>
      <c r="AR235" s="601">
        <v>1753.4</v>
      </c>
      <c r="AS235" s="601">
        <v>1753.4</v>
      </c>
    </row>
    <row r="236" spans="1:47">
      <c r="A236"/>
      <c r="B236" s="557" t="s">
        <v>88</v>
      </c>
      <c r="C236" s="402" t="s">
        <v>215</v>
      </c>
      <c r="D236" s="599">
        <v>12</v>
      </c>
      <c r="E236" s="599">
        <v>12</v>
      </c>
      <c r="F236" s="599">
        <v>12</v>
      </c>
      <c r="G236" s="599">
        <v>12</v>
      </c>
      <c r="H236" s="599">
        <v>12</v>
      </c>
      <c r="I236" s="599">
        <v>12</v>
      </c>
      <c r="J236" s="599">
        <v>12</v>
      </c>
      <c r="K236" s="599">
        <v>12</v>
      </c>
      <c r="L236" s="599">
        <v>12</v>
      </c>
      <c r="M236" s="599">
        <v>12</v>
      </c>
      <c r="N236" s="599">
        <v>12</v>
      </c>
      <c r="O236" s="599">
        <v>12</v>
      </c>
      <c r="Q236" s="557" t="s">
        <v>88</v>
      </c>
      <c r="R236" s="402" t="s">
        <v>215</v>
      </c>
      <c r="S236" s="600">
        <v>21</v>
      </c>
      <c r="T236" s="599">
        <v>23</v>
      </c>
      <c r="U236" s="599">
        <v>22</v>
      </c>
      <c r="V236" s="599">
        <v>22</v>
      </c>
      <c r="W236" s="599">
        <v>22</v>
      </c>
      <c r="X236" s="599">
        <v>26</v>
      </c>
      <c r="Y236" s="599">
        <v>48</v>
      </c>
      <c r="Z236" s="599">
        <v>74</v>
      </c>
      <c r="AA236" s="599">
        <v>77</v>
      </c>
      <c r="AB236" s="599">
        <v>55</v>
      </c>
      <c r="AC236" s="599"/>
      <c r="AD236" s="599"/>
      <c r="AF236" s="557" t="s">
        <v>88</v>
      </c>
      <c r="AG236" s="402" t="s">
        <v>215</v>
      </c>
      <c r="AH236" s="601">
        <v>21</v>
      </c>
      <c r="AI236" s="601">
        <v>22</v>
      </c>
      <c r="AJ236" s="601">
        <v>22.5</v>
      </c>
      <c r="AK236" s="601">
        <v>22</v>
      </c>
      <c r="AL236" s="601">
        <v>22</v>
      </c>
      <c r="AM236" s="601">
        <v>22.666666666666668</v>
      </c>
      <c r="AN236" s="601">
        <v>26.285714285714285</v>
      </c>
      <c r="AO236" s="601">
        <v>32.25</v>
      </c>
      <c r="AP236" s="601">
        <v>37.222222222222221</v>
      </c>
      <c r="AQ236" s="601">
        <v>39</v>
      </c>
      <c r="AR236" s="601">
        <v>39</v>
      </c>
      <c r="AS236" s="601">
        <v>39</v>
      </c>
    </row>
    <row r="237" spans="1:47">
      <c r="A237"/>
      <c r="B237" s="557" t="s">
        <v>121</v>
      </c>
      <c r="C237" s="402" t="s">
        <v>215</v>
      </c>
      <c r="D237" s="599">
        <v>414</v>
      </c>
      <c r="E237" s="599">
        <v>414</v>
      </c>
      <c r="F237" s="599">
        <v>414</v>
      </c>
      <c r="G237" s="599">
        <v>414</v>
      </c>
      <c r="H237" s="599">
        <v>414</v>
      </c>
      <c r="I237" s="599">
        <v>414</v>
      </c>
      <c r="J237" s="599">
        <v>414</v>
      </c>
      <c r="K237" s="599">
        <v>414</v>
      </c>
      <c r="L237" s="599">
        <v>414</v>
      </c>
      <c r="M237" s="599">
        <v>414</v>
      </c>
      <c r="N237" s="599">
        <v>414</v>
      </c>
      <c r="O237" s="599">
        <v>414</v>
      </c>
      <c r="Q237" s="557" t="s">
        <v>121</v>
      </c>
      <c r="R237" s="402" t="s">
        <v>215</v>
      </c>
      <c r="S237" s="599">
        <v>1084</v>
      </c>
      <c r="T237" s="599">
        <v>488</v>
      </c>
      <c r="U237" s="599">
        <v>682</v>
      </c>
      <c r="V237" s="599">
        <v>495</v>
      </c>
      <c r="W237" s="599">
        <v>522</v>
      </c>
      <c r="X237" s="599">
        <v>540</v>
      </c>
      <c r="Y237" s="599">
        <v>513</v>
      </c>
      <c r="Z237" s="599">
        <v>530</v>
      </c>
      <c r="AA237" s="599">
        <v>541</v>
      </c>
      <c r="AB237" s="599">
        <v>504</v>
      </c>
      <c r="AC237" s="599"/>
      <c r="AD237" s="599"/>
      <c r="AF237" s="557" t="s">
        <v>121</v>
      </c>
      <c r="AG237" s="402" t="s">
        <v>215</v>
      </c>
      <c r="AH237" s="601">
        <v>1084</v>
      </c>
      <c r="AI237" s="601">
        <v>786</v>
      </c>
      <c r="AJ237" s="601">
        <v>585</v>
      </c>
      <c r="AK237" s="601">
        <v>687.25</v>
      </c>
      <c r="AL237" s="601">
        <v>654.20000000000005</v>
      </c>
      <c r="AM237" s="601">
        <v>635.16666666666663</v>
      </c>
      <c r="AN237" s="601">
        <v>617.71428571428567</v>
      </c>
      <c r="AO237" s="601">
        <v>606.75</v>
      </c>
      <c r="AP237" s="601">
        <v>599.44444444444446</v>
      </c>
      <c r="AQ237" s="601">
        <v>589.9</v>
      </c>
      <c r="AR237" s="601">
        <v>589.9</v>
      </c>
      <c r="AS237" s="601">
        <v>589.9</v>
      </c>
    </row>
    <row r="238" spans="1:47">
      <c r="A238"/>
      <c r="B238" s="557" t="s">
        <v>89</v>
      </c>
      <c r="C238" s="402" t="s">
        <v>215</v>
      </c>
      <c r="D238" s="599">
        <v>743</v>
      </c>
      <c r="E238" s="599">
        <v>743</v>
      </c>
      <c r="F238" s="599">
        <v>743</v>
      </c>
      <c r="G238" s="599">
        <v>743</v>
      </c>
      <c r="H238" s="599">
        <v>743</v>
      </c>
      <c r="I238" s="599">
        <v>743</v>
      </c>
      <c r="J238" s="599">
        <v>743</v>
      </c>
      <c r="K238" s="599">
        <v>743</v>
      </c>
      <c r="L238" s="599">
        <v>743</v>
      </c>
      <c r="M238" s="599">
        <v>743</v>
      </c>
      <c r="N238" s="599">
        <v>743</v>
      </c>
      <c r="O238" s="599">
        <v>743</v>
      </c>
      <c r="Q238" s="557" t="s">
        <v>89</v>
      </c>
      <c r="R238" s="402" t="s">
        <v>215</v>
      </c>
      <c r="S238" s="599">
        <v>2044</v>
      </c>
      <c r="T238" s="599">
        <v>1596</v>
      </c>
      <c r="U238" s="599">
        <v>2918</v>
      </c>
      <c r="V238" s="599">
        <v>526</v>
      </c>
      <c r="W238" s="599">
        <v>974</v>
      </c>
      <c r="X238" s="599">
        <v>1255</v>
      </c>
      <c r="Y238" s="599">
        <v>763</v>
      </c>
      <c r="Z238" s="599">
        <v>701</v>
      </c>
      <c r="AA238" s="599">
        <v>944</v>
      </c>
      <c r="AB238" s="599">
        <v>834</v>
      </c>
      <c r="AC238" s="599"/>
      <c r="AD238" s="599"/>
      <c r="AF238" s="557" t="s">
        <v>89</v>
      </c>
      <c r="AG238" s="402" t="s">
        <v>215</v>
      </c>
      <c r="AH238" s="601">
        <v>2044</v>
      </c>
      <c r="AI238" s="601">
        <v>1820</v>
      </c>
      <c r="AJ238" s="601">
        <v>2257</v>
      </c>
      <c r="AK238" s="601">
        <v>1771</v>
      </c>
      <c r="AL238" s="601">
        <v>1611.6</v>
      </c>
      <c r="AM238" s="601">
        <v>1552.1666666666667</v>
      </c>
      <c r="AN238" s="601">
        <v>1439.4285714285713</v>
      </c>
      <c r="AO238" s="601">
        <v>1347.125</v>
      </c>
      <c r="AP238" s="601">
        <v>1302.3333333333333</v>
      </c>
      <c r="AQ238" s="601">
        <v>1255.5</v>
      </c>
      <c r="AR238" s="601">
        <v>1255.5</v>
      </c>
      <c r="AS238" s="601">
        <v>1255.5</v>
      </c>
    </row>
    <row r="239" spans="1:47">
      <c r="A239"/>
      <c r="B239" s="557" t="s">
        <v>90</v>
      </c>
      <c r="C239" s="402" t="s">
        <v>215</v>
      </c>
      <c r="D239" s="599">
        <v>4728</v>
      </c>
      <c r="E239" s="599">
        <v>4728</v>
      </c>
      <c r="F239" s="599">
        <v>4728</v>
      </c>
      <c r="G239" s="599">
        <v>4728</v>
      </c>
      <c r="H239" s="599">
        <v>4728</v>
      </c>
      <c r="I239" s="599">
        <v>4728</v>
      </c>
      <c r="J239" s="599">
        <v>4728</v>
      </c>
      <c r="K239" s="599">
        <v>4728</v>
      </c>
      <c r="L239" s="599">
        <v>4728</v>
      </c>
      <c r="M239" s="599">
        <v>4728</v>
      </c>
      <c r="N239" s="599">
        <v>4728</v>
      </c>
      <c r="O239" s="599">
        <v>4728</v>
      </c>
      <c r="Q239" s="557" t="s">
        <v>90</v>
      </c>
      <c r="R239" s="402" t="s">
        <v>215</v>
      </c>
      <c r="S239" s="599">
        <v>10357</v>
      </c>
      <c r="T239" s="599">
        <v>7193</v>
      </c>
      <c r="U239" s="599">
        <v>10929</v>
      </c>
      <c r="V239" s="599">
        <v>4362</v>
      </c>
      <c r="W239" s="599">
        <v>5120</v>
      </c>
      <c r="X239" s="599">
        <v>6079</v>
      </c>
      <c r="Y239" s="599">
        <v>5470</v>
      </c>
      <c r="Z239" s="599">
        <v>5376</v>
      </c>
      <c r="AA239" s="599">
        <v>5579</v>
      </c>
      <c r="AB239" s="599">
        <v>5532</v>
      </c>
      <c r="AC239" s="599">
        <v>0</v>
      </c>
      <c r="AD239" s="599">
        <v>0</v>
      </c>
      <c r="AF239" s="557" t="s">
        <v>90</v>
      </c>
      <c r="AG239" s="402" t="s">
        <v>215</v>
      </c>
      <c r="AH239" s="601">
        <v>10357</v>
      </c>
      <c r="AI239" s="601">
        <v>8775</v>
      </c>
      <c r="AJ239" s="601">
        <v>9061</v>
      </c>
      <c r="AK239" s="601">
        <v>8210.25</v>
      </c>
      <c r="AL239" s="601">
        <v>7592.2</v>
      </c>
      <c r="AM239" s="601">
        <v>7340</v>
      </c>
      <c r="AN239" s="601">
        <v>5470</v>
      </c>
      <c r="AO239" s="601">
        <v>5376</v>
      </c>
      <c r="AP239" s="601">
        <v>5579</v>
      </c>
      <c r="AQ239" s="601">
        <v>5532</v>
      </c>
      <c r="AR239" s="601">
        <v>0</v>
      </c>
      <c r="AS239" s="601">
        <v>0</v>
      </c>
    </row>
    <row r="240" spans="1:47">
      <c r="A240"/>
      <c r="B240" s="264"/>
      <c r="D240" s="708"/>
      <c r="E240" s="708"/>
      <c r="F240" s="708"/>
      <c r="G240" s="708"/>
      <c r="H240" s="708"/>
      <c r="I240" s="708"/>
      <c r="J240" s="708"/>
      <c r="K240" s="708"/>
      <c r="L240" s="708"/>
      <c r="M240" s="708"/>
      <c r="N240" s="708"/>
      <c r="O240" s="708"/>
      <c r="Q240" s="264"/>
      <c r="S240" s="586"/>
      <c r="T240" s="586"/>
      <c r="U240" s="586"/>
      <c r="V240" s="586"/>
      <c r="W240" s="586"/>
      <c r="X240" s="586"/>
      <c r="Y240" s="586"/>
      <c r="Z240" s="586"/>
      <c r="AA240" s="586"/>
      <c r="AB240" s="586"/>
      <c r="AC240" s="586"/>
      <c r="AD240" s="586"/>
      <c r="AF240" s="264"/>
      <c r="AH240" s="709"/>
      <c r="AI240" s="709"/>
      <c r="AJ240" s="709"/>
      <c r="AK240" s="709"/>
      <c r="AL240" s="709"/>
      <c r="AM240" s="709"/>
      <c r="AN240" s="709"/>
      <c r="AO240" s="709"/>
      <c r="AP240" s="709"/>
      <c r="AQ240" s="709"/>
      <c r="AR240" s="709"/>
      <c r="AS240" s="709"/>
    </row>
    <row r="241" spans="2:45">
      <c r="B241" s="687" t="s">
        <v>216</v>
      </c>
      <c r="D241" s="105"/>
      <c r="E241" s="105"/>
      <c r="F241" s="105"/>
      <c r="G241" s="105"/>
      <c r="H241" s="105"/>
      <c r="I241" s="105"/>
      <c r="J241" s="105"/>
      <c r="K241" s="105"/>
      <c r="L241" s="105"/>
      <c r="M241" s="105"/>
      <c r="N241" s="105"/>
      <c r="O241" s="105"/>
      <c r="Q241" s="181" t="s">
        <v>216</v>
      </c>
      <c r="S241" s="105"/>
      <c r="T241" s="105"/>
      <c r="U241" s="105"/>
      <c r="V241" s="105"/>
      <c r="W241" s="105"/>
      <c r="X241" s="105"/>
      <c r="Y241" s="105"/>
      <c r="Z241" s="105"/>
      <c r="AA241" s="105"/>
      <c r="AB241" s="105"/>
      <c r="AC241" s="105"/>
      <c r="AD241" s="105"/>
      <c r="AF241" s="181" t="s">
        <v>216</v>
      </c>
      <c r="AH241" s="105"/>
      <c r="AI241" s="105"/>
      <c r="AJ241" s="105"/>
      <c r="AK241" s="105"/>
      <c r="AL241" s="105"/>
      <c r="AM241" s="105"/>
      <c r="AN241" s="105"/>
      <c r="AO241" s="105"/>
      <c r="AP241" s="105"/>
      <c r="AQ241" s="105"/>
      <c r="AR241" s="105"/>
      <c r="AS241" s="105"/>
    </row>
    <row r="242" spans="2:45">
      <c r="B242" s="21" t="s">
        <v>100</v>
      </c>
      <c r="D242" s="105"/>
      <c r="E242" s="105"/>
      <c r="F242" s="105"/>
      <c r="G242" s="105"/>
      <c r="H242" s="105"/>
      <c r="I242" s="105"/>
      <c r="J242" s="105"/>
      <c r="K242" s="105"/>
      <c r="L242" s="105"/>
      <c r="M242" s="105"/>
      <c r="N242" s="105"/>
      <c r="O242" s="105"/>
      <c r="Q242" t="s">
        <v>126</v>
      </c>
      <c r="S242" s="105"/>
      <c r="T242" s="105"/>
      <c r="U242" s="105"/>
      <c r="V242" s="105"/>
      <c r="W242" s="105"/>
      <c r="X242" s="105"/>
      <c r="Y242" s="105"/>
      <c r="Z242" s="105"/>
      <c r="AA242" s="105"/>
      <c r="AB242" s="105"/>
      <c r="AC242" s="105"/>
      <c r="AD242" s="105"/>
      <c r="AF242" t="s">
        <v>181</v>
      </c>
      <c r="AH242" s="105"/>
      <c r="AI242" s="105"/>
      <c r="AJ242" s="105"/>
      <c r="AK242" s="105"/>
      <c r="AL242" s="105"/>
      <c r="AM242" s="105"/>
      <c r="AN242" s="105"/>
      <c r="AO242" s="105"/>
      <c r="AP242" s="105"/>
      <c r="AQ242" s="105"/>
      <c r="AR242" s="105"/>
      <c r="AS242" s="105"/>
    </row>
    <row r="243" spans="2:45">
      <c r="B243" s="752" t="s">
        <v>72</v>
      </c>
      <c r="C243" s="752"/>
      <c r="D243" s="552" t="s">
        <v>74</v>
      </c>
      <c r="E243" s="552" t="s">
        <v>75</v>
      </c>
      <c r="F243" s="552" t="s">
        <v>76</v>
      </c>
      <c r="G243" s="552" t="s">
        <v>77</v>
      </c>
      <c r="H243" s="552" t="s">
        <v>78</v>
      </c>
      <c r="I243" s="552" t="s">
        <v>79</v>
      </c>
      <c r="J243" s="552" t="s">
        <v>80</v>
      </c>
      <c r="K243" s="552" t="s">
        <v>81</v>
      </c>
      <c r="L243" s="552" t="s">
        <v>82</v>
      </c>
      <c r="M243" s="552" t="s">
        <v>83</v>
      </c>
      <c r="N243" s="552" t="s">
        <v>84</v>
      </c>
      <c r="O243" s="552" t="s">
        <v>85</v>
      </c>
      <c r="Q243" s="752" t="s">
        <v>72</v>
      </c>
      <c r="R243" s="752"/>
      <c r="S243" s="552" t="s">
        <v>74</v>
      </c>
      <c r="T243" s="552" t="s">
        <v>75</v>
      </c>
      <c r="U243" s="552" t="s">
        <v>76</v>
      </c>
      <c r="V243" s="552" t="s">
        <v>77</v>
      </c>
      <c r="W243" s="552" t="s">
        <v>78</v>
      </c>
      <c r="X243" s="552" t="s">
        <v>79</v>
      </c>
      <c r="Y243" s="552" t="s">
        <v>80</v>
      </c>
      <c r="Z243" s="552" t="s">
        <v>81</v>
      </c>
      <c r="AA243" s="552" t="s">
        <v>82</v>
      </c>
      <c r="AB243" s="552" t="s">
        <v>83</v>
      </c>
      <c r="AC243" s="552" t="s">
        <v>84</v>
      </c>
      <c r="AD243" s="552" t="s">
        <v>85</v>
      </c>
      <c r="AF243" s="752" t="s">
        <v>72</v>
      </c>
      <c r="AG243" s="752"/>
      <c r="AH243" s="552" t="s">
        <v>74</v>
      </c>
      <c r="AI243" s="552" t="s">
        <v>75</v>
      </c>
      <c r="AJ243" s="552" t="s">
        <v>76</v>
      </c>
      <c r="AK243" s="552" t="s">
        <v>77</v>
      </c>
      <c r="AL243" s="552" t="s">
        <v>78</v>
      </c>
      <c r="AM243" s="552" t="s">
        <v>79</v>
      </c>
      <c r="AN243" s="552" t="s">
        <v>80</v>
      </c>
      <c r="AO243" s="552" t="s">
        <v>81</v>
      </c>
      <c r="AP243" s="552" t="s">
        <v>82</v>
      </c>
      <c r="AQ243" s="552" t="s">
        <v>83</v>
      </c>
      <c r="AR243" s="552" t="s">
        <v>84</v>
      </c>
      <c r="AS243" s="552" t="s">
        <v>85</v>
      </c>
    </row>
    <row r="244" spans="2:45">
      <c r="B244" s="763" t="s">
        <v>128</v>
      </c>
      <c r="C244" s="402" t="s">
        <v>217</v>
      </c>
      <c r="D244" s="564"/>
      <c r="E244" s="564"/>
      <c r="F244" s="564"/>
      <c r="G244" s="564"/>
      <c r="H244" s="564"/>
      <c r="I244" s="564"/>
      <c r="J244" s="564"/>
      <c r="K244" s="564"/>
      <c r="L244" s="564"/>
      <c r="M244" s="564"/>
      <c r="N244" s="564"/>
      <c r="O244" s="564"/>
      <c r="Q244" s="763" t="s">
        <v>128</v>
      </c>
      <c r="R244" s="402" t="s">
        <v>217</v>
      </c>
      <c r="S244" s="601"/>
      <c r="T244" s="601"/>
      <c r="U244" s="601"/>
      <c r="V244" s="601"/>
      <c r="W244" s="601"/>
      <c r="X244" s="601"/>
      <c r="Y244" s="601"/>
      <c r="Z244" s="601"/>
      <c r="AA244" s="601"/>
      <c r="AB244" s="601"/>
      <c r="AC244" s="601"/>
      <c r="AD244" s="601"/>
      <c r="AF244" s="763" t="s">
        <v>128</v>
      </c>
      <c r="AG244" s="402" t="s">
        <v>217</v>
      </c>
      <c r="AH244" s="601"/>
      <c r="AI244" s="601"/>
      <c r="AJ244" s="601"/>
      <c r="AK244" s="601"/>
      <c r="AL244" s="601"/>
      <c r="AM244" s="601"/>
      <c r="AN244" s="601"/>
      <c r="AO244" s="601"/>
      <c r="AP244" s="601"/>
      <c r="AQ244" s="601"/>
      <c r="AR244" s="601"/>
      <c r="AS244" s="601"/>
    </row>
    <row r="245" spans="2:45">
      <c r="B245" s="763"/>
      <c r="C245" s="402" t="s">
        <v>218</v>
      </c>
      <c r="D245" s="564"/>
      <c r="E245" s="564"/>
      <c r="F245" s="564"/>
      <c r="G245" s="564"/>
      <c r="H245" s="564"/>
      <c r="I245" s="564"/>
      <c r="J245" s="564"/>
      <c r="K245" s="564"/>
      <c r="L245" s="564"/>
      <c r="M245" s="564"/>
      <c r="N245" s="564"/>
      <c r="O245" s="564"/>
      <c r="Q245" s="763"/>
      <c r="R245" s="402" t="s">
        <v>218</v>
      </c>
      <c r="S245" s="601"/>
      <c r="T245" s="601"/>
      <c r="U245" s="601"/>
      <c r="V245" s="601"/>
      <c r="W245" s="601"/>
      <c r="X245" s="601"/>
      <c r="Y245" s="601"/>
      <c r="Z245" s="601"/>
      <c r="AA245" s="601"/>
      <c r="AB245" s="601"/>
      <c r="AC245" s="601"/>
      <c r="AD245" s="601"/>
      <c r="AF245" s="763"/>
      <c r="AG245" s="402" t="s">
        <v>218</v>
      </c>
      <c r="AH245" s="601"/>
      <c r="AI245" s="601"/>
      <c r="AJ245" s="601"/>
      <c r="AK245" s="601"/>
      <c r="AL245" s="601"/>
      <c r="AM245" s="601"/>
      <c r="AN245" s="601"/>
      <c r="AO245" s="601"/>
      <c r="AP245" s="601"/>
      <c r="AQ245" s="601"/>
      <c r="AR245" s="601"/>
      <c r="AS245" s="601"/>
    </row>
    <row r="246" spans="2:45">
      <c r="B246" s="763"/>
      <c r="C246" s="639" t="s">
        <v>219</v>
      </c>
      <c r="D246" s="676">
        <v>100</v>
      </c>
      <c r="E246" s="676">
        <v>100</v>
      </c>
      <c r="F246" s="676">
        <v>100</v>
      </c>
      <c r="G246" s="676">
        <v>100</v>
      </c>
      <c r="H246" s="676">
        <v>100</v>
      </c>
      <c r="I246" s="676">
        <v>100</v>
      </c>
      <c r="J246" s="676">
        <v>100</v>
      </c>
      <c r="K246" s="676">
        <v>100</v>
      </c>
      <c r="L246" s="676">
        <v>100</v>
      </c>
      <c r="M246" s="676">
        <v>100</v>
      </c>
      <c r="N246" s="676">
        <v>100</v>
      </c>
      <c r="O246" s="676">
        <v>100</v>
      </c>
      <c r="Q246" s="763"/>
      <c r="R246" s="670" t="s">
        <v>219</v>
      </c>
      <c r="S246" s="640"/>
      <c r="T246" s="640"/>
      <c r="U246" s="640"/>
      <c r="V246" s="640"/>
      <c r="W246" s="640"/>
      <c r="X246" s="640"/>
      <c r="Y246" s="640"/>
      <c r="Z246" s="640"/>
      <c r="AA246" s="640"/>
      <c r="AB246" s="640"/>
      <c r="AC246" s="640"/>
      <c r="AD246" s="640"/>
      <c r="AF246" s="763"/>
      <c r="AG246" s="670" t="s">
        <v>219</v>
      </c>
      <c r="AH246" s="640">
        <v>100</v>
      </c>
      <c r="AI246" s="640">
        <v>100</v>
      </c>
      <c r="AJ246" s="646">
        <v>100</v>
      </c>
      <c r="AK246" s="646">
        <v>100</v>
      </c>
      <c r="AL246" s="646">
        <v>100</v>
      </c>
      <c r="AM246" s="646">
        <v>100</v>
      </c>
      <c r="AN246" s="646">
        <v>100</v>
      </c>
      <c r="AO246" s="646">
        <v>100</v>
      </c>
      <c r="AP246" s="646">
        <v>100</v>
      </c>
      <c r="AQ246" s="646">
        <v>100</v>
      </c>
      <c r="AR246" s="646">
        <v>100</v>
      </c>
      <c r="AS246" s="646">
        <v>100</v>
      </c>
    </row>
    <row r="247" spans="2:45">
      <c r="B247" s="763" t="s">
        <v>87</v>
      </c>
      <c r="C247" s="402" t="s">
        <v>217</v>
      </c>
      <c r="D247" s="564"/>
      <c r="E247" s="564"/>
      <c r="F247" s="564"/>
      <c r="G247" s="564"/>
      <c r="H247" s="564"/>
      <c r="I247" s="564"/>
      <c r="J247" s="564"/>
      <c r="K247" s="564"/>
      <c r="L247" s="564"/>
      <c r="M247" s="564"/>
      <c r="N247" s="564"/>
      <c r="O247" s="564"/>
      <c r="Q247" s="763" t="s">
        <v>87</v>
      </c>
      <c r="R247" s="402" t="s">
        <v>217</v>
      </c>
      <c r="S247" s="564"/>
      <c r="T247" s="564"/>
      <c r="U247" s="564"/>
      <c r="V247" s="564"/>
      <c r="W247" s="564"/>
      <c r="X247" s="564"/>
      <c r="Y247" s="564"/>
      <c r="Z247" s="564"/>
      <c r="AA247" s="564"/>
      <c r="AB247" s="564"/>
      <c r="AC247" s="564"/>
      <c r="AD247" s="564"/>
      <c r="AF247" s="763" t="s">
        <v>87</v>
      </c>
      <c r="AG247" s="402" t="s">
        <v>217</v>
      </c>
      <c r="AH247" s="564"/>
      <c r="AI247" s="564"/>
      <c r="AJ247" s="601"/>
      <c r="AK247" s="601"/>
      <c r="AL247" s="601"/>
      <c r="AM247" s="601"/>
      <c r="AN247" s="601"/>
      <c r="AO247" s="601"/>
      <c r="AP247" s="601"/>
      <c r="AQ247" s="601"/>
      <c r="AR247" s="601"/>
      <c r="AS247" s="601"/>
    </row>
    <row r="248" spans="2:45">
      <c r="B248" s="763"/>
      <c r="C248" s="402" t="s">
        <v>218</v>
      </c>
      <c r="D248" s="564"/>
      <c r="E248" s="564"/>
      <c r="F248" s="564"/>
      <c r="G248" s="564"/>
      <c r="H248" s="564"/>
      <c r="I248" s="564"/>
      <c r="J248" s="564"/>
      <c r="K248" s="564"/>
      <c r="L248" s="564"/>
      <c r="M248" s="564"/>
      <c r="N248" s="564"/>
      <c r="O248" s="564"/>
      <c r="Q248" s="763"/>
      <c r="R248" s="402" t="s">
        <v>218</v>
      </c>
      <c r="S248" s="564"/>
      <c r="T248" s="564"/>
      <c r="U248" s="564"/>
      <c r="V248" s="564"/>
      <c r="W248" s="564"/>
      <c r="X248" s="564"/>
      <c r="Y248" s="564"/>
      <c r="Z248" s="564"/>
      <c r="AA248" s="564"/>
      <c r="AB248" s="564"/>
      <c r="AC248" s="564"/>
      <c r="AD248" s="564"/>
      <c r="AF248" s="763"/>
      <c r="AG248" s="402" t="s">
        <v>218</v>
      </c>
      <c r="AH248" s="564"/>
      <c r="AI248" s="564"/>
      <c r="AJ248" s="601"/>
      <c r="AK248" s="601"/>
      <c r="AL248" s="601"/>
      <c r="AM248" s="601"/>
      <c r="AN248" s="601"/>
      <c r="AO248" s="601"/>
      <c r="AP248" s="601"/>
      <c r="AQ248" s="601"/>
      <c r="AR248" s="601"/>
      <c r="AS248" s="601"/>
    </row>
    <row r="249" spans="2:45">
      <c r="B249" s="763"/>
      <c r="C249" s="639" t="s">
        <v>219</v>
      </c>
      <c r="D249" s="676">
        <v>100</v>
      </c>
      <c r="E249" s="676">
        <v>100</v>
      </c>
      <c r="F249" s="676">
        <v>100</v>
      </c>
      <c r="G249" s="676">
        <v>100</v>
      </c>
      <c r="H249" s="676">
        <v>100</v>
      </c>
      <c r="I249" s="676">
        <v>100</v>
      </c>
      <c r="J249" s="676">
        <v>100</v>
      </c>
      <c r="K249" s="676">
        <v>100</v>
      </c>
      <c r="L249" s="676">
        <v>100</v>
      </c>
      <c r="M249" s="676">
        <v>100</v>
      </c>
      <c r="N249" s="676">
        <v>100</v>
      </c>
      <c r="O249" s="676">
        <v>100</v>
      </c>
      <c r="Q249" s="763"/>
      <c r="R249" s="670" t="s">
        <v>219</v>
      </c>
      <c r="S249" s="640"/>
      <c r="T249" s="640"/>
      <c r="U249" s="640"/>
      <c r="V249" s="640"/>
      <c r="W249" s="640"/>
      <c r="X249" s="640"/>
      <c r="Y249" s="640"/>
      <c r="Z249" s="640"/>
      <c r="AA249" s="640"/>
      <c r="AB249" s="640"/>
      <c r="AC249" s="640"/>
      <c r="AD249" s="640"/>
      <c r="AF249" s="763"/>
      <c r="AG249" s="670" t="s">
        <v>219</v>
      </c>
      <c r="AH249" s="640">
        <v>100</v>
      </c>
      <c r="AI249" s="640">
        <v>100</v>
      </c>
      <c r="AJ249" s="646">
        <v>100</v>
      </c>
      <c r="AK249" s="646">
        <v>100</v>
      </c>
      <c r="AL249" s="646">
        <v>100</v>
      </c>
      <c r="AM249" s="646">
        <v>100</v>
      </c>
      <c r="AN249" s="646">
        <v>100</v>
      </c>
      <c r="AO249" s="646">
        <v>100</v>
      </c>
      <c r="AP249" s="646">
        <v>100</v>
      </c>
      <c r="AQ249" s="646">
        <v>100</v>
      </c>
      <c r="AR249" s="646">
        <v>100</v>
      </c>
      <c r="AS249" s="646">
        <v>100</v>
      </c>
    </row>
    <row r="250" spans="2:45">
      <c r="B250" s="763" t="s">
        <v>88</v>
      </c>
      <c r="C250" s="402" t="s">
        <v>217</v>
      </c>
      <c r="D250" s="564"/>
      <c r="E250" s="564"/>
      <c r="F250" s="564"/>
      <c r="G250" s="564"/>
      <c r="H250" s="564"/>
      <c r="I250" s="564"/>
      <c r="J250" s="564"/>
      <c r="K250" s="564"/>
      <c r="L250" s="564"/>
      <c r="M250" s="564"/>
      <c r="N250" s="564"/>
      <c r="O250" s="564"/>
      <c r="Q250" s="763" t="s">
        <v>88</v>
      </c>
      <c r="R250" s="402" t="s">
        <v>217</v>
      </c>
      <c r="S250" s="600"/>
      <c r="T250" s="600"/>
      <c r="U250" s="600"/>
      <c r="V250" s="600"/>
      <c r="W250" s="600"/>
      <c r="X250" s="600"/>
      <c r="Y250" s="600"/>
      <c r="Z250" s="600"/>
      <c r="AA250" s="600"/>
      <c r="AB250" s="600"/>
      <c r="AC250" s="600"/>
      <c r="AD250" s="600"/>
      <c r="AF250" s="763" t="s">
        <v>88</v>
      </c>
      <c r="AG250" s="402" t="s">
        <v>217</v>
      </c>
      <c r="AH250" s="600"/>
      <c r="AI250" s="600"/>
      <c r="AJ250" s="601"/>
      <c r="AK250" s="601"/>
      <c r="AL250" s="601"/>
      <c r="AM250" s="601"/>
      <c r="AN250" s="601"/>
      <c r="AO250" s="601"/>
      <c r="AP250" s="601"/>
      <c r="AQ250" s="601"/>
      <c r="AR250" s="601"/>
      <c r="AS250" s="601"/>
    </row>
    <row r="251" spans="2:45">
      <c r="B251" s="763"/>
      <c r="C251" s="402" t="s">
        <v>218</v>
      </c>
      <c r="D251" s="564"/>
      <c r="E251" s="564"/>
      <c r="F251" s="564"/>
      <c r="G251" s="564"/>
      <c r="H251" s="564"/>
      <c r="I251" s="564"/>
      <c r="J251" s="564"/>
      <c r="K251" s="564"/>
      <c r="L251" s="564"/>
      <c r="M251" s="564"/>
      <c r="N251" s="564"/>
      <c r="O251" s="564"/>
      <c r="Q251" s="763"/>
      <c r="R251" s="402" t="s">
        <v>218</v>
      </c>
      <c r="S251" s="600"/>
      <c r="T251" s="600"/>
      <c r="U251" s="600"/>
      <c r="V251" s="600"/>
      <c r="W251" s="600"/>
      <c r="X251" s="600"/>
      <c r="Y251" s="600"/>
      <c r="Z251" s="600"/>
      <c r="AA251" s="600"/>
      <c r="AB251" s="600"/>
      <c r="AC251" s="600"/>
      <c r="AD251" s="600"/>
      <c r="AF251" s="763"/>
      <c r="AG251" s="402" t="s">
        <v>218</v>
      </c>
      <c r="AH251" s="600"/>
      <c r="AI251" s="600"/>
      <c r="AJ251" s="601"/>
      <c r="AK251" s="601"/>
      <c r="AL251" s="601"/>
      <c r="AM251" s="601"/>
      <c r="AN251" s="601"/>
      <c r="AO251" s="601"/>
      <c r="AP251" s="601"/>
      <c r="AQ251" s="601"/>
      <c r="AR251" s="601"/>
      <c r="AS251" s="601"/>
    </row>
    <row r="252" spans="2:45">
      <c r="B252" s="763"/>
      <c r="C252" s="639" t="s">
        <v>219</v>
      </c>
      <c r="D252" s="676">
        <v>100</v>
      </c>
      <c r="E252" s="676">
        <v>100</v>
      </c>
      <c r="F252" s="676">
        <v>100</v>
      </c>
      <c r="G252" s="676">
        <v>100</v>
      </c>
      <c r="H252" s="676">
        <v>100</v>
      </c>
      <c r="I252" s="676">
        <v>100</v>
      </c>
      <c r="J252" s="676">
        <v>100</v>
      </c>
      <c r="K252" s="676">
        <v>100</v>
      </c>
      <c r="L252" s="676">
        <v>100</v>
      </c>
      <c r="M252" s="676">
        <v>100</v>
      </c>
      <c r="N252" s="676">
        <v>100</v>
      </c>
      <c r="O252" s="676">
        <v>100</v>
      </c>
      <c r="Q252" s="763"/>
      <c r="R252" s="670" t="s">
        <v>219</v>
      </c>
      <c r="S252" s="640"/>
      <c r="T252" s="640"/>
      <c r="U252" s="640"/>
      <c r="V252" s="640"/>
      <c r="W252" s="640"/>
      <c r="X252" s="640"/>
      <c r="Y252" s="640"/>
      <c r="Z252" s="640"/>
      <c r="AA252" s="640"/>
      <c r="AB252" s="640"/>
      <c r="AC252" s="640"/>
      <c r="AD252" s="640"/>
      <c r="AF252" s="763"/>
      <c r="AG252" s="670" t="s">
        <v>219</v>
      </c>
      <c r="AH252" s="640">
        <v>100</v>
      </c>
      <c r="AI252" s="640">
        <v>100</v>
      </c>
      <c r="AJ252" s="646">
        <v>100</v>
      </c>
      <c r="AK252" s="646">
        <v>100</v>
      </c>
      <c r="AL252" s="646">
        <v>100</v>
      </c>
      <c r="AM252" s="646">
        <v>100</v>
      </c>
      <c r="AN252" s="646">
        <v>100</v>
      </c>
      <c r="AO252" s="646">
        <v>100</v>
      </c>
      <c r="AP252" s="646">
        <v>100</v>
      </c>
      <c r="AQ252" s="646">
        <v>100</v>
      </c>
      <c r="AR252" s="646">
        <v>100</v>
      </c>
      <c r="AS252" s="646">
        <v>100</v>
      </c>
    </row>
    <row r="253" spans="2:45">
      <c r="B253" s="763" t="s">
        <v>121</v>
      </c>
      <c r="C253" s="402" t="s">
        <v>217</v>
      </c>
      <c r="D253" s="564"/>
      <c r="E253" s="564"/>
      <c r="F253" s="564"/>
      <c r="G253" s="564"/>
      <c r="H253" s="564"/>
      <c r="I253" s="564"/>
      <c r="J253" s="564"/>
      <c r="K253" s="564"/>
      <c r="L253" s="564"/>
      <c r="M253" s="564"/>
      <c r="N253" s="564"/>
      <c r="O253" s="564"/>
      <c r="Q253" s="763" t="s">
        <v>121</v>
      </c>
      <c r="R253" s="402" t="s">
        <v>217</v>
      </c>
      <c r="S253" s="564"/>
      <c r="T253" s="564"/>
      <c r="U253" s="564"/>
      <c r="V253" s="564"/>
      <c r="W253" s="564"/>
      <c r="X253" s="564"/>
      <c r="Y253" s="564"/>
      <c r="Z253" s="564"/>
      <c r="AA253" s="564"/>
      <c r="AB253" s="564"/>
      <c r="AC253" s="564"/>
      <c r="AD253" s="564"/>
      <c r="AF253" s="763" t="s">
        <v>121</v>
      </c>
      <c r="AG253" s="402" t="s">
        <v>217</v>
      </c>
      <c r="AH253" s="564"/>
      <c r="AI253" s="564"/>
      <c r="AJ253" s="601"/>
      <c r="AK253" s="601"/>
      <c r="AL253" s="601"/>
      <c r="AM253" s="601"/>
      <c r="AN253" s="601"/>
      <c r="AO253" s="601"/>
      <c r="AP253" s="601"/>
      <c r="AQ253" s="601"/>
      <c r="AR253" s="601"/>
      <c r="AS253" s="601"/>
    </row>
    <row r="254" spans="2:45">
      <c r="B254" s="763"/>
      <c r="C254" s="402" t="s">
        <v>218</v>
      </c>
      <c r="D254" s="564"/>
      <c r="E254" s="564"/>
      <c r="F254" s="564"/>
      <c r="G254" s="564"/>
      <c r="H254" s="564"/>
      <c r="I254" s="564"/>
      <c r="J254" s="564"/>
      <c r="K254" s="564"/>
      <c r="L254" s="564"/>
      <c r="M254" s="564"/>
      <c r="N254" s="564"/>
      <c r="O254" s="564"/>
      <c r="Q254" s="763"/>
      <c r="R254" s="402" t="s">
        <v>218</v>
      </c>
      <c r="S254" s="674"/>
      <c r="T254" s="564"/>
      <c r="U254" s="564"/>
      <c r="V254" s="564"/>
      <c r="W254" s="564"/>
      <c r="X254" s="564"/>
      <c r="Y254" s="564"/>
      <c r="Z254" s="564"/>
      <c r="AA254" s="564"/>
      <c r="AB254" s="564"/>
      <c r="AC254" s="564"/>
      <c r="AD254" s="564"/>
      <c r="AF254" s="763"/>
      <c r="AG254" s="402" t="s">
        <v>218</v>
      </c>
      <c r="AH254" s="564"/>
      <c r="AI254" s="564"/>
      <c r="AJ254" s="601"/>
      <c r="AK254" s="601"/>
      <c r="AL254" s="601"/>
      <c r="AM254" s="601"/>
      <c r="AN254" s="601"/>
      <c r="AO254" s="601"/>
      <c r="AP254" s="601"/>
      <c r="AQ254" s="601"/>
      <c r="AR254" s="601"/>
      <c r="AS254" s="601"/>
    </row>
    <row r="255" spans="2:45">
      <c r="B255" s="763"/>
      <c r="C255" s="639" t="s">
        <v>219</v>
      </c>
      <c r="D255" s="676">
        <v>100</v>
      </c>
      <c r="E255" s="676">
        <v>100</v>
      </c>
      <c r="F255" s="676">
        <v>100</v>
      </c>
      <c r="G255" s="676">
        <v>100</v>
      </c>
      <c r="H255" s="676">
        <v>100</v>
      </c>
      <c r="I255" s="676">
        <v>100</v>
      </c>
      <c r="J255" s="676">
        <v>100</v>
      </c>
      <c r="K255" s="676">
        <v>100</v>
      </c>
      <c r="L255" s="676">
        <v>100</v>
      </c>
      <c r="M255" s="676">
        <v>100</v>
      </c>
      <c r="N255" s="676">
        <v>100</v>
      </c>
      <c r="O255" s="676">
        <v>100</v>
      </c>
      <c r="Q255" s="763"/>
      <c r="R255" s="670" t="s">
        <v>219</v>
      </c>
      <c r="S255" s="640"/>
      <c r="T255" s="640"/>
      <c r="U255" s="640"/>
      <c r="V255" s="640"/>
      <c r="W255" s="640"/>
      <c r="X255" s="640"/>
      <c r="Y255" s="640"/>
      <c r="Z255" s="640"/>
      <c r="AA255" s="640"/>
      <c r="AB255" s="640"/>
      <c r="AC255" s="640"/>
      <c r="AD255" s="640"/>
      <c r="AF255" s="763"/>
      <c r="AG255" s="670" t="s">
        <v>219</v>
      </c>
      <c r="AH255" s="640">
        <v>100</v>
      </c>
      <c r="AI255" s="640">
        <v>100</v>
      </c>
      <c r="AJ255" s="646">
        <v>100</v>
      </c>
      <c r="AK255" s="646">
        <v>100</v>
      </c>
      <c r="AL255" s="646">
        <v>100</v>
      </c>
      <c r="AM255" s="646">
        <v>100</v>
      </c>
      <c r="AN255" s="646">
        <v>100</v>
      </c>
      <c r="AO255" s="646">
        <v>100</v>
      </c>
      <c r="AP255" s="646">
        <v>100</v>
      </c>
      <c r="AQ255" s="646">
        <v>100</v>
      </c>
      <c r="AR255" s="646">
        <v>100</v>
      </c>
      <c r="AS255" s="646">
        <v>100</v>
      </c>
    </row>
    <row r="256" spans="2:45">
      <c r="B256" s="763" t="s">
        <v>89</v>
      </c>
      <c r="C256" s="402" t="s">
        <v>217</v>
      </c>
      <c r="D256" s="564"/>
      <c r="E256" s="564"/>
      <c r="F256" s="564"/>
      <c r="G256" s="564"/>
      <c r="H256" s="564"/>
      <c r="I256" s="564"/>
      <c r="J256" s="564"/>
      <c r="K256" s="564"/>
      <c r="L256" s="564"/>
      <c r="M256" s="564"/>
      <c r="N256" s="564"/>
      <c r="O256" s="564"/>
      <c r="Q256" s="763" t="s">
        <v>89</v>
      </c>
      <c r="R256" s="402" t="s">
        <v>217</v>
      </c>
      <c r="S256" s="564"/>
      <c r="T256" s="564"/>
      <c r="U256" s="564"/>
      <c r="V256" s="564"/>
      <c r="W256" s="564"/>
      <c r="X256" s="564"/>
      <c r="Y256" s="564"/>
      <c r="Z256" s="564"/>
      <c r="AA256" s="564"/>
      <c r="AB256" s="564"/>
      <c r="AC256" s="564"/>
      <c r="AD256" s="564"/>
      <c r="AF256" s="763" t="s">
        <v>89</v>
      </c>
      <c r="AG256" s="402" t="s">
        <v>217</v>
      </c>
      <c r="AH256" s="564"/>
      <c r="AI256" s="564"/>
      <c r="AJ256" s="601"/>
      <c r="AK256" s="601"/>
      <c r="AL256" s="601"/>
      <c r="AM256" s="601"/>
      <c r="AN256" s="601"/>
      <c r="AO256" s="601"/>
      <c r="AP256" s="601"/>
      <c r="AQ256" s="601"/>
      <c r="AR256" s="601"/>
      <c r="AS256" s="601"/>
    </row>
    <row r="257" spans="1:47">
      <c r="A257"/>
      <c r="B257" s="763"/>
      <c r="C257" s="402" t="s">
        <v>218</v>
      </c>
      <c r="D257" s="564"/>
      <c r="E257" s="564"/>
      <c r="F257" s="564"/>
      <c r="G257" s="564"/>
      <c r="H257" s="564"/>
      <c r="I257" s="564"/>
      <c r="J257" s="564"/>
      <c r="K257" s="564"/>
      <c r="L257" s="564"/>
      <c r="M257" s="564"/>
      <c r="N257" s="564"/>
      <c r="O257" s="564"/>
      <c r="Q257" s="763"/>
      <c r="R257" s="402" t="s">
        <v>218</v>
      </c>
      <c r="S257" s="564"/>
      <c r="T257" s="564"/>
      <c r="U257" s="564"/>
      <c r="V257" s="564"/>
      <c r="W257" s="564"/>
      <c r="X257" s="564"/>
      <c r="Y257" s="564"/>
      <c r="Z257" s="564"/>
      <c r="AA257" s="564"/>
      <c r="AB257" s="564"/>
      <c r="AC257" s="564"/>
      <c r="AD257" s="564"/>
      <c r="AF257" s="763"/>
      <c r="AG257" s="402" t="s">
        <v>218</v>
      </c>
      <c r="AH257" s="564"/>
      <c r="AI257" s="564"/>
      <c r="AJ257" s="601"/>
      <c r="AK257" s="601"/>
      <c r="AL257" s="601"/>
      <c r="AM257" s="601"/>
      <c r="AN257" s="601"/>
      <c r="AO257" s="601"/>
      <c r="AP257" s="601"/>
      <c r="AQ257" s="601"/>
      <c r="AR257" s="601"/>
      <c r="AS257" s="601"/>
      <c r="AU257"/>
    </row>
    <row r="258" spans="1:47">
      <c r="A258"/>
      <c r="B258" s="763"/>
      <c r="C258" s="639" t="s">
        <v>219</v>
      </c>
      <c r="D258" s="676">
        <v>100</v>
      </c>
      <c r="E258" s="676">
        <v>100</v>
      </c>
      <c r="F258" s="676">
        <v>100</v>
      </c>
      <c r="G258" s="676">
        <v>100</v>
      </c>
      <c r="H258" s="676">
        <v>100</v>
      </c>
      <c r="I258" s="676">
        <v>100</v>
      </c>
      <c r="J258" s="676">
        <v>100</v>
      </c>
      <c r="K258" s="676">
        <v>100</v>
      </c>
      <c r="L258" s="676">
        <v>100</v>
      </c>
      <c r="M258" s="676">
        <v>100</v>
      </c>
      <c r="N258" s="676">
        <v>100</v>
      </c>
      <c r="O258" s="676">
        <v>100</v>
      </c>
      <c r="Q258" s="763"/>
      <c r="R258" s="670" t="s">
        <v>219</v>
      </c>
      <c r="S258" s="640"/>
      <c r="T258" s="640"/>
      <c r="U258" s="640"/>
      <c r="V258" s="640"/>
      <c r="W258" s="640"/>
      <c r="X258" s="640"/>
      <c r="Y258" s="640"/>
      <c r="Z258" s="640"/>
      <c r="AA258" s="640"/>
      <c r="AB258" s="640"/>
      <c r="AC258" s="640"/>
      <c r="AD258" s="640"/>
      <c r="AF258" s="763"/>
      <c r="AG258" s="670" t="s">
        <v>219</v>
      </c>
      <c r="AH258" s="640">
        <v>100</v>
      </c>
      <c r="AI258" s="640">
        <v>100</v>
      </c>
      <c r="AJ258" s="646">
        <v>100</v>
      </c>
      <c r="AK258" s="646">
        <v>100</v>
      </c>
      <c r="AL258" s="646">
        <v>100</v>
      </c>
      <c r="AM258" s="646">
        <v>100</v>
      </c>
      <c r="AN258" s="646">
        <v>100</v>
      </c>
      <c r="AO258" s="646">
        <v>100</v>
      </c>
      <c r="AP258" s="646">
        <v>100</v>
      </c>
      <c r="AQ258" s="646">
        <v>100</v>
      </c>
      <c r="AR258" s="646">
        <v>100</v>
      </c>
      <c r="AS258" s="646">
        <v>100</v>
      </c>
      <c r="AU258"/>
    </row>
    <row r="259" spans="1:47">
      <c r="A259"/>
      <c r="B259" s="125"/>
      <c r="C259" s="263"/>
      <c r="D259" s="606"/>
      <c r="E259" s="606"/>
      <c r="F259" s="606"/>
      <c r="G259" s="606"/>
      <c r="H259" s="606"/>
      <c r="I259" s="606"/>
      <c r="J259" s="606"/>
      <c r="K259" s="606"/>
      <c r="L259" s="606"/>
      <c r="M259" s="606"/>
      <c r="N259" s="606"/>
      <c r="O259" s="606"/>
      <c r="Q259" s="125"/>
      <c r="R259" s="263"/>
      <c r="S259" s="576"/>
      <c r="T259" s="576"/>
      <c r="U259" s="576"/>
      <c r="V259" s="576"/>
      <c r="W259" s="576"/>
      <c r="X259" s="576"/>
      <c r="Y259" s="576"/>
      <c r="Z259" s="576"/>
      <c r="AA259" s="576"/>
      <c r="AB259" s="576"/>
      <c r="AC259" s="576"/>
      <c r="AD259" s="576"/>
      <c r="AF259" s="125"/>
      <c r="AG259" s="263"/>
      <c r="AH259" s="576"/>
      <c r="AI259" s="576"/>
      <c r="AJ259" s="576"/>
      <c r="AK259" s="576"/>
      <c r="AL259" s="576"/>
      <c r="AM259" s="576"/>
      <c r="AN259" s="576"/>
      <c r="AO259" s="576"/>
      <c r="AP259" s="576"/>
      <c r="AQ259" s="576"/>
      <c r="AR259" s="576"/>
      <c r="AS259" s="576"/>
      <c r="AU259"/>
    </row>
    <row r="260" spans="1:47">
      <c r="A260"/>
      <c r="B260" s="125"/>
      <c r="C260" s="263"/>
      <c r="D260" s="576"/>
      <c r="E260" s="576"/>
      <c r="F260" s="576"/>
      <c r="G260" s="576"/>
      <c r="H260" s="576"/>
      <c r="I260" s="576"/>
      <c r="J260" s="576"/>
      <c r="K260" s="576"/>
      <c r="L260" s="576"/>
      <c r="M260" s="576"/>
      <c r="N260" s="576"/>
      <c r="O260" s="576"/>
      <c r="Q260" s="125"/>
      <c r="R260" s="263"/>
      <c r="S260" s="576"/>
      <c r="T260" s="576"/>
      <c r="U260" s="576"/>
      <c r="V260" s="576"/>
      <c r="W260" s="576"/>
      <c r="X260" s="576"/>
      <c r="Y260" s="576"/>
      <c r="Z260" s="576"/>
      <c r="AA260" s="576"/>
      <c r="AB260" s="576"/>
      <c r="AC260" s="576"/>
      <c r="AD260" s="576"/>
      <c r="AF260" s="125"/>
      <c r="AG260" s="263"/>
      <c r="AH260" s="576"/>
      <c r="AI260" s="576"/>
      <c r="AJ260" s="576"/>
      <c r="AK260" s="576"/>
      <c r="AL260" s="576"/>
      <c r="AM260" s="606"/>
      <c r="AN260" s="606"/>
      <c r="AO260" s="576"/>
      <c r="AP260" s="576"/>
      <c r="AQ260" s="576"/>
      <c r="AR260" s="576"/>
      <c r="AS260" s="576"/>
      <c r="AU260"/>
    </row>
    <row r="261" spans="1:47">
      <c r="A261" s="105">
        <v>9</v>
      </c>
      <c r="B261" s="687" t="s">
        <v>220</v>
      </c>
      <c r="C261" s="263"/>
      <c r="D261" s="576"/>
      <c r="E261" s="576"/>
      <c r="F261" s="576"/>
      <c r="G261" s="576"/>
      <c r="H261" s="576"/>
      <c r="I261" s="576"/>
      <c r="J261" s="576"/>
      <c r="K261" s="576"/>
      <c r="L261" s="576"/>
      <c r="M261" s="576"/>
      <c r="N261" s="576"/>
      <c r="O261" s="576"/>
      <c r="Q261" s="181" t="s">
        <v>220</v>
      </c>
      <c r="R261" s="263"/>
      <c r="S261" s="576"/>
      <c r="T261" s="576"/>
      <c r="U261" s="576"/>
      <c r="V261" s="576"/>
      <c r="W261" s="576"/>
      <c r="X261" s="576"/>
      <c r="Y261" s="576"/>
      <c r="Z261" s="576"/>
      <c r="AA261" s="576"/>
      <c r="AB261" s="576"/>
      <c r="AC261" s="576"/>
      <c r="AD261" s="576"/>
      <c r="AF261" s="181" t="s">
        <v>220</v>
      </c>
      <c r="AG261" s="263"/>
      <c r="AH261" s="576"/>
      <c r="AI261" s="576"/>
      <c r="AJ261" s="576"/>
      <c r="AK261" s="576"/>
      <c r="AL261" s="576"/>
      <c r="AM261" s="576"/>
      <c r="AN261" s="576"/>
      <c r="AO261" s="576"/>
      <c r="AP261" s="576"/>
      <c r="AQ261" s="576"/>
      <c r="AR261" s="576"/>
      <c r="AS261" s="576"/>
      <c r="AU261"/>
    </row>
    <row r="262" spans="1:47">
      <c r="A262"/>
      <c r="B262" s="687" t="s">
        <v>100</v>
      </c>
      <c r="C262" s="263"/>
      <c r="D262" s="576"/>
      <c r="E262" s="576"/>
      <c r="F262" s="576"/>
      <c r="G262" s="576"/>
      <c r="H262" s="576"/>
      <c r="I262" s="576"/>
      <c r="J262" s="576"/>
      <c r="K262" s="576"/>
      <c r="L262" s="576"/>
      <c r="M262" s="576"/>
      <c r="N262" s="576"/>
      <c r="O262" s="576"/>
      <c r="Q262" s="181" t="s">
        <v>126</v>
      </c>
      <c r="R262" s="263"/>
      <c r="S262" s="576"/>
      <c r="T262" s="576"/>
      <c r="U262" s="576"/>
      <c r="V262" s="576"/>
      <c r="W262" s="576"/>
      <c r="X262" s="576"/>
      <c r="Y262" s="576"/>
      <c r="Z262" s="576"/>
      <c r="AA262" s="576"/>
      <c r="AB262" s="576"/>
      <c r="AC262" s="576"/>
      <c r="AD262" s="576"/>
      <c r="AF262" s="181" t="s">
        <v>127</v>
      </c>
      <c r="AG262" s="263"/>
      <c r="AH262" s="576"/>
      <c r="AI262" s="576"/>
      <c r="AJ262" s="576"/>
      <c r="AK262" s="576"/>
      <c r="AL262" s="576"/>
      <c r="AM262" s="576"/>
      <c r="AN262" s="576"/>
      <c r="AO262" s="576"/>
      <c r="AP262" s="576"/>
      <c r="AQ262" s="576"/>
      <c r="AR262" s="576"/>
      <c r="AS262" s="576"/>
      <c r="AU262"/>
    </row>
    <row r="263" spans="1:47">
      <c r="A263"/>
      <c r="B263" s="768" t="s">
        <v>72</v>
      </c>
      <c r="C263" s="769"/>
      <c r="D263" s="552" t="s">
        <v>74</v>
      </c>
      <c r="E263" s="552" t="s">
        <v>75</v>
      </c>
      <c r="F263" s="552" t="s">
        <v>76</v>
      </c>
      <c r="G263" s="552" t="s">
        <v>77</v>
      </c>
      <c r="H263" s="552" t="s">
        <v>78</v>
      </c>
      <c r="I263" s="552" t="s">
        <v>79</v>
      </c>
      <c r="J263" s="552" t="s">
        <v>80</v>
      </c>
      <c r="K263" s="552" t="s">
        <v>81</v>
      </c>
      <c r="L263" s="552" t="s">
        <v>82</v>
      </c>
      <c r="M263" s="552" t="s">
        <v>83</v>
      </c>
      <c r="N263" s="552" t="s">
        <v>84</v>
      </c>
      <c r="O263" s="552" t="s">
        <v>85</v>
      </c>
      <c r="Q263" s="768" t="s">
        <v>72</v>
      </c>
      <c r="R263" s="769"/>
      <c r="S263" s="552" t="s">
        <v>74</v>
      </c>
      <c r="T263" s="552" t="s">
        <v>75</v>
      </c>
      <c r="U263" s="552" t="s">
        <v>76</v>
      </c>
      <c r="V263" s="552" t="s">
        <v>77</v>
      </c>
      <c r="W263" s="552" t="s">
        <v>78</v>
      </c>
      <c r="X263" s="552" t="s">
        <v>79</v>
      </c>
      <c r="Y263" s="552" t="s">
        <v>80</v>
      </c>
      <c r="Z263" s="552" t="s">
        <v>81</v>
      </c>
      <c r="AA263" s="552" t="s">
        <v>82</v>
      </c>
      <c r="AB263" s="552" t="s">
        <v>83</v>
      </c>
      <c r="AC263" s="552" t="s">
        <v>84</v>
      </c>
      <c r="AD263" s="552" t="s">
        <v>85</v>
      </c>
      <c r="AF263" s="768" t="s">
        <v>72</v>
      </c>
      <c r="AG263" s="769"/>
      <c r="AH263" s="552" t="s">
        <v>74</v>
      </c>
      <c r="AI263" s="552" t="s">
        <v>75</v>
      </c>
      <c r="AJ263" s="552" t="s">
        <v>76</v>
      </c>
      <c r="AK263" s="552" t="s">
        <v>77</v>
      </c>
      <c r="AL263" s="552" t="s">
        <v>78</v>
      </c>
      <c r="AM263" s="552" t="s">
        <v>79</v>
      </c>
      <c r="AN263" s="552" t="s">
        <v>80</v>
      </c>
      <c r="AO263" s="552" t="s">
        <v>81</v>
      </c>
      <c r="AP263" s="552" t="s">
        <v>82</v>
      </c>
      <c r="AQ263" s="552" t="s">
        <v>83</v>
      </c>
      <c r="AR263" s="552" t="s">
        <v>84</v>
      </c>
      <c r="AS263" s="552" t="s">
        <v>85</v>
      </c>
      <c r="AU263"/>
    </row>
    <row r="264" spans="1:47" ht="26.45" customHeight="1">
      <c r="A264"/>
      <c r="B264" s="762" t="s">
        <v>128</v>
      </c>
      <c r="C264" s="631" t="s">
        <v>221</v>
      </c>
      <c r="D264" s="596"/>
      <c r="E264" s="596"/>
      <c r="F264" s="596"/>
      <c r="G264" s="596"/>
      <c r="H264" s="596"/>
      <c r="I264" s="596"/>
      <c r="J264" s="596"/>
      <c r="K264" s="596"/>
      <c r="L264" s="596"/>
      <c r="M264" s="596"/>
      <c r="N264" s="596"/>
      <c r="O264" s="596"/>
      <c r="Q264" s="762" t="s">
        <v>128</v>
      </c>
      <c r="R264" s="631" t="s">
        <v>221</v>
      </c>
      <c r="S264" s="680">
        <v>292.510561</v>
      </c>
      <c r="T264" s="680">
        <v>186.528886</v>
      </c>
      <c r="U264" s="725">
        <v>75.263748000000007</v>
      </c>
      <c r="V264" s="680">
        <v>148.188253</v>
      </c>
      <c r="W264" s="680">
        <v>497.8526</v>
      </c>
      <c r="X264" s="680">
        <v>187.80427800000001</v>
      </c>
      <c r="Y264" s="680">
        <v>174.79723799999999</v>
      </c>
      <c r="Z264" s="680">
        <v>224.79008099999999</v>
      </c>
      <c r="AA264" s="680">
        <v>405.08696800000001</v>
      </c>
      <c r="AB264" s="680">
        <v>399.80640299999999</v>
      </c>
      <c r="AC264" s="680"/>
      <c r="AD264" s="680"/>
      <c r="AF264" s="762" t="s">
        <v>128</v>
      </c>
      <c r="AG264" s="631" t="s">
        <v>221</v>
      </c>
      <c r="AH264" s="641">
        <v>292.510561</v>
      </c>
      <c r="AI264" s="641">
        <v>239.5197235</v>
      </c>
      <c r="AJ264" s="641">
        <v>184.76773166666666</v>
      </c>
      <c r="AK264" s="641">
        <v>175.622862</v>
      </c>
      <c r="AL264" s="641">
        <v>240.06880959999998</v>
      </c>
      <c r="AM264" s="641">
        <v>231.35805433333334</v>
      </c>
      <c r="AN264" s="641">
        <v>223.27793771428574</v>
      </c>
      <c r="AO264" s="641">
        <v>223.46695562500003</v>
      </c>
      <c r="AP264" s="641">
        <v>243.64695700000004</v>
      </c>
      <c r="AQ264" s="641">
        <v>259.26290160000002</v>
      </c>
      <c r="AR264" s="641">
        <v>259.26290160000002</v>
      </c>
      <c r="AS264" s="641">
        <v>259.26290160000002</v>
      </c>
      <c r="AU264"/>
    </row>
    <row r="265" spans="1:47">
      <c r="A265"/>
      <c r="B265" s="762"/>
      <c r="C265" s="632" t="s">
        <v>222</v>
      </c>
      <c r="D265" s="596">
        <v>303</v>
      </c>
      <c r="E265" s="596">
        <v>303</v>
      </c>
      <c r="F265" s="596">
        <v>303</v>
      </c>
      <c r="G265" s="596">
        <v>303</v>
      </c>
      <c r="H265" s="596">
        <v>303</v>
      </c>
      <c r="I265" s="596">
        <v>303</v>
      </c>
      <c r="J265" s="596">
        <v>303</v>
      </c>
      <c r="K265" s="596">
        <v>303</v>
      </c>
      <c r="L265" s="596">
        <v>303</v>
      </c>
      <c r="M265" s="596">
        <v>303</v>
      </c>
      <c r="N265" s="596">
        <v>303</v>
      </c>
      <c r="O265" s="596">
        <v>303</v>
      </c>
      <c r="Q265" s="762"/>
      <c r="R265" s="631" t="s">
        <v>222</v>
      </c>
      <c r="S265" s="680">
        <v>303</v>
      </c>
      <c r="T265" s="680">
        <v>303</v>
      </c>
      <c r="U265" s="680">
        <v>303</v>
      </c>
      <c r="V265" s="680">
        <v>303</v>
      </c>
      <c r="W265" s="680">
        <v>303</v>
      </c>
      <c r="X265" s="680">
        <v>303</v>
      </c>
      <c r="Y265" s="680">
        <v>303</v>
      </c>
      <c r="Z265" s="680">
        <v>303</v>
      </c>
      <c r="AA265" s="680">
        <v>303</v>
      </c>
      <c r="AB265" s="680">
        <v>303</v>
      </c>
      <c r="AC265" s="680">
        <v>303</v>
      </c>
      <c r="AD265" s="680">
        <v>303</v>
      </c>
      <c r="AF265" s="762"/>
      <c r="AG265" s="632" t="s">
        <v>222</v>
      </c>
      <c r="AH265" s="641">
        <v>303</v>
      </c>
      <c r="AI265" s="641">
        <v>303</v>
      </c>
      <c r="AJ265" s="641">
        <v>303</v>
      </c>
      <c r="AK265" s="641">
        <v>303</v>
      </c>
      <c r="AL265" s="641">
        <v>303</v>
      </c>
      <c r="AM265" s="641">
        <v>303</v>
      </c>
      <c r="AN265" s="641">
        <v>303</v>
      </c>
      <c r="AO265" s="641">
        <v>303</v>
      </c>
      <c r="AP265" s="641">
        <v>303</v>
      </c>
      <c r="AQ265" s="641">
        <v>303</v>
      </c>
      <c r="AR265" s="641">
        <v>303</v>
      </c>
      <c r="AS265" s="641">
        <v>303</v>
      </c>
      <c r="AU265"/>
    </row>
    <row r="266" spans="1:47">
      <c r="A266"/>
      <c r="B266" s="762"/>
      <c r="C266" s="633" t="s">
        <v>149</v>
      </c>
      <c r="D266" s="592">
        <v>100</v>
      </c>
      <c r="E266" s="592">
        <v>100</v>
      </c>
      <c r="F266" s="592">
        <v>100</v>
      </c>
      <c r="G266" s="592">
        <v>100</v>
      </c>
      <c r="H266" s="592">
        <v>100</v>
      </c>
      <c r="I266" s="592">
        <v>100</v>
      </c>
      <c r="J266" s="592">
        <v>100</v>
      </c>
      <c r="K266" s="592">
        <v>100</v>
      </c>
      <c r="L266" s="592">
        <v>100</v>
      </c>
      <c r="M266" s="592">
        <v>100</v>
      </c>
      <c r="N266" s="592">
        <v>100</v>
      </c>
      <c r="O266" s="592">
        <v>100</v>
      </c>
      <c r="Q266" s="762"/>
      <c r="R266" s="633" t="s">
        <v>149</v>
      </c>
      <c r="S266" s="679">
        <v>103.46186105610559</v>
      </c>
      <c r="T266" s="679">
        <v>138.43931155115513</v>
      </c>
      <c r="U266" s="679">
        <v>175.16047920792079</v>
      </c>
      <c r="V266" s="679">
        <v>151.09298580858086</v>
      </c>
      <c r="W266" s="679">
        <v>35.692211221122115</v>
      </c>
      <c r="X266" s="679">
        <v>138.01839009900991</v>
      </c>
      <c r="Y266" s="679">
        <v>142.31114257425745</v>
      </c>
      <c r="Z266" s="679">
        <v>125.81185445544554</v>
      </c>
      <c r="AA266" s="679">
        <v>66.307931353135302</v>
      </c>
      <c r="AB266" s="679">
        <v>68.050692079207934</v>
      </c>
      <c r="AC266" s="679">
        <v>200</v>
      </c>
      <c r="AD266" s="679">
        <v>200</v>
      </c>
      <c r="AF266" s="762"/>
      <c r="AG266" s="633" t="s">
        <v>149</v>
      </c>
      <c r="AH266" s="689">
        <v>103.46186105610559</v>
      </c>
      <c r="AI266" s="689">
        <v>110</v>
      </c>
      <c r="AJ266" s="689">
        <v>110</v>
      </c>
      <c r="AK266" s="689">
        <v>110</v>
      </c>
      <c r="AL266" s="689">
        <v>110</v>
      </c>
      <c r="AM266" s="689">
        <v>110</v>
      </c>
      <c r="AN266" s="689">
        <v>110</v>
      </c>
      <c r="AO266" s="689">
        <v>110</v>
      </c>
      <c r="AP266" s="689">
        <v>110</v>
      </c>
      <c r="AQ266" s="689">
        <v>110</v>
      </c>
      <c r="AR266" s="689">
        <v>110</v>
      </c>
      <c r="AS266" s="689">
        <v>110</v>
      </c>
      <c r="AU266"/>
    </row>
    <row r="267" spans="1:47" ht="25.15" customHeight="1">
      <c r="A267"/>
      <c r="B267" s="762" t="s">
        <v>87</v>
      </c>
      <c r="C267" s="631" t="s">
        <v>221</v>
      </c>
      <c r="D267" s="596"/>
      <c r="E267" s="596"/>
      <c r="F267" s="596"/>
      <c r="G267" s="596"/>
      <c r="H267" s="596"/>
      <c r="I267" s="596"/>
      <c r="J267" s="596"/>
      <c r="K267" s="596"/>
      <c r="L267" s="596"/>
      <c r="M267" s="596"/>
      <c r="N267" s="596"/>
      <c r="O267" s="596"/>
      <c r="Q267" s="762" t="s">
        <v>87</v>
      </c>
      <c r="R267" s="631" t="s">
        <v>221</v>
      </c>
      <c r="S267" s="680">
        <v>432.64853799999997</v>
      </c>
      <c r="T267" s="680">
        <v>91.545962000000003</v>
      </c>
      <c r="U267" s="680">
        <v>85.616630999999998</v>
      </c>
      <c r="V267" s="680">
        <v>209.35924600000001</v>
      </c>
      <c r="W267" s="680">
        <v>196.440721</v>
      </c>
      <c r="X267" s="680">
        <v>212.614296</v>
      </c>
      <c r="Y267" s="680">
        <v>224.86252300000001</v>
      </c>
      <c r="Z267" s="680">
        <v>247.887697</v>
      </c>
      <c r="AA267" s="680">
        <v>232.50089299999999</v>
      </c>
      <c r="AB267" s="680">
        <v>218.04727099999999</v>
      </c>
      <c r="AC267" s="680"/>
      <c r="AD267" s="680"/>
      <c r="AF267" s="762" t="s">
        <v>87</v>
      </c>
      <c r="AG267" s="631" t="s">
        <v>221</v>
      </c>
      <c r="AH267" s="641">
        <v>432.64853799999997</v>
      </c>
      <c r="AI267" s="641">
        <v>262.09724999999997</v>
      </c>
      <c r="AJ267" s="641">
        <v>203.27037699999997</v>
      </c>
      <c r="AK267" s="641">
        <v>204.79259424999998</v>
      </c>
      <c r="AL267" s="641">
        <v>203.12221959999997</v>
      </c>
      <c r="AM267" s="641">
        <v>204.70423233333329</v>
      </c>
      <c r="AN267" s="641">
        <v>207.58398814285712</v>
      </c>
      <c r="AO267" s="641">
        <v>212.62195174999999</v>
      </c>
      <c r="AP267" s="641">
        <v>214.83072299999998</v>
      </c>
      <c r="AQ267" s="641">
        <v>215.15237779999998</v>
      </c>
      <c r="AR267" s="641">
        <v>215.15237779999998</v>
      </c>
      <c r="AS267" s="641">
        <v>215.15237779999998</v>
      </c>
      <c r="AU267"/>
    </row>
    <row r="268" spans="1:47">
      <c r="A268"/>
      <c r="B268" s="762"/>
      <c r="C268" s="632" t="s">
        <v>222</v>
      </c>
      <c r="D268" s="596">
        <v>354</v>
      </c>
      <c r="E268" s="596">
        <v>354</v>
      </c>
      <c r="F268" s="596">
        <v>354</v>
      </c>
      <c r="G268" s="596">
        <v>354</v>
      </c>
      <c r="H268" s="596">
        <v>354</v>
      </c>
      <c r="I268" s="596">
        <v>354</v>
      </c>
      <c r="J268" s="596">
        <v>354</v>
      </c>
      <c r="K268" s="596">
        <v>354</v>
      </c>
      <c r="L268" s="596">
        <v>354</v>
      </c>
      <c r="M268" s="596">
        <v>354</v>
      </c>
      <c r="N268" s="596">
        <v>354</v>
      </c>
      <c r="O268" s="596">
        <v>354</v>
      </c>
      <c r="Q268" s="762"/>
      <c r="R268" s="632" t="s">
        <v>222</v>
      </c>
      <c r="S268" s="680">
        <v>354</v>
      </c>
      <c r="T268" s="680">
        <v>354</v>
      </c>
      <c r="U268" s="680">
        <v>354</v>
      </c>
      <c r="V268" s="680">
        <v>354</v>
      </c>
      <c r="W268" s="680">
        <v>354</v>
      </c>
      <c r="X268" s="680">
        <v>354</v>
      </c>
      <c r="Y268" s="680">
        <v>354</v>
      </c>
      <c r="Z268" s="680">
        <v>354</v>
      </c>
      <c r="AA268" s="680">
        <v>354</v>
      </c>
      <c r="AB268" s="680">
        <v>354</v>
      </c>
      <c r="AC268" s="680">
        <v>354</v>
      </c>
      <c r="AD268" s="680">
        <v>354</v>
      </c>
      <c r="AF268" s="762"/>
      <c r="AG268" s="632" t="s">
        <v>222</v>
      </c>
      <c r="AH268" s="641">
        <v>354</v>
      </c>
      <c r="AI268" s="641">
        <v>354</v>
      </c>
      <c r="AJ268" s="641">
        <v>354</v>
      </c>
      <c r="AK268" s="641">
        <v>354</v>
      </c>
      <c r="AL268" s="641">
        <v>354</v>
      </c>
      <c r="AM268" s="641">
        <v>354</v>
      </c>
      <c r="AN268" s="641">
        <v>354</v>
      </c>
      <c r="AO268" s="641">
        <v>354</v>
      </c>
      <c r="AP268" s="641">
        <v>354</v>
      </c>
      <c r="AQ268" s="641">
        <v>354</v>
      </c>
      <c r="AR268" s="641">
        <v>354</v>
      </c>
      <c r="AS268" s="641">
        <v>354</v>
      </c>
      <c r="AU268"/>
    </row>
    <row r="269" spans="1:47">
      <c r="A269"/>
      <c r="B269" s="762"/>
      <c r="C269" s="633" t="s">
        <v>149</v>
      </c>
      <c r="D269" s="592">
        <v>100</v>
      </c>
      <c r="E269" s="592">
        <v>100</v>
      </c>
      <c r="F269" s="592">
        <v>100</v>
      </c>
      <c r="G269" s="592">
        <v>100</v>
      </c>
      <c r="H269" s="592">
        <v>100</v>
      </c>
      <c r="I269" s="592">
        <v>100</v>
      </c>
      <c r="J269" s="592">
        <v>100</v>
      </c>
      <c r="K269" s="592">
        <v>100</v>
      </c>
      <c r="L269" s="592">
        <v>100</v>
      </c>
      <c r="M269" s="592">
        <v>100</v>
      </c>
      <c r="N269" s="592">
        <v>100</v>
      </c>
      <c r="O269" s="592">
        <v>100</v>
      </c>
      <c r="Q269" s="762"/>
      <c r="R269" s="633" t="s">
        <v>149</v>
      </c>
      <c r="S269" s="681">
        <v>77.782898870056499</v>
      </c>
      <c r="T269" s="681">
        <v>174.13955875706216</v>
      </c>
      <c r="U269" s="681">
        <v>175.81451101694915</v>
      </c>
      <c r="V269" s="681">
        <v>140.85897005649716</v>
      </c>
      <c r="W269" s="681">
        <v>144.50827090395481</v>
      </c>
      <c r="X269" s="681">
        <v>139.93946440677965</v>
      </c>
      <c r="Y269" s="681">
        <v>136.47951327683617</v>
      </c>
      <c r="Z269" s="681">
        <v>129.97522683615819</v>
      </c>
      <c r="AA269" s="681">
        <v>134.32178163841809</v>
      </c>
      <c r="AB269" s="681">
        <v>138.40472570621469</v>
      </c>
      <c r="AC269" s="681">
        <v>200</v>
      </c>
      <c r="AD269" s="681">
        <v>200</v>
      </c>
      <c r="AF269" s="762"/>
      <c r="AG269" s="633" t="s">
        <v>149</v>
      </c>
      <c r="AH269" s="602">
        <v>77.782898870056499</v>
      </c>
      <c r="AI269" s="602">
        <v>110</v>
      </c>
      <c r="AJ269" s="602">
        <v>110</v>
      </c>
      <c r="AK269" s="602">
        <v>110</v>
      </c>
      <c r="AL269" s="602">
        <v>110</v>
      </c>
      <c r="AM269" s="602">
        <v>110</v>
      </c>
      <c r="AN269" s="602">
        <v>110</v>
      </c>
      <c r="AO269" s="602">
        <v>110</v>
      </c>
      <c r="AP269" s="602">
        <v>110</v>
      </c>
      <c r="AQ269" s="592">
        <v>110</v>
      </c>
      <c r="AR269" s="592">
        <v>110</v>
      </c>
      <c r="AS269" s="592">
        <v>110</v>
      </c>
      <c r="AU269"/>
    </row>
    <row r="270" spans="1:47" ht="24" customHeight="1">
      <c r="A270"/>
      <c r="B270" s="762" t="s">
        <v>88</v>
      </c>
      <c r="C270" s="631" t="s">
        <v>221</v>
      </c>
      <c r="D270" s="596"/>
      <c r="E270" s="596"/>
      <c r="F270" s="596"/>
      <c r="G270" s="596"/>
      <c r="H270" s="596"/>
      <c r="I270" s="596"/>
      <c r="J270" s="596"/>
      <c r="K270" s="596"/>
      <c r="L270" s="596"/>
      <c r="M270" s="596"/>
      <c r="N270" s="596"/>
      <c r="O270" s="596"/>
      <c r="Q270" s="762" t="s">
        <v>88</v>
      </c>
      <c r="R270" s="631" t="s">
        <v>221</v>
      </c>
      <c r="S270" s="680">
        <v>2.0411350000000001</v>
      </c>
      <c r="T270" s="680">
        <v>0.75124400000000002</v>
      </c>
      <c r="U270" s="680">
        <v>1.225106</v>
      </c>
      <c r="V270" s="680">
        <v>0</v>
      </c>
      <c r="W270" s="680">
        <v>0</v>
      </c>
      <c r="X270" s="680">
        <v>0</v>
      </c>
      <c r="Y270" s="680">
        <v>0</v>
      </c>
      <c r="Z270" s="680">
        <v>0</v>
      </c>
      <c r="AA270" s="680">
        <v>0</v>
      </c>
      <c r="AB270" s="680">
        <v>0</v>
      </c>
      <c r="AC270" s="680"/>
      <c r="AD270" s="680"/>
      <c r="AF270" s="762" t="s">
        <v>88</v>
      </c>
      <c r="AG270" s="631" t="s">
        <v>221</v>
      </c>
      <c r="AH270" s="641">
        <v>2.0411350000000001</v>
      </c>
      <c r="AI270" s="641">
        <v>1.3961895000000002</v>
      </c>
      <c r="AJ270" s="641">
        <v>1.3391616666666668</v>
      </c>
      <c r="AK270" s="641">
        <v>1.0043712500000002</v>
      </c>
      <c r="AL270" s="641">
        <v>0.80349700000000013</v>
      </c>
      <c r="AM270" s="641">
        <v>0.6695808333333334</v>
      </c>
      <c r="AN270" s="641">
        <v>0.57392642857142862</v>
      </c>
      <c r="AO270" s="641">
        <v>0.50218562500000008</v>
      </c>
      <c r="AP270" s="641">
        <v>0.44638722222222227</v>
      </c>
      <c r="AQ270" s="641">
        <v>0.40174850000000006</v>
      </c>
      <c r="AR270" s="641">
        <v>0.40174850000000006</v>
      </c>
      <c r="AS270" s="641">
        <v>0.40174850000000006</v>
      </c>
      <c r="AU270"/>
    </row>
    <row r="271" spans="1:47">
      <c r="A271"/>
      <c r="B271" s="762"/>
      <c r="C271" s="632" t="s">
        <v>222</v>
      </c>
      <c r="D271" s="596">
        <v>16</v>
      </c>
      <c r="E271" s="596">
        <v>16</v>
      </c>
      <c r="F271" s="596">
        <v>16</v>
      </c>
      <c r="G271" s="596">
        <v>16</v>
      </c>
      <c r="H271" s="596">
        <v>16</v>
      </c>
      <c r="I271" s="596">
        <v>16</v>
      </c>
      <c r="J271" s="596">
        <v>16</v>
      </c>
      <c r="K271" s="596">
        <v>16</v>
      </c>
      <c r="L271" s="596">
        <v>16</v>
      </c>
      <c r="M271" s="596">
        <v>16</v>
      </c>
      <c r="N271" s="596">
        <v>16</v>
      </c>
      <c r="O271" s="596">
        <v>16</v>
      </c>
      <c r="Q271" s="762"/>
      <c r="R271" s="632" t="s">
        <v>222</v>
      </c>
      <c r="S271" s="680">
        <v>16</v>
      </c>
      <c r="T271" s="680">
        <v>16</v>
      </c>
      <c r="U271" s="680">
        <v>16</v>
      </c>
      <c r="V271" s="680">
        <v>16</v>
      </c>
      <c r="W271" s="680">
        <v>16</v>
      </c>
      <c r="X271" s="680">
        <v>16</v>
      </c>
      <c r="Y271" s="680">
        <v>16</v>
      </c>
      <c r="Z271" s="680">
        <v>16</v>
      </c>
      <c r="AA271" s="680">
        <v>16</v>
      </c>
      <c r="AB271" s="680">
        <v>16</v>
      </c>
      <c r="AC271" s="680">
        <v>16</v>
      </c>
      <c r="AD271" s="680">
        <v>16</v>
      </c>
      <c r="AF271" s="762"/>
      <c r="AG271" s="632" t="s">
        <v>222</v>
      </c>
      <c r="AH271" s="641">
        <v>16</v>
      </c>
      <c r="AI271" s="641">
        <v>16</v>
      </c>
      <c r="AJ271" s="641">
        <v>16</v>
      </c>
      <c r="AK271" s="641">
        <v>16</v>
      </c>
      <c r="AL271" s="641">
        <v>16</v>
      </c>
      <c r="AM271" s="641">
        <v>16</v>
      </c>
      <c r="AN271" s="641">
        <v>16</v>
      </c>
      <c r="AO271" s="641">
        <v>16</v>
      </c>
      <c r="AP271" s="641">
        <v>16</v>
      </c>
      <c r="AQ271" s="641">
        <v>16</v>
      </c>
      <c r="AR271" s="641">
        <v>16</v>
      </c>
      <c r="AS271" s="641">
        <v>16</v>
      </c>
      <c r="AU271"/>
    </row>
    <row r="272" spans="1:47">
      <c r="A272"/>
      <c r="B272" s="762"/>
      <c r="C272" s="633" t="s">
        <v>149</v>
      </c>
      <c r="D272" s="592">
        <v>100</v>
      </c>
      <c r="E272" s="592">
        <v>100</v>
      </c>
      <c r="F272" s="592">
        <v>100</v>
      </c>
      <c r="G272" s="592">
        <v>100</v>
      </c>
      <c r="H272" s="592">
        <v>100</v>
      </c>
      <c r="I272" s="592">
        <v>100</v>
      </c>
      <c r="J272" s="592">
        <v>100</v>
      </c>
      <c r="K272" s="592">
        <v>100</v>
      </c>
      <c r="L272" s="592">
        <v>100</v>
      </c>
      <c r="M272" s="592">
        <v>100</v>
      </c>
      <c r="N272" s="592">
        <v>100</v>
      </c>
      <c r="O272" s="592">
        <v>100</v>
      </c>
      <c r="Q272" s="762"/>
      <c r="R272" s="633" t="s">
        <v>149</v>
      </c>
      <c r="S272" s="681">
        <v>187.24290625</v>
      </c>
      <c r="T272" s="681">
        <v>195.30472499999999</v>
      </c>
      <c r="U272" s="681">
        <v>192.3430875</v>
      </c>
      <c r="V272" s="681">
        <v>200</v>
      </c>
      <c r="W272" s="681">
        <v>200</v>
      </c>
      <c r="X272" s="681">
        <v>200</v>
      </c>
      <c r="Y272" s="681">
        <v>200</v>
      </c>
      <c r="Z272" s="681">
        <v>200</v>
      </c>
      <c r="AA272" s="681">
        <v>200</v>
      </c>
      <c r="AB272" s="681">
        <v>200</v>
      </c>
      <c r="AC272" s="681">
        <v>200</v>
      </c>
      <c r="AD272" s="681">
        <v>200</v>
      </c>
      <c r="AF272" s="762"/>
      <c r="AG272" s="633" t="s">
        <v>149</v>
      </c>
      <c r="AH272" s="602">
        <v>110</v>
      </c>
      <c r="AI272" s="602">
        <v>110</v>
      </c>
      <c r="AJ272" s="602">
        <v>110</v>
      </c>
      <c r="AK272" s="602">
        <v>110</v>
      </c>
      <c r="AL272" s="602">
        <v>110</v>
      </c>
      <c r="AM272" s="602">
        <v>110</v>
      </c>
      <c r="AN272" s="602">
        <v>110</v>
      </c>
      <c r="AO272" s="602">
        <v>110</v>
      </c>
      <c r="AP272" s="602">
        <v>110</v>
      </c>
      <c r="AQ272" s="592">
        <v>110</v>
      </c>
      <c r="AR272" s="592">
        <v>110</v>
      </c>
      <c r="AS272" s="592">
        <v>110</v>
      </c>
      <c r="AU272"/>
    </row>
    <row r="273" spans="1:62" ht="22.9" customHeight="1">
      <c r="A273"/>
      <c r="B273" s="762" t="s">
        <v>121</v>
      </c>
      <c r="C273" s="631" t="s">
        <v>221</v>
      </c>
      <c r="D273" s="596"/>
      <c r="E273" s="596"/>
      <c r="F273" s="596"/>
      <c r="G273" s="596"/>
      <c r="H273" s="596"/>
      <c r="I273" s="596"/>
      <c r="J273" s="596"/>
      <c r="K273" s="596"/>
      <c r="L273" s="596"/>
      <c r="M273" s="596"/>
      <c r="N273" s="596"/>
      <c r="O273" s="596"/>
      <c r="Q273" s="762" t="s">
        <v>121</v>
      </c>
      <c r="R273" s="631" t="s">
        <v>221</v>
      </c>
      <c r="S273" s="680">
        <v>217.87441899999999</v>
      </c>
      <c r="T273" s="680">
        <v>224.69374199999999</v>
      </c>
      <c r="U273" s="680">
        <v>306.376803</v>
      </c>
      <c r="V273" s="680">
        <v>282.33865500000002</v>
      </c>
      <c r="W273" s="680">
        <v>276.24518</v>
      </c>
      <c r="X273" s="680">
        <v>450.04289999999997</v>
      </c>
      <c r="Y273" s="680">
        <v>227.294723</v>
      </c>
      <c r="Z273" s="680">
        <v>85.741142999999994</v>
      </c>
      <c r="AA273" s="680">
        <v>84.547061999999997</v>
      </c>
      <c r="AB273" s="680"/>
      <c r="AC273" s="680"/>
      <c r="AD273" s="680"/>
      <c r="AF273" s="762" t="s">
        <v>121</v>
      </c>
      <c r="AG273" s="631" t="s">
        <v>221</v>
      </c>
      <c r="AH273" s="641">
        <v>217.87441899999999</v>
      </c>
      <c r="AI273" s="641">
        <v>221.28408049999999</v>
      </c>
      <c r="AJ273" s="641">
        <v>249.64832133333334</v>
      </c>
      <c r="AK273" s="641">
        <v>257.82090475000001</v>
      </c>
      <c r="AL273" s="641">
        <v>261.50575980000002</v>
      </c>
      <c r="AM273" s="641">
        <v>292.92861650000003</v>
      </c>
      <c r="AN273" s="641">
        <v>283.552346</v>
      </c>
      <c r="AO273" s="641">
        <v>258.82594562500003</v>
      </c>
      <c r="AP273" s="641">
        <v>239.46162522222227</v>
      </c>
      <c r="AQ273" s="641">
        <v>239.46162522222227</v>
      </c>
      <c r="AR273" s="641">
        <v>239.46162522222227</v>
      </c>
      <c r="AS273" s="641">
        <v>239.46162522222227</v>
      </c>
      <c r="AU273"/>
    </row>
    <row r="274" spans="1:62">
      <c r="A274"/>
      <c r="B274" s="762"/>
      <c r="C274" s="632" t="s">
        <v>222</v>
      </c>
      <c r="D274" s="596">
        <v>213</v>
      </c>
      <c r="E274" s="596">
        <v>213</v>
      </c>
      <c r="F274" s="596">
        <v>213</v>
      </c>
      <c r="G274" s="596">
        <v>213</v>
      </c>
      <c r="H274" s="596">
        <v>213</v>
      </c>
      <c r="I274" s="596">
        <v>213</v>
      </c>
      <c r="J274" s="596">
        <v>213</v>
      </c>
      <c r="K274" s="596">
        <v>213</v>
      </c>
      <c r="L274" s="596">
        <v>213</v>
      </c>
      <c r="M274" s="596">
        <v>213</v>
      </c>
      <c r="N274" s="596">
        <v>213</v>
      </c>
      <c r="O274" s="596">
        <v>213</v>
      </c>
      <c r="Q274" s="762"/>
      <c r="R274" s="632" t="s">
        <v>222</v>
      </c>
      <c r="S274" s="680">
        <v>213</v>
      </c>
      <c r="T274" s="680">
        <v>213</v>
      </c>
      <c r="U274" s="680">
        <v>213</v>
      </c>
      <c r="V274" s="680">
        <v>213</v>
      </c>
      <c r="W274" s="680">
        <v>213</v>
      </c>
      <c r="X274" s="680">
        <v>213</v>
      </c>
      <c r="Y274" s="680">
        <v>213</v>
      </c>
      <c r="Z274" s="680">
        <v>213</v>
      </c>
      <c r="AA274" s="680">
        <v>213</v>
      </c>
      <c r="AB274" s="680">
        <v>213</v>
      </c>
      <c r="AC274" s="680">
        <v>213</v>
      </c>
      <c r="AD274" s="680">
        <v>213</v>
      </c>
      <c r="AF274" s="762"/>
      <c r="AG274" s="632" t="s">
        <v>222</v>
      </c>
      <c r="AH274" s="641">
        <v>213</v>
      </c>
      <c r="AI274" s="641">
        <v>213</v>
      </c>
      <c r="AJ274" s="641">
        <v>213</v>
      </c>
      <c r="AK274" s="641">
        <v>213</v>
      </c>
      <c r="AL274" s="641">
        <v>213</v>
      </c>
      <c r="AM274" s="641">
        <v>213</v>
      </c>
      <c r="AN274" s="641">
        <v>213</v>
      </c>
      <c r="AO274" s="641">
        <v>213</v>
      </c>
      <c r="AP274" s="641">
        <v>213</v>
      </c>
      <c r="AQ274" s="641">
        <v>213</v>
      </c>
      <c r="AR274" s="641">
        <v>213</v>
      </c>
      <c r="AS274" s="641">
        <v>213</v>
      </c>
      <c r="AU274"/>
    </row>
    <row r="275" spans="1:62">
      <c r="A275"/>
      <c r="B275" s="762"/>
      <c r="C275" s="633" t="s">
        <v>149</v>
      </c>
      <c r="D275" s="592">
        <v>100</v>
      </c>
      <c r="E275" s="592">
        <v>100</v>
      </c>
      <c r="F275" s="592">
        <v>100</v>
      </c>
      <c r="G275" s="592">
        <v>100</v>
      </c>
      <c r="H275" s="592">
        <v>100</v>
      </c>
      <c r="I275" s="592">
        <v>100</v>
      </c>
      <c r="J275" s="592">
        <v>100</v>
      </c>
      <c r="K275" s="592">
        <v>100</v>
      </c>
      <c r="L275" s="592">
        <v>100</v>
      </c>
      <c r="M275" s="592">
        <v>100</v>
      </c>
      <c r="N275" s="592">
        <v>100</v>
      </c>
      <c r="O275" s="592">
        <v>100</v>
      </c>
      <c r="Q275" s="762"/>
      <c r="R275" s="633" t="s">
        <v>149</v>
      </c>
      <c r="S275" s="681">
        <v>97.711540375586864</v>
      </c>
      <c r="T275" s="681">
        <v>94.509980281690147</v>
      </c>
      <c r="U275" s="681">
        <v>56.161125352112684</v>
      </c>
      <c r="V275" s="681">
        <v>67.446640845070419</v>
      </c>
      <c r="W275" s="681">
        <v>70.307427230046954</v>
      </c>
      <c r="X275" s="681">
        <v>-11.287746478873206</v>
      </c>
      <c r="Y275" s="681">
        <v>93.288862441314564</v>
      </c>
      <c r="Z275" s="681">
        <v>159.74594225352112</v>
      </c>
      <c r="AA275" s="681">
        <v>160.30654366197183</v>
      </c>
      <c r="AB275" s="681">
        <v>200</v>
      </c>
      <c r="AC275" s="681">
        <v>200</v>
      </c>
      <c r="AD275" s="681">
        <v>200</v>
      </c>
      <c r="AF275" s="762"/>
      <c r="AG275" s="633" t="s">
        <v>149</v>
      </c>
      <c r="AH275" s="602">
        <v>97.711540375586864</v>
      </c>
      <c r="AI275" s="602">
        <v>96.110760328638506</v>
      </c>
      <c r="AJ275" s="602">
        <v>82.794215336463225</v>
      </c>
      <c r="AK275" s="602">
        <v>78.95732171361503</v>
      </c>
      <c r="AL275" s="602">
        <v>77.227342816901398</v>
      </c>
      <c r="AM275" s="602">
        <v>62.474827934272284</v>
      </c>
      <c r="AN275" s="602">
        <v>66.876832863849756</v>
      </c>
      <c r="AO275" s="602">
        <v>78.485471537558666</v>
      </c>
      <c r="AP275" s="602">
        <v>87.576701773604569</v>
      </c>
      <c r="AQ275" s="592">
        <v>87.576701773604569</v>
      </c>
      <c r="AR275" s="592">
        <v>87.576701773604569</v>
      </c>
      <c r="AS275" s="592">
        <v>87.576701773604569</v>
      </c>
      <c r="AU275"/>
    </row>
    <row r="276" spans="1:62" ht="21" customHeight="1">
      <c r="A276"/>
      <c r="B276" s="762" t="s">
        <v>89</v>
      </c>
      <c r="C276" s="631" t="s">
        <v>221</v>
      </c>
      <c r="D276" s="596"/>
      <c r="E276" s="596"/>
      <c r="F276" s="596"/>
      <c r="G276" s="596"/>
      <c r="H276" s="596"/>
      <c r="I276" s="596"/>
      <c r="J276" s="596"/>
      <c r="K276" s="596"/>
      <c r="L276" s="596"/>
      <c r="M276" s="596"/>
      <c r="N276" s="596"/>
      <c r="O276" s="596"/>
      <c r="Q276" s="762" t="s">
        <v>89</v>
      </c>
      <c r="R276" s="631" t="s">
        <v>221</v>
      </c>
      <c r="S276" s="680">
        <v>336.80340699999999</v>
      </c>
      <c r="T276" s="680">
        <v>381.183989</v>
      </c>
      <c r="U276" s="680">
        <v>431.355099</v>
      </c>
      <c r="V276" s="680">
        <v>407.17436099999998</v>
      </c>
      <c r="W276" s="680">
        <v>395.89003700000001</v>
      </c>
      <c r="X276" s="680">
        <v>337.70227899999998</v>
      </c>
      <c r="Y276" s="680">
        <v>327.93990500000001</v>
      </c>
      <c r="Z276" s="680">
        <v>51.676031999999999</v>
      </c>
      <c r="AA276" s="680">
        <v>57.736752000000003</v>
      </c>
      <c r="AB276" s="680"/>
      <c r="AC276" s="680"/>
      <c r="AD276" s="680"/>
      <c r="AF276" s="762" t="s">
        <v>89</v>
      </c>
      <c r="AG276" s="631" t="s">
        <v>221</v>
      </c>
      <c r="AH276" s="641">
        <v>336.80340699999999</v>
      </c>
      <c r="AI276" s="641">
        <v>358.99369799999999</v>
      </c>
      <c r="AJ276" s="641">
        <v>383.11416499999996</v>
      </c>
      <c r="AK276" s="641">
        <v>389.12921399999993</v>
      </c>
      <c r="AL276" s="641">
        <v>390.48137859999997</v>
      </c>
      <c r="AM276" s="641">
        <v>381.68486200000001</v>
      </c>
      <c r="AN276" s="641">
        <v>374.00701100000003</v>
      </c>
      <c r="AO276" s="641">
        <v>333.715638625</v>
      </c>
      <c r="AP276" s="641">
        <v>303.05131788888889</v>
      </c>
      <c r="AQ276" s="641">
        <v>303.05131788888889</v>
      </c>
      <c r="AR276" s="641">
        <v>303.05131788888889</v>
      </c>
      <c r="AS276" s="641">
        <v>303.05131788888889</v>
      </c>
      <c r="AU276"/>
    </row>
    <row r="277" spans="1:62">
      <c r="A277"/>
      <c r="B277" s="762"/>
      <c r="C277" s="632" t="s">
        <v>222</v>
      </c>
      <c r="D277" s="596">
        <v>289</v>
      </c>
      <c r="E277" s="596">
        <v>289</v>
      </c>
      <c r="F277" s="596">
        <v>289</v>
      </c>
      <c r="G277" s="596">
        <v>289</v>
      </c>
      <c r="H277" s="596">
        <v>289</v>
      </c>
      <c r="I277" s="596">
        <v>289</v>
      </c>
      <c r="J277" s="596">
        <v>289</v>
      </c>
      <c r="K277" s="596">
        <v>289</v>
      </c>
      <c r="L277" s="596">
        <v>289</v>
      </c>
      <c r="M277" s="596">
        <v>289</v>
      </c>
      <c r="N277" s="596">
        <v>289</v>
      </c>
      <c r="O277" s="596">
        <v>289</v>
      </c>
      <c r="Q277" s="762"/>
      <c r="R277" s="632" t="s">
        <v>222</v>
      </c>
      <c r="S277" s="680">
        <v>289</v>
      </c>
      <c r="T277" s="680">
        <v>289</v>
      </c>
      <c r="U277" s="680">
        <v>289</v>
      </c>
      <c r="V277" s="680">
        <v>289</v>
      </c>
      <c r="W277" s="680">
        <v>289</v>
      </c>
      <c r="X277" s="680">
        <v>289</v>
      </c>
      <c r="Y277" s="680">
        <v>289</v>
      </c>
      <c r="Z277" s="680">
        <v>289</v>
      </c>
      <c r="AA277" s="680">
        <v>289</v>
      </c>
      <c r="AB277" s="680">
        <v>289</v>
      </c>
      <c r="AC277" s="680">
        <v>289</v>
      </c>
      <c r="AD277" s="680">
        <v>289</v>
      </c>
      <c r="AF277" s="762"/>
      <c r="AG277" s="632" t="s">
        <v>222</v>
      </c>
      <c r="AH277" s="641">
        <v>289</v>
      </c>
      <c r="AI277" s="641">
        <v>289</v>
      </c>
      <c r="AJ277" s="641">
        <v>289</v>
      </c>
      <c r="AK277" s="641">
        <v>289</v>
      </c>
      <c r="AL277" s="641">
        <v>289</v>
      </c>
      <c r="AM277" s="641">
        <v>289</v>
      </c>
      <c r="AN277" s="641">
        <v>289</v>
      </c>
      <c r="AO277" s="641">
        <v>289</v>
      </c>
      <c r="AP277" s="641">
        <v>289</v>
      </c>
      <c r="AQ277" s="641">
        <v>289</v>
      </c>
      <c r="AR277" s="641">
        <v>289</v>
      </c>
      <c r="AS277" s="641">
        <v>289</v>
      </c>
      <c r="AU277"/>
    </row>
    <row r="278" spans="1:62">
      <c r="A278"/>
      <c r="B278" s="762"/>
      <c r="C278" s="633" t="s">
        <v>149</v>
      </c>
      <c r="D278" s="592">
        <v>100</v>
      </c>
      <c r="E278" s="592">
        <v>100</v>
      </c>
      <c r="F278" s="592">
        <v>100</v>
      </c>
      <c r="G278" s="592">
        <v>100</v>
      </c>
      <c r="H278" s="592">
        <v>100</v>
      </c>
      <c r="I278" s="592">
        <v>100</v>
      </c>
      <c r="J278" s="592">
        <v>100</v>
      </c>
      <c r="K278" s="592">
        <v>100</v>
      </c>
      <c r="L278" s="592">
        <v>100</v>
      </c>
      <c r="M278" s="592">
        <v>100</v>
      </c>
      <c r="N278" s="592">
        <v>100</v>
      </c>
      <c r="O278" s="592">
        <v>100</v>
      </c>
      <c r="Q278" s="762"/>
      <c r="R278" s="634" t="s">
        <v>149</v>
      </c>
      <c r="S278" s="681">
        <v>83.459028719723193</v>
      </c>
      <c r="T278" s="681">
        <v>68.102425951557095</v>
      </c>
      <c r="U278" s="681">
        <v>50.742180276816605</v>
      </c>
      <c r="V278" s="681">
        <v>59.109217647058834</v>
      </c>
      <c r="W278" s="681">
        <v>63.013828027681654</v>
      </c>
      <c r="X278" s="681">
        <v>83.148000346020766</v>
      </c>
      <c r="Y278" s="681">
        <v>86.525984429065744</v>
      </c>
      <c r="Z278" s="681">
        <v>182.11902006920414</v>
      </c>
      <c r="AA278" s="681">
        <v>180.02188512110726</v>
      </c>
      <c r="AB278" s="681">
        <v>200</v>
      </c>
      <c r="AC278" s="681">
        <v>200</v>
      </c>
      <c r="AD278" s="681">
        <v>200</v>
      </c>
      <c r="AF278" s="762"/>
      <c r="AG278" s="634" t="s">
        <v>149</v>
      </c>
      <c r="AH278" s="602">
        <v>83.459028719723193</v>
      </c>
      <c r="AI278" s="602">
        <v>75.780727335640137</v>
      </c>
      <c r="AJ278" s="602">
        <v>67.434544982698981</v>
      </c>
      <c r="AK278" s="602">
        <v>65.353213148788953</v>
      </c>
      <c r="AL278" s="602">
        <v>64.885336124567488</v>
      </c>
      <c r="AM278" s="602">
        <v>67.929113494809684</v>
      </c>
      <c r="AN278" s="602">
        <v>70.585809342560538</v>
      </c>
      <c r="AO278" s="602">
        <v>84.527460683391013</v>
      </c>
      <c r="AP278" s="602">
        <v>95.137952287581712</v>
      </c>
      <c r="AQ278" s="592">
        <v>95.137952287581712</v>
      </c>
      <c r="AR278" s="592">
        <v>95.137952287581712</v>
      </c>
      <c r="AS278" s="592">
        <v>95.137952287581712</v>
      </c>
      <c r="AU278"/>
    </row>
    <row r="279" spans="1:62" ht="22.9" customHeight="1">
      <c r="A279"/>
      <c r="B279" s="762" t="s">
        <v>90</v>
      </c>
      <c r="C279" s="631" t="s">
        <v>221</v>
      </c>
      <c r="D279" s="596"/>
      <c r="E279" s="596"/>
      <c r="F279" s="596"/>
      <c r="G279" s="596"/>
      <c r="H279" s="596"/>
      <c r="I279" s="596"/>
      <c r="J279" s="596"/>
      <c r="K279" s="596"/>
      <c r="L279" s="596"/>
      <c r="M279" s="596"/>
      <c r="N279" s="596"/>
      <c r="O279" s="596"/>
      <c r="Q279" s="762" t="s">
        <v>90</v>
      </c>
      <c r="R279" s="631" t="s">
        <v>221</v>
      </c>
      <c r="S279" s="680">
        <v>1281.87806</v>
      </c>
      <c r="T279" s="680">
        <v>884.70382300000006</v>
      </c>
      <c r="U279" s="680">
        <v>899.83738700000004</v>
      </c>
      <c r="V279" s="680">
        <v>1046.8353159999999</v>
      </c>
      <c r="W279" s="680">
        <v>1366.4285379999999</v>
      </c>
      <c r="X279" s="680">
        <v>1188.163753</v>
      </c>
      <c r="Y279" s="680">
        <v>954.89438900000005</v>
      </c>
      <c r="Z279" s="680">
        <v>610.09495300000003</v>
      </c>
      <c r="AA279" s="680">
        <v>779.87167499999998</v>
      </c>
      <c r="AB279" s="680"/>
      <c r="AC279" s="680"/>
      <c r="AD279" s="680"/>
      <c r="AF279" s="762" t="s">
        <v>90</v>
      </c>
      <c r="AG279" s="631" t="s">
        <v>221</v>
      </c>
      <c r="AH279" s="641">
        <v>1281.87806</v>
      </c>
      <c r="AI279" s="641">
        <v>1083.2909414999999</v>
      </c>
      <c r="AJ279" s="641">
        <v>1022.1397566666666</v>
      </c>
      <c r="AK279" s="641">
        <v>1028.3136465</v>
      </c>
      <c r="AL279" s="641">
        <v>1095.9366248000001</v>
      </c>
      <c r="AM279" s="641">
        <v>1111.3078128333334</v>
      </c>
      <c r="AN279" s="641">
        <v>1088.9630380000001</v>
      </c>
      <c r="AO279" s="641">
        <v>1029.1045273750001</v>
      </c>
      <c r="AP279" s="641">
        <v>1001.4119882222224</v>
      </c>
      <c r="AQ279" s="641">
        <v>1001.4119882222224</v>
      </c>
      <c r="AR279" s="641">
        <v>1001.4119882222224</v>
      </c>
      <c r="AS279" s="641">
        <v>1001.4119882222224</v>
      </c>
      <c r="AU279"/>
    </row>
    <row r="280" spans="1:62">
      <c r="A280"/>
      <c r="B280" s="762"/>
      <c r="C280" s="632" t="s">
        <v>222</v>
      </c>
      <c r="D280" s="596">
        <v>1175</v>
      </c>
      <c r="E280" s="596">
        <v>1175</v>
      </c>
      <c r="F280" s="596">
        <v>1175</v>
      </c>
      <c r="G280" s="596">
        <v>1175</v>
      </c>
      <c r="H280" s="596">
        <v>1175</v>
      </c>
      <c r="I280" s="596">
        <v>1175</v>
      </c>
      <c r="J280" s="596">
        <v>1175</v>
      </c>
      <c r="K280" s="596">
        <v>1175</v>
      </c>
      <c r="L280" s="596">
        <v>1175</v>
      </c>
      <c r="M280" s="596">
        <v>1175</v>
      </c>
      <c r="N280" s="596">
        <v>1175</v>
      </c>
      <c r="O280" s="596">
        <v>1175</v>
      </c>
      <c r="Q280" s="762"/>
      <c r="R280" s="632" t="s">
        <v>222</v>
      </c>
      <c r="S280" s="680">
        <v>1175</v>
      </c>
      <c r="T280" s="680">
        <v>1175</v>
      </c>
      <c r="U280" s="680">
        <v>1175</v>
      </c>
      <c r="V280" s="680">
        <v>1175</v>
      </c>
      <c r="W280" s="680">
        <v>1175</v>
      </c>
      <c r="X280" s="680">
        <v>1175</v>
      </c>
      <c r="Y280" s="680">
        <v>1175</v>
      </c>
      <c r="Z280" s="680">
        <v>1175</v>
      </c>
      <c r="AA280" s="680">
        <v>1175</v>
      </c>
      <c r="AB280" s="680">
        <v>1175</v>
      </c>
      <c r="AC280" s="680">
        <v>1175</v>
      </c>
      <c r="AD280" s="680">
        <v>1175</v>
      </c>
      <c r="AF280" s="762"/>
      <c r="AG280" s="632" t="s">
        <v>222</v>
      </c>
      <c r="AH280" s="641">
        <v>1175</v>
      </c>
      <c r="AI280" s="641">
        <v>1175</v>
      </c>
      <c r="AJ280" s="641">
        <v>1175</v>
      </c>
      <c r="AK280" s="641">
        <v>1175</v>
      </c>
      <c r="AL280" s="641">
        <v>1175</v>
      </c>
      <c r="AM280" s="641">
        <v>1175</v>
      </c>
      <c r="AN280" s="641">
        <v>1175</v>
      </c>
      <c r="AO280" s="641">
        <v>1175</v>
      </c>
      <c r="AP280" s="641">
        <v>1175</v>
      </c>
      <c r="AQ280" s="641">
        <v>1175</v>
      </c>
      <c r="AR280" s="641">
        <v>1175</v>
      </c>
      <c r="AS280" s="641">
        <v>1175</v>
      </c>
      <c r="AU280"/>
    </row>
    <row r="281" spans="1:62">
      <c r="A281"/>
      <c r="B281" s="762"/>
      <c r="C281" s="633" t="s">
        <v>149</v>
      </c>
      <c r="D281" s="592">
        <v>100</v>
      </c>
      <c r="E281" s="592">
        <v>100</v>
      </c>
      <c r="F281" s="592">
        <v>100</v>
      </c>
      <c r="G281" s="592">
        <v>100</v>
      </c>
      <c r="H281" s="592">
        <v>100</v>
      </c>
      <c r="I281" s="592">
        <v>100</v>
      </c>
      <c r="J281" s="592">
        <v>100</v>
      </c>
      <c r="K281" s="592">
        <v>100</v>
      </c>
      <c r="L281" s="592">
        <v>100</v>
      </c>
      <c r="M281" s="592">
        <v>100</v>
      </c>
      <c r="N281" s="592">
        <v>100</v>
      </c>
      <c r="O281" s="592">
        <v>100</v>
      </c>
      <c r="Q281" s="762"/>
      <c r="R281" s="633" t="s">
        <v>149</v>
      </c>
      <c r="S281" s="681">
        <v>90.903994893617025</v>
      </c>
      <c r="T281" s="681">
        <v>124.70605761702127</v>
      </c>
      <c r="U281" s="681">
        <v>123.41809472340427</v>
      </c>
      <c r="V281" s="681">
        <v>110.90763268085109</v>
      </c>
      <c r="W281" s="681">
        <v>83.708209531914918</v>
      </c>
      <c r="X281" s="681">
        <v>98.879680595744674</v>
      </c>
      <c r="Y281" s="681">
        <v>118.73239242553191</v>
      </c>
      <c r="Z281" s="681">
        <v>148.07702527659575</v>
      </c>
      <c r="AA281" s="681">
        <v>133.62794255319147</v>
      </c>
      <c r="AB281" s="681">
        <v>200</v>
      </c>
      <c r="AC281" s="681">
        <v>200</v>
      </c>
      <c r="AD281" s="681">
        <v>200</v>
      </c>
      <c r="AF281" s="762"/>
      <c r="AG281" s="633" t="s">
        <v>149</v>
      </c>
      <c r="AH281" s="602">
        <v>90.903994893617025</v>
      </c>
      <c r="AI281" s="602">
        <v>107.80502625531916</v>
      </c>
      <c r="AJ281" s="602">
        <v>110</v>
      </c>
      <c r="AK281" s="602">
        <v>110</v>
      </c>
      <c r="AL281" s="602">
        <v>106.72879788936169</v>
      </c>
      <c r="AM281" s="602">
        <v>105.42061167375887</v>
      </c>
      <c r="AN281" s="602">
        <v>107.32229463829785</v>
      </c>
      <c r="AO281" s="602">
        <v>110</v>
      </c>
      <c r="AP281" s="602">
        <v>110</v>
      </c>
      <c r="AQ281" s="592">
        <v>110</v>
      </c>
      <c r="AR281" s="603">
        <v>110</v>
      </c>
      <c r="AS281" s="603">
        <v>110</v>
      </c>
      <c r="AU281"/>
    </row>
    <row r="282" spans="1:62">
      <c r="A282"/>
      <c r="B282" s="125"/>
      <c r="C282" s="263"/>
      <c r="D282" s="576"/>
      <c r="E282" s="576"/>
      <c r="F282" s="576"/>
      <c r="G282" s="576"/>
      <c r="H282" s="576"/>
      <c r="I282" s="576"/>
      <c r="J282" s="576"/>
      <c r="K282" s="576"/>
      <c r="L282" s="576"/>
      <c r="M282" s="576"/>
      <c r="N282" s="576"/>
      <c r="O282" s="576"/>
      <c r="Q282" s="125"/>
      <c r="R282" s="263"/>
      <c r="S282" s="576"/>
      <c r="T282" s="576"/>
      <c r="U282" s="576"/>
      <c r="V282" s="576"/>
      <c r="W282" s="576"/>
      <c r="X282" s="576"/>
      <c r="Y282" s="576"/>
      <c r="Z282" s="576"/>
      <c r="AA282" s="576"/>
      <c r="AB282" s="576"/>
      <c r="AC282" s="576"/>
      <c r="AD282" s="576"/>
      <c r="AF282" s="125"/>
      <c r="AG282" s="263"/>
      <c r="AH282" s="576"/>
      <c r="AI282" s="576"/>
      <c r="AJ282" s="576"/>
      <c r="AK282" s="576"/>
      <c r="AL282" s="576"/>
      <c r="AM282" s="576"/>
      <c r="AN282" s="576"/>
      <c r="AO282" s="576"/>
      <c r="AP282" s="576"/>
      <c r="AQ282" s="576"/>
      <c r="AR282" s="576"/>
      <c r="AS282" s="576"/>
      <c r="AU282"/>
    </row>
    <row r="283" spans="1:62">
      <c r="A283"/>
      <c r="B283" s="21" t="s">
        <v>223</v>
      </c>
      <c r="D283" s="105"/>
      <c r="E283" s="105"/>
      <c r="F283" s="105"/>
      <c r="G283" s="105"/>
      <c r="H283" s="105"/>
      <c r="I283" s="105"/>
      <c r="J283" s="105"/>
      <c r="K283" s="105"/>
      <c r="L283" s="105"/>
      <c r="M283" s="105"/>
      <c r="N283" s="105"/>
      <c r="O283" s="105"/>
      <c r="Q283" t="s">
        <v>223</v>
      </c>
      <c r="S283" s="105"/>
      <c r="T283" s="105"/>
      <c r="U283" s="105"/>
      <c r="V283" s="105"/>
      <c r="W283" s="105"/>
      <c r="X283" s="105"/>
      <c r="Y283" s="105"/>
      <c r="Z283" s="105"/>
      <c r="AA283" s="105"/>
      <c r="AB283" s="105"/>
      <c r="AC283" s="105"/>
      <c r="AD283" s="105"/>
      <c r="AF283" t="s">
        <v>223</v>
      </c>
      <c r="AH283" s="105"/>
      <c r="AI283" s="105"/>
      <c r="AJ283" s="105"/>
      <c r="AK283" s="105"/>
      <c r="AL283" s="105"/>
      <c r="AM283" s="105"/>
      <c r="AN283" s="105"/>
      <c r="AO283" s="105"/>
      <c r="AP283" s="105"/>
      <c r="AQ283" s="105"/>
      <c r="AR283" s="105"/>
      <c r="AS283" s="105"/>
      <c r="AU283"/>
      <c r="AY283" s="575"/>
      <c r="AZ283" s="575"/>
      <c r="BA283" s="575"/>
      <c r="BB283" s="575"/>
      <c r="BC283" s="575"/>
      <c r="BD283" s="575"/>
      <c r="BE283" s="575"/>
      <c r="BF283" s="575"/>
      <c r="BG283" s="575"/>
      <c r="BH283" s="575"/>
      <c r="BI283" s="575"/>
      <c r="BJ283" s="575"/>
    </row>
    <row r="284" spans="1:62">
      <c r="A284"/>
      <c r="B284" s="21" t="s">
        <v>100</v>
      </c>
      <c r="D284" s="105"/>
      <c r="E284" s="105"/>
      <c r="F284" s="105"/>
      <c r="G284" s="105"/>
      <c r="H284" s="105"/>
      <c r="I284" s="105"/>
      <c r="J284" s="105"/>
      <c r="K284" s="105"/>
      <c r="L284" s="105"/>
      <c r="M284" s="105"/>
      <c r="N284" s="105"/>
      <c r="O284" s="105"/>
      <c r="Q284" t="s">
        <v>126</v>
      </c>
      <c r="S284" s="661"/>
      <c r="T284" s="573"/>
      <c r="U284" s="573"/>
      <c r="V284" s="573"/>
      <c r="W284" s="573"/>
      <c r="X284" s="573"/>
      <c r="Y284" s="573"/>
      <c r="Z284" s="105"/>
      <c r="AA284" s="105"/>
      <c r="AB284" s="105"/>
      <c r="AC284" s="105"/>
      <c r="AD284" s="105"/>
      <c r="AF284" t="s">
        <v>127</v>
      </c>
      <c r="AH284" s="105"/>
      <c r="AI284" s="105"/>
      <c r="AJ284" s="105"/>
      <c r="AK284" s="105"/>
      <c r="AL284" s="105"/>
      <c r="AM284" s="105"/>
      <c r="AN284" s="105"/>
      <c r="AO284" s="105"/>
      <c r="AP284" s="105"/>
      <c r="AQ284" s="105"/>
      <c r="AR284" s="105"/>
      <c r="AS284" s="105"/>
      <c r="AU284"/>
      <c r="AY284" s="575"/>
      <c r="AZ284" s="575"/>
      <c r="BA284" s="575"/>
      <c r="BB284" s="575"/>
      <c r="BC284" s="575"/>
      <c r="BD284" s="575"/>
      <c r="BE284" s="575"/>
      <c r="BF284" s="575"/>
      <c r="BG284" s="575"/>
      <c r="BH284" s="575"/>
      <c r="BI284" s="575"/>
      <c r="BJ284" s="575"/>
    </row>
    <row r="285" spans="1:62">
      <c r="A285"/>
      <c r="B285" s="768" t="s">
        <v>72</v>
      </c>
      <c r="C285" s="769"/>
      <c r="D285" s="552" t="s">
        <v>74</v>
      </c>
      <c r="E285" s="552" t="s">
        <v>75</v>
      </c>
      <c r="F285" s="552" t="s">
        <v>76</v>
      </c>
      <c r="G285" s="552" t="s">
        <v>77</v>
      </c>
      <c r="H285" s="552" t="s">
        <v>78</v>
      </c>
      <c r="I285" s="552" t="s">
        <v>79</v>
      </c>
      <c r="J285" s="552" t="s">
        <v>80</v>
      </c>
      <c r="K285" s="552" t="s">
        <v>81</v>
      </c>
      <c r="L285" s="552" t="s">
        <v>82</v>
      </c>
      <c r="M285" s="552" t="s">
        <v>83</v>
      </c>
      <c r="N285" s="552" t="s">
        <v>84</v>
      </c>
      <c r="O285" s="552" t="s">
        <v>85</v>
      </c>
      <c r="Q285" s="768" t="s">
        <v>72</v>
      </c>
      <c r="R285" s="769"/>
      <c r="S285" s="552" t="s">
        <v>74</v>
      </c>
      <c r="T285" s="552" t="s">
        <v>75</v>
      </c>
      <c r="U285" s="552" t="s">
        <v>76</v>
      </c>
      <c r="V285" s="552" t="s">
        <v>77</v>
      </c>
      <c r="W285" s="552" t="s">
        <v>78</v>
      </c>
      <c r="X285" s="552" t="s">
        <v>79</v>
      </c>
      <c r="Y285" s="552" t="s">
        <v>80</v>
      </c>
      <c r="Z285" s="552" t="s">
        <v>81</v>
      </c>
      <c r="AA285" s="552" t="s">
        <v>82</v>
      </c>
      <c r="AB285" s="552" t="s">
        <v>83</v>
      </c>
      <c r="AC285" s="552" t="s">
        <v>84</v>
      </c>
      <c r="AD285" s="552" t="s">
        <v>85</v>
      </c>
      <c r="AF285" s="768" t="s">
        <v>72</v>
      </c>
      <c r="AG285" s="769"/>
      <c r="AH285" s="552" t="s">
        <v>74</v>
      </c>
      <c r="AI285" s="552" t="s">
        <v>75</v>
      </c>
      <c r="AJ285" s="552" t="s">
        <v>76</v>
      </c>
      <c r="AK285" s="552" t="s">
        <v>77</v>
      </c>
      <c r="AL285" s="552" t="s">
        <v>78</v>
      </c>
      <c r="AM285" s="552" t="s">
        <v>79</v>
      </c>
      <c r="AN285" s="552" t="s">
        <v>80</v>
      </c>
      <c r="AO285" s="552" t="s">
        <v>81</v>
      </c>
      <c r="AP285" s="552" t="s">
        <v>82</v>
      </c>
      <c r="AQ285" s="552" t="s">
        <v>83</v>
      </c>
      <c r="AR285" s="552" t="s">
        <v>84</v>
      </c>
      <c r="AS285" s="552" t="s">
        <v>85</v>
      </c>
      <c r="AU285"/>
      <c r="AY285" s="575"/>
      <c r="AZ285" s="575"/>
      <c r="BA285" s="575"/>
      <c r="BB285" s="575"/>
      <c r="BC285" s="575"/>
      <c r="BD285" s="575"/>
      <c r="BE285" s="575"/>
      <c r="BF285" s="575"/>
      <c r="BG285" s="575"/>
      <c r="BH285" s="575"/>
      <c r="BI285" s="575"/>
      <c r="BJ285" s="575"/>
    </row>
    <row r="286" spans="1:62">
      <c r="A286"/>
      <c r="B286" s="762" t="s">
        <v>128</v>
      </c>
      <c r="C286" s="402" t="s">
        <v>224</v>
      </c>
      <c r="D286" s="570"/>
      <c r="E286" s="636"/>
      <c r="F286" s="636"/>
      <c r="G286" s="636"/>
      <c r="H286" s="636"/>
      <c r="I286" s="636"/>
      <c r="J286" s="636"/>
      <c r="K286" s="636"/>
      <c r="L286" s="636"/>
      <c r="M286" s="636"/>
      <c r="N286" s="636"/>
      <c r="O286" s="636"/>
      <c r="Q286" s="762" t="s">
        <v>128</v>
      </c>
      <c r="R286" s="655" t="s">
        <v>224</v>
      </c>
      <c r="S286" s="570">
        <v>141.13633999999999</v>
      </c>
      <c r="T286" s="565">
        <v>3.4346450000000002</v>
      </c>
      <c r="U286" s="565">
        <v>0.24199999999999999</v>
      </c>
      <c r="V286" s="570">
        <v>14.351594</v>
      </c>
      <c r="W286" s="570">
        <v>1.256483</v>
      </c>
      <c r="X286" s="570">
        <v>21.328099999999999</v>
      </c>
      <c r="Y286" s="570">
        <v>3.286063</v>
      </c>
      <c r="Z286" s="570">
        <v>3.0494970000000001</v>
      </c>
      <c r="AA286" s="570">
        <v>34.761580000000002</v>
      </c>
      <c r="AB286" s="570">
        <v>1.229741</v>
      </c>
      <c r="AC286" s="570"/>
      <c r="AD286" s="570"/>
      <c r="AF286" s="762"/>
      <c r="AG286" s="655" t="s">
        <v>224</v>
      </c>
      <c r="AH286" s="570">
        <v>141.13633999999999</v>
      </c>
      <c r="AI286" s="570">
        <v>72.285492499999989</v>
      </c>
      <c r="AJ286" s="570">
        <v>48.270994999999992</v>
      </c>
      <c r="AK286" s="570">
        <v>39.791144749999994</v>
      </c>
      <c r="AL286" s="570">
        <v>32.084212399999998</v>
      </c>
      <c r="AM286" s="570">
        <v>30.291526999999999</v>
      </c>
      <c r="AN286" s="570">
        <v>26.43360357142857</v>
      </c>
      <c r="AO286" s="570">
        <v>23.51059025</v>
      </c>
      <c r="AP286" s="570">
        <v>24.760700222222223</v>
      </c>
      <c r="AQ286" s="570">
        <v>22.407604299999999</v>
      </c>
      <c r="AR286" s="570">
        <v>22.407604299999999</v>
      </c>
      <c r="AS286" s="570">
        <v>22.407604299999999</v>
      </c>
      <c r="AU286"/>
      <c r="AY286" s="575"/>
      <c r="AZ286" s="575"/>
      <c r="BA286" s="575"/>
      <c r="BB286" s="575"/>
      <c r="BC286" s="575"/>
      <c r="BD286" s="575"/>
      <c r="BE286" s="575"/>
      <c r="BF286" s="575"/>
      <c r="BG286" s="575"/>
      <c r="BH286" s="575"/>
      <c r="BI286" s="575"/>
      <c r="BJ286" s="575"/>
    </row>
    <row r="287" spans="1:62">
      <c r="A287"/>
      <c r="B287" s="762"/>
      <c r="C287" s="569" t="s">
        <v>225</v>
      </c>
      <c r="D287" s="570">
        <v>22.07</v>
      </c>
      <c r="E287" s="570">
        <v>22.07</v>
      </c>
      <c r="F287" s="570">
        <v>22.07</v>
      </c>
      <c r="G287" s="570">
        <v>22.07</v>
      </c>
      <c r="H287" s="570">
        <v>22.07</v>
      </c>
      <c r="I287" s="570">
        <v>22.07</v>
      </c>
      <c r="J287" s="570">
        <v>22.07</v>
      </c>
      <c r="K287" s="570">
        <v>22.07</v>
      </c>
      <c r="L287" s="570">
        <v>22.07</v>
      </c>
      <c r="M287" s="570">
        <v>22.07</v>
      </c>
      <c r="N287" s="570">
        <v>22.07</v>
      </c>
      <c r="O287" s="570">
        <v>22.07</v>
      </c>
      <c r="Q287" s="762"/>
      <c r="R287" s="655" t="s">
        <v>225</v>
      </c>
      <c r="S287" s="598">
        <v>22.07</v>
      </c>
      <c r="T287" s="598">
        <v>22.07</v>
      </c>
      <c r="U287" s="598">
        <v>22.07</v>
      </c>
      <c r="V287" s="598">
        <v>22.07</v>
      </c>
      <c r="W287" s="598">
        <v>22.07</v>
      </c>
      <c r="X287" s="598">
        <v>22.07</v>
      </c>
      <c r="Y287" s="598">
        <v>22.07</v>
      </c>
      <c r="Z287" s="598">
        <v>22.07</v>
      </c>
      <c r="AA287" s="598">
        <v>22.07</v>
      </c>
      <c r="AB287" s="598">
        <v>22.07</v>
      </c>
      <c r="AC287" s="598">
        <v>22.07</v>
      </c>
      <c r="AD287" s="598">
        <v>22.07</v>
      </c>
      <c r="AF287" s="762"/>
      <c r="AG287" s="655" t="s">
        <v>225</v>
      </c>
      <c r="AH287" s="570">
        <v>22.07</v>
      </c>
      <c r="AI287" s="570">
        <v>22.07</v>
      </c>
      <c r="AJ287" s="570">
        <v>22.07</v>
      </c>
      <c r="AK287" s="570">
        <v>22.07</v>
      </c>
      <c r="AL287" s="570">
        <v>22.07</v>
      </c>
      <c r="AM287" s="570">
        <v>22.07</v>
      </c>
      <c r="AN287" s="570">
        <v>22.07</v>
      </c>
      <c r="AO287" s="570">
        <v>22.07</v>
      </c>
      <c r="AP287" s="570">
        <v>22.07</v>
      </c>
      <c r="AQ287" s="570">
        <v>22.07</v>
      </c>
      <c r="AR287" s="570">
        <v>22.07</v>
      </c>
      <c r="AS287" s="570">
        <v>22.07</v>
      </c>
      <c r="AU287"/>
      <c r="AY287" s="575"/>
      <c r="AZ287" s="575"/>
      <c r="BA287" s="575"/>
      <c r="BB287" s="575"/>
      <c r="BC287" s="575"/>
      <c r="BD287" s="575"/>
      <c r="BE287" s="575"/>
      <c r="BF287" s="575"/>
      <c r="BG287" s="575"/>
      <c r="BH287" s="575"/>
      <c r="BI287" s="575"/>
      <c r="BJ287" s="575"/>
    </row>
    <row r="288" spans="1:62">
      <c r="A288"/>
      <c r="B288" s="762"/>
      <c r="C288" s="591" t="s">
        <v>48</v>
      </c>
      <c r="D288" s="594">
        <v>100</v>
      </c>
      <c r="E288" s="594">
        <v>100</v>
      </c>
      <c r="F288" s="594">
        <v>100</v>
      </c>
      <c r="G288" s="594">
        <v>100</v>
      </c>
      <c r="H288" s="594">
        <v>100</v>
      </c>
      <c r="I288" s="594">
        <v>100</v>
      </c>
      <c r="J288" s="594">
        <v>100</v>
      </c>
      <c r="K288" s="594">
        <v>100</v>
      </c>
      <c r="L288" s="594">
        <v>100</v>
      </c>
      <c r="M288" s="594">
        <v>100</v>
      </c>
      <c r="N288" s="594">
        <v>100</v>
      </c>
      <c r="O288" s="594">
        <v>100</v>
      </c>
      <c r="Q288" s="762"/>
      <c r="R288" s="658" t="s">
        <v>226</v>
      </c>
      <c r="S288" s="642">
        <v>-439.49406434073398</v>
      </c>
      <c r="T288" s="642">
        <v>184.437494336203</v>
      </c>
      <c r="U288" s="642">
        <v>198.90348889895785</v>
      </c>
      <c r="V288" s="642">
        <v>134.97238785681921</v>
      </c>
      <c r="W288" s="642">
        <v>194.30682827367468</v>
      </c>
      <c r="X288" s="642">
        <v>103.36157680108747</v>
      </c>
      <c r="Y288" s="642">
        <v>185.11072496601722</v>
      </c>
      <c r="Z288" s="642">
        <v>186.18261440869958</v>
      </c>
      <c r="AA288" s="642">
        <v>42.493973719981867</v>
      </c>
      <c r="AB288" s="642">
        <v>194.42799728137743</v>
      </c>
      <c r="AC288" s="642">
        <v>200</v>
      </c>
      <c r="AD288" s="642">
        <v>200</v>
      </c>
      <c r="AF288" s="762"/>
      <c r="AG288" s="658" t="s">
        <v>226</v>
      </c>
      <c r="AH288" s="594">
        <v>-439.49406434073398</v>
      </c>
      <c r="AI288" s="594">
        <v>-127.52828500226548</v>
      </c>
      <c r="AJ288" s="594">
        <v>-18.717693701857698</v>
      </c>
      <c r="AK288" s="594">
        <v>19.704826687811551</v>
      </c>
      <c r="AL288" s="594">
        <v>54.625227004984154</v>
      </c>
      <c r="AM288" s="594">
        <v>62.747951971001356</v>
      </c>
      <c r="AN288" s="594">
        <v>80.228348113146495</v>
      </c>
      <c r="AO288" s="594">
        <v>93.472631400090634</v>
      </c>
      <c r="AP288" s="594">
        <v>87.808336102300771</v>
      </c>
      <c r="AQ288" s="594">
        <v>98.470302220208424</v>
      </c>
      <c r="AR288" s="594">
        <v>98.470302220208424</v>
      </c>
      <c r="AS288" s="594">
        <v>98.470302220208424</v>
      </c>
      <c r="AU288"/>
      <c r="AY288" s="575"/>
      <c r="AZ288" s="575"/>
      <c r="BA288" s="575"/>
      <c r="BB288" s="575"/>
      <c r="BC288" s="575"/>
      <c r="BD288" s="575"/>
      <c r="BE288" s="575"/>
      <c r="BF288" s="575"/>
      <c r="BG288" s="575"/>
      <c r="BH288" s="575"/>
      <c r="BI288" s="575"/>
      <c r="BJ288" s="575"/>
    </row>
    <row r="289" spans="1:45">
      <c r="A289"/>
      <c r="B289" s="773" t="s">
        <v>87</v>
      </c>
      <c r="C289" s="402" t="s">
        <v>224</v>
      </c>
      <c r="D289" s="636"/>
      <c r="E289" s="636"/>
      <c r="F289" s="636"/>
      <c r="G289" s="636"/>
      <c r="H289" s="636"/>
      <c r="I289" s="636"/>
      <c r="J289" s="636"/>
      <c r="K289" s="636"/>
      <c r="L289" s="636"/>
      <c r="M289" s="636"/>
      <c r="N289" s="636"/>
      <c r="O289" s="636"/>
      <c r="Q289" s="762" t="s">
        <v>87</v>
      </c>
      <c r="R289" s="655" t="s">
        <v>224</v>
      </c>
      <c r="S289" s="570">
        <v>5.237749</v>
      </c>
      <c r="T289" s="565">
        <v>0</v>
      </c>
      <c r="U289" s="565">
        <v>0</v>
      </c>
      <c r="V289" s="570">
        <v>6.6380210000000002</v>
      </c>
      <c r="W289" s="570">
        <v>2.10283</v>
      </c>
      <c r="X289" s="570">
        <v>0.82510499999999998</v>
      </c>
      <c r="Y289" s="570">
        <v>3.726458</v>
      </c>
      <c r="Z289" s="570">
        <v>2.674283</v>
      </c>
      <c r="AA289" s="570">
        <v>0.39540599999999998</v>
      </c>
      <c r="AB289" s="570">
        <v>1.212118</v>
      </c>
      <c r="AC289" s="570"/>
      <c r="AD289" s="570"/>
      <c r="AF289" s="762" t="s">
        <v>87</v>
      </c>
      <c r="AG289" s="655" t="s">
        <v>224</v>
      </c>
      <c r="AH289" s="570">
        <v>5.237749</v>
      </c>
      <c r="AI289" s="570">
        <v>2.6188745</v>
      </c>
      <c r="AJ289" s="570">
        <v>1.7459163333333334</v>
      </c>
      <c r="AK289" s="570">
        <v>2.9689424999999998</v>
      </c>
      <c r="AL289" s="570">
        <v>2.7957200000000002</v>
      </c>
      <c r="AM289" s="570">
        <v>2.4672841666666669</v>
      </c>
      <c r="AN289" s="570">
        <v>2.6471661428571429</v>
      </c>
      <c r="AO289" s="570">
        <v>2.6505557500000001</v>
      </c>
      <c r="AP289" s="570">
        <v>2.399983555555556</v>
      </c>
      <c r="AQ289" s="570">
        <v>2.2811970000000001</v>
      </c>
      <c r="AR289" s="570">
        <v>2.2811970000000001</v>
      </c>
      <c r="AS289" s="570">
        <v>2.2811970000000001</v>
      </c>
    </row>
    <row r="290" spans="1:45">
      <c r="A290"/>
      <c r="B290" s="774"/>
      <c r="C290" s="569" t="s">
        <v>225</v>
      </c>
      <c r="D290" s="570">
        <v>4.17</v>
      </c>
      <c r="E290" s="570">
        <v>4.17</v>
      </c>
      <c r="F290" s="570">
        <v>4.17</v>
      </c>
      <c r="G290" s="570">
        <v>4.17</v>
      </c>
      <c r="H290" s="570">
        <v>4.17</v>
      </c>
      <c r="I290" s="570">
        <v>4.17</v>
      </c>
      <c r="J290" s="570">
        <v>4.17</v>
      </c>
      <c r="K290" s="570">
        <v>4.17</v>
      </c>
      <c r="L290" s="570">
        <v>4.17</v>
      </c>
      <c r="M290" s="570">
        <v>4.17</v>
      </c>
      <c r="N290" s="570">
        <v>4.17</v>
      </c>
      <c r="O290" s="570">
        <v>4.17</v>
      </c>
      <c r="Q290" s="762"/>
      <c r="R290" s="655" t="s">
        <v>225</v>
      </c>
      <c r="S290" s="565">
        <v>4.17</v>
      </c>
      <c r="T290" s="565">
        <v>4.17</v>
      </c>
      <c r="U290" s="565">
        <v>4.17</v>
      </c>
      <c r="V290" s="565">
        <v>4.17</v>
      </c>
      <c r="W290" s="565">
        <v>4.17</v>
      </c>
      <c r="X290" s="565">
        <v>4.17</v>
      </c>
      <c r="Y290" s="565">
        <v>4.17</v>
      </c>
      <c r="Z290" s="565">
        <v>4.17</v>
      </c>
      <c r="AA290" s="565">
        <v>4.17</v>
      </c>
      <c r="AB290" s="565">
        <v>4.17</v>
      </c>
      <c r="AC290" s="565">
        <v>4.17</v>
      </c>
      <c r="AD290" s="565">
        <v>4.17</v>
      </c>
      <c r="AF290" s="762"/>
      <c r="AG290" s="655" t="s">
        <v>225</v>
      </c>
      <c r="AH290" s="570">
        <v>4.17</v>
      </c>
      <c r="AI290" s="570">
        <v>4.17</v>
      </c>
      <c r="AJ290" s="570">
        <v>4.17</v>
      </c>
      <c r="AK290" s="570">
        <v>4.17</v>
      </c>
      <c r="AL290" s="570">
        <v>4.17</v>
      </c>
      <c r="AM290" s="570">
        <v>4.17</v>
      </c>
      <c r="AN290" s="570">
        <v>4.17</v>
      </c>
      <c r="AO290" s="570">
        <v>4.17</v>
      </c>
      <c r="AP290" s="570">
        <v>4.17</v>
      </c>
      <c r="AQ290" s="570">
        <v>4.17</v>
      </c>
      <c r="AR290" s="570">
        <v>4.17</v>
      </c>
      <c r="AS290" s="570">
        <v>4.17</v>
      </c>
    </row>
    <row r="291" spans="1:45">
      <c r="A291"/>
      <c r="B291" s="761"/>
      <c r="C291" s="591" t="s">
        <v>48</v>
      </c>
      <c r="D291" s="594">
        <v>100</v>
      </c>
      <c r="E291" s="594">
        <v>100</v>
      </c>
      <c r="F291" s="594">
        <v>100</v>
      </c>
      <c r="G291" s="594">
        <v>100</v>
      </c>
      <c r="H291" s="594">
        <v>100</v>
      </c>
      <c r="I291" s="594">
        <v>100</v>
      </c>
      <c r="J291" s="594">
        <v>100</v>
      </c>
      <c r="K291" s="594">
        <v>100</v>
      </c>
      <c r="L291" s="594">
        <v>100</v>
      </c>
      <c r="M291" s="594">
        <v>100</v>
      </c>
      <c r="N291" s="594">
        <v>100</v>
      </c>
      <c r="O291" s="594">
        <v>100</v>
      </c>
      <c r="Q291" s="762"/>
      <c r="R291" s="658" t="s">
        <v>226</v>
      </c>
      <c r="S291" s="642">
        <v>74.394508393285363</v>
      </c>
      <c r="T291" s="594">
        <v>200</v>
      </c>
      <c r="U291" s="594">
        <v>200</v>
      </c>
      <c r="V291" s="642">
        <v>40.814844124700222</v>
      </c>
      <c r="W291" s="642">
        <v>149.57242206235014</v>
      </c>
      <c r="X291" s="642">
        <v>180.21330935251797</v>
      </c>
      <c r="Y291" s="642">
        <v>110.63649880095923</v>
      </c>
      <c r="Z291" s="642">
        <v>135.86851318944844</v>
      </c>
      <c r="AA291" s="642">
        <v>190.51784172661868</v>
      </c>
      <c r="AB291" s="642">
        <v>170.93242206235013</v>
      </c>
      <c r="AC291" s="642">
        <v>200</v>
      </c>
      <c r="AD291" s="642">
        <v>200</v>
      </c>
      <c r="AF291" s="762"/>
      <c r="AG291" s="658" t="s">
        <v>226</v>
      </c>
      <c r="AH291" s="594">
        <v>74.394508393285363</v>
      </c>
      <c r="AI291" s="594">
        <v>110</v>
      </c>
      <c r="AJ291" s="594">
        <v>110</v>
      </c>
      <c r="AK291" s="594">
        <v>110</v>
      </c>
      <c r="AL291" s="594">
        <v>110</v>
      </c>
      <c r="AM291" s="594">
        <v>110</v>
      </c>
      <c r="AN291" s="594">
        <v>110</v>
      </c>
      <c r="AO291" s="594">
        <v>110</v>
      </c>
      <c r="AP291" s="594">
        <v>110</v>
      </c>
      <c r="AQ291" s="594">
        <v>110</v>
      </c>
      <c r="AR291" s="594">
        <v>110</v>
      </c>
      <c r="AS291" s="594">
        <v>110</v>
      </c>
    </row>
    <row r="292" spans="1:45">
      <c r="A292"/>
      <c r="B292" s="773" t="s">
        <v>88</v>
      </c>
      <c r="C292" s="402" t="s">
        <v>224</v>
      </c>
      <c r="D292" s="636"/>
      <c r="E292" s="636"/>
      <c r="F292" s="636"/>
      <c r="G292" s="636"/>
      <c r="H292" s="636"/>
      <c r="I292" s="636"/>
      <c r="J292" s="636"/>
      <c r="K292" s="636"/>
      <c r="L292" s="636"/>
      <c r="M292" s="636"/>
      <c r="N292" s="636"/>
      <c r="O292" s="636"/>
      <c r="Q292" s="762" t="s">
        <v>88</v>
      </c>
      <c r="R292" s="655" t="s">
        <v>224</v>
      </c>
      <c r="S292" s="565">
        <v>2.0411350000000001</v>
      </c>
      <c r="T292" s="565">
        <v>0</v>
      </c>
      <c r="U292" s="565">
        <v>0</v>
      </c>
      <c r="V292" s="570">
        <v>0</v>
      </c>
      <c r="W292" s="570">
        <v>0</v>
      </c>
      <c r="X292" s="570">
        <v>0</v>
      </c>
      <c r="Y292" s="570">
        <v>0</v>
      </c>
      <c r="Z292" s="570">
        <v>0</v>
      </c>
      <c r="AA292" s="570">
        <v>0</v>
      </c>
      <c r="AB292" s="570">
        <v>0</v>
      </c>
      <c r="AC292" s="570"/>
      <c r="AD292" s="570"/>
      <c r="AF292" s="762" t="s">
        <v>88</v>
      </c>
      <c r="AG292" s="655" t="s">
        <v>224</v>
      </c>
      <c r="AH292" s="570">
        <v>2.0411350000000001</v>
      </c>
      <c r="AI292" s="570">
        <v>1.0205675000000001</v>
      </c>
      <c r="AJ292" s="570">
        <v>0.68037833333333342</v>
      </c>
      <c r="AK292" s="570">
        <v>0.51028375000000004</v>
      </c>
      <c r="AL292" s="570">
        <v>0.40822700000000001</v>
      </c>
      <c r="AM292" s="570">
        <v>0.34018916666666671</v>
      </c>
      <c r="AN292" s="570">
        <v>0.29159071428571431</v>
      </c>
      <c r="AO292" s="570">
        <v>0.25514187500000002</v>
      </c>
      <c r="AP292" s="570">
        <v>0.22679277777777779</v>
      </c>
      <c r="AQ292" s="570">
        <v>0.2041135</v>
      </c>
      <c r="AR292" s="570">
        <v>0.2041135</v>
      </c>
      <c r="AS292" s="570">
        <v>0.2041135</v>
      </c>
    </row>
    <row r="293" spans="1:45">
      <c r="A293"/>
      <c r="B293" s="774"/>
      <c r="C293" s="569" t="s">
        <v>225</v>
      </c>
      <c r="D293" s="570">
        <v>2.72</v>
      </c>
      <c r="E293" s="570">
        <v>2.72</v>
      </c>
      <c r="F293" s="570">
        <v>2.72</v>
      </c>
      <c r="G293" s="570">
        <v>2.72</v>
      </c>
      <c r="H293" s="570">
        <v>2.72</v>
      </c>
      <c r="I293" s="570">
        <v>2.72</v>
      </c>
      <c r="J293" s="570">
        <v>2.72</v>
      </c>
      <c r="K293" s="570">
        <v>2.72</v>
      </c>
      <c r="L293" s="570">
        <v>2.72</v>
      </c>
      <c r="M293" s="570">
        <v>2.72</v>
      </c>
      <c r="N293" s="570">
        <v>2.72</v>
      </c>
      <c r="O293" s="570">
        <v>2.72</v>
      </c>
      <c r="Q293" s="762"/>
      <c r="R293" s="655" t="s">
        <v>225</v>
      </c>
      <c r="S293" s="570">
        <v>2.72</v>
      </c>
      <c r="T293" s="570">
        <v>2.72</v>
      </c>
      <c r="U293" s="570">
        <v>2.72</v>
      </c>
      <c r="V293" s="570">
        <v>2.72</v>
      </c>
      <c r="W293" s="570">
        <v>2.72</v>
      </c>
      <c r="X293" s="570">
        <v>2.72</v>
      </c>
      <c r="Y293" s="570">
        <v>2.72</v>
      </c>
      <c r="Z293" s="570">
        <v>2.72</v>
      </c>
      <c r="AA293" s="570">
        <v>2.72</v>
      </c>
      <c r="AB293" s="570">
        <v>2.72</v>
      </c>
      <c r="AC293" s="570">
        <v>2.72</v>
      </c>
      <c r="AD293" s="570">
        <v>2.72</v>
      </c>
      <c r="AF293" s="762"/>
      <c r="AG293" s="655" t="s">
        <v>225</v>
      </c>
      <c r="AH293" s="570">
        <v>2.72</v>
      </c>
      <c r="AI293" s="570">
        <v>2.72</v>
      </c>
      <c r="AJ293" s="570">
        <v>2.72</v>
      </c>
      <c r="AK293" s="570">
        <v>2.72</v>
      </c>
      <c r="AL293" s="570">
        <v>2.72</v>
      </c>
      <c r="AM293" s="570">
        <v>2.72</v>
      </c>
      <c r="AN293" s="570">
        <v>2.72</v>
      </c>
      <c r="AO293" s="570">
        <v>2.72</v>
      </c>
      <c r="AP293" s="570">
        <v>2.72</v>
      </c>
      <c r="AQ293" s="570">
        <v>2.72</v>
      </c>
      <c r="AR293" s="570">
        <v>2.72</v>
      </c>
      <c r="AS293" s="570">
        <v>2.72</v>
      </c>
    </row>
    <row r="294" spans="1:45">
      <c r="A294"/>
      <c r="B294" s="761"/>
      <c r="C294" s="591" t="s">
        <v>48</v>
      </c>
      <c r="D294" s="594">
        <v>100</v>
      </c>
      <c r="E294" s="594">
        <v>100</v>
      </c>
      <c r="F294" s="594">
        <v>100</v>
      </c>
      <c r="G294" s="594">
        <v>100</v>
      </c>
      <c r="H294" s="594">
        <v>100</v>
      </c>
      <c r="I294" s="594">
        <v>100</v>
      </c>
      <c r="J294" s="594">
        <v>100</v>
      </c>
      <c r="K294" s="594">
        <v>100</v>
      </c>
      <c r="L294" s="594">
        <v>100</v>
      </c>
      <c r="M294" s="594">
        <v>100</v>
      </c>
      <c r="N294" s="594">
        <v>100</v>
      </c>
      <c r="O294" s="594">
        <v>100</v>
      </c>
      <c r="Q294" s="762"/>
      <c r="R294" s="658" t="s">
        <v>226</v>
      </c>
      <c r="S294" s="642">
        <v>124.95827205882352</v>
      </c>
      <c r="T294" s="594">
        <v>200</v>
      </c>
      <c r="U294" s="594">
        <v>200</v>
      </c>
      <c r="V294" s="642">
        <v>200</v>
      </c>
      <c r="W294" s="642">
        <v>200</v>
      </c>
      <c r="X294" s="642">
        <v>200</v>
      </c>
      <c r="Y294" s="642">
        <v>200</v>
      </c>
      <c r="Z294" s="642">
        <v>200</v>
      </c>
      <c r="AA294" s="642">
        <v>200</v>
      </c>
      <c r="AB294" s="642">
        <v>200</v>
      </c>
      <c r="AC294" s="642">
        <v>200</v>
      </c>
      <c r="AD294" s="642">
        <v>200</v>
      </c>
      <c r="AF294" s="762"/>
      <c r="AG294" s="658" t="s">
        <v>226</v>
      </c>
      <c r="AH294" s="594">
        <v>110</v>
      </c>
      <c r="AI294" s="594">
        <v>110</v>
      </c>
      <c r="AJ294" s="594">
        <v>110</v>
      </c>
      <c r="AK294" s="594">
        <v>110</v>
      </c>
      <c r="AL294" s="594">
        <v>110</v>
      </c>
      <c r="AM294" s="594">
        <v>110</v>
      </c>
      <c r="AN294" s="594">
        <v>110</v>
      </c>
      <c r="AO294" s="594">
        <v>110</v>
      </c>
      <c r="AP294" s="594">
        <v>110</v>
      </c>
      <c r="AQ294" s="594">
        <v>110</v>
      </c>
      <c r="AR294" s="594">
        <v>110</v>
      </c>
      <c r="AS294" s="594">
        <v>110</v>
      </c>
    </row>
    <row r="295" spans="1:45">
      <c r="A295"/>
      <c r="B295" s="773" t="s">
        <v>121</v>
      </c>
      <c r="C295" s="402" t="s">
        <v>224</v>
      </c>
      <c r="D295" s="636"/>
      <c r="E295" s="636"/>
      <c r="F295" s="636"/>
      <c r="G295" s="636"/>
      <c r="H295" s="636"/>
      <c r="I295" s="636"/>
      <c r="J295" s="636"/>
      <c r="K295" s="636"/>
      <c r="L295" s="636"/>
      <c r="M295" s="636"/>
      <c r="N295" s="636"/>
      <c r="O295" s="636"/>
      <c r="Q295" s="762" t="s">
        <v>121</v>
      </c>
      <c r="R295" s="655" t="s">
        <v>224</v>
      </c>
      <c r="S295" s="570">
        <v>148.600922</v>
      </c>
      <c r="T295" s="565">
        <v>191.165323</v>
      </c>
      <c r="U295" s="565">
        <v>148.1</v>
      </c>
      <c r="V295" s="570">
        <v>203.645487</v>
      </c>
      <c r="W295" s="570">
        <v>150.38064800000001</v>
      </c>
      <c r="X295" s="570">
        <v>95.473386000000005</v>
      </c>
      <c r="Y295" s="570">
        <v>5.7635180000000004</v>
      </c>
      <c r="Z295" s="570">
        <v>4.613518</v>
      </c>
      <c r="AA295" s="570">
        <v>6.8073189999999997</v>
      </c>
      <c r="AB295" s="570">
        <v>1.5802970000000001</v>
      </c>
      <c r="AC295" s="570"/>
      <c r="AD295" s="570"/>
      <c r="AF295" s="762" t="s">
        <v>121</v>
      </c>
      <c r="AG295" s="655" t="s">
        <v>224</v>
      </c>
      <c r="AH295" s="570">
        <v>148.600922</v>
      </c>
      <c r="AI295" s="570">
        <v>169.88312250000001</v>
      </c>
      <c r="AJ295" s="570">
        <v>162.62208166666667</v>
      </c>
      <c r="AK295" s="570">
        <v>172.87793300000001</v>
      </c>
      <c r="AL295" s="570">
        <v>168.37847600000001</v>
      </c>
      <c r="AM295" s="570">
        <v>156.22762766666668</v>
      </c>
      <c r="AN295" s="570">
        <v>134.73275485714285</v>
      </c>
      <c r="AO295" s="570">
        <v>118.46785025</v>
      </c>
      <c r="AP295" s="570">
        <v>106.06112455555555</v>
      </c>
      <c r="AQ295" s="570">
        <v>95.613041799999991</v>
      </c>
      <c r="AR295" s="570">
        <v>95.613041799999991</v>
      </c>
      <c r="AS295" s="570">
        <v>95.613041799999991</v>
      </c>
    </row>
    <row r="296" spans="1:45">
      <c r="A296"/>
      <c r="B296" s="774"/>
      <c r="C296" s="569" t="s">
        <v>225</v>
      </c>
      <c r="D296" s="570">
        <v>96.04</v>
      </c>
      <c r="E296" s="570">
        <v>96.04</v>
      </c>
      <c r="F296" s="570">
        <v>96.04</v>
      </c>
      <c r="G296" s="570">
        <v>96.04</v>
      </c>
      <c r="H296" s="570">
        <v>96.04</v>
      </c>
      <c r="I296" s="570">
        <v>96.04</v>
      </c>
      <c r="J296" s="570">
        <v>96.04</v>
      </c>
      <c r="K296" s="570">
        <v>96.04</v>
      </c>
      <c r="L296" s="570">
        <v>96.04</v>
      </c>
      <c r="M296" s="570">
        <v>96.04</v>
      </c>
      <c r="N296" s="570">
        <v>96.04</v>
      </c>
      <c r="O296" s="570">
        <v>96.04</v>
      </c>
      <c r="Q296" s="762"/>
      <c r="R296" s="655" t="s">
        <v>225</v>
      </c>
      <c r="S296" s="570">
        <v>96.04</v>
      </c>
      <c r="T296" s="570">
        <v>96.04</v>
      </c>
      <c r="U296" s="570">
        <v>96.04</v>
      </c>
      <c r="V296" s="570">
        <v>96.04</v>
      </c>
      <c r="W296" s="570">
        <v>96.04</v>
      </c>
      <c r="X296" s="570">
        <v>96.04</v>
      </c>
      <c r="Y296" s="570">
        <v>96.04</v>
      </c>
      <c r="Z296" s="570">
        <v>96.04</v>
      </c>
      <c r="AA296" s="570">
        <v>96.04</v>
      </c>
      <c r="AB296" s="570">
        <v>96.04</v>
      </c>
      <c r="AC296" s="570">
        <v>96.04</v>
      </c>
      <c r="AD296" s="570">
        <v>96.04</v>
      </c>
      <c r="AF296" s="762"/>
      <c r="AG296" s="655" t="s">
        <v>225</v>
      </c>
      <c r="AH296" s="570">
        <v>96.04</v>
      </c>
      <c r="AI296" s="570">
        <v>96.04</v>
      </c>
      <c r="AJ296" s="570">
        <v>96.04</v>
      </c>
      <c r="AK296" s="570">
        <v>96.04</v>
      </c>
      <c r="AL296" s="570">
        <v>96.04</v>
      </c>
      <c r="AM296" s="570">
        <v>96.04</v>
      </c>
      <c r="AN296" s="570">
        <v>96.04</v>
      </c>
      <c r="AO296" s="570">
        <v>96.04</v>
      </c>
      <c r="AP296" s="570">
        <v>96.04</v>
      </c>
      <c r="AQ296" s="570">
        <v>96.04</v>
      </c>
      <c r="AR296" s="570">
        <v>96.04</v>
      </c>
      <c r="AS296" s="570">
        <v>96.04</v>
      </c>
    </row>
    <row r="297" spans="1:45">
      <c r="A297"/>
      <c r="B297" s="761"/>
      <c r="C297" s="591" t="s">
        <v>48</v>
      </c>
      <c r="D297" s="594">
        <v>100</v>
      </c>
      <c r="E297" s="594">
        <v>100</v>
      </c>
      <c r="F297" s="594">
        <v>100</v>
      </c>
      <c r="G297" s="594">
        <v>100</v>
      </c>
      <c r="H297" s="594">
        <v>100</v>
      </c>
      <c r="I297" s="594">
        <v>100</v>
      </c>
      <c r="J297" s="594">
        <v>100</v>
      </c>
      <c r="K297" s="594">
        <v>100</v>
      </c>
      <c r="L297" s="594">
        <v>100</v>
      </c>
      <c r="M297" s="594">
        <v>100</v>
      </c>
      <c r="N297" s="594">
        <v>100</v>
      </c>
      <c r="O297" s="594">
        <v>100</v>
      </c>
      <c r="Q297" s="762"/>
      <c r="R297" s="658" t="s">
        <v>226</v>
      </c>
      <c r="S297" s="642">
        <v>45.271842982090817</v>
      </c>
      <c r="T297" s="594">
        <v>0.95239171178675974</v>
      </c>
      <c r="U297" s="594">
        <v>45.793419408579773</v>
      </c>
      <c r="V297" s="642">
        <v>-12.042364639733449</v>
      </c>
      <c r="W297" s="642">
        <v>43.418733860891301</v>
      </c>
      <c r="X297" s="642">
        <v>100.58997709287797</v>
      </c>
      <c r="Y297" s="642">
        <v>193.99883590170762</v>
      </c>
      <c r="Z297" s="642">
        <v>195.19625364431488</v>
      </c>
      <c r="AA297" s="642">
        <v>192.91199604331527</v>
      </c>
      <c r="AB297" s="642">
        <v>198.35454289879218</v>
      </c>
      <c r="AC297" s="642">
        <v>200</v>
      </c>
      <c r="AD297" s="642">
        <v>200</v>
      </c>
      <c r="AF297" s="762"/>
      <c r="AG297" s="655" t="s">
        <v>226</v>
      </c>
      <c r="AH297" s="594">
        <v>45.271842982090817</v>
      </c>
      <c r="AI297" s="594">
        <v>23.112117346938767</v>
      </c>
      <c r="AJ297" s="594">
        <v>30.672551367485767</v>
      </c>
      <c r="AK297" s="594">
        <v>19.99382236568097</v>
      </c>
      <c r="AL297" s="594">
        <v>24.678804664723032</v>
      </c>
      <c r="AM297" s="594">
        <v>37.330666736082186</v>
      </c>
      <c r="AN297" s="594">
        <v>59.71183375974298</v>
      </c>
      <c r="AO297" s="594">
        <v>76.647386245314465</v>
      </c>
      <c r="AP297" s="594">
        <v>89.56567622287011</v>
      </c>
      <c r="AQ297" s="594">
        <v>100.44456289046231</v>
      </c>
      <c r="AR297" s="594">
        <v>100.44456289046231</v>
      </c>
      <c r="AS297" s="594">
        <v>100.44456289046231</v>
      </c>
    </row>
    <row r="298" spans="1:45">
      <c r="A298"/>
      <c r="B298" s="773" t="s">
        <v>89</v>
      </c>
      <c r="C298" s="402" t="s">
        <v>224</v>
      </c>
      <c r="D298" s="636"/>
      <c r="E298" s="636"/>
      <c r="F298" s="636"/>
      <c r="G298" s="636"/>
      <c r="H298" s="636"/>
      <c r="I298" s="636"/>
      <c r="J298" s="636"/>
      <c r="K298" s="636"/>
      <c r="L298" s="636"/>
      <c r="M298" s="636"/>
      <c r="N298" s="636"/>
      <c r="O298" s="636"/>
      <c r="Q298" s="762" t="s">
        <v>89</v>
      </c>
      <c r="R298" s="655" t="s">
        <v>224</v>
      </c>
      <c r="S298" s="570">
        <v>271.73677099999998</v>
      </c>
      <c r="T298" s="565">
        <v>340.38187399999998</v>
      </c>
      <c r="U298" s="565">
        <v>271</v>
      </c>
      <c r="V298" s="570">
        <v>340.02837199999999</v>
      </c>
      <c r="W298" s="570">
        <v>271.04104899999999</v>
      </c>
      <c r="X298" s="570">
        <v>202.28660400000001</v>
      </c>
      <c r="Y298" s="570">
        <v>0</v>
      </c>
      <c r="Z298" s="570">
        <v>0</v>
      </c>
      <c r="AA298" s="570">
        <v>0</v>
      </c>
      <c r="AB298" s="570">
        <v>0</v>
      </c>
      <c r="AC298" s="570">
        <v>0</v>
      </c>
      <c r="AD298" s="570">
        <v>0</v>
      </c>
      <c r="AF298" s="762" t="s">
        <v>89</v>
      </c>
      <c r="AG298" s="655" t="s">
        <v>224</v>
      </c>
      <c r="AH298" s="570">
        <v>271.73677099999998</v>
      </c>
      <c r="AI298" s="570">
        <v>306.05932250000001</v>
      </c>
      <c r="AJ298" s="570">
        <v>294.37288166666667</v>
      </c>
      <c r="AK298" s="570">
        <v>305.78675425</v>
      </c>
      <c r="AL298" s="570">
        <v>298.83761319999996</v>
      </c>
      <c r="AM298" s="570">
        <v>282.74577833333336</v>
      </c>
      <c r="AN298" s="570">
        <v>242.35352428571429</v>
      </c>
      <c r="AO298" s="570">
        <v>212.05933375000001</v>
      </c>
      <c r="AP298" s="570">
        <v>188.49718555555557</v>
      </c>
      <c r="AQ298" s="570">
        <v>169.64746700000001</v>
      </c>
      <c r="AR298" s="570">
        <v>154.22497000000001</v>
      </c>
      <c r="AS298" s="570">
        <v>141.37288916666668</v>
      </c>
    </row>
    <row r="299" spans="1:45">
      <c r="A299"/>
      <c r="B299" s="774"/>
      <c r="C299" s="569" t="s">
        <v>225</v>
      </c>
      <c r="D299" s="570">
        <v>161.27000000000001</v>
      </c>
      <c r="E299" s="570">
        <v>161.27000000000001</v>
      </c>
      <c r="F299" s="570">
        <v>161.27000000000001</v>
      </c>
      <c r="G299" s="570">
        <v>161.27000000000001</v>
      </c>
      <c r="H299" s="570">
        <v>161.27000000000001</v>
      </c>
      <c r="I299" s="570">
        <v>161.27000000000001</v>
      </c>
      <c r="J299" s="570">
        <v>161.27000000000001</v>
      </c>
      <c r="K299" s="570">
        <v>161.27000000000001</v>
      </c>
      <c r="L299" s="570">
        <v>161.27000000000001</v>
      </c>
      <c r="M299" s="570">
        <v>161.27000000000001</v>
      </c>
      <c r="N299" s="570">
        <v>161.27000000000001</v>
      </c>
      <c r="O299" s="570">
        <v>161.27000000000001</v>
      </c>
      <c r="Q299" s="762"/>
      <c r="R299" s="655" t="s">
        <v>225</v>
      </c>
      <c r="S299" s="570">
        <v>161.27000000000001</v>
      </c>
      <c r="T299" s="570">
        <v>161.27000000000001</v>
      </c>
      <c r="U299" s="570">
        <v>161.27000000000001</v>
      </c>
      <c r="V299" s="570">
        <v>161.27000000000001</v>
      </c>
      <c r="W299" s="570">
        <v>161.27000000000001</v>
      </c>
      <c r="X299" s="570">
        <v>161.27000000000001</v>
      </c>
      <c r="Y299" s="570">
        <v>161.27000000000001</v>
      </c>
      <c r="Z299" s="570">
        <v>161.27000000000001</v>
      </c>
      <c r="AA299" s="570">
        <v>161.27000000000001</v>
      </c>
      <c r="AB299" s="570">
        <v>161.27000000000001</v>
      </c>
      <c r="AC299" s="570">
        <v>161.27000000000001</v>
      </c>
      <c r="AD299" s="570">
        <v>161.27000000000001</v>
      </c>
      <c r="AF299" s="762"/>
      <c r="AG299" s="655" t="s">
        <v>225</v>
      </c>
      <c r="AH299" s="570">
        <v>161.27000000000001</v>
      </c>
      <c r="AI299" s="570">
        <v>161.27000000000001</v>
      </c>
      <c r="AJ299" s="570">
        <v>161.27000000000001</v>
      </c>
      <c r="AK299" s="570">
        <v>161.27000000000001</v>
      </c>
      <c r="AL299" s="570">
        <v>161.27000000000001</v>
      </c>
      <c r="AM299" s="570">
        <v>161.27000000000001</v>
      </c>
      <c r="AN299" s="570">
        <v>161.27000000000001</v>
      </c>
      <c r="AO299" s="570">
        <v>161.27000000000001</v>
      </c>
      <c r="AP299" s="570">
        <v>161.27000000000001</v>
      </c>
      <c r="AQ299" s="570">
        <v>161.27000000000001</v>
      </c>
      <c r="AR299" s="570">
        <v>161.27000000000001</v>
      </c>
      <c r="AS299" s="570">
        <v>161.27000000000001</v>
      </c>
    </row>
    <row r="300" spans="1:45">
      <c r="A300"/>
      <c r="B300" s="761"/>
      <c r="C300" s="591" t="s">
        <v>48</v>
      </c>
      <c r="D300" s="594">
        <v>100</v>
      </c>
      <c r="E300" s="594">
        <v>100</v>
      </c>
      <c r="F300" s="594">
        <v>100</v>
      </c>
      <c r="G300" s="594">
        <v>100</v>
      </c>
      <c r="H300" s="594">
        <v>100</v>
      </c>
      <c r="I300" s="594">
        <v>100</v>
      </c>
      <c r="J300" s="594">
        <v>100</v>
      </c>
      <c r="K300" s="594">
        <v>100</v>
      </c>
      <c r="L300" s="594">
        <v>100</v>
      </c>
      <c r="M300" s="594">
        <v>100</v>
      </c>
      <c r="N300" s="594">
        <v>100</v>
      </c>
      <c r="O300" s="594">
        <v>100</v>
      </c>
      <c r="Q300" s="762"/>
      <c r="R300" s="658" t="s">
        <v>226</v>
      </c>
      <c r="S300" s="642">
        <v>31.501971228374792</v>
      </c>
      <c r="T300" s="594">
        <v>-11.063355862838709</v>
      </c>
      <c r="U300" s="594">
        <v>31.958826812178344</v>
      </c>
      <c r="V300" s="642">
        <v>-10.844157003782451</v>
      </c>
      <c r="W300" s="642">
        <v>31.933373225026362</v>
      </c>
      <c r="X300" s="642">
        <v>74.566500899113294</v>
      </c>
      <c r="Y300" s="642">
        <v>200</v>
      </c>
      <c r="Z300" s="642">
        <v>200</v>
      </c>
      <c r="AA300" s="642">
        <v>200</v>
      </c>
      <c r="AB300" s="642">
        <v>200</v>
      </c>
      <c r="AC300" s="642">
        <v>200</v>
      </c>
      <c r="AD300" s="642">
        <v>200</v>
      </c>
      <c r="AF300" s="762"/>
      <c r="AG300" s="658" t="s">
        <v>226</v>
      </c>
      <c r="AH300" s="594">
        <v>31.501971228374792</v>
      </c>
      <c r="AI300" s="594">
        <v>10.219307682768042</v>
      </c>
      <c r="AJ300" s="594">
        <v>17.465814059238149</v>
      </c>
      <c r="AK300" s="594">
        <v>10.388321293482994</v>
      </c>
      <c r="AL300" s="594">
        <v>14.697331679791681</v>
      </c>
      <c r="AM300" s="594">
        <v>24.675526549678594</v>
      </c>
      <c r="AN300" s="594">
        <v>49.72187989972452</v>
      </c>
      <c r="AO300" s="594">
        <v>68.506644912258949</v>
      </c>
      <c r="AP300" s="594">
        <v>83.11701769978572</v>
      </c>
      <c r="AQ300" s="594">
        <v>94.805315929807165</v>
      </c>
      <c r="AR300" s="594">
        <v>104.3684690270974</v>
      </c>
      <c r="AS300" s="594">
        <v>110</v>
      </c>
    </row>
    <row r="301" spans="1:45">
      <c r="A301"/>
      <c r="B301" s="773" t="s">
        <v>90</v>
      </c>
      <c r="C301" s="402" t="s">
        <v>224</v>
      </c>
      <c r="D301" s="636"/>
      <c r="E301" s="636"/>
      <c r="F301" s="636"/>
      <c r="G301" s="636"/>
      <c r="I301" s="636"/>
      <c r="J301" s="636"/>
      <c r="K301" s="636"/>
      <c r="L301" s="636"/>
      <c r="M301" s="636"/>
      <c r="N301" s="636"/>
      <c r="O301" s="636"/>
      <c r="Q301" s="762" t="s">
        <v>90</v>
      </c>
      <c r="R301" s="655" t="s">
        <v>224</v>
      </c>
      <c r="S301" s="570">
        <v>568.75291700000002</v>
      </c>
      <c r="T301" s="570">
        <v>534.98184200000003</v>
      </c>
      <c r="U301" s="565">
        <v>419.4</v>
      </c>
      <c r="V301" s="570">
        <v>564.66347399999995</v>
      </c>
      <c r="W301" s="570">
        <v>424.78100999999998</v>
      </c>
      <c r="X301" s="570">
        <v>319.91319500000003</v>
      </c>
      <c r="Y301" s="570">
        <v>12.776039000000001</v>
      </c>
      <c r="Z301" s="570">
        <v>10.337298000000001</v>
      </c>
      <c r="AA301" s="570">
        <v>41.964305000000003</v>
      </c>
      <c r="AB301" s="570">
        <v>4.0221559999999998</v>
      </c>
      <c r="AC301" s="570"/>
      <c r="AD301" s="570"/>
      <c r="AF301" s="762" t="s">
        <v>90</v>
      </c>
      <c r="AG301" s="655" t="s">
        <v>224</v>
      </c>
      <c r="AH301" s="570">
        <v>568.75291700000002</v>
      </c>
      <c r="AI301" s="570">
        <v>551.86737949999997</v>
      </c>
      <c r="AJ301" s="570">
        <v>507.71158633333334</v>
      </c>
      <c r="AK301" s="570">
        <v>521.94955825</v>
      </c>
      <c r="AL301" s="570">
        <v>502.51584860000003</v>
      </c>
      <c r="AM301" s="570">
        <v>472.08207300000004</v>
      </c>
      <c r="AN301" s="570">
        <v>406.4669252857143</v>
      </c>
      <c r="AO301" s="570">
        <v>356.950721875</v>
      </c>
      <c r="AP301" s="570">
        <v>321.95223111111113</v>
      </c>
      <c r="AQ301" s="570">
        <v>290.15922360000002</v>
      </c>
      <c r="AR301" s="570">
        <v>290.15922360000002</v>
      </c>
      <c r="AS301" s="570">
        <v>290.15922360000002</v>
      </c>
    </row>
    <row r="302" spans="1:45">
      <c r="A302"/>
      <c r="B302" s="774"/>
      <c r="C302" s="569" t="s">
        <v>225</v>
      </c>
      <c r="D302" s="636">
        <v>286.27</v>
      </c>
      <c r="E302" s="636">
        <v>286.27</v>
      </c>
      <c r="F302" s="636">
        <v>286.27</v>
      </c>
      <c r="G302" s="636">
        <v>286.27</v>
      </c>
      <c r="H302" s="636">
        <v>286.27</v>
      </c>
      <c r="I302" s="636">
        <v>286.27</v>
      </c>
      <c r="J302" s="636">
        <v>286.27</v>
      </c>
      <c r="K302" s="636">
        <v>286.27</v>
      </c>
      <c r="L302" s="636">
        <v>286.27</v>
      </c>
      <c r="M302" s="636">
        <v>286.27</v>
      </c>
      <c r="N302" s="636">
        <v>286.27</v>
      </c>
      <c r="O302" s="636">
        <v>286.27</v>
      </c>
      <c r="Q302" s="762"/>
      <c r="R302" s="655" t="s">
        <v>225</v>
      </c>
      <c r="S302" s="570">
        <v>286.27</v>
      </c>
      <c r="T302" s="570">
        <v>286.27</v>
      </c>
      <c r="U302" s="570">
        <v>286.27</v>
      </c>
      <c r="V302" s="570">
        <v>286.27</v>
      </c>
      <c r="W302" s="570">
        <v>286.27</v>
      </c>
      <c r="X302" s="570">
        <v>286.27</v>
      </c>
      <c r="Y302" s="570">
        <v>286.27</v>
      </c>
      <c r="Z302" s="570">
        <v>286.27</v>
      </c>
      <c r="AA302" s="570">
        <v>286.27</v>
      </c>
      <c r="AB302" s="570">
        <v>286.27</v>
      </c>
      <c r="AC302" s="570">
        <v>286.27</v>
      </c>
      <c r="AD302" s="570">
        <v>286.27</v>
      </c>
      <c r="AF302" s="762"/>
      <c r="AG302" s="655" t="s">
        <v>225</v>
      </c>
      <c r="AH302" s="570">
        <v>286.27</v>
      </c>
      <c r="AI302" s="570">
        <v>286.27</v>
      </c>
      <c r="AJ302" s="570">
        <v>286.27</v>
      </c>
      <c r="AK302" s="570">
        <v>286.27</v>
      </c>
      <c r="AL302" s="570">
        <v>286.27</v>
      </c>
      <c r="AM302" s="570">
        <v>286.27</v>
      </c>
      <c r="AN302" s="570">
        <v>286.27</v>
      </c>
      <c r="AO302" s="570">
        <v>286.27</v>
      </c>
      <c r="AP302" s="570">
        <v>286.27</v>
      </c>
      <c r="AQ302" s="570">
        <v>286.27</v>
      </c>
      <c r="AR302" s="570">
        <v>286.27</v>
      </c>
      <c r="AS302" s="570">
        <v>286.27</v>
      </c>
    </row>
    <row r="303" spans="1:45">
      <c r="A303"/>
      <c r="B303" s="761"/>
      <c r="C303" s="670" t="s">
        <v>48</v>
      </c>
      <c r="D303" s="594">
        <v>100</v>
      </c>
      <c r="E303" s="594">
        <v>100</v>
      </c>
      <c r="F303" s="594">
        <v>100</v>
      </c>
      <c r="G303" s="594">
        <v>100</v>
      </c>
      <c r="H303" s="594">
        <v>100</v>
      </c>
      <c r="I303" s="594">
        <v>100</v>
      </c>
      <c r="J303" s="594">
        <v>100</v>
      </c>
      <c r="K303" s="594">
        <v>100</v>
      </c>
      <c r="L303" s="594">
        <v>100</v>
      </c>
      <c r="M303" s="594">
        <v>100</v>
      </c>
      <c r="N303" s="594">
        <v>100</v>
      </c>
      <c r="O303" s="594">
        <v>100</v>
      </c>
      <c r="Q303" s="762" t="s">
        <v>90</v>
      </c>
      <c r="R303" s="658" t="s">
        <v>226</v>
      </c>
      <c r="S303" s="642">
        <v>1.3229059978342006</v>
      </c>
      <c r="T303" s="642">
        <v>13.119837216613671</v>
      </c>
      <c r="U303" s="594">
        <v>53.494952317741998</v>
      </c>
      <c r="V303" s="642">
        <v>2.7514325636636805</v>
      </c>
      <c r="W303" s="642">
        <v>51.615254829356893</v>
      </c>
      <c r="X303" s="642">
        <v>88.247739895902441</v>
      </c>
      <c r="Y303" s="642">
        <v>195.53706675516119</v>
      </c>
      <c r="Z303" s="642">
        <v>196.38896915499353</v>
      </c>
      <c r="AA303" s="642">
        <v>185.34100499528415</v>
      </c>
      <c r="AB303" s="642">
        <v>198.59497816746426</v>
      </c>
      <c r="AC303" s="642">
        <v>200</v>
      </c>
      <c r="AD303" s="642">
        <v>200</v>
      </c>
      <c r="AF303" s="762" t="s">
        <v>90</v>
      </c>
      <c r="AG303" s="658" t="s">
        <v>226</v>
      </c>
      <c r="AH303" s="594">
        <v>1.3229059978342006</v>
      </c>
      <c r="AI303" s="594">
        <v>7.2213716072239587</v>
      </c>
      <c r="AJ303" s="594">
        <v>22.645898510729957</v>
      </c>
      <c r="AK303" s="594">
        <v>17.672282023963383</v>
      </c>
      <c r="AL303" s="594">
        <v>24.46087658504208</v>
      </c>
      <c r="AM303" s="594">
        <v>35.092020470185467</v>
      </c>
      <c r="AN303" s="594">
        <v>58.012741368039158</v>
      </c>
      <c r="AO303" s="594">
        <v>75.309769841408453</v>
      </c>
      <c r="AP303" s="594">
        <v>87.53546263628354</v>
      </c>
      <c r="AQ303" s="594">
        <v>98.641414189401601</v>
      </c>
      <c r="AR303" s="594">
        <v>98.641414189401601</v>
      </c>
      <c r="AS303" s="594">
        <v>98.641414189401601</v>
      </c>
    </row>
    <row r="304" spans="1:45">
      <c r="A304"/>
      <c r="D304" s="661"/>
      <c r="E304" s="661"/>
      <c r="F304" s="661"/>
      <c r="G304" s="661"/>
      <c r="H304" s="661"/>
      <c r="I304" s="661"/>
      <c r="J304" s="661"/>
      <c r="K304" s="661"/>
      <c r="L304" s="661"/>
      <c r="M304" s="661"/>
      <c r="N304" s="661"/>
      <c r="O304" s="661"/>
      <c r="S304" s="105"/>
      <c r="T304" s="105"/>
      <c r="U304" s="105"/>
      <c r="V304" s="105"/>
      <c r="W304" s="586"/>
      <c r="X304" s="586"/>
      <c r="Y304" s="105"/>
      <c r="Z304" s="105"/>
      <c r="AA304" s="105"/>
      <c r="AB304" s="105"/>
      <c r="AC304" s="105"/>
      <c r="AD304" s="105"/>
      <c r="AH304" s="105"/>
      <c r="AI304" s="661"/>
      <c r="AJ304" s="105"/>
      <c r="AK304" s="105"/>
      <c r="AL304" s="105"/>
      <c r="AM304" s="105"/>
      <c r="AN304" s="105"/>
      <c r="AO304" s="105"/>
      <c r="AP304" s="105"/>
      <c r="AQ304" s="105"/>
      <c r="AR304" s="105"/>
      <c r="AS304" s="105"/>
    </row>
    <row r="305" spans="1:45">
      <c r="A305"/>
      <c r="B305" s="687" t="s">
        <v>227</v>
      </c>
      <c r="C305" s="263"/>
      <c r="D305" s="576"/>
      <c r="E305" s="576"/>
      <c r="F305" s="576"/>
      <c r="G305" s="576"/>
      <c r="H305" s="576"/>
      <c r="I305" s="576"/>
      <c r="J305" s="576"/>
      <c r="K305" s="576"/>
      <c r="L305" s="576"/>
      <c r="M305" s="576"/>
      <c r="N305" s="576"/>
      <c r="O305" s="576"/>
      <c r="Q305" s="630" t="s">
        <v>227</v>
      </c>
      <c r="R305" s="263"/>
      <c r="S305" s="576"/>
      <c r="T305" s="576"/>
      <c r="U305" s="576"/>
      <c r="V305" s="576"/>
      <c r="W305" s="576"/>
      <c r="X305" s="576"/>
      <c r="Y305" s="576"/>
      <c r="Z305" s="576"/>
      <c r="AA305" s="576"/>
      <c r="AB305" s="576"/>
      <c r="AC305" s="576"/>
      <c r="AD305" s="576"/>
      <c r="AF305" s="630" t="s">
        <v>227</v>
      </c>
      <c r="AG305" s="263"/>
      <c r="AH305" s="576"/>
      <c r="AI305" s="576"/>
      <c r="AJ305" s="576"/>
      <c r="AK305" s="576"/>
      <c r="AL305" s="576"/>
      <c r="AM305" s="576"/>
      <c r="AN305" s="576"/>
      <c r="AO305" s="576"/>
      <c r="AP305" s="576"/>
      <c r="AQ305" s="576"/>
      <c r="AR305" s="576"/>
      <c r="AS305" s="576"/>
    </row>
    <row r="306" spans="1:45">
      <c r="A306"/>
      <c r="B306" s="687" t="s">
        <v>100</v>
      </c>
      <c r="C306" s="263"/>
      <c r="D306" s="576"/>
      <c r="E306" s="576"/>
      <c r="F306" s="576"/>
      <c r="G306" s="576"/>
      <c r="H306" s="576"/>
      <c r="I306" s="576"/>
      <c r="J306" s="576"/>
      <c r="K306" s="576"/>
      <c r="L306" s="576"/>
      <c r="M306" s="576"/>
      <c r="N306" s="576"/>
      <c r="O306" s="576"/>
      <c r="Q306" t="s">
        <v>126</v>
      </c>
      <c r="R306" s="263"/>
      <c r="S306" s="576"/>
      <c r="T306" s="576"/>
      <c r="U306" s="576"/>
      <c r="V306" s="576"/>
      <c r="W306" s="576"/>
      <c r="X306" s="576"/>
      <c r="Y306" s="576"/>
      <c r="Z306" s="576"/>
      <c r="AA306" s="576"/>
      <c r="AB306" s="576"/>
      <c r="AC306" s="576"/>
      <c r="AD306" s="576"/>
      <c r="AF306" t="s">
        <v>127</v>
      </c>
      <c r="AG306" s="263"/>
      <c r="AH306" s="576"/>
      <c r="AI306" s="576"/>
      <c r="AJ306" s="576"/>
      <c r="AK306" s="576"/>
      <c r="AL306" s="576"/>
      <c r="AM306" s="576"/>
      <c r="AN306" s="576"/>
      <c r="AO306" s="576"/>
      <c r="AP306" s="576"/>
      <c r="AQ306" s="576"/>
      <c r="AR306" s="576"/>
      <c r="AS306" s="576"/>
    </row>
    <row r="307" spans="1:45">
      <c r="A307"/>
      <c r="B307" s="768" t="s">
        <v>72</v>
      </c>
      <c r="C307" s="769"/>
      <c r="D307" s="552" t="s">
        <v>74</v>
      </c>
      <c r="E307" s="552" t="s">
        <v>75</v>
      </c>
      <c r="F307" s="552" t="s">
        <v>76</v>
      </c>
      <c r="G307" s="552" t="s">
        <v>77</v>
      </c>
      <c r="H307" s="552" t="s">
        <v>78</v>
      </c>
      <c r="I307" s="552" t="s">
        <v>79</v>
      </c>
      <c r="J307" s="552" t="s">
        <v>80</v>
      </c>
      <c r="K307" s="552" t="s">
        <v>81</v>
      </c>
      <c r="L307" s="552" t="s">
        <v>82</v>
      </c>
      <c r="M307" s="552" t="s">
        <v>83</v>
      </c>
      <c r="N307" s="552" t="s">
        <v>84</v>
      </c>
      <c r="O307" s="552" t="s">
        <v>85</v>
      </c>
      <c r="Q307" s="768" t="s">
        <v>72</v>
      </c>
      <c r="R307" s="769"/>
      <c r="S307" s="552" t="s">
        <v>74</v>
      </c>
      <c r="T307" s="552" t="s">
        <v>75</v>
      </c>
      <c r="U307" s="552" t="s">
        <v>76</v>
      </c>
      <c r="V307" s="552" t="s">
        <v>77</v>
      </c>
      <c r="W307" s="552" t="s">
        <v>78</v>
      </c>
      <c r="X307" s="552" t="s">
        <v>79</v>
      </c>
      <c r="Y307" s="552" t="s">
        <v>80</v>
      </c>
      <c r="Z307" s="552" t="s">
        <v>81</v>
      </c>
      <c r="AA307" s="552" t="s">
        <v>82</v>
      </c>
      <c r="AB307" s="552" t="s">
        <v>83</v>
      </c>
      <c r="AC307" s="552" t="s">
        <v>84</v>
      </c>
      <c r="AD307" s="552" t="s">
        <v>85</v>
      </c>
      <c r="AF307" s="768" t="s">
        <v>72</v>
      </c>
      <c r="AG307" s="769"/>
      <c r="AH307" s="552" t="s">
        <v>74</v>
      </c>
      <c r="AI307" s="552" t="s">
        <v>75</v>
      </c>
      <c r="AJ307" s="552" t="s">
        <v>76</v>
      </c>
      <c r="AK307" s="552" t="s">
        <v>77</v>
      </c>
      <c r="AL307" s="552" t="s">
        <v>78</v>
      </c>
      <c r="AM307" s="552" t="s">
        <v>79</v>
      </c>
      <c r="AN307" s="552" t="s">
        <v>80</v>
      </c>
      <c r="AO307" s="552" t="s">
        <v>81</v>
      </c>
      <c r="AP307" s="552" t="s">
        <v>82</v>
      </c>
      <c r="AQ307" s="552" t="s">
        <v>83</v>
      </c>
      <c r="AR307" s="552" t="s">
        <v>84</v>
      </c>
      <c r="AS307" s="552" t="s">
        <v>85</v>
      </c>
    </row>
    <row r="308" spans="1:45">
      <c r="A308"/>
      <c r="B308" s="778" t="s">
        <v>128</v>
      </c>
      <c r="C308" s="655" t="s">
        <v>48</v>
      </c>
      <c r="D308" s="662">
        <v>0.28000000000000003</v>
      </c>
      <c r="E308" s="662">
        <v>0.56000000000000005</v>
      </c>
      <c r="F308" s="662">
        <v>0.84</v>
      </c>
      <c r="G308" s="662">
        <v>1.1200000000000001</v>
      </c>
      <c r="H308" s="662">
        <v>1.4</v>
      </c>
      <c r="I308" s="662">
        <v>1.69</v>
      </c>
      <c r="J308" s="662">
        <v>2.11</v>
      </c>
      <c r="K308" s="662">
        <v>2.5299999999999998</v>
      </c>
      <c r="L308" s="662">
        <v>2.95</v>
      </c>
      <c r="M308" s="662">
        <v>3.37</v>
      </c>
      <c r="N308" s="662">
        <v>3.79</v>
      </c>
      <c r="O308" s="662">
        <v>4.21</v>
      </c>
      <c r="Q308" s="773" t="s">
        <v>128</v>
      </c>
      <c r="R308" s="655" t="s">
        <v>48</v>
      </c>
      <c r="S308" s="662">
        <v>0.28000000000000003</v>
      </c>
      <c r="T308" s="662">
        <v>0.56000000000000005</v>
      </c>
      <c r="U308" s="662">
        <v>0.84</v>
      </c>
      <c r="V308" s="662">
        <v>1.1200000000000001</v>
      </c>
      <c r="W308" s="662">
        <v>1.4</v>
      </c>
      <c r="X308" s="662">
        <v>1.69</v>
      </c>
      <c r="Y308" s="662">
        <v>2.11</v>
      </c>
      <c r="Z308" s="662">
        <v>2.5299999999999998</v>
      </c>
      <c r="AA308" s="662">
        <v>2.95</v>
      </c>
      <c r="AB308" s="662">
        <v>3.37</v>
      </c>
      <c r="AC308" s="662">
        <v>3.79</v>
      </c>
      <c r="AD308" s="662">
        <v>4.21</v>
      </c>
      <c r="AF308" s="773" t="s">
        <v>128</v>
      </c>
      <c r="AG308" s="655" t="s">
        <v>48</v>
      </c>
      <c r="AH308" s="662">
        <v>0.28000000000000003</v>
      </c>
      <c r="AI308" s="662">
        <v>0.56000000000000005</v>
      </c>
      <c r="AJ308" s="662">
        <v>0.84</v>
      </c>
      <c r="AK308" s="662">
        <v>1.1200000000000001</v>
      </c>
      <c r="AL308" s="662">
        <v>1.4</v>
      </c>
      <c r="AM308" s="662">
        <v>1.69</v>
      </c>
      <c r="AN308" s="662">
        <v>2.11</v>
      </c>
      <c r="AO308" s="662">
        <v>2.5299999999999998</v>
      </c>
      <c r="AP308" s="662">
        <v>2.95</v>
      </c>
      <c r="AQ308" s="662">
        <v>3.37</v>
      </c>
      <c r="AR308" s="662">
        <v>3.79</v>
      </c>
      <c r="AS308" s="662">
        <v>4.21</v>
      </c>
    </row>
    <row r="309" spans="1:45">
      <c r="A309"/>
      <c r="B309" s="779"/>
      <c r="C309" s="635" t="s">
        <v>226</v>
      </c>
      <c r="D309" s="662"/>
      <c r="E309" s="662"/>
      <c r="F309" s="662"/>
      <c r="G309" s="662"/>
      <c r="H309" s="662"/>
      <c r="I309" s="662"/>
      <c r="J309" s="662"/>
      <c r="K309" s="662"/>
      <c r="L309" s="662"/>
      <c r="M309" s="662"/>
      <c r="N309" s="662"/>
      <c r="O309" s="662"/>
      <c r="Q309" s="774"/>
      <c r="R309" s="655" t="s">
        <v>226</v>
      </c>
      <c r="S309" s="662">
        <v>0</v>
      </c>
      <c r="T309" s="662">
        <v>0</v>
      </c>
      <c r="U309" s="662">
        <v>0.97739100000000001</v>
      </c>
      <c r="V309" s="582">
        <v>1.844376</v>
      </c>
      <c r="W309" s="662">
        <v>8.7684359999999995</v>
      </c>
      <c r="X309" s="662">
        <v>8.7684359999999995</v>
      </c>
      <c r="Y309" s="662">
        <v>8.7684359999999995</v>
      </c>
      <c r="Z309" s="662">
        <v>8.7684359999999995</v>
      </c>
      <c r="AA309" s="662">
        <v>12.490337</v>
      </c>
      <c r="AB309" s="662">
        <v>12.592142000000001</v>
      </c>
      <c r="AC309" s="662"/>
      <c r="AD309" s="662"/>
      <c r="AF309" s="774"/>
      <c r="AG309" s="655" t="s">
        <v>226</v>
      </c>
      <c r="AH309" s="662">
        <v>0</v>
      </c>
      <c r="AI309" s="662">
        <v>0</v>
      </c>
      <c r="AJ309" s="662">
        <v>0.97739100000000001</v>
      </c>
      <c r="AK309" s="662">
        <v>1.844376</v>
      </c>
      <c r="AL309" s="662">
        <v>8.7684359999999995</v>
      </c>
      <c r="AM309" s="662">
        <v>8.7684359999999995</v>
      </c>
      <c r="AN309" s="662">
        <v>8.7684359999999995</v>
      </c>
      <c r="AO309" s="662">
        <v>8.7684359999999995</v>
      </c>
      <c r="AP309" s="662">
        <v>12.490337</v>
      </c>
      <c r="AQ309" s="662">
        <v>12.592142000000001</v>
      </c>
      <c r="AR309" s="662">
        <v>0</v>
      </c>
      <c r="AS309" s="662">
        <v>0</v>
      </c>
    </row>
    <row r="310" spans="1:45">
      <c r="A310" s="671"/>
      <c r="B310" s="780"/>
      <c r="C310" s="637" t="s">
        <v>149</v>
      </c>
      <c r="D310" s="663"/>
      <c r="E310" s="663"/>
      <c r="F310" s="663"/>
      <c r="G310" s="663"/>
      <c r="H310" s="663"/>
      <c r="I310" s="663"/>
      <c r="J310" s="663"/>
      <c r="K310" s="663"/>
      <c r="L310" s="663"/>
      <c r="M310" s="663"/>
      <c r="N310" s="663"/>
      <c r="O310" s="663"/>
      <c r="Q310" s="761"/>
      <c r="R310" s="658" t="s">
        <v>149</v>
      </c>
      <c r="S310" s="663">
        <v>0</v>
      </c>
      <c r="T310" s="663">
        <v>0</v>
      </c>
      <c r="U310" s="663">
        <v>110</v>
      </c>
      <c r="V310" s="663">
        <v>110</v>
      </c>
      <c r="W310" s="663">
        <v>110</v>
      </c>
      <c r="X310" s="663">
        <v>110</v>
      </c>
      <c r="Y310" s="663">
        <v>110</v>
      </c>
      <c r="Z310" s="663">
        <v>110</v>
      </c>
      <c r="AA310" s="663">
        <v>110</v>
      </c>
      <c r="AB310" s="663">
        <v>110</v>
      </c>
      <c r="AC310" s="663">
        <v>0</v>
      </c>
      <c r="AD310" s="663">
        <v>0</v>
      </c>
      <c r="AF310" s="761"/>
      <c r="AG310" s="658" t="s">
        <v>149</v>
      </c>
      <c r="AH310" s="663">
        <v>0</v>
      </c>
      <c r="AI310" s="663">
        <v>0</v>
      </c>
      <c r="AJ310" s="663">
        <v>110</v>
      </c>
      <c r="AK310" s="663">
        <v>110</v>
      </c>
      <c r="AL310" s="663">
        <v>110</v>
      </c>
      <c r="AM310" s="663">
        <v>110</v>
      </c>
      <c r="AN310" s="663">
        <v>110</v>
      </c>
      <c r="AO310" s="663">
        <v>110</v>
      </c>
      <c r="AP310" s="663">
        <v>110</v>
      </c>
      <c r="AQ310" s="663">
        <v>110</v>
      </c>
      <c r="AR310" s="663">
        <v>0</v>
      </c>
      <c r="AS310" s="663">
        <v>0</v>
      </c>
    </row>
    <row r="311" spans="1:45">
      <c r="A311"/>
      <c r="B311" s="778" t="s">
        <v>87</v>
      </c>
      <c r="C311" s="655" t="s">
        <v>48</v>
      </c>
      <c r="D311" s="662">
        <v>0</v>
      </c>
      <c r="E311" s="662">
        <v>0</v>
      </c>
      <c r="F311" s="662">
        <v>0</v>
      </c>
      <c r="G311" s="662">
        <v>0</v>
      </c>
      <c r="H311" s="662">
        <v>0</v>
      </c>
      <c r="I311" s="662">
        <v>0</v>
      </c>
      <c r="J311" s="662">
        <v>0</v>
      </c>
      <c r="K311" s="662">
        <v>0</v>
      </c>
      <c r="L311" s="662">
        <v>0</v>
      </c>
      <c r="M311" s="662">
        <v>0</v>
      </c>
      <c r="N311" s="662">
        <v>0</v>
      </c>
      <c r="O311" s="662">
        <v>0</v>
      </c>
      <c r="Q311" s="778" t="s">
        <v>87</v>
      </c>
      <c r="R311" s="402" t="s">
        <v>48</v>
      </c>
      <c r="S311" s="662">
        <v>0</v>
      </c>
      <c r="T311" s="662">
        <v>0</v>
      </c>
      <c r="U311" s="662">
        <v>0</v>
      </c>
      <c r="V311" s="662">
        <v>0</v>
      </c>
      <c r="W311" s="662">
        <v>0</v>
      </c>
      <c r="X311" s="662">
        <v>0</v>
      </c>
      <c r="Y311" s="662">
        <v>0</v>
      </c>
      <c r="Z311" s="662">
        <v>0</v>
      </c>
      <c r="AA311" s="662">
        <v>0</v>
      </c>
      <c r="AB311" s="662">
        <v>0</v>
      </c>
      <c r="AC311" s="662">
        <v>0</v>
      </c>
      <c r="AD311" s="662">
        <v>0</v>
      </c>
      <c r="AF311" s="778" t="s">
        <v>87</v>
      </c>
      <c r="AG311" s="402" t="s">
        <v>48</v>
      </c>
      <c r="AH311" s="662">
        <v>0</v>
      </c>
      <c r="AI311" s="662">
        <v>0</v>
      </c>
      <c r="AJ311" s="662">
        <v>0</v>
      </c>
      <c r="AK311" s="662">
        <v>0</v>
      </c>
      <c r="AL311" s="662">
        <v>0</v>
      </c>
      <c r="AM311" s="662">
        <v>0</v>
      </c>
      <c r="AN311" s="662">
        <v>0</v>
      </c>
      <c r="AO311" s="662">
        <v>0</v>
      </c>
      <c r="AP311" s="662">
        <v>0</v>
      </c>
      <c r="AQ311" s="662">
        <v>0</v>
      </c>
      <c r="AR311" s="662">
        <v>0</v>
      </c>
      <c r="AS311" s="662">
        <v>0</v>
      </c>
    </row>
    <row r="312" spans="1:45">
      <c r="A312"/>
      <c r="B312" s="779"/>
      <c r="C312" s="635" t="s">
        <v>226</v>
      </c>
      <c r="D312" s="662"/>
      <c r="E312" s="662"/>
      <c r="F312" s="662"/>
      <c r="G312" s="662"/>
      <c r="H312" s="662"/>
      <c r="I312" s="662"/>
      <c r="J312" s="662"/>
      <c r="K312" s="662"/>
      <c r="L312" s="662"/>
      <c r="M312" s="662"/>
      <c r="N312" s="662"/>
      <c r="O312" s="662"/>
      <c r="Q312" s="779"/>
      <c r="R312" s="402" t="s">
        <v>226</v>
      </c>
      <c r="S312" s="662">
        <v>0</v>
      </c>
      <c r="T312" s="662">
        <v>0</v>
      </c>
      <c r="U312" s="662">
        <v>0</v>
      </c>
      <c r="V312" s="662">
        <v>0</v>
      </c>
      <c r="W312" s="662">
        <v>0</v>
      </c>
      <c r="X312" s="662">
        <v>0</v>
      </c>
      <c r="Y312" s="662">
        <v>0</v>
      </c>
      <c r="Z312" s="662">
        <v>0</v>
      </c>
      <c r="AA312" s="662">
        <v>0</v>
      </c>
      <c r="AB312" s="662">
        <v>0</v>
      </c>
      <c r="AC312" s="662"/>
      <c r="AD312" s="662"/>
      <c r="AF312" s="779"/>
      <c r="AG312" s="402" t="s">
        <v>226</v>
      </c>
      <c r="AH312" s="662">
        <v>0</v>
      </c>
      <c r="AI312" s="662">
        <v>0</v>
      </c>
      <c r="AJ312" s="662">
        <v>0</v>
      </c>
      <c r="AK312" s="662">
        <v>0</v>
      </c>
      <c r="AL312" s="662">
        <v>0</v>
      </c>
      <c r="AM312" s="662">
        <v>0</v>
      </c>
      <c r="AN312" s="662">
        <v>0</v>
      </c>
      <c r="AO312" s="662">
        <v>0</v>
      </c>
      <c r="AP312" s="662">
        <v>0</v>
      </c>
      <c r="AQ312" s="662">
        <v>0</v>
      </c>
      <c r="AR312" s="662">
        <v>0</v>
      </c>
      <c r="AS312" s="662">
        <v>0</v>
      </c>
    </row>
    <row r="313" spans="1:45">
      <c r="A313" s="671"/>
      <c r="B313" s="780"/>
      <c r="C313" s="637" t="s">
        <v>149</v>
      </c>
      <c r="D313" s="663"/>
      <c r="E313" s="663"/>
      <c r="F313" s="663"/>
      <c r="G313" s="663"/>
      <c r="H313" s="663"/>
      <c r="I313" s="663"/>
      <c r="J313" s="663"/>
      <c r="K313" s="663"/>
      <c r="L313" s="663"/>
      <c r="M313" s="663"/>
      <c r="N313" s="663"/>
      <c r="O313" s="663"/>
      <c r="Q313" s="780"/>
      <c r="R313" s="670" t="s">
        <v>149</v>
      </c>
      <c r="S313" s="663">
        <v>100</v>
      </c>
      <c r="T313" s="663">
        <v>100</v>
      </c>
      <c r="U313" s="663">
        <v>100</v>
      </c>
      <c r="V313" s="663">
        <v>100</v>
      </c>
      <c r="W313" s="663">
        <v>100</v>
      </c>
      <c r="X313" s="663">
        <v>100</v>
      </c>
      <c r="Y313" s="663">
        <v>100</v>
      </c>
      <c r="Z313" s="663">
        <v>100</v>
      </c>
      <c r="AA313" s="663">
        <v>100</v>
      </c>
      <c r="AB313" s="663">
        <v>100</v>
      </c>
      <c r="AC313" s="663">
        <v>100</v>
      </c>
      <c r="AD313" s="663">
        <v>100</v>
      </c>
      <c r="AF313" s="780"/>
      <c r="AG313" s="670" t="s">
        <v>149</v>
      </c>
      <c r="AH313" s="663">
        <v>100</v>
      </c>
      <c r="AI313" s="663">
        <v>100</v>
      </c>
      <c r="AJ313" s="663">
        <v>100</v>
      </c>
      <c r="AK313" s="663">
        <v>100</v>
      </c>
      <c r="AL313" s="663">
        <v>100</v>
      </c>
      <c r="AM313" s="663">
        <v>100</v>
      </c>
      <c r="AN313" s="663">
        <v>100</v>
      </c>
      <c r="AO313" s="663">
        <v>100</v>
      </c>
      <c r="AP313" s="663">
        <v>100</v>
      </c>
      <c r="AQ313" s="663">
        <v>100</v>
      </c>
      <c r="AR313" s="663">
        <v>100</v>
      </c>
      <c r="AS313" s="663">
        <v>100</v>
      </c>
    </row>
    <row r="314" spans="1:45">
      <c r="A314"/>
      <c r="B314" s="778" t="s">
        <v>88</v>
      </c>
      <c r="C314" s="655" t="s">
        <v>48</v>
      </c>
      <c r="D314" s="662">
        <v>0</v>
      </c>
      <c r="E314" s="662">
        <v>0</v>
      </c>
      <c r="F314" s="662">
        <v>0</v>
      </c>
      <c r="G314" s="662">
        <v>0</v>
      </c>
      <c r="H314" s="662">
        <v>0</v>
      </c>
      <c r="I314" s="662">
        <v>0</v>
      </c>
      <c r="J314" s="662">
        <v>0</v>
      </c>
      <c r="K314" s="662">
        <v>0</v>
      </c>
      <c r="L314" s="662">
        <v>0</v>
      </c>
      <c r="M314" s="662">
        <v>0</v>
      </c>
      <c r="N314" s="662">
        <v>0</v>
      </c>
      <c r="O314" s="662">
        <v>0</v>
      </c>
      <c r="Q314" s="778" t="s">
        <v>88</v>
      </c>
      <c r="R314" s="402" t="s">
        <v>48</v>
      </c>
      <c r="S314" s="662">
        <v>0</v>
      </c>
      <c r="T314" s="662">
        <v>0</v>
      </c>
      <c r="U314" s="662">
        <v>0</v>
      </c>
      <c r="V314" s="662">
        <v>0</v>
      </c>
      <c r="W314" s="662">
        <v>0</v>
      </c>
      <c r="X314" s="662">
        <v>0</v>
      </c>
      <c r="Y314" s="662">
        <v>0</v>
      </c>
      <c r="Z314" s="662">
        <v>0</v>
      </c>
      <c r="AA314" s="662">
        <v>0</v>
      </c>
      <c r="AB314" s="662">
        <v>0</v>
      </c>
      <c r="AC314" s="662">
        <v>0</v>
      </c>
      <c r="AD314" s="662">
        <v>0</v>
      </c>
      <c r="AF314" s="778" t="s">
        <v>88</v>
      </c>
      <c r="AG314" s="402" t="s">
        <v>48</v>
      </c>
      <c r="AH314" s="662">
        <v>0</v>
      </c>
      <c r="AI314" s="662">
        <v>0</v>
      </c>
      <c r="AJ314" s="662">
        <v>0</v>
      </c>
      <c r="AK314" s="662">
        <v>0</v>
      </c>
      <c r="AL314" s="662">
        <v>0</v>
      </c>
      <c r="AM314" s="662">
        <v>0</v>
      </c>
      <c r="AN314" s="662">
        <v>0</v>
      </c>
      <c r="AO314" s="662">
        <v>0</v>
      </c>
      <c r="AP314" s="662">
        <v>0</v>
      </c>
      <c r="AQ314" s="662">
        <v>0</v>
      </c>
      <c r="AR314" s="662">
        <v>0</v>
      </c>
      <c r="AS314" s="662">
        <v>0</v>
      </c>
    </row>
    <row r="315" spans="1:45">
      <c r="A315"/>
      <c r="B315" s="779"/>
      <c r="C315" s="635" t="s">
        <v>226</v>
      </c>
      <c r="D315" s="662"/>
      <c r="E315" s="662"/>
      <c r="F315" s="662"/>
      <c r="G315" s="662"/>
      <c r="H315" s="662"/>
      <c r="I315" s="662"/>
      <c r="J315" s="662"/>
      <c r="K315" s="662"/>
      <c r="L315" s="662"/>
      <c r="M315" s="662"/>
      <c r="N315" s="662"/>
      <c r="O315" s="662"/>
      <c r="Q315" s="779"/>
      <c r="R315" s="402" t="s">
        <v>226</v>
      </c>
      <c r="S315" s="662">
        <v>0</v>
      </c>
      <c r="T315" s="662">
        <v>0</v>
      </c>
      <c r="U315" s="662">
        <v>0</v>
      </c>
      <c r="V315" s="662">
        <v>0</v>
      </c>
      <c r="W315" s="662">
        <v>0</v>
      </c>
      <c r="X315" s="662">
        <v>0</v>
      </c>
      <c r="Y315" s="662">
        <v>0</v>
      </c>
      <c r="Z315" s="662">
        <v>0</v>
      </c>
      <c r="AA315" s="662">
        <v>0</v>
      </c>
      <c r="AB315" s="662">
        <v>0</v>
      </c>
      <c r="AC315" s="662">
        <v>0</v>
      </c>
      <c r="AD315" s="662">
        <v>0</v>
      </c>
      <c r="AF315" s="779"/>
      <c r="AG315" s="402" t="s">
        <v>226</v>
      </c>
      <c r="AH315" s="662">
        <v>0</v>
      </c>
      <c r="AI315" s="662">
        <v>0</v>
      </c>
      <c r="AJ315" s="662">
        <v>0</v>
      </c>
      <c r="AK315" s="662">
        <v>0</v>
      </c>
      <c r="AL315" s="662">
        <v>0</v>
      </c>
      <c r="AM315" s="662">
        <v>0</v>
      </c>
      <c r="AN315" s="662">
        <v>0</v>
      </c>
      <c r="AO315" s="662">
        <v>0</v>
      </c>
      <c r="AP315" s="662">
        <v>0</v>
      </c>
      <c r="AQ315" s="662">
        <v>0</v>
      </c>
      <c r="AR315" s="662">
        <v>0</v>
      </c>
      <c r="AS315" s="662">
        <v>0</v>
      </c>
    </row>
    <row r="316" spans="1:45">
      <c r="A316" s="671"/>
      <c r="B316" s="780"/>
      <c r="C316" s="637" t="s">
        <v>149</v>
      </c>
      <c r="D316" s="663"/>
      <c r="E316" s="663"/>
      <c r="F316" s="663"/>
      <c r="G316" s="663"/>
      <c r="H316" s="663"/>
      <c r="I316" s="663"/>
      <c r="J316" s="663"/>
      <c r="K316" s="663"/>
      <c r="L316" s="663"/>
      <c r="M316" s="663"/>
      <c r="N316" s="663"/>
      <c r="O316" s="663"/>
      <c r="Q316" s="780"/>
      <c r="R316" s="670" t="s">
        <v>149</v>
      </c>
      <c r="S316" s="663">
        <v>100</v>
      </c>
      <c r="T316" s="663">
        <v>100</v>
      </c>
      <c r="U316" s="663">
        <v>100</v>
      </c>
      <c r="V316" s="663">
        <v>100</v>
      </c>
      <c r="W316" s="663">
        <v>100</v>
      </c>
      <c r="X316" s="663">
        <v>100</v>
      </c>
      <c r="Y316" s="663">
        <v>100</v>
      </c>
      <c r="Z316" s="663">
        <v>100</v>
      </c>
      <c r="AA316" s="663">
        <v>100</v>
      </c>
      <c r="AB316" s="663">
        <v>100</v>
      </c>
      <c r="AC316" s="663">
        <v>100</v>
      </c>
      <c r="AD316" s="663">
        <v>100</v>
      </c>
      <c r="AF316" s="780"/>
      <c r="AG316" s="670" t="s">
        <v>149</v>
      </c>
      <c r="AH316" s="663">
        <v>100</v>
      </c>
      <c r="AI316" s="663">
        <v>100</v>
      </c>
      <c r="AJ316" s="663">
        <v>100</v>
      </c>
      <c r="AK316" s="663">
        <v>100</v>
      </c>
      <c r="AL316" s="663">
        <v>100</v>
      </c>
      <c r="AM316" s="663">
        <v>100</v>
      </c>
      <c r="AN316" s="663">
        <v>100</v>
      </c>
      <c r="AO316" s="663">
        <v>100</v>
      </c>
      <c r="AP316" s="663">
        <v>100</v>
      </c>
      <c r="AQ316" s="663">
        <v>100</v>
      </c>
      <c r="AR316" s="663">
        <v>100</v>
      </c>
      <c r="AS316" s="663">
        <v>100</v>
      </c>
    </row>
    <row r="317" spans="1:45">
      <c r="A317"/>
      <c r="B317" s="778" t="s">
        <v>121</v>
      </c>
      <c r="C317" s="655" t="s">
        <v>48</v>
      </c>
      <c r="D317" s="662">
        <v>0.34</v>
      </c>
      <c r="E317" s="662">
        <v>0.68</v>
      </c>
      <c r="F317" s="662">
        <v>1.02</v>
      </c>
      <c r="G317" s="662">
        <v>1.36</v>
      </c>
      <c r="H317" s="662">
        <v>1.7</v>
      </c>
      <c r="I317" s="662">
        <v>2.04</v>
      </c>
      <c r="J317" s="662">
        <v>2.5499999999999998</v>
      </c>
      <c r="K317" s="662">
        <v>3.06</v>
      </c>
      <c r="L317" s="662">
        <v>3.57</v>
      </c>
      <c r="M317" s="662">
        <v>4.08</v>
      </c>
      <c r="N317" s="662">
        <v>4.59</v>
      </c>
      <c r="O317" s="662">
        <v>5.0999999999999996</v>
      </c>
      <c r="Q317" s="778" t="s">
        <v>121</v>
      </c>
      <c r="R317" s="402" t="s">
        <v>48</v>
      </c>
      <c r="S317" s="662">
        <v>0.34</v>
      </c>
      <c r="T317" s="662">
        <v>0.68</v>
      </c>
      <c r="U317" s="662">
        <v>1.02</v>
      </c>
      <c r="V317" s="662">
        <v>1.36</v>
      </c>
      <c r="W317" s="662">
        <v>1.7</v>
      </c>
      <c r="X317" s="662">
        <v>2.04</v>
      </c>
      <c r="Y317" s="662">
        <v>2.5499999999999998</v>
      </c>
      <c r="Z317" s="662">
        <v>3.06</v>
      </c>
      <c r="AA317" s="662">
        <v>3.57</v>
      </c>
      <c r="AB317" s="662">
        <v>4.08</v>
      </c>
      <c r="AC317" s="662">
        <v>4.59</v>
      </c>
      <c r="AD317" s="662">
        <v>5.0999999999999996</v>
      </c>
      <c r="AF317" s="778" t="s">
        <v>121</v>
      </c>
      <c r="AG317" s="402" t="s">
        <v>48</v>
      </c>
      <c r="AH317" s="662">
        <v>0.34</v>
      </c>
      <c r="AI317" s="662">
        <v>0.68</v>
      </c>
      <c r="AJ317" s="662">
        <v>1.02</v>
      </c>
      <c r="AK317" s="662">
        <v>1.36</v>
      </c>
      <c r="AL317" s="662">
        <v>1.7</v>
      </c>
      <c r="AM317" s="662">
        <v>2.04</v>
      </c>
      <c r="AN317" s="662">
        <v>2.5499999999999998</v>
      </c>
      <c r="AO317" s="662">
        <v>3.06</v>
      </c>
      <c r="AP317" s="662">
        <v>3.57</v>
      </c>
      <c r="AQ317" s="662">
        <v>4.08</v>
      </c>
      <c r="AR317" s="662">
        <v>4.59</v>
      </c>
      <c r="AS317" s="662">
        <v>5.0999999999999996</v>
      </c>
    </row>
    <row r="318" spans="1:45">
      <c r="A318"/>
      <c r="B318" s="779"/>
      <c r="C318" s="635" t="s">
        <v>226</v>
      </c>
      <c r="D318" s="662"/>
      <c r="E318" s="662"/>
      <c r="F318" s="662"/>
      <c r="G318" s="662"/>
      <c r="H318" s="662"/>
      <c r="I318" s="662"/>
      <c r="J318" s="662"/>
      <c r="K318" s="662"/>
      <c r="L318" s="662"/>
      <c r="M318" s="662"/>
      <c r="N318" s="662"/>
      <c r="O318" s="662"/>
      <c r="Q318" s="779"/>
      <c r="R318" s="402" t="s">
        <v>226</v>
      </c>
      <c r="S318" s="662">
        <v>0</v>
      </c>
      <c r="T318" s="662">
        <v>0</v>
      </c>
      <c r="U318" s="662">
        <v>1.539625</v>
      </c>
      <c r="V318" s="662">
        <v>1.539625</v>
      </c>
      <c r="W318" s="662">
        <v>2.7871760000000001</v>
      </c>
      <c r="X318" s="662">
        <v>2.7871760000000001</v>
      </c>
      <c r="Y318" s="662">
        <v>2.7871760000000001</v>
      </c>
      <c r="Z318" s="662">
        <v>2.7871760000000001</v>
      </c>
      <c r="AA318" s="662">
        <v>4.3891640000000001</v>
      </c>
      <c r="AB318" s="662">
        <v>4.3891640000000001</v>
      </c>
      <c r="AC318" s="662"/>
      <c r="AD318" s="662"/>
      <c r="AF318" s="779"/>
      <c r="AG318" s="402" t="s">
        <v>226</v>
      </c>
      <c r="AH318" s="662">
        <v>0</v>
      </c>
      <c r="AI318" s="662">
        <v>0</v>
      </c>
      <c r="AJ318" s="662">
        <v>1.539625</v>
      </c>
      <c r="AK318" s="662">
        <v>1.539625</v>
      </c>
      <c r="AL318" s="662">
        <v>2.7871760000000001</v>
      </c>
      <c r="AM318" s="662">
        <v>2.7871760000000001</v>
      </c>
      <c r="AN318" s="662">
        <v>2.7871760000000001</v>
      </c>
      <c r="AO318" s="662">
        <v>2.7871760000000001</v>
      </c>
      <c r="AP318" s="662">
        <v>4.3891640000000001</v>
      </c>
      <c r="AQ318" s="662">
        <v>4.3891640000000001</v>
      </c>
      <c r="AR318" s="662">
        <v>0</v>
      </c>
      <c r="AS318" s="662">
        <v>0</v>
      </c>
    </row>
    <row r="319" spans="1:45">
      <c r="A319" s="671"/>
      <c r="B319" s="780"/>
      <c r="C319" s="637" t="s">
        <v>149</v>
      </c>
      <c r="D319" s="663"/>
      <c r="E319" s="663"/>
      <c r="F319" s="663"/>
      <c r="G319" s="663"/>
      <c r="H319" s="663"/>
      <c r="I319" s="663"/>
      <c r="J319" s="663"/>
      <c r="K319" s="663"/>
      <c r="L319" s="663"/>
      <c r="M319" s="663"/>
      <c r="N319" s="663"/>
      <c r="O319" s="663"/>
      <c r="Q319" s="780"/>
      <c r="R319" s="670" t="s">
        <v>149</v>
      </c>
      <c r="S319" s="663">
        <v>0</v>
      </c>
      <c r="T319" s="663">
        <v>0</v>
      </c>
      <c r="U319" s="663">
        <v>110</v>
      </c>
      <c r="V319" s="663">
        <v>110</v>
      </c>
      <c r="W319" s="663">
        <v>110</v>
      </c>
      <c r="X319" s="663">
        <v>110</v>
      </c>
      <c r="Y319" s="663">
        <v>109.30101960784316</v>
      </c>
      <c r="Z319" s="663">
        <v>91.084183006535952</v>
      </c>
      <c r="AA319" s="663">
        <v>110</v>
      </c>
      <c r="AB319" s="663">
        <v>107.57754901960783</v>
      </c>
      <c r="AC319" s="663">
        <v>0</v>
      </c>
      <c r="AD319" s="663">
        <v>0</v>
      </c>
      <c r="AF319" s="780"/>
      <c r="AG319" s="670" t="s">
        <v>149</v>
      </c>
      <c r="AH319" s="663">
        <v>0</v>
      </c>
      <c r="AI319" s="663">
        <v>0</v>
      </c>
      <c r="AJ319" s="663">
        <v>110</v>
      </c>
      <c r="AK319" s="663">
        <v>110</v>
      </c>
      <c r="AL319" s="663">
        <v>110</v>
      </c>
      <c r="AM319" s="663">
        <v>110</v>
      </c>
      <c r="AN319" s="663">
        <v>109.30101960784316</v>
      </c>
      <c r="AO319" s="663">
        <v>91.084183006535952</v>
      </c>
      <c r="AP319" s="663">
        <v>110</v>
      </c>
      <c r="AQ319" s="663">
        <v>107.57754901960783</v>
      </c>
      <c r="AR319" s="663">
        <v>0</v>
      </c>
      <c r="AS319" s="663">
        <v>0</v>
      </c>
    </row>
    <row r="320" spans="1:45">
      <c r="A320"/>
      <c r="B320" s="778" t="s">
        <v>89</v>
      </c>
      <c r="C320" s="655" t="s">
        <v>48</v>
      </c>
      <c r="D320" s="662">
        <v>0</v>
      </c>
      <c r="E320" s="662">
        <v>0</v>
      </c>
      <c r="F320" s="662">
        <v>0</v>
      </c>
      <c r="G320" s="662">
        <v>0</v>
      </c>
      <c r="H320" s="662">
        <v>0</v>
      </c>
      <c r="I320" s="662">
        <v>0</v>
      </c>
      <c r="J320" s="662">
        <v>0</v>
      </c>
      <c r="K320" s="662">
        <v>0</v>
      </c>
      <c r="L320" s="662">
        <v>0</v>
      </c>
      <c r="M320" s="662">
        <v>0</v>
      </c>
      <c r="N320" s="662">
        <v>0</v>
      </c>
      <c r="O320" s="662">
        <v>0</v>
      </c>
      <c r="Q320" s="778" t="s">
        <v>89</v>
      </c>
      <c r="R320" s="402" t="s">
        <v>48</v>
      </c>
      <c r="S320" s="662">
        <v>0</v>
      </c>
      <c r="T320" s="662">
        <v>0</v>
      </c>
      <c r="U320" s="662">
        <v>0</v>
      </c>
      <c r="V320" s="662">
        <v>0</v>
      </c>
      <c r="W320" s="662">
        <v>0</v>
      </c>
      <c r="X320" s="662">
        <v>0</v>
      </c>
      <c r="Y320" s="662">
        <v>0</v>
      </c>
      <c r="Z320" s="662">
        <v>0</v>
      </c>
      <c r="AA320" s="662">
        <v>0</v>
      </c>
      <c r="AB320" s="662">
        <v>0</v>
      </c>
      <c r="AC320" s="662">
        <v>0</v>
      </c>
      <c r="AD320" s="662">
        <v>0</v>
      </c>
      <c r="AF320" s="778" t="s">
        <v>89</v>
      </c>
      <c r="AG320" s="402" t="s">
        <v>48</v>
      </c>
      <c r="AH320" s="662">
        <v>0</v>
      </c>
      <c r="AI320" s="662">
        <v>0</v>
      </c>
      <c r="AJ320" s="662">
        <v>0</v>
      </c>
      <c r="AK320" s="662">
        <v>0</v>
      </c>
      <c r="AL320" s="662">
        <v>0</v>
      </c>
      <c r="AM320" s="662">
        <v>0</v>
      </c>
      <c r="AN320" s="662">
        <v>0</v>
      </c>
      <c r="AO320" s="662">
        <v>0</v>
      </c>
      <c r="AP320" s="662">
        <v>0</v>
      </c>
      <c r="AQ320" s="662">
        <v>0</v>
      </c>
      <c r="AR320" s="662">
        <v>0</v>
      </c>
      <c r="AS320" s="662">
        <v>0</v>
      </c>
    </row>
    <row r="321" spans="1:45">
      <c r="A321"/>
      <c r="B321" s="779"/>
      <c r="C321" s="635" t="s">
        <v>226</v>
      </c>
      <c r="D321" s="662"/>
      <c r="E321" s="662"/>
      <c r="F321" s="662"/>
      <c r="G321" s="662"/>
      <c r="H321" s="662"/>
      <c r="I321" s="662"/>
      <c r="J321" s="662"/>
      <c r="K321" s="662"/>
      <c r="L321" s="662"/>
      <c r="M321" s="662"/>
      <c r="N321" s="662"/>
      <c r="O321" s="662"/>
      <c r="P321" s="636"/>
      <c r="Q321" s="779"/>
      <c r="R321" s="402" t="s">
        <v>226</v>
      </c>
      <c r="S321" s="662">
        <v>0</v>
      </c>
      <c r="T321" s="662">
        <v>0</v>
      </c>
      <c r="U321" s="662">
        <v>0</v>
      </c>
      <c r="V321" s="662">
        <v>0</v>
      </c>
      <c r="W321" s="662">
        <v>0</v>
      </c>
      <c r="X321" s="662">
        <v>0</v>
      </c>
      <c r="Y321" s="662">
        <v>0</v>
      </c>
      <c r="Z321" s="662">
        <v>0</v>
      </c>
      <c r="AA321" s="662">
        <v>0</v>
      </c>
      <c r="AB321" s="662">
        <v>0</v>
      </c>
      <c r="AC321" s="662"/>
      <c r="AD321" s="662"/>
      <c r="AF321" s="779"/>
      <c r="AG321" s="402" t="s">
        <v>226</v>
      </c>
      <c r="AH321" s="662">
        <v>0</v>
      </c>
      <c r="AI321" s="662">
        <v>0</v>
      </c>
      <c r="AJ321" s="662">
        <v>0</v>
      </c>
      <c r="AK321" s="662">
        <v>0</v>
      </c>
      <c r="AL321" s="662">
        <v>0</v>
      </c>
      <c r="AM321" s="662">
        <v>0</v>
      </c>
      <c r="AN321" s="662">
        <v>0</v>
      </c>
      <c r="AO321" s="662">
        <v>0</v>
      </c>
      <c r="AP321" s="662">
        <v>0</v>
      </c>
      <c r="AQ321" s="662">
        <v>0</v>
      </c>
      <c r="AR321" s="662">
        <v>0</v>
      </c>
      <c r="AS321" s="662">
        <v>0</v>
      </c>
    </row>
    <row r="322" spans="1:45">
      <c r="A322" s="671"/>
      <c r="B322" s="780"/>
      <c r="C322" s="637" t="s">
        <v>149</v>
      </c>
      <c r="D322" s="663"/>
      <c r="E322" s="663"/>
      <c r="F322" s="663"/>
      <c r="G322" s="663"/>
      <c r="H322" s="663"/>
      <c r="I322" s="663"/>
      <c r="J322" s="663"/>
      <c r="K322" s="663"/>
      <c r="L322" s="663"/>
      <c r="M322" s="663"/>
      <c r="N322" s="663"/>
      <c r="O322" s="663"/>
      <c r="Q322" s="780"/>
      <c r="R322" s="670" t="s">
        <v>149</v>
      </c>
      <c r="S322" s="663">
        <v>100</v>
      </c>
      <c r="T322" s="663">
        <v>100</v>
      </c>
      <c r="U322" s="663">
        <v>100</v>
      </c>
      <c r="V322" s="663">
        <v>100</v>
      </c>
      <c r="W322" s="663">
        <v>100</v>
      </c>
      <c r="X322" s="663">
        <v>100</v>
      </c>
      <c r="Y322" s="663">
        <v>100</v>
      </c>
      <c r="Z322" s="663">
        <v>100</v>
      </c>
      <c r="AA322" s="663">
        <v>100</v>
      </c>
      <c r="AB322" s="663">
        <v>100</v>
      </c>
      <c r="AC322" s="663">
        <v>100</v>
      </c>
      <c r="AD322" s="663">
        <v>100</v>
      </c>
      <c r="AF322" s="780"/>
      <c r="AG322" s="670" t="s">
        <v>149</v>
      </c>
      <c r="AH322" s="663">
        <v>100</v>
      </c>
      <c r="AI322" s="663">
        <v>100</v>
      </c>
      <c r="AJ322" s="663">
        <v>100</v>
      </c>
      <c r="AK322" s="663">
        <v>100</v>
      </c>
      <c r="AL322" s="663">
        <v>100</v>
      </c>
      <c r="AM322" s="663">
        <v>100</v>
      </c>
      <c r="AN322" s="663">
        <v>100</v>
      </c>
      <c r="AO322" s="663">
        <v>100</v>
      </c>
      <c r="AP322" s="663">
        <v>100</v>
      </c>
      <c r="AQ322" s="663">
        <v>100</v>
      </c>
      <c r="AR322" s="663">
        <v>100</v>
      </c>
      <c r="AS322" s="663">
        <v>100</v>
      </c>
    </row>
    <row r="323" spans="1:45">
      <c r="A323"/>
      <c r="B323" s="783" t="s">
        <v>90</v>
      </c>
      <c r="C323" s="655" t="s">
        <v>48</v>
      </c>
      <c r="D323" s="662">
        <v>0.62</v>
      </c>
      <c r="E323" s="662">
        <v>1.24</v>
      </c>
      <c r="F323" s="662">
        <v>1.86</v>
      </c>
      <c r="G323" s="662">
        <v>2.48</v>
      </c>
      <c r="H323" s="662">
        <v>3.1</v>
      </c>
      <c r="I323" s="662">
        <v>3.73</v>
      </c>
      <c r="J323" s="662">
        <v>4.66</v>
      </c>
      <c r="K323" s="662">
        <v>5.59</v>
      </c>
      <c r="L323" s="662">
        <v>6.52</v>
      </c>
      <c r="M323" s="662">
        <v>7.45</v>
      </c>
      <c r="N323" s="662">
        <v>8.3800000000000008</v>
      </c>
      <c r="O323" s="662">
        <v>9.31</v>
      </c>
      <c r="Q323" s="786" t="s">
        <v>90</v>
      </c>
      <c r="R323" s="402" t="s">
        <v>48</v>
      </c>
      <c r="S323" s="662">
        <v>0.62</v>
      </c>
      <c r="T323" s="662">
        <v>1.24</v>
      </c>
      <c r="U323" s="662">
        <v>1.86</v>
      </c>
      <c r="V323" s="662">
        <v>2.48</v>
      </c>
      <c r="W323" s="662">
        <v>3.1</v>
      </c>
      <c r="X323" s="662">
        <v>3.73</v>
      </c>
      <c r="Y323" s="662">
        <v>4.66</v>
      </c>
      <c r="Z323" s="662">
        <v>5.59</v>
      </c>
      <c r="AA323" s="662">
        <v>6.52</v>
      </c>
      <c r="AB323" s="662">
        <v>7.45</v>
      </c>
      <c r="AC323" s="662">
        <v>8.3800000000000008</v>
      </c>
      <c r="AD323" s="662">
        <v>9.31</v>
      </c>
      <c r="AF323" s="786" t="s">
        <v>90</v>
      </c>
      <c r="AG323" s="402" t="s">
        <v>48</v>
      </c>
      <c r="AH323" s="662">
        <v>0.62</v>
      </c>
      <c r="AI323" s="662">
        <v>1.24</v>
      </c>
      <c r="AJ323" s="662">
        <v>1.86</v>
      </c>
      <c r="AK323" s="662">
        <v>2.48</v>
      </c>
      <c r="AL323" s="662">
        <v>3.1</v>
      </c>
      <c r="AM323" s="662">
        <v>3.73</v>
      </c>
      <c r="AN323" s="662">
        <v>4.66</v>
      </c>
      <c r="AO323" s="662">
        <v>5.59</v>
      </c>
      <c r="AP323" s="662">
        <v>6.52</v>
      </c>
      <c r="AQ323" s="662">
        <v>7.45</v>
      </c>
      <c r="AR323" s="662">
        <v>8.3800000000000008</v>
      </c>
      <c r="AS323" s="662">
        <v>9.31</v>
      </c>
    </row>
    <row r="324" spans="1:45">
      <c r="A324"/>
      <c r="B324" s="784"/>
      <c r="C324" s="635" t="s">
        <v>226</v>
      </c>
      <c r="D324" s="662"/>
      <c r="E324" s="662"/>
      <c r="F324" s="662"/>
      <c r="G324" s="662"/>
      <c r="H324" s="662"/>
      <c r="I324" s="662"/>
      <c r="J324" s="662"/>
      <c r="K324" s="662"/>
      <c r="L324" s="662"/>
      <c r="M324" s="662"/>
      <c r="N324" s="662"/>
      <c r="O324" s="662"/>
      <c r="Q324" s="787"/>
      <c r="R324" s="402" t="s">
        <v>226</v>
      </c>
      <c r="S324" s="662">
        <v>0</v>
      </c>
      <c r="T324" s="662">
        <v>0</v>
      </c>
      <c r="U324" s="662">
        <v>2.5170159999999999</v>
      </c>
      <c r="V324" s="662">
        <v>3.384001</v>
      </c>
      <c r="W324" s="662">
        <v>11.555612</v>
      </c>
      <c r="X324" s="662">
        <v>11.555612</v>
      </c>
      <c r="Y324" s="662">
        <v>11.555612</v>
      </c>
      <c r="Z324" s="662">
        <v>11.555612</v>
      </c>
      <c r="AA324" s="662">
        <v>16.879501000000001</v>
      </c>
      <c r="AB324" s="662">
        <v>16.981306</v>
      </c>
      <c r="AC324" s="662">
        <v>0</v>
      </c>
      <c r="AD324" s="662">
        <v>0</v>
      </c>
      <c r="AF324" s="787"/>
      <c r="AG324" s="402" t="s">
        <v>226</v>
      </c>
      <c r="AH324" s="662">
        <v>0</v>
      </c>
      <c r="AI324" s="662">
        <v>0</v>
      </c>
      <c r="AJ324" s="662">
        <v>2.5170159999999999</v>
      </c>
      <c r="AK324" s="662">
        <v>3.384001</v>
      </c>
      <c r="AL324" s="662">
        <v>11.555612</v>
      </c>
      <c r="AM324" s="662">
        <v>11.555612</v>
      </c>
      <c r="AN324" s="662">
        <v>11.555612</v>
      </c>
      <c r="AO324" s="662">
        <v>11.555612</v>
      </c>
      <c r="AP324" s="662">
        <v>16.879501000000001</v>
      </c>
      <c r="AQ324" s="662">
        <v>16.981306</v>
      </c>
      <c r="AR324" s="662">
        <v>0</v>
      </c>
      <c r="AS324" s="662">
        <v>0</v>
      </c>
    </row>
    <row r="325" spans="1:45">
      <c r="A325" s="671"/>
      <c r="B325" s="785"/>
      <c r="C325" s="637" t="s">
        <v>149</v>
      </c>
      <c r="D325" s="663"/>
      <c r="E325" s="663"/>
      <c r="F325" s="663"/>
      <c r="G325" s="663"/>
      <c r="H325" s="663"/>
      <c r="I325" s="663"/>
      <c r="J325" s="663"/>
      <c r="K325" s="663"/>
      <c r="L325" s="663"/>
      <c r="M325" s="663"/>
      <c r="N325" s="663"/>
      <c r="O325" s="663"/>
      <c r="Q325" s="788"/>
      <c r="R325" s="670" t="s">
        <v>149</v>
      </c>
      <c r="S325" s="699">
        <v>0</v>
      </c>
      <c r="T325" s="699">
        <v>0</v>
      </c>
      <c r="U325" s="699">
        <v>110</v>
      </c>
      <c r="V325" s="699">
        <v>110</v>
      </c>
      <c r="W325" s="699">
        <v>110</v>
      </c>
      <c r="X325" s="699">
        <v>110</v>
      </c>
      <c r="Y325" s="699">
        <v>110</v>
      </c>
      <c r="Z325" s="699">
        <v>110</v>
      </c>
      <c r="AA325" s="699">
        <v>110</v>
      </c>
      <c r="AB325" s="699">
        <v>110</v>
      </c>
      <c r="AC325" s="699">
        <v>0</v>
      </c>
      <c r="AD325" s="699">
        <v>0</v>
      </c>
      <c r="AF325" s="788"/>
      <c r="AG325" s="670" t="s">
        <v>149</v>
      </c>
      <c r="AH325" s="663">
        <v>0</v>
      </c>
      <c r="AI325" s="663">
        <v>0</v>
      </c>
      <c r="AJ325" s="663">
        <v>110</v>
      </c>
      <c r="AK325" s="663">
        <v>110</v>
      </c>
      <c r="AL325" s="663">
        <v>110</v>
      </c>
      <c r="AM325" s="663">
        <v>110</v>
      </c>
      <c r="AN325" s="663">
        <v>110</v>
      </c>
      <c r="AO325" s="663">
        <v>110</v>
      </c>
      <c r="AP325" s="663">
        <v>110</v>
      </c>
      <c r="AQ325" s="663">
        <v>110</v>
      </c>
      <c r="AR325" s="663">
        <v>0</v>
      </c>
      <c r="AS325" s="663">
        <v>0</v>
      </c>
    </row>
    <row r="326" spans="1:45">
      <c r="A326" s="671"/>
      <c r="B326" s="718"/>
      <c r="C326" s="701"/>
      <c r="D326" s="719"/>
      <c r="E326" s="719"/>
      <c r="F326" s="719"/>
      <c r="G326" s="719"/>
      <c r="H326" s="719"/>
      <c r="I326" s="719"/>
      <c r="J326" s="719"/>
      <c r="K326" s="719"/>
      <c r="L326" s="719"/>
      <c r="M326" s="719"/>
      <c r="N326" s="719"/>
      <c r="O326" s="719"/>
      <c r="Q326" s="720"/>
      <c r="R326" s="705"/>
      <c r="S326" s="721"/>
      <c r="T326" s="721"/>
      <c r="U326" s="721"/>
      <c r="V326" s="721"/>
      <c r="W326" s="721"/>
      <c r="X326" s="721"/>
      <c r="Y326" s="721"/>
      <c r="Z326" s="721"/>
      <c r="AA326" s="721"/>
      <c r="AB326" s="721"/>
      <c r="AC326" s="721"/>
      <c r="AD326" s="721"/>
      <c r="AF326" s="720"/>
      <c r="AG326" s="705"/>
      <c r="AH326" s="719"/>
      <c r="AI326" s="719"/>
      <c r="AJ326" s="719"/>
      <c r="AK326" s="719"/>
      <c r="AL326" s="719"/>
      <c r="AM326" s="719"/>
      <c r="AN326" s="719"/>
      <c r="AO326" s="719"/>
      <c r="AP326" s="719"/>
      <c r="AQ326" s="719"/>
      <c r="AR326" s="719"/>
      <c r="AS326" s="719"/>
    </row>
    <row r="327" spans="1:45">
      <c r="A327"/>
      <c r="D327" s="661"/>
      <c r="E327" s="661"/>
      <c r="F327" s="661"/>
      <c r="G327" s="661"/>
      <c r="H327" s="661"/>
      <c r="I327" s="661"/>
      <c r="J327" s="661"/>
      <c r="K327" s="661"/>
      <c r="L327" s="661"/>
      <c r="M327" s="661"/>
      <c r="N327" s="661"/>
      <c r="O327" s="661"/>
      <c r="S327" s="105"/>
      <c r="T327" s="105"/>
      <c r="U327" s="105"/>
      <c r="V327" s="105"/>
      <c r="W327" s="586"/>
      <c r="X327" s="586"/>
      <c r="Y327" s="105"/>
      <c r="Z327" s="105"/>
      <c r="AA327" s="105"/>
      <c r="AB327" s="105"/>
      <c r="AC327" s="105"/>
      <c r="AD327" s="105"/>
      <c r="AH327" s="105"/>
      <c r="AI327" s="661"/>
      <c r="AJ327" s="105"/>
      <c r="AK327" s="105"/>
      <c r="AL327" s="105"/>
      <c r="AM327" s="105"/>
      <c r="AN327" s="105"/>
      <c r="AO327" s="105"/>
      <c r="AP327" s="105"/>
      <c r="AQ327" s="105"/>
      <c r="AR327" s="105"/>
      <c r="AS327" s="105"/>
    </row>
    <row r="328" spans="1:45">
      <c r="A328" s="105">
        <v>10</v>
      </c>
      <c r="B328" s="21" t="s">
        <v>228</v>
      </c>
      <c r="D328" s="105"/>
      <c r="E328" s="664"/>
      <c r="F328" s="664"/>
      <c r="G328" s="664"/>
      <c r="H328" s="664"/>
      <c r="I328" s="664"/>
      <c r="J328" s="105"/>
      <c r="K328" s="105"/>
      <c r="L328" s="105"/>
      <c r="M328" s="105"/>
      <c r="N328" s="105"/>
      <c r="O328" s="105"/>
      <c r="Q328" t="s">
        <v>228</v>
      </c>
      <c r="S328" s="105"/>
      <c r="T328" s="105"/>
      <c r="U328" s="105"/>
      <c r="V328" s="105"/>
      <c r="W328" s="105"/>
      <c r="X328" s="105"/>
      <c r="Y328" s="105"/>
      <c r="Z328" s="105"/>
      <c r="AA328" s="105"/>
      <c r="AB328" s="105"/>
      <c r="AC328" s="105"/>
      <c r="AD328" s="105"/>
      <c r="AF328" t="s">
        <v>228</v>
      </c>
      <c r="AH328" s="105"/>
      <c r="AI328" s="105"/>
      <c r="AJ328" s="105"/>
      <c r="AK328" s="105"/>
      <c r="AL328" s="105"/>
      <c r="AM328" s="105"/>
      <c r="AN328" s="105"/>
      <c r="AO328" s="105"/>
      <c r="AP328" s="105"/>
      <c r="AQ328" s="105"/>
      <c r="AR328" s="105"/>
      <c r="AS328" s="105"/>
    </row>
    <row r="329" spans="1:45">
      <c r="A329"/>
      <c r="B329" s="21" t="s">
        <v>100</v>
      </c>
      <c r="C329" s="665"/>
      <c r="D329" s="661"/>
      <c r="E329" s="661"/>
      <c r="F329" s="661"/>
      <c r="G329" s="661"/>
      <c r="H329" s="661"/>
      <c r="I329" s="661"/>
      <c r="J329" s="105"/>
      <c r="K329" s="105"/>
      <c r="L329" s="105"/>
      <c r="M329" s="105"/>
      <c r="N329" s="105"/>
      <c r="O329" s="666"/>
      <c r="Q329" t="s">
        <v>126</v>
      </c>
      <c r="S329" s="665"/>
      <c r="T329" s="105"/>
      <c r="U329" s="105"/>
      <c r="V329" s="105"/>
      <c r="W329" s="105"/>
      <c r="X329" s="105"/>
      <c r="Y329" s="105"/>
      <c r="Z329" s="105"/>
      <c r="AA329" s="105"/>
      <c r="AB329" s="105"/>
      <c r="AC329" s="105"/>
      <c r="AD329" s="666"/>
      <c r="AF329" t="s">
        <v>127</v>
      </c>
      <c r="AH329" s="665"/>
      <c r="AI329" s="105"/>
      <c r="AJ329" s="105"/>
      <c r="AK329" s="105"/>
      <c r="AL329" s="105"/>
      <c r="AM329" s="105"/>
      <c r="AN329" s="105"/>
      <c r="AO329" s="105"/>
      <c r="AP329" s="105"/>
      <c r="AQ329" s="105"/>
      <c r="AR329" s="105"/>
      <c r="AS329" s="666"/>
    </row>
    <row r="330" spans="1:45">
      <c r="A330"/>
      <c r="B330" s="768" t="s">
        <v>72</v>
      </c>
      <c r="C330" s="769"/>
      <c r="D330" s="552" t="s">
        <v>74</v>
      </c>
      <c r="E330" s="552" t="s">
        <v>75</v>
      </c>
      <c r="F330" s="552" t="s">
        <v>76</v>
      </c>
      <c r="G330" s="552" t="s">
        <v>77</v>
      </c>
      <c r="H330" s="552" t="s">
        <v>78</v>
      </c>
      <c r="I330" s="552" t="s">
        <v>79</v>
      </c>
      <c r="J330" s="552" t="s">
        <v>80</v>
      </c>
      <c r="K330" s="552" t="s">
        <v>81</v>
      </c>
      <c r="L330" s="552" t="s">
        <v>82</v>
      </c>
      <c r="M330" s="552" t="s">
        <v>83</v>
      </c>
      <c r="N330" s="552" t="s">
        <v>84</v>
      </c>
      <c r="O330" s="552" t="s">
        <v>85</v>
      </c>
      <c r="Q330" s="768" t="s">
        <v>72</v>
      </c>
      <c r="R330" s="769"/>
      <c r="S330" s="552" t="s">
        <v>74</v>
      </c>
      <c r="T330" s="552" t="s">
        <v>75</v>
      </c>
      <c r="U330" s="552" t="s">
        <v>76</v>
      </c>
      <c r="V330" s="552" t="s">
        <v>77</v>
      </c>
      <c r="W330" s="552" t="s">
        <v>78</v>
      </c>
      <c r="X330" s="552" t="s">
        <v>79</v>
      </c>
      <c r="Y330" s="552" t="s">
        <v>80</v>
      </c>
      <c r="Z330" s="552" t="s">
        <v>81</v>
      </c>
      <c r="AA330" s="552" t="s">
        <v>82</v>
      </c>
      <c r="AB330" s="552" t="s">
        <v>83</v>
      </c>
      <c r="AC330" s="552" t="s">
        <v>84</v>
      </c>
      <c r="AD330" s="552" t="s">
        <v>85</v>
      </c>
      <c r="AF330" s="768" t="s">
        <v>72</v>
      </c>
      <c r="AG330" s="769"/>
      <c r="AH330" s="552" t="s">
        <v>74</v>
      </c>
      <c r="AI330" s="552" t="s">
        <v>75</v>
      </c>
      <c r="AJ330" s="552" t="s">
        <v>76</v>
      </c>
      <c r="AK330" s="552" t="s">
        <v>77</v>
      </c>
      <c r="AL330" s="552" t="s">
        <v>78</v>
      </c>
      <c r="AM330" s="552" t="s">
        <v>79</v>
      </c>
      <c r="AN330" s="552" t="s">
        <v>80</v>
      </c>
      <c r="AO330" s="552" t="s">
        <v>81</v>
      </c>
      <c r="AP330" s="552" t="s">
        <v>82</v>
      </c>
      <c r="AQ330" s="552" t="s">
        <v>83</v>
      </c>
      <c r="AR330" s="552" t="s">
        <v>84</v>
      </c>
      <c r="AS330" s="552" t="s">
        <v>85</v>
      </c>
    </row>
    <row r="331" spans="1:45" ht="24.6" customHeight="1">
      <c r="A331"/>
      <c r="B331" s="555" t="s">
        <v>90</v>
      </c>
      <c r="C331" s="667" t="s">
        <v>229</v>
      </c>
      <c r="D331" s="641" t="s">
        <v>230</v>
      </c>
      <c r="E331" s="641" t="s">
        <v>230</v>
      </c>
      <c r="F331" s="641" t="s">
        <v>230</v>
      </c>
      <c r="G331" s="641" t="s">
        <v>230</v>
      </c>
      <c r="H331" s="641" t="s">
        <v>230</v>
      </c>
      <c r="I331" s="641" t="s">
        <v>230</v>
      </c>
      <c r="J331" s="641" t="s">
        <v>230</v>
      </c>
      <c r="K331" s="641" t="s">
        <v>230</v>
      </c>
      <c r="L331" s="641" t="s">
        <v>230</v>
      </c>
      <c r="M331" s="641" t="s">
        <v>230</v>
      </c>
      <c r="N331" s="641" t="s">
        <v>230</v>
      </c>
      <c r="O331" s="641" t="s">
        <v>230</v>
      </c>
      <c r="Q331" s="555" t="s">
        <v>90</v>
      </c>
      <c r="R331" s="667" t="s">
        <v>231</v>
      </c>
      <c r="S331" s="641">
        <v>100</v>
      </c>
      <c r="T331" s="641">
        <v>100</v>
      </c>
      <c r="U331" s="641">
        <v>39.549999999999997</v>
      </c>
      <c r="V331" s="641">
        <v>58.86</v>
      </c>
      <c r="W331" s="641">
        <v>71.11</v>
      </c>
      <c r="X331" s="641">
        <v>99.43</v>
      </c>
      <c r="Y331" s="641">
        <v>100</v>
      </c>
      <c r="Z331" s="641">
        <v>93.28</v>
      </c>
      <c r="AA331" s="641">
        <v>96</v>
      </c>
      <c r="AB331" s="641">
        <v>90.3</v>
      </c>
      <c r="AC331" s="641"/>
      <c r="AD331" s="641"/>
      <c r="AF331" s="555" t="s">
        <v>90</v>
      </c>
      <c r="AG331" s="667" t="s">
        <v>231</v>
      </c>
      <c r="AH331" s="641">
        <v>100</v>
      </c>
      <c r="AI331" s="641">
        <v>100</v>
      </c>
      <c r="AJ331" s="641">
        <v>39.549999999999997</v>
      </c>
      <c r="AK331" s="641">
        <v>58.86</v>
      </c>
      <c r="AL331" s="641">
        <v>71.11</v>
      </c>
      <c r="AM331" s="641">
        <v>99.43</v>
      </c>
      <c r="AN331" s="641">
        <v>100</v>
      </c>
      <c r="AO331" s="641">
        <v>93.28</v>
      </c>
      <c r="AP331" s="641">
        <v>96</v>
      </c>
      <c r="AQ331" s="641">
        <v>90.3</v>
      </c>
      <c r="AR331" s="641">
        <v>0</v>
      </c>
      <c r="AS331" s="641">
        <v>0</v>
      </c>
    </row>
    <row r="332" spans="1:45" ht="24.6" customHeight="1">
      <c r="A332"/>
      <c r="B332" s="555" t="s">
        <v>90</v>
      </c>
      <c r="C332" s="667" t="s">
        <v>232</v>
      </c>
      <c r="D332" s="696">
        <v>0</v>
      </c>
      <c r="E332" s="696">
        <v>0</v>
      </c>
      <c r="F332" s="696">
        <v>0</v>
      </c>
      <c r="G332" s="696">
        <v>0</v>
      </c>
      <c r="H332" s="696">
        <v>0</v>
      </c>
      <c r="I332" s="696">
        <v>0</v>
      </c>
      <c r="J332" s="641">
        <v>0</v>
      </c>
      <c r="K332" s="641">
        <v>0</v>
      </c>
      <c r="L332" s="641">
        <v>0</v>
      </c>
      <c r="M332" s="641">
        <v>0</v>
      </c>
      <c r="N332" s="641">
        <v>0</v>
      </c>
      <c r="O332" s="641">
        <v>3.16</v>
      </c>
      <c r="Q332" s="555" t="s">
        <v>90</v>
      </c>
      <c r="R332" s="667" t="s">
        <v>232</v>
      </c>
      <c r="S332" s="641">
        <v>0</v>
      </c>
      <c r="T332" s="641">
        <v>0</v>
      </c>
      <c r="U332" s="641">
        <v>0</v>
      </c>
      <c r="V332" s="641">
        <v>0</v>
      </c>
      <c r="W332" s="641">
        <v>0</v>
      </c>
      <c r="X332" s="641">
        <v>0</v>
      </c>
      <c r="Y332" s="641">
        <v>0</v>
      </c>
      <c r="Z332" s="641">
        <v>0</v>
      </c>
      <c r="AA332" s="641">
        <v>0</v>
      </c>
      <c r="AB332" s="641">
        <v>0</v>
      </c>
      <c r="AC332" s="641"/>
      <c r="AD332" s="641"/>
      <c r="AF332" s="555" t="s">
        <v>90</v>
      </c>
      <c r="AG332" s="667" t="s">
        <v>232</v>
      </c>
      <c r="AH332" s="641">
        <v>0</v>
      </c>
      <c r="AI332" s="641">
        <v>0</v>
      </c>
      <c r="AJ332" s="641">
        <v>0</v>
      </c>
      <c r="AK332" s="641">
        <v>0</v>
      </c>
      <c r="AL332" s="641">
        <v>0</v>
      </c>
      <c r="AM332" s="641">
        <v>0</v>
      </c>
      <c r="AN332" s="641">
        <v>0</v>
      </c>
      <c r="AO332" s="641">
        <v>0</v>
      </c>
      <c r="AP332" s="641">
        <v>0</v>
      </c>
      <c r="AQ332" s="641">
        <v>0</v>
      </c>
      <c r="AR332" s="641">
        <v>0</v>
      </c>
      <c r="AS332" s="641">
        <v>0</v>
      </c>
    </row>
    <row r="333" spans="1:45" ht="24.6" customHeight="1">
      <c r="A333"/>
      <c r="B333" s="555" t="s">
        <v>90</v>
      </c>
      <c r="C333" s="667" t="s">
        <v>233</v>
      </c>
      <c r="D333" s="696">
        <v>0</v>
      </c>
      <c r="E333" s="696">
        <v>0</v>
      </c>
      <c r="F333" s="696">
        <v>0</v>
      </c>
      <c r="G333" s="696">
        <v>0</v>
      </c>
      <c r="H333" s="696">
        <v>0</v>
      </c>
      <c r="I333" s="696">
        <v>0</v>
      </c>
      <c r="J333" s="641">
        <v>0</v>
      </c>
      <c r="K333" s="641">
        <v>0</v>
      </c>
      <c r="L333" s="641">
        <v>0</v>
      </c>
      <c r="M333" s="641">
        <v>0</v>
      </c>
      <c r="N333" s="641">
        <v>0</v>
      </c>
      <c r="O333" s="641">
        <v>34.29</v>
      </c>
      <c r="Q333" s="555" t="s">
        <v>90</v>
      </c>
      <c r="R333" s="667" t="s">
        <v>233</v>
      </c>
      <c r="S333" s="641">
        <v>0</v>
      </c>
      <c r="T333" s="641">
        <v>0</v>
      </c>
      <c r="U333" s="641">
        <v>0</v>
      </c>
      <c r="V333" s="641">
        <v>0</v>
      </c>
      <c r="W333" s="641">
        <v>0</v>
      </c>
      <c r="X333" s="641">
        <v>0</v>
      </c>
      <c r="Y333" s="641">
        <v>0</v>
      </c>
      <c r="Z333" s="641">
        <v>0</v>
      </c>
      <c r="AA333" s="641">
        <v>0</v>
      </c>
      <c r="AB333" s="641">
        <v>0</v>
      </c>
      <c r="AC333" s="641"/>
      <c r="AD333" s="641"/>
      <c r="AF333" s="555" t="s">
        <v>90</v>
      </c>
      <c r="AG333" s="667" t="s">
        <v>233</v>
      </c>
      <c r="AH333" s="641">
        <v>0</v>
      </c>
      <c r="AI333" s="641">
        <v>0</v>
      </c>
      <c r="AJ333" s="641">
        <v>0</v>
      </c>
      <c r="AK333" s="641">
        <v>0</v>
      </c>
      <c r="AL333" s="641">
        <v>0</v>
      </c>
      <c r="AM333" s="641">
        <v>0</v>
      </c>
      <c r="AN333" s="641">
        <v>0</v>
      </c>
      <c r="AO333" s="641">
        <v>0</v>
      </c>
      <c r="AP333" s="641">
        <v>0</v>
      </c>
      <c r="AQ333" s="641">
        <v>0</v>
      </c>
      <c r="AR333" s="641">
        <v>0</v>
      </c>
      <c r="AS333" s="641">
        <v>0</v>
      </c>
    </row>
    <row r="334" spans="1:45" ht="13.9" customHeight="1">
      <c r="A334"/>
      <c r="D334" s="105"/>
      <c r="E334" s="105"/>
      <c r="F334" s="105"/>
      <c r="G334" s="105"/>
      <c r="H334" s="105"/>
      <c r="I334" s="105"/>
      <c r="J334" s="105"/>
      <c r="K334" s="105"/>
      <c r="L334" s="105"/>
      <c r="M334" s="105"/>
      <c r="N334" s="105"/>
      <c r="O334" s="105"/>
      <c r="S334" s="105"/>
      <c r="T334" s="105"/>
      <c r="U334" s="105"/>
      <c r="V334" s="105"/>
      <c r="W334" s="105"/>
      <c r="X334" s="105"/>
      <c r="Y334" s="105"/>
      <c r="Z334" s="105"/>
      <c r="AA334" s="105"/>
      <c r="AB334" s="105"/>
      <c r="AC334" s="105"/>
      <c r="AD334" s="105"/>
      <c r="AH334" s="105"/>
      <c r="AI334" s="105"/>
      <c r="AJ334" s="105"/>
      <c r="AK334" s="105"/>
      <c r="AL334" s="105"/>
      <c r="AM334" s="105"/>
      <c r="AN334" s="105"/>
      <c r="AO334" s="105"/>
      <c r="AP334" s="105"/>
      <c r="AQ334" s="105"/>
      <c r="AR334" s="105"/>
      <c r="AS334" s="105"/>
    </row>
    <row r="335" spans="1:45">
      <c r="A335" s="105">
        <v>14</v>
      </c>
      <c r="B335" s="21" t="s">
        <v>234</v>
      </c>
      <c r="D335" s="105"/>
      <c r="E335" s="105"/>
      <c r="F335" s="105"/>
      <c r="G335" s="105"/>
      <c r="H335" s="105"/>
      <c r="I335" s="105"/>
      <c r="J335" s="105"/>
      <c r="K335" s="105"/>
      <c r="L335" s="105"/>
      <c r="M335" s="105"/>
      <c r="N335" s="105"/>
      <c r="O335" s="105"/>
      <c r="Q335" t="s">
        <v>234</v>
      </c>
      <c r="S335" s="105"/>
      <c r="T335" s="105"/>
      <c r="U335" s="105"/>
      <c r="V335" s="105"/>
      <c r="W335" s="105"/>
      <c r="X335" s="105"/>
      <c r="Y335" s="105"/>
      <c r="Z335" s="105"/>
      <c r="AA335" s="105"/>
      <c r="AB335" s="105"/>
      <c r="AC335" s="105"/>
      <c r="AD335" s="105"/>
      <c r="AF335" t="s">
        <v>234</v>
      </c>
      <c r="AH335" s="105"/>
      <c r="AI335" s="105"/>
      <c r="AJ335" s="105"/>
      <c r="AK335" s="105"/>
      <c r="AL335" s="105"/>
      <c r="AM335" s="105"/>
      <c r="AN335" s="105"/>
      <c r="AO335" s="105"/>
      <c r="AP335" s="105"/>
      <c r="AQ335" s="105"/>
      <c r="AR335" s="105"/>
      <c r="AS335" s="105"/>
    </row>
    <row r="336" spans="1:45">
      <c r="A336"/>
      <c r="B336" s="21" t="s">
        <v>100</v>
      </c>
      <c r="D336" s="105"/>
      <c r="E336" s="105"/>
      <c r="F336" s="105"/>
      <c r="G336" s="105"/>
      <c r="H336" s="105"/>
      <c r="I336" s="105"/>
      <c r="J336" s="105"/>
      <c r="K336" s="105"/>
      <c r="L336" s="105"/>
      <c r="M336" s="105"/>
      <c r="N336" s="105"/>
      <c r="O336" s="105"/>
      <c r="Q336" t="s">
        <v>126</v>
      </c>
      <c r="S336" s="105"/>
      <c r="T336" s="105"/>
      <c r="U336" s="105"/>
      <c r="V336" s="105"/>
      <c r="W336" s="105"/>
      <c r="X336" s="105"/>
      <c r="Y336" s="105"/>
      <c r="Z336" s="105"/>
      <c r="AA336" s="105"/>
      <c r="AB336" s="105"/>
      <c r="AC336" s="105"/>
      <c r="AD336" s="105"/>
      <c r="AF336" t="s">
        <v>127</v>
      </c>
      <c r="AH336" s="105"/>
      <c r="AI336" s="105"/>
      <c r="AJ336" s="105"/>
      <c r="AK336" s="105"/>
      <c r="AL336" s="105"/>
      <c r="AM336" s="105"/>
      <c r="AN336" s="105"/>
      <c r="AO336" s="105"/>
      <c r="AP336" s="105"/>
      <c r="AQ336" s="105"/>
      <c r="AR336" s="105"/>
      <c r="AS336" s="105"/>
    </row>
    <row r="337" spans="1:62">
      <c r="A337"/>
      <c r="B337" s="768" t="s">
        <v>72</v>
      </c>
      <c r="C337" s="769"/>
      <c r="D337" s="552" t="s">
        <v>74</v>
      </c>
      <c r="E337" s="552" t="s">
        <v>75</v>
      </c>
      <c r="F337" s="552" t="s">
        <v>76</v>
      </c>
      <c r="G337" s="552" t="s">
        <v>77</v>
      </c>
      <c r="H337" s="552" t="s">
        <v>78</v>
      </c>
      <c r="I337" s="552" t="s">
        <v>79</v>
      </c>
      <c r="J337" s="552" t="s">
        <v>80</v>
      </c>
      <c r="K337" s="552" t="s">
        <v>81</v>
      </c>
      <c r="L337" s="552" t="s">
        <v>82</v>
      </c>
      <c r="M337" s="552" t="s">
        <v>83</v>
      </c>
      <c r="N337" s="552" t="s">
        <v>84</v>
      </c>
      <c r="O337" s="552" t="s">
        <v>85</v>
      </c>
      <c r="Q337" s="768" t="s">
        <v>72</v>
      </c>
      <c r="R337" s="769"/>
      <c r="S337" s="552" t="s">
        <v>74</v>
      </c>
      <c r="T337" s="552" t="s">
        <v>75</v>
      </c>
      <c r="U337" s="552" t="s">
        <v>76</v>
      </c>
      <c r="V337" s="552" t="s">
        <v>77</v>
      </c>
      <c r="W337" s="552" t="s">
        <v>78</v>
      </c>
      <c r="X337" s="552" t="s">
        <v>79</v>
      </c>
      <c r="Y337" s="552" t="s">
        <v>80</v>
      </c>
      <c r="Z337" s="552" t="s">
        <v>81</v>
      </c>
      <c r="AA337" s="552" t="s">
        <v>82</v>
      </c>
      <c r="AB337" s="552" t="s">
        <v>83</v>
      </c>
      <c r="AC337" s="552" t="s">
        <v>84</v>
      </c>
      <c r="AD337" s="552" t="s">
        <v>85</v>
      </c>
      <c r="AF337" s="768" t="s">
        <v>72</v>
      </c>
      <c r="AG337" s="769"/>
      <c r="AH337" s="552" t="s">
        <v>74</v>
      </c>
      <c r="AI337" s="552" t="s">
        <v>75</v>
      </c>
      <c r="AJ337" s="552" t="s">
        <v>76</v>
      </c>
      <c r="AK337" s="552" t="s">
        <v>77</v>
      </c>
      <c r="AL337" s="552" t="s">
        <v>78</v>
      </c>
      <c r="AM337" s="552" t="s">
        <v>79</v>
      </c>
      <c r="AN337" s="552" t="s">
        <v>80</v>
      </c>
      <c r="AO337" s="552" t="s">
        <v>81</v>
      </c>
      <c r="AP337" s="552" t="s">
        <v>82</v>
      </c>
      <c r="AQ337" s="552" t="s">
        <v>83</v>
      </c>
      <c r="AR337" s="552" t="s">
        <v>84</v>
      </c>
      <c r="AS337" s="552" t="s">
        <v>85</v>
      </c>
      <c r="AU337"/>
      <c r="AY337" s="575"/>
      <c r="AZ337" s="575"/>
      <c r="BA337" s="575"/>
      <c r="BB337" s="575"/>
      <c r="BC337" s="575"/>
      <c r="BD337" s="575"/>
      <c r="BE337" s="575"/>
      <c r="BF337" s="575"/>
      <c r="BG337" s="575"/>
      <c r="BH337" s="575"/>
      <c r="BI337" s="575"/>
      <c r="BJ337" s="575"/>
    </row>
    <row r="338" spans="1:62">
      <c r="A338"/>
      <c r="B338" s="762" t="s">
        <v>128</v>
      </c>
      <c r="C338" s="655" t="s">
        <v>235</v>
      </c>
      <c r="D338" s="565"/>
      <c r="E338" s="565"/>
      <c r="F338" s="565"/>
      <c r="G338" s="565"/>
      <c r="H338" s="565"/>
      <c r="I338" s="565"/>
      <c r="J338" s="565"/>
      <c r="K338" s="565"/>
      <c r="L338" s="565"/>
      <c r="M338" s="565"/>
      <c r="N338" s="565"/>
      <c r="O338" s="565"/>
      <c r="Q338" s="762" t="s">
        <v>128</v>
      </c>
      <c r="R338" s="655" t="s">
        <v>235</v>
      </c>
      <c r="S338" s="636">
        <v>100</v>
      </c>
      <c r="T338" s="636">
        <v>100</v>
      </c>
      <c r="U338" s="636">
        <v>100</v>
      </c>
      <c r="V338" s="636">
        <v>100</v>
      </c>
      <c r="W338" s="636">
        <v>100</v>
      </c>
      <c r="X338" s="636">
        <v>100</v>
      </c>
      <c r="Y338" s="636">
        <v>100</v>
      </c>
      <c r="Z338" s="636">
        <v>100</v>
      </c>
      <c r="AA338" s="636">
        <v>100</v>
      </c>
      <c r="AB338" s="636">
        <v>100</v>
      </c>
      <c r="AC338" s="636">
        <v>100</v>
      </c>
      <c r="AD338" s="636">
        <v>100</v>
      </c>
      <c r="AF338" s="762" t="s">
        <v>128</v>
      </c>
      <c r="AG338" s="655" t="s">
        <v>235</v>
      </c>
      <c r="AH338" s="565">
        <v>100</v>
      </c>
      <c r="AI338" s="565">
        <v>100</v>
      </c>
      <c r="AJ338" s="565">
        <v>100</v>
      </c>
      <c r="AK338" s="565">
        <v>100</v>
      </c>
      <c r="AL338" s="565">
        <v>100</v>
      </c>
      <c r="AM338" s="565">
        <v>100</v>
      </c>
      <c r="AN338" s="565">
        <v>100</v>
      </c>
      <c r="AO338" s="565">
        <v>100</v>
      </c>
      <c r="AP338" s="565">
        <v>100</v>
      </c>
      <c r="AQ338" s="565">
        <v>100</v>
      </c>
      <c r="AR338" s="565">
        <v>100</v>
      </c>
      <c r="AS338" s="565">
        <v>100</v>
      </c>
      <c r="AU338"/>
      <c r="AY338" s="575"/>
      <c r="AZ338" s="575"/>
      <c r="BA338" s="575"/>
      <c r="BB338" s="575"/>
      <c r="BC338" s="575"/>
      <c r="BD338" s="575"/>
      <c r="BE338" s="575"/>
      <c r="BF338" s="575"/>
      <c r="BG338" s="575"/>
      <c r="BH338" s="575"/>
      <c r="BI338" s="575"/>
      <c r="BJ338" s="575"/>
    </row>
    <row r="339" spans="1:62">
      <c r="A339"/>
      <c r="B339" s="762"/>
      <c r="C339" s="635" t="s">
        <v>236</v>
      </c>
      <c r="D339" s="565"/>
      <c r="E339" s="565"/>
      <c r="F339" s="565"/>
      <c r="G339" s="565"/>
      <c r="H339" s="565"/>
      <c r="I339" s="565"/>
      <c r="J339" s="565"/>
      <c r="K339" s="565"/>
      <c r="L339" s="565"/>
      <c r="M339" s="565"/>
      <c r="N339" s="565"/>
      <c r="O339" s="565"/>
      <c r="Q339" s="762"/>
      <c r="R339" s="635" t="s">
        <v>236</v>
      </c>
      <c r="S339" s="636">
        <v>100</v>
      </c>
      <c r="T339" s="636">
        <v>100</v>
      </c>
      <c r="U339" s="636">
        <v>100</v>
      </c>
      <c r="V339" s="636">
        <v>100</v>
      </c>
      <c r="W339" s="636">
        <v>100</v>
      </c>
      <c r="X339" s="636">
        <v>100</v>
      </c>
      <c r="Y339" s="636">
        <v>100</v>
      </c>
      <c r="Z339" s="636">
        <v>100</v>
      </c>
      <c r="AA339" s="636">
        <v>100</v>
      </c>
      <c r="AB339" s="636">
        <v>100</v>
      </c>
      <c r="AC339" s="636">
        <v>100</v>
      </c>
      <c r="AD339" s="636">
        <v>100</v>
      </c>
      <c r="AF339" s="762"/>
      <c r="AG339" s="635" t="s">
        <v>236</v>
      </c>
      <c r="AH339" s="565">
        <v>100</v>
      </c>
      <c r="AI339" s="565">
        <v>100</v>
      </c>
      <c r="AJ339" s="565">
        <v>100</v>
      </c>
      <c r="AK339" s="565">
        <v>100</v>
      </c>
      <c r="AL339" s="565">
        <v>100</v>
      </c>
      <c r="AM339" s="565">
        <v>100</v>
      </c>
      <c r="AN339" s="565">
        <v>100</v>
      </c>
      <c r="AO339" s="565">
        <v>100</v>
      </c>
      <c r="AP339" s="565">
        <v>100</v>
      </c>
      <c r="AQ339" s="565">
        <v>100</v>
      </c>
      <c r="AR339" s="565">
        <v>100</v>
      </c>
      <c r="AS339" s="565">
        <v>100</v>
      </c>
      <c r="AU339"/>
      <c r="AY339" s="575"/>
      <c r="AZ339" s="575"/>
      <c r="BA339" s="575"/>
      <c r="BB339" s="575"/>
      <c r="BC339" s="575"/>
      <c r="BD339" s="575"/>
      <c r="BE339" s="575"/>
      <c r="BF339" s="575"/>
      <c r="BG339" s="575"/>
      <c r="BH339" s="575"/>
      <c r="BI339" s="575"/>
      <c r="BJ339" s="575"/>
    </row>
    <row r="340" spans="1:62">
      <c r="A340"/>
      <c r="B340" s="762"/>
      <c r="C340" s="635" t="s">
        <v>237</v>
      </c>
      <c r="D340" s="565"/>
      <c r="E340" s="565"/>
      <c r="F340" s="565"/>
      <c r="G340" s="565"/>
      <c r="H340" s="565"/>
      <c r="I340" s="565"/>
      <c r="J340" s="565"/>
      <c r="K340" s="565"/>
      <c r="L340" s="565"/>
      <c r="M340" s="565"/>
      <c r="N340" s="565"/>
      <c r="O340" s="565"/>
      <c r="Q340" s="762"/>
      <c r="R340" s="635" t="s">
        <v>237</v>
      </c>
      <c r="S340" s="636">
        <v>100</v>
      </c>
      <c r="T340" s="636">
        <v>100</v>
      </c>
      <c r="U340" s="636">
        <v>100</v>
      </c>
      <c r="V340" s="636">
        <v>100</v>
      </c>
      <c r="W340" s="636">
        <v>100</v>
      </c>
      <c r="X340" s="636">
        <v>100</v>
      </c>
      <c r="Y340" s="636">
        <v>100</v>
      </c>
      <c r="Z340" s="636">
        <v>100</v>
      </c>
      <c r="AA340" s="636">
        <v>100</v>
      </c>
      <c r="AB340" s="636">
        <v>100</v>
      </c>
      <c r="AC340" s="636">
        <v>100</v>
      </c>
      <c r="AD340" s="636">
        <v>100</v>
      </c>
      <c r="AF340" s="762"/>
      <c r="AG340" s="635" t="s">
        <v>237</v>
      </c>
      <c r="AH340" s="565">
        <v>100</v>
      </c>
      <c r="AI340" s="565">
        <v>100</v>
      </c>
      <c r="AJ340" s="565">
        <v>100</v>
      </c>
      <c r="AK340" s="565">
        <v>100</v>
      </c>
      <c r="AL340" s="565">
        <v>100</v>
      </c>
      <c r="AM340" s="565">
        <v>100</v>
      </c>
      <c r="AN340" s="565">
        <v>100</v>
      </c>
      <c r="AO340" s="565">
        <v>100</v>
      </c>
      <c r="AP340" s="565">
        <v>100</v>
      </c>
      <c r="AQ340" s="565">
        <v>100</v>
      </c>
      <c r="AR340" s="565">
        <v>100</v>
      </c>
      <c r="AS340" s="565">
        <v>100</v>
      </c>
      <c r="AU340"/>
      <c r="AY340" s="575"/>
      <c r="AZ340" s="575"/>
      <c r="BA340" s="575"/>
      <c r="BB340" s="575"/>
      <c r="BC340" s="575"/>
      <c r="BD340" s="575"/>
      <c r="BE340" s="575"/>
      <c r="BF340" s="575"/>
      <c r="BG340" s="575"/>
      <c r="BH340" s="575"/>
      <c r="BI340" s="575"/>
      <c r="BJ340" s="575"/>
    </row>
    <row r="341" spans="1:62">
      <c r="A341"/>
      <c r="B341" s="762"/>
      <c r="C341" s="637" t="s">
        <v>238</v>
      </c>
      <c r="D341" s="594">
        <v>0</v>
      </c>
      <c r="E341" s="594">
        <v>0</v>
      </c>
      <c r="F341" s="594">
        <v>0</v>
      </c>
      <c r="G341" s="594">
        <v>0</v>
      </c>
      <c r="H341" s="594">
        <v>0</v>
      </c>
      <c r="I341" s="594">
        <v>100</v>
      </c>
      <c r="J341" s="594">
        <v>100</v>
      </c>
      <c r="K341" s="594">
        <v>100</v>
      </c>
      <c r="L341" s="594">
        <v>100</v>
      </c>
      <c r="M341" s="594">
        <v>100</v>
      </c>
      <c r="N341" s="594">
        <v>100</v>
      </c>
      <c r="O341" s="594">
        <v>100</v>
      </c>
      <c r="Q341" s="762"/>
      <c r="R341" s="637" t="s">
        <v>238</v>
      </c>
      <c r="S341" s="638">
        <v>100</v>
      </c>
      <c r="T341" s="638">
        <v>100</v>
      </c>
      <c r="U341" s="638">
        <v>100</v>
      </c>
      <c r="V341" s="638">
        <v>100</v>
      </c>
      <c r="W341" s="638">
        <v>100</v>
      </c>
      <c r="X341" s="638">
        <v>108.55</v>
      </c>
      <c r="Y341" s="638">
        <v>108.55</v>
      </c>
      <c r="Z341" s="638">
        <v>108.55</v>
      </c>
      <c r="AA341" s="638">
        <v>100</v>
      </c>
      <c r="AB341" s="638">
        <v>100</v>
      </c>
      <c r="AC341" s="638">
        <v>100</v>
      </c>
      <c r="AD341" s="638">
        <v>100</v>
      </c>
      <c r="AF341" s="762"/>
      <c r="AG341" s="637" t="s">
        <v>238</v>
      </c>
      <c r="AH341" s="594">
        <v>100</v>
      </c>
      <c r="AI341" s="594">
        <v>100</v>
      </c>
      <c r="AJ341" s="594">
        <v>100</v>
      </c>
      <c r="AK341" s="594">
        <v>100</v>
      </c>
      <c r="AL341" s="594">
        <v>100</v>
      </c>
      <c r="AM341" s="594">
        <v>108.55</v>
      </c>
      <c r="AN341" s="594">
        <v>108.55</v>
      </c>
      <c r="AO341" s="594">
        <v>108.55</v>
      </c>
      <c r="AP341" s="594">
        <v>100</v>
      </c>
      <c r="AQ341" s="594">
        <v>100</v>
      </c>
      <c r="AR341" s="594">
        <v>100</v>
      </c>
      <c r="AS341" s="594">
        <v>100</v>
      </c>
      <c r="AU341"/>
      <c r="AY341" s="575"/>
      <c r="AZ341" s="575"/>
      <c r="BA341" s="575"/>
      <c r="BB341" s="575"/>
      <c r="BC341" s="575"/>
      <c r="BD341" s="575"/>
      <c r="BE341" s="575"/>
      <c r="BF341" s="575"/>
      <c r="BG341" s="575"/>
      <c r="BH341" s="575"/>
      <c r="BI341" s="575"/>
      <c r="BJ341" s="575"/>
    </row>
    <row r="343" spans="1:62">
      <c r="A343" s="105">
        <v>13</v>
      </c>
      <c r="B343" s="21" t="s">
        <v>239</v>
      </c>
      <c r="D343" s="105"/>
      <c r="E343" s="105"/>
      <c r="F343" s="105"/>
      <c r="G343" s="105"/>
      <c r="H343" s="105"/>
      <c r="I343" s="105"/>
      <c r="J343" s="105"/>
      <c r="K343" s="105"/>
      <c r="L343" s="105"/>
      <c r="M343" s="105"/>
      <c r="N343" s="105"/>
      <c r="O343" s="105"/>
      <c r="Q343" t="s">
        <v>239</v>
      </c>
      <c r="S343" s="105"/>
      <c r="T343" s="105"/>
      <c r="U343" s="105"/>
      <c r="V343" s="105"/>
      <c r="W343" s="105"/>
      <c r="X343" s="105"/>
      <c r="Y343" s="105"/>
      <c r="Z343" s="105"/>
      <c r="AA343" s="105"/>
      <c r="AB343" s="105"/>
      <c r="AC343" s="105"/>
      <c r="AD343" s="105"/>
      <c r="AF343" t="s">
        <v>239</v>
      </c>
      <c r="AH343" s="105"/>
      <c r="AI343" s="105"/>
      <c r="AJ343" s="105"/>
      <c r="AK343" s="105"/>
      <c r="AL343" s="105"/>
      <c r="AM343" s="105"/>
      <c r="AN343" s="105"/>
      <c r="AO343" s="105"/>
      <c r="AP343" s="105"/>
      <c r="AQ343" s="105"/>
      <c r="AR343" s="105"/>
      <c r="AS343" s="105"/>
      <c r="AU343"/>
    </row>
    <row r="344" spans="1:62">
      <c r="A344"/>
      <c r="B344" s="21" t="s">
        <v>100</v>
      </c>
      <c r="D344" s="105"/>
      <c r="E344" s="105"/>
      <c r="F344" s="105"/>
      <c r="G344" s="105"/>
      <c r="H344" s="105"/>
      <c r="I344" s="105"/>
      <c r="J344" s="105"/>
      <c r="K344" s="105"/>
      <c r="L344" s="105"/>
      <c r="M344" s="105"/>
      <c r="N344" s="105"/>
      <c r="O344" s="105"/>
      <c r="Q344" t="s">
        <v>126</v>
      </c>
      <c r="S344" s="105"/>
      <c r="T344" s="105"/>
      <c r="U344" s="105"/>
      <c r="V344" s="105"/>
      <c r="W344" s="105"/>
      <c r="X344" s="105"/>
      <c r="Y344" s="105"/>
      <c r="Z344" s="105"/>
      <c r="AA344" s="105"/>
      <c r="AB344" s="105"/>
      <c r="AC344" s="105"/>
      <c r="AD344" s="105"/>
      <c r="AF344" t="s">
        <v>127</v>
      </c>
      <c r="AH344" s="105"/>
      <c r="AI344" s="105"/>
      <c r="AJ344" s="105"/>
      <c r="AK344" s="105"/>
      <c r="AL344" s="105"/>
      <c r="AM344" s="105"/>
      <c r="AN344" s="105"/>
      <c r="AO344" s="105"/>
      <c r="AP344" s="105"/>
      <c r="AQ344" s="105"/>
      <c r="AR344" s="105"/>
      <c r="AS344" s="105"/>
      <c r="AU344"/>
    </row>
    <row r="345" spans="1:62">
      <c r="A345"/>
      <c r="B345" s="768" t="s">
        <v>72</v>
      </c>
      <c r="C345" s="769"/>
      <c r="D345" s="552" t="s">
        <v>74</v>
      </c>
      <c r="E345" s="552" t="s">
        <v>75</v>
      </c>
      <c r="F345" s="552" t="s">
        <v>76</v>
      </c>
      <c r="G345" s="552" t="s">
        <v>77</v>
      </c>
      <c r="H345" s="552" t="s">
        <v>78</v>
      </c>
      <c r="I345" s="552" t="s">
        <v>79</v>
      </c>
      <c r="J345" s="552" t="s">
        <v>80</v>
      </c>
      <c r="K345" s="552" t="s">
        <v>81</v>
      </c>
      <c r="L345" s="552" t="s">
        <v>82</v>
      </c>
      <c r="M345" s="552" t="s">
        <v>83</v>
      </c>
      <c r="N345" s="552" t="s">
        <v>84</v>
      </c>
      <c r="O345" s="552" t="s">
        <v>85</v>
      </c>
      <c r="Q345" s="768" t="s">
        <v>72</v>
      </c>
      <c r="R345" s="769"/>
      <c r="S345" s="552" t="s">
        <v>74</v>
      </c>
      <c r="T345" s="552" t="s">
        <v>75</v>
      </c>
      <c r="U345" s="552" t="s">
        <v>76</v>
      </c>
      <c r="V345" s="552" t="s">
        <v>77</v>
      </c>
      <c r="W345" s="552" t="s">
        <v>78</v>
      </c>
      <c r="X345" s="552" t="s">
        <v>79</v>
      </c>
      <c r="Y345" s="552" t="s">
        <v>80</v>
      </c>
      <c r="Z345" s="552" t="s">
        <v>81</v>
      </c>
      <c r="AA345" s="552" t="s">
        <v>82</v>
      </c>
      <c r="AB345" s="552" t="s">
        <v>83</v>
      </c>
      <c r="AC345" s="552" t="s">
        <v>84</v>
      </c>
      <c r="AD345" s="552" t="s">
        <v>85</v>
      </c>
      <c r="AF345" s="768" t="s">
        <v>72</v>
      </c>
      <c r="AG345" s="769"/>
      <c r="AH345" s="552" t="s">
        <v>74</v>
      </c>
      <c r="AI345" s="552" t="s">
        <v>75</v>
      </c>
      <c r="AJ345" s="552" t="s">
        <v>76</v>
      </c>
      <c r="AK345" s="552" t="s">
        <v>77</v>
      </c>
      <c r="AL345" s="552" t="s">
        <v>78</v>
      </c>
      <c r="AM345" s="552" t="s">
        <v>79</v>
      </c>
      <c r="AN345" s="552" t="s">
        <v>80</v>
      </c>
      <c r="AO345" s="552" t="s">
        <v>81</v>
      </c>
      <c r="AP345" s="552" t="s">
        <v>82</v>
      </c>
      <c r="AQ345" s="552" t="s">
        <v>83</v>
      </c>
      <c r="AR345" s="552" t="s">
        <v>84</v>
      </c>
      <c r="AS345" s="552" t="s">
        <v>85</v>
      </c>
      <c r="AU345"/>
    </row>
    <row r="346" spans="1:62" ht="24.6" customHeight="1">
      <c r="A346"/>
      <c r="B346" s="781" t="s">
        <v>90</v>
      </c>
      <c r="C346" s="782"/>
      <c r="D346" s="641">
        <v>0</v>
      </c>
      <c r="E346" s="641">
        <v>0</v>
      </c>
      <c r="F346" s="641">
        <v>0</v>
      </c>
      <c r="G346" s="641">
        <v>0</v>
      </c>
      <c r="H346" s="641">
        <v>0</v>
      </c>
      <c r="I346" s="641">
        <v>100</v>
      </c>
      <c r="J346" s="641">
        <v>100</v>
      </c>
      <c r="K346" s="641">
        <v>100</v>
      </c>
      <c r="L346" s="641">
        <v>100</v>
      </c>
      <c r="M346" s="641">
        <v>100</v>
      </c>
      <c r="N346" s="641">
        <v>100</v>
      </c>
      <c r="O346" s="641">
        <v>100</v>
      </c>
      <c r="Q346" s="555" t="s">
        <v>90</v>
      </c>
      <c r="R346" s="667"/>
      <c r="S346" s="641">
        <v>100</v>
      </c>
      <c r="T346" s="641">
        <v>100</v>
      </c>
      <c r="U346" s="641">
        <v>100</v>
      </c>
      <c r="V346" s="641">
        <v>100</v>
      </c>
      <c r="W346" s="641">
        <v>100</v>
      </c>
      <c r="X346" s="693">
        <v>90</v>
      </c>
      <c r="Y346" s="669">
        <v>90</v>
      </c>
      <c r="Z346" s="669">
        <v>90</v>
      </c>
      <c r="AA346" s="669">
        <v>90</v>
      </c>
      <c r="AB346" s="669">
        <v>90</v>
      </c>
      <c r="AC346" s="641"/>
      <c r="AD346" s="641"/>
      <c r="AF346" s="555" t="s">
        <v>90</v>
      </c>
      <c r="AG346" s="667"/>
      <c r="AH346" s="641">
        <v>100</v>
      </c>
      <c r="AI346" s="641">
        <v>100</v>
      </c>
      <c r="AJ346" s="641">
        <v>100</v>
      </c>
      <c r="AK346" s="641">
        <v>100</v>
      </c>
      <c r="AL346" s="641">
        <v>100</v>
      </c>
      <c r="AM346" s="641">
        <v>90</v>
      </c>
      <c r="AN346" s="641">
        <v>90</v>
      </c>
      <c r="AO346" s="641">
        <v>90</v>
      </c>
      <c r="AP346" s="641">
        <v>90</v>
      </c>
      <c r="AQ346" s="641">
        <v>90</v>
      </c>
      <c r="AR346" s="641">
        <v>0</v>
      </c>
      <c r="AS346" s="641">
        <v>0</v>
      </c>
      <c r="AU346"/>
    </row>
    <row r="347" spans="1:62" ht="24.6" customHeight="1">
      <c r="A347"/>
      <c r="B347" s="181"/>
      <c r="C347" s="181"/>
      <c r="D347" s="647"/>
      <c r="E347" s="647"/>
      <c r="F347" s="647"/>
      <c r="G347" s="647"/>
      <c r="H347" s="647"/>
      <c r="I347" s="647"/>
      <c r="J347" s="647"/>
      <c r="K347" s="647"/>
      <c r="L347" s="647"/>
      <c r="M347" s="647"/>
      <c r="N347" s="647"/>
      <c r="O347" s="647"/>
      <c r="Q347" s="125"/>
      <c r="R347" s="124"/>
      <c r="S347" s="647"/>
      <c r="T347" s="647"/>
      <c r="U347" s="647"/>
      <c r="V347" s="647"/>
      <c r="W347" s="647"/>
      <c r="X347" s="714"/>
      <c r="Y347" s="715"/>
      <c r="Z347" s="715"/>
      <c r="AA347" s="647"/>
      <c r="AB347" s="647"/>
      <c r="AC347" s="647"/>
      <c r="AD347" s="647"/>
      <c r="AF347" s="125"/>
      <c r="AG347" s="124"/>
      <c r="AH347" s="647"/>
      <c r="AI347" s="647"/>
      <c r="AJ347" s="647"/>
      <c r="AK347" s="647"/>
      <c r="AL347" s="647"/>
      <c r="AM347" s="647"/>
      <c r="AN347" s="647"/>
      <c r="AO347" s="647"/>
      <c r="AP347" s="647"/>
      <c r="AQ347" s="647"/>
      <c r="AR347" s="647"/>
      <c r="AS347" s="647"/>
      <c r="AU347"/>
    </row>
    <row r="348" spans="1:62">
      <c r="A348" s="105">
        <v>12</v>
      </c>
      <c r="B348" s="21" t="s">
        <v>240</v>
      </c>
      <c r="C348" s="21"/>
      <c r="D348" s="105"/>
      <c r="E348" s="105"/>
      <c r="F348" s="105"/>
      <c r="G348" s="105"/>
      <c r="H348" s="105"/>
      <c r="I348" s="105"/>
      <c r="J348" s="105"/>
      <c r="K348" s="105"/>
      <c r="L348" s="105"/>
      <c r="M348" s="105"/>
      <c r="N348" s="105"/>
      <c r="O348" s="105"/>
      <c r="Q348" t="s">
        <v>240</v>
      </c>
      <c r="S348" s="105"/>
      <c r="T348" s="105"/>
      <c r="U348" s="105"/>
      <c r="V348" s="105"/>
      <c r="W348" s="105"/>
      <c r="X348" s="105"/>
      <c r="Y348" s="105"/>
      <c r="Z348" s="105"/>
      <c r="AA348" s="105"/>
      <c r="AB348" s="105"/>
      <c r="AC348" s="105"/>
      <c r="AD348" s="105"/>
      <c r="AF348" t="s">
        <v>240</v>
      </c>
      <c r="AH348" s="105"/>
      <c r="AI348" s="105"/>
      <c r="AJ348" s="105"/>
      <c r="AK348" s="105"/>
      <c r="AL348" s="105"/>
      <c r="AM348" s="105"/>
      <c r="AN348" s="105"/>
      <c r="AO348" s="105"/>
      <c r="AP348" s="105"/>
      <c r="AQ348" s="105"/>
      <c r="AR348" s="105"/>
      <c r="AS348" s="105"/>
      <c r="AU348"/>
    </row>
    <row r="349" spans="1:62">
      <c r="A349"/>
      <c r="B349" s="21" t="s">
        <v>100</v>
      </c>
      <c r="C349" s="21"/>
      <c r="D349" s="105"/>
      <c r="E349" s="105"/>
      <c r="F349" s="105"/>
      <c r="G349" s="105"/>
      <c r="H349" s="105"/>
      <c r="I349" s="105"/>
      <c r="J349" s="105"/>
      <c r="K349" s="105"/>
      <c r="L349" s="105"/>
      <c r="M349" s="105"/>
      <c r="N349" s="105"/>
      <c r="O349" s="105"/>
      <c r="Q349" t="s">
        <v>126</v>
      </c>
      <c r="S349" s="105"/>
      <c r="T349" s="105"/>
      <c r="U349" s="105"/>
      <c r="V349" s="105"/>
      <c r="W349" s="105"/>
      <c r="X349" s="105"/>
      <c r="Y349" s="105"/>
      <c r="Z349" s="105"/>
      <c r="AA349" s="105"/>
      <c r="AB349" s="105"/>
      <c r="AC349" s="105"/>
      <c r="AD349" s="105"/>
      <c r="AF349" t="s">
        <v>127</v>
      </c>
      <c r="AH349" s="105"/>
      <c r="AI349" s="105"/>
      <c r="AJ349" s="105"/>
      <c r="AK349" s="105"/>
      <c r="AL349" s="105"/>
      <c r="AM349" s="105"/>
      <c r="AN349" s="105"/>
      <c r="AO349" s="105"/>
      <c r="AP349" s="105"/>
      <c r="AQ349" s="105"/>
      <c r="AR349" s="105"/>
      <c r="AS349" s="105"/>
      <c r="AU349"/>
    </row>
    <row r="350" spans="1:62">
      <c r="A350"/>
      <c r="B350" s="768" t="s">
        <v>72</v>
      </c>
      <c r="C350" s="769"/>
      <c r="D350" s="552" t="s">
        <v>74</v>
      </c>
      <c r="E350" s="552" t="s">
        <v>75</v>
      </c>
      <c r="F350" s="552" t="s">
        <v>76</v>
      </c>
      <c r="G350" s="552" t="s">
        <v>77</v>
      </c>
      <c r="H350" s="552" t="s">
        <v>78</v>
      </c>
      <c r="I350" s="552" t="s">
        <v>79</v>
      </c>
      <c r="J350" s="552" t="s">
        <v>80</v>
      </c>
      <c r="K350" s="552" t="s">
        <v>81</v>
      </c>
      <c r="L350" s="552" t="s">
        <v>82</v>
      </c>
      <c r="M350" s="552" t="s">
        <v>83</v>
      </c>
      <c r="N350" s="552" t="s">
        <v>84</v>
      </c>
      <c r="O350" s="552" t="s">
        <v>85</v>
      </c>
      <c r="Q350" s="768" t="s">
        <v>72</v>
      </c>
      <c r="R350" s="769"/>
      <c r="S350" s="552" t="s">
        <v>74</v>
      </c>
      <c r="T350" s="552" t="s">
        <v>75</v>
      </c>
      <c r="U350" s="552" t="s">
        <v>76</v>
      </c>
      <c r="V350" s="552" t="s">
        <v>77</v>
      </c>
      <c r="W350" s="552" t="s">
        <v>78</v>
      </c>
      <c r="X350" s="552" t="s">
        <v>113</v>
      </c>
      <c r="Y350" s="552" t="s">
        <v>80</v>
      </c>
      <c r="Z350" s="552" t="s">
        <v>81</v>
      </c>
      <c r="AA350" s="552" t="s">
        <v>82</v>
      </c>
      <c r="AB350" s="552" t="s">
        <v>83</v>
      </c>
      <c r="AC350" s="552" t="s">
        <v>84</v>
      </c>
      <c r="AD350" s="552" t="s">
        <v>85</v>
      </c>
      <c r="AF350" s="768" t="s">
        <v>72</v>
      </c>
      <c r="AG350" s="769"/>
      <c r="AH350" s="552" t="s">
        <v>74</v>
      </c>
      <c r="AI350" s="552" t="s">
        <v>75</v>
      </c>
      <c r="AJ350" s="552" t="s">
        <v>76</v>
      </c>
      <c r="AK350" s="552" t="s">
        <v>77</v>
      </c>
      <c r="AL350" s="552" t="s">
        <v>78</v>
      </c>
      <c r="AM350" s="552" t="s">
        <v>79</v>
      </c>
      <c r="AN350" s="552" t="s">
        <v>80</v>
      </c>
      <c r="AO350" s="552" t="s">
        <v>81</v>
      </c>
      <c r="AP350" s="552" t="s">
        <v>82</v>
      </c>
      <c r="AQ350" s="552" t="s">
        <v>83</v>
      </c>
      <c r="AR350" s="552" t="s">
        <v>84</v>
      </c>
      <c r="AS350" s="552" t="s">
        <v>85</v>
      </c>
      <c r="AU350"/>
      <c r="AY350" s="575"/>
      <c r="AZ350" s="575"/>
      <c r="BA350" s="575"/>
      <c r="BB350" s="575"/>
      <c r="BC350" s="575"/>
      <c r="BD350" s="575"/>
      <c r="BE350" s="575"/>
      <c r="BF350" s="575"/>
      <c r="BG350" s="575"/>
      <c r="BH350" s="575"/>
      <c r="BI350" s="575"/>
      <c r="BJ350" s="575"/>
    </row>
    <row r="351" spans="1:62">
      <c r="A351"/>
      <c r="B351" s="762" t="s">
        <v>90</v>
      </c>
      <c r="C351" s="655" t="s">
        <v>241</v>
      </c>
      <c r="D351" s="565"/>
      <c r="E351" s="565"/>
      <c r="F351" s="565"/>
      <c r="G351" s="565"/>
      <c r="H351" s="565"/>
      <c r="I351" s="565"/>
      <c r="J351" s="565"/>
      <c r="K351" s="565"/>
      <c r="L351" s="565"/>
      <c r="M351" s="565"/>
      <c r="N351" s="565"/>
      <c r="O351" s="565"/>
      <c r="Q351" s="762" t="s">
        <v>90</v>
      </c>
      <c r="R351" s="655" t="s">
        <v>241</v>
      </c>
      <c r="S351" s="636">
        <v>100</v>
      </c>
      <c r="T351" s="636">
        <v>100</v>
      </c>
      <c r="U351" s="636">
        <v>100</v>
      </c>
      <c r="V351" s="636">
        <v>100</v>
      </c>
      <c r="W351" s="636">
        <v>100</v>
      </c>
      <c r="X351" s="636">
        <v>106.67</v>
      </c>
      <c r="Y351" s="636">
        <v>110</v>
      </c>
      <c r="Z351" s="636">
        <v>110</v>
      </c>
      <c r="AA351" s="636">
        <v>110</v>
      </c>
      <c r="AB351" s="636">
        <v>110</v>
      </c>
      <c r="AC351" s="636">
        <v>110</v>
      </c>
      <c r="AD351" s="636">
        <v>110</v>
      </c>
      <c r="AF351" s="762" t="s">
        <v>90</v>
      </c>
      <c r="AG351" s="655" t="s">
        <v>241</v>
      </c>
      <c r="AH351" s="636">
        <v>100</v>
      </c>
      <c r="AI351" s="636">
        <v>100</v>
      </c>
      <c r="AJ351" s="636">
        <v>100</v>
      </c>
      <c r="AK351" s="636">
        <v>100</v>
      </c>
      <c r="AL351" s="636">
        <v>100</v>
      </c>
      <c r="AM351" s="636">
        <v>106.67</v>
      </c>
      <c r="AN351" s="636">
        <v>110</v>
      </c>
      <c r="AO351" s="636">
        <v>110</v>
      </c>
      <c r="AP351" s="636">
        <v>110</v>
      </c>
      <c r="AQ351" s="636">
        <v>110</v>
      </c>
      <c r="AR351" s="636">
        <v>110</v>
      </c>
      <c r="AS351" s="636">
        <v>110</v>
      </c>
      <c r="AU351"/>
      <c r="AY351" s="575"/>
      <c r="AZ351" s="575"/>
      <c r="BA351" s="575"/>
      <c r="BB351" s="575"/>
      <c r="BC351" s="575"/>
      <c r="BD351" s="575"/>
      <c r="BE351" s="575"/>
      <c r="BF351" s="575"/>
      <c r="BG351" s="575"/>
      <c r="BH351" s="575"/>
      <c r="BI351" s="575"/>
      <c r="BJ351" s="575"/>
    </row>
    <row r="352" spans="1:62">
      <c r="A352"/>
      <c r="B352" s="762"/>
      <c r="C352" s="635" t="s">
        <v>242</v>
      </c>
      <c r="D352" s="565"/>
      <c r="E352" s="565"/>
      <c r="F352" s="565"/>
      <c r="G352" s="565"/>
      <c r="H352" s="565"/>
      <c r="I352" s="565"/>
      <c r="J352" s="565"/>
      <c r="K352" s="565"/>
      <c r="L352" s="565"/>
      <c r="M352" s="565"/>
      <c r="N352" s="565"/>
      <c r="O352" s="565"/>
      <c r="Q352" s="762"/>
      <c r="R352" s="635" t="s">
        <v>242</v>
      </c>
      <c r="S352" s="636">
        <v>100</v>
      </c>
      <c r="T352" s="636">
        <v>100</v>
      </c>
      <c r="U352" s="636">
        <v>100</v>
      </c>
      <c r="V352" s="636">
        <v>100</v>
      </c>
      <c r="W352" s="636">
        <v>100</v>
      </c>
      <c r="X352" s="565">
        <v>109</v>
      </c>
      <c r="Y352" s="636">
        <v>112</v>
      </c>
      <c r="Z352" s="636">
        <v>112</v>
      </c>
      <c r="AA352" s="636">
        <v>112</v>
      </c>
      <c r="AB352" s="636">
        <v>112</v>
      </c>
      <c r="AC352" s="636">
        <v>112</v>
      </c>
      <c r="AD352" s="636">
        <v>112</v>
      </c>
      <c r="AF352" s="762"/>
      <c r="AG352" s="635" t="s">
        <v>242</v>
      </c>
      <c r="AH352" s="636">
        <v>100</v>
      </c>
      <c r="AI352" s="636">
        <v>100</v>
      </c>
      <c r="AJ352" s="636">
        <v>100</v>
      </c>
      <c r="AK352" s="636">
        <v>100</v>
      </c>
      <c r="AL352" s="636">
        <v>100</v>
      </c>
      <c r="AM352" s="636">
        <v>109</v>
      </c>
      <c r="AN352" s="636">
        <v>112</v>
      </c>
      <c r="AO352" s="636">
        <v>112</v>
      </c>
      <c r="AP352" s="636">
        <v>112</v>
      </c>
      <c r="AQ352" s="636">
        <v>112</v>
      </c>
      <c r="AR352" s="636">
        <v>112</v>
      </c>
      <c r="AS352" s="636">
        <v>112</v>
      </c>
      <c r="AU352"/>
      <c r="AY352" s="575"/>
      <c r="AZ352" s="575"/>
      <c r="BA352" s="575"/>
      <c r="BB352" s="575"/>
      <c r="BC352" s="575"/>
      <c r="BD352" s="575"/>
      <c r="BE352" s="575"/>
      <c r="BF352" s="575"/>
      <c r="BG352" s="575"/>
      <c r="BH352" s="575"/>
      <c r="BI352" s="575"/>
      <c r="BJ352" s="575"/>
    </row>
    <row r="353" spans="1:62">
      <c r="A353"/>
      <c r="B353" s="762"/>
      <c r="C353" s="637" t="s">
        <v>243</v>
      </c>
      <c r="D353" s="594">
        <v>100</v>
      </c>
      <c r="E353" s="594">
        <v>100</v>
      </c>
      <c r="F353" s="594">
        <v>100</v>
      </c>
      <c r="G353" s="594">
        <v>100</v>
      </c>
      <c r="H353" s="594">
        <v>100</v>
      </c>
      <c r="I353" s="594">
        <v>100</v>
      </c>
      <c r="J353" s="594">
        <v>100</v>
      </c>
      <c r="K353" s="594">
        <v>100</v>
      </c>
      <c r="L353" s="594">
        <v>100</v>
      </c>
      <c r="M353" s="594">
        <v>100</v>
      </c>
      <c r="N353" s="594">
        <v>100</v>
      </c>
      <c r="O353" s="594">
        <v>100</v>
      </c>
      <c r="Q353" s="762" t="s">
        <v>90</v>
      </c>
      <c r="R353" s="637" t="s">
        <v>243</v>
      </c>
      <c r="S353" s="638">
        <v>100</v>
      </c>
      <c r="T353" s="638">
        <v>100</v>
      </c>
      <c r="U353" s="638">
        <v>100</v>
      </c>
      <c r="V353" s="638">
        <v>100</v>
      </c>
      <c r="W353" s="638">
        <v>100</v>
      </c>
      <c r="X353" s="594">
        <v>107.84</v>
      </c>
      <c r="Y353" s="638">
        <v>110</v>
      </c>
      <c r="Z353" s="638">
        <v>107.84</v>
      </c>
      <c r="AA353" s="638">
        <v>110</v>
      </c>
      <c r="AB353" s="638">
        <v>110</v>
      </c>
      <c r="AC353" s="638">
        <v>110</v>
      </c>
      <c r="AD353" s="638">
        <v>110</v>
      </c>
      <c r="AF353" s="762" t="s">
        <v>90</v>
      </c>
      <c r="AG353" s="637" t="s">
        <v>243</v>
      </c>
      <c r="AH353" s="638">
        <v>100</v>
      </c>
      <c r="AI353" s="638">
        <v>100</v>
      </c>
      <c r="AJ353" s="638">
        <v>100</v>
      </c>
      <c r="AK353" s="638">
        <v>100</v>
      </c>
      <c r="AL353" s="638">
        <v>100</v>
      </c>
      <c r="AM353" s="638">
        <v>107.83500000000001</v>
      </c>
      <c r="AN353" s="638">
        <v>110</v>
      </c>
      <c r="AO353" s="638">
        <v>107.84</v>
      </c>
      <c r="AP353" s="638">
        <v>110</v>
      </c>
      <c r="AQ353" s="638">
        <v>110</v>
      </c>
      <c r="AR353" s="638">
        <v>110</v>
      </c>
      <c r="AS353" s="638">
        <v>110</v>
      </c>
      <c r="AU353"/>
      <c r="AY353" s="575"/>
      <c r="AZ353" s="575"/>
      <c r="BA353" s="575"/>
      <c r="BB353" s="575"/>
      <c r="BC353" s="575"/>
      <c r="BD353" s="575"/>
      <c r="BE353" s="575"/>
      <c r="BF353" s="575"/>
      <c r="BG353" s="575"/>
      <c r="BH353" s="575"/>
      <c r="BI353" s="575"/>
      <c r="BJ353" s="575"/>
    </row>
    <row r="356" spans="1:62">
      <c r="A356" s="105">
        <v>12</v>
      </c>
      <c r="B356" s="21" t="s">
        <v>244</v>
      </c>
      <c r="D356" s="105"/>
      <c r="E356" s="664"/>
      <c r="F356" s="664"/>
      <c r="G356" s="664"/>
      <c r="H356" s="664"/>
      <c r="I356" s="664"/>
      <c r="J356" s="105"/>
      <c r="K356" s="105"/>
      <c r="L356" s="105"/>
      <c r="M356" s="105"/>
      <c r="N356" s="105"/>
      <c r="O356" s="105"/>
      <c r="Q356" t="s">
        <v>244</v>
      </c>
      <c r="S356" s="584"/>
      <c r="T356" s="105"/>
      <c r="U356" s="105"/>
      <c r="V356" s="105"/>
      <c r="W356" s="105"/>
      <c r="X356" s="105"/>
      <c r="Y356" s="105"/>
      <c r="Z356" s="105"/>
      <c r="AA356" s="105"/>
      <c r="AB356" s="105"/>
      <c r="AC356" s="105"/>
      <c r="AD356" s="105"/>
      <c r="AF356" t="s">
        <v>244</v>
      </c>
      <c r="AH356" s="105"/>
      <c r="AI356" s="105"/>
      <c r="AJ356" s="105"/>
      <c r="AK356" s="105"/>
      <c r="AL356" s="105"/>
      <c r="AM356" s="105"/>
      <c r="AN356" s="105"/>
      <c r="AO356" s="105"/>
      <c r="AP356" s="105"/>
      <c r="AQ356" s="105"/>
      <c r="AR356" s="105"/>
      <c r="AS356" s="105"/>
      <c r="AU356"/>
    </row>
    <row r="357" spans="1:62">
      <c r="A357"/>
      <c r="B357" s="21" t="s">
        <v>100</v>
      </c>
      <c r="C357" s="665"/>
      <c r="D357" s="661"/>
      <c r="E357" s="661"/>
      <c r="F357" s="661"/>
      <c r="G357" s="661"/>
      <c r="H357" s="661"/>
      <c r="I357" s="661"/>
      <c r="J357" s="105"/>
      <c r="K357" s="105"/>
      <c r="L357" s="105"/>
      <c r="M357" s="105"/>
      <c r="N357" s="105"/>
      <c r="O357" s="666"/>
      <c r="Q357" t="s">
        <v>126</v>
      </c>
      <c r="S357" s="665"/>
      <c r="T357" s="105"/>
      <c r="U357" s="105"/>
      <c r="V357" s="105"/>
      <c r="W357" s="105"/>
      <c r="X357" s="105"/>
      <c r="Y357" s="105"/>
      <c r="Z357" s="105"/>
      <c r="AA357" s="105"/>
      <c r="AB357" s="105"/>
      <c r="AC357" s="105"/>
      <c r="AD357" s="666"/>
      <c r="AF357" t="s">
        <v>127</v>
      </c>
      <c r="AH357" s="665"/>
      <c r="AI357" s="105"/>
      <c r="AJ357" s="105"/>
      <c r="AK357" s="105"/>
      <c r="AL357" s="105"/>
      <c r="AM357" s="105"/>
      <c r="AN357" s="105"/>
      <c r="AO357" s="105"/>
      <c r="AP357" s="105"/>
      <c r="AQ357" s="105"/>
      <c r="AR357" s="105"/>
      <c r="AS357" s="666"/>
      <c r="AU357"/>
    </row>
    <row r="358" spans="1:62">
      <c r="A358"/>
      <c r="B358" s="768" t="s">
        <v>72</v>
      </c>
      <c r="C358" s="769"/>
      <c r="D358" s="552" t="s">
        <v>74</v>
      </c>
      <c r="E358" s="552" t="s">
        <v>75</v>
      </c>
      <c r="F358" s="552" t="s">
        <v>76</v>
      </c>
      <c r="G358" s="552" t="s">
        <v>77</v>
      </c>
      <c r="H358" s="552" t="s">
        <v>78</v>
      </c>
      <c r="I358" s="552" t="s">
        <v>79</v>
      </c>
      <c r="J358" s="552" t="s">
        <v>80</v>
      </c>
      <c r="K358" s="552" t="s">
        <v>81</v>
      </c>
      <c r="L358" s="552" t="s">
        <v>82</v>
      </c>
      <c r="M358" s="552" t="s">
        <v>83</v>
      </c>
      <c r="N358" s="552" t="s">
        <v>84</v>
      </c>
      <c r="O358" s="552" t="s">
        <v>85</v>
      </c>
      <c r="Q358" s="768" t="s">
        <v>72</v>
      </c>
      <c r="R358" s="769"/>
      <c r="S358" s="552" t="s">
        <v>74</v>
      </c>
      <c r="T358" s="552" t="s">
        <v>75</v>
      </c>
      <c r="U358" s="552" t="s">
        <v>76</v>
      </c>
      <c r="V358" s="552" t="s">
        <v>77</v>
      </c>
      <c r="W358" s="552" t="s">
        <v>78</v>
      </c>
      <c r="X358" s="552" t="s">
        <v>79</v>
      </c>
      <c r="Y358" s="552" t="s">
        <v>80</v>
      </c>
      <c r="Z358" s="552" t="s">
        <v>81</v>
      </c>
      <c r="AA358" s="552" t="s">
        <v>82</v>
      </c>
      <c r="AB358" s="552" t="s">
        <v>83</v>
      </c>
      <c r="AC358" s="552" t="s">
        <v>84</v>
      </c>
      <c r="AD358" s="552" t="s">
        <v>85</v>
      </c>
      <c r="AF358" s="768" t="s">
        <v>72</v>
      </c>
      <c r="AG358" s="769"/>
      <c r="AH358" s="552" t="s">
        <v>74</v>
      </c>
      <c r="AI358" s="552" t="s">
        <v>75</v>
      </c>
      <c r="AJ358" s="552" t="s">
        <v>76</v>
      </c>
      <c r="AK358" s="552" t="s">
        <v>77</v>
      </c>
      <c r="AL358" s="552" t="s">
        <v>78</v>
      </c>
      <c r="AM358" s="552" t="s">
        <v>79</v>
      </c>
      <c r="AN358" s="552" t="s">
        <v>80</v>
      </c>
      <c r="AO358" s="552" t="s">
        <v>81</v>
      </c>
      <c r="AP358" s="552" t="s">
        <v>82</v>
      </c>
      <c r="AQ358" s="552" t="s">
        <v>83</v>
      </c>
      <c r="AR358" s="552" t="s">
        <v>84</v>
      </c>
      <c r="AS358" s="552" t="s">
        <v>85</v>
      </c>
      <c r="AU358"/>
    </row>
    <row r="359" spans="1:62" ht="24.6" customHeight="1">
      <c r="A359"/>
      <c r="B359" s="781" t="s">
        <v>90</v>
      </c>
      <c r="C359" s="782"/>
      <c r="D359" s="641">
        <v>100</v>
      </c>
      <c r="E359" s="641">
        <v>100</v>
      </c>
      <c r="F359" s="641">
        <v>100</v>
      </c>
      <c r="G359" s="641">
        <v>100</v>
      </c>
      <c r="H359" s="641">
        <v>100</v>
      </c>
      <c r="I359" s="641">
        <v>100</v>
      </c>
      <c r="J359" s="641">
        <v>100</v>
      </c>
      <c r="K359" s="641">
        <v>100</v>
      </c>
      <c r="L359" s="641">
        <v>100</v>
      </c>
      <c r="M359" s="641">
        <v>100</v>
      </c>
      <c r="N359" s="641">
        <v>100</v>
      </c>
      <c r="O359" s="641">
        <v>100</v>
      </c>
      <c r="Q359" s="555" t="s">
        <v>90</v>
      </c>
      <c r="R359" s="667" t="s">
        <v>245</v>
      </c>
      <c r="S359" s="641">
        <v>100</v>
      </c>
      <c r="T359" s="641">
        <v>100</v>
      </c>
      <c r="U359" s="641">
        <v>100</v>
      </c>
      <c r="V359" s="641">
        <v>100</v>
      </c>
      <c r="W359" s="641">
        <v>100</v>
      </c>
      <c r="X359" s="641">
        <v>100</v>
      </c>
      <c r="Y359" s="641">
        <v>100</v>
      </c>
      <c r="Z359" s="641">
        <v>100</v>
      </c>
      <c r="AA359" s="641">
        <v>100</v>
      </c>
      <c r="AB359" s="641">
        <v>100</v>
      </c>
      <c r="AC359" s="641"/>
      <c r="AD359" s="641"/>
      <c r="AF359" s="555" t="s">
        <v>90</v>
      </c>
      <c r="AG359" s="667" t="s">
        <v>245</v>
      </c>
      <c r="AH359" s="641">
        <v>100</v>
      </c>
      <c r="AI359" s="641">
        <v>100</v>
      </c>
      <c r="AJ359" s="641">
        <v>100</v>
      </c>
      <c r="AK359" s="641">
        <v>100</v>
      </c>
      <c r="AL359" s="641">
        <v>100</v>
      </c>
      <c r="AM359" s="641">
        <v>100</v>
      </c>
      <c r="AN359" s="641">
        <v>100</v>
      </c>
      <c r="AO359" s="641">
        <v>100</v>
      </c>
      <c r="AP359" s="641">
        <v>100</v>
      </c>
      <c r="AQ359" s="641">
        <v>100</v>
      </c>
      <c r="AR359" s="641">
        <v>0</v>
      </c>
      <c r="AS359" s="668">
        <v>0</v>
      </c>
      <c r="AU359"/>
    </row>
    <row r="360" spans="1:62" ht="19.149999999999999" customHeight="1">
      <c r="A360"/>
      <c r="B360" s="181"/>
      <c r="C360" s="181"/>
      <c r="D360" s="647"/>
      <c r="E360" s="647"/>
      <c r="F360" s="647"/>
      <c r="G360" s="647"/>
      <c r="H360" s="647"/>
      <c r="I360" s="647"/>
      <c r="J360" s="647"/>
      <c r="K360" s="647"/>
      <c r="L360" s="647"/>
      <c r="M360" s="647"/>
      <c r="N360" s="647"/>
      <c r="O360" s="647"/>
      <c r="Q360" s="125"/>
      <c r="R360" s="124"/>
      <c r="S360" s="647"/>
      <c r="T360" s="647"/>
      <c r="U360" s="647"/>
      <c r="V360" s="647"/>
      <c r="W360" s="647"/>
      <c r="X360" s="647"/>
      <c r="Y360" s="647"/>
      <c r="Z360" s="647"/>
      <c r="AA360" s="647"/>
      <c r="AB360" s="647"/>
      <c r="AC360" s="647"/>
      <c r="AD360" s="647"/>
      <c r="AF360" s="125"/>
      <c r="AG360" s="124"/>
      <c r="AH360" s="647"/>
      <c r="AI360" s="647"/>
      <c r="AJ360" s="647"/>
      <c r="AK360" s="647"/>
      <c r="AL360" s="647"/>
      <c r="AM360" s="647"/>
      <c r="AN360" s="647"/>
      <c r="AO360" s="647"/>
      <c r="AP360" s="647"/>
      <c r="AQ360" s="647"/>
      <c r="AR360" s="647"/>
      <c r="AS360" s="716"/>
      <c r="AU360"/>
    </row>
    <row r="361" spans="1:62">
      <c r="A361" s="105">
        <v>12</v>
      </c>
      <c r="B361" s="21" t="s">
        <v>246</v>
      </c>
      <c r="D361" s="105"/>
      <c r="E361" s="664"/>
      <c r="F361" s="664"/>
      <c r="G361" s="664"/>
      <c r="H361" s="664"/>
      <c r="I361" s="664"/>
      <c r="J361" s="105"/>
      <c r="K361" s="105"/>
      <c r="L361" s="105"/>
      <c r="M361" s="105"/>
      <c r="N361" s="105"/>
      <c r="O361" s="105"/>
      <c r="Q361" t="s">
        <v>246</v>
      </c>
      <c r="S361" s="584"/>
      <c r="T361" s="105"/>
      <c r="U361" s="105"/>
      <c r="V361" s="105"/>
      <c r="W361" s="105"/>
      <c r="X361" s="105"/>
      <c r="Y361" s="105"/>
      <c r="Z361" s="105"/>
      <c r="AA361" s="105"/>
      <c r="AB361" s="105"/>
      <c r="AC361" s="105"/>
      <c r="AD361" s="105"/>
      <c r="AF361" t="s">
        <v>246</v>
      </c>
      <c r="AH361" s="105"/>
      <c r="AI361" s="105"/>
      <c r="AJ361" s="105"/>
      <c r="AK361" s="105"/>
      <c r="AL361" s="105"/>
      <c r="AM361" s="105"/>
      <c r="AN361" s="105"/>
      <c r="AO361" s="105"/>
      <c r="AP361" s="105"/>
      <c r="AQ361" s="105"/>
      <c r="AR361" s="105"/>
      <c r="AS361" s="105"/>
      <c r="AU361"/>
    </row>
    <row r="362" spans="1:62">
      <c r="A362"/>
      <c r="B362" s="21" t="s">
        <v>100</v>
      </c>
      <c r="C362" s="665"/>
      <c r="D362" s="661"/>
      <c r="E362" s="661"/>
      <c r="F362" s="661"/>
      <c r="G362" s="661"/>
      <c r="H362" s="661"/>
      <c r="I362" s="661"/>
      <c r="J362" s="105"/>
      <c r="K362" s="105"/>
      <c r="L362" s="105"/>
      <c r="M362" s="105"/>
      <c r="N362" s="105"/>
      <c r="O362" s="666"/>
      <c r="Q362" t="s">
        <v>126</v>
      </c>
      <c r="S362" s="665"/>
      <c r="T362" s="105"/>
      <c r="U362" s="105"/>
      <c r="V362" s="105"/>
      <c r="W362" s="105"/>
      <c r="X362" s="105"/>
      <c r="Y362" s="105"/>
      <c r="Z362" s="105"/>
      <c r="AA362" s="105"/>
      <c r="AB362" s="105"/>
      <c r="AC362" s="105"/>
      <c r="AD362" s="666"/>
      <c r="AF362" t="s">
        <v>127</v>
      </c>
      <c r="AH362" s="665"/>
      <c r="AI362" s="105"/>
      <c r="AJ362" s="105"/>
      <c r="AK362" s="105"/>
      <c r="AL362" s="105"/>
      <c r="AM362" s="105"/>
      <c r="AN362" s="105"/>
      <c r="AO362" s="105"/>
      <c r="AP362" s="105"/>
      <c r="AQ362" s="105"/>
      <c r="AR362" s="105"/>
      <c r="AS362" s="666"/>
      <c r="AU362"/>
    </row>
    <row r="363" spans="1:62">
      <c r="A363"/>
      <c r="B363" s="768" t="s">
        <v>72</v>
      </c>
      <c r="C363" s="769"/>
      <c r="D363" s="552" t="s">
        <v>74</v>
      </c>
      <c r="E363" s="552" t="s">
        <v>75</v>
      </c>
      <c r="F363" s="552" t="s">
        <v>76</v>
      </c>
      <c r="G363" s="552" t="s">
        <v>77</v>
      </c>
      <c r="H363" s="552" t="s">
        <v>78</v>
      </c>
      <c r="I363" s="552" t="s">
        <v>79</v>
      </c>
      <c r="J363" s="552" t="s">
        <v>80</v>
      </c>
      <c r="K363" s="552" t="s">
        <v>81</v>
      </c>
      <c r="L363" s="552" t="s">
        <v>82</v>
      </c>
      <c r="M363" s="552" t="s">
        <v>83</v>
      </c>
      <c r="N363" s="552" t="s">
        <v>84</v>
      </c>
      <c r="O363" s="552" t="s">
        <v>85</v>
      </c>
      <c r="Q363" s="768" t="s">
        <v>72</v>
      </c>
      <c r="R363" s="769"/>
      <c r="S363" s="552" t="s">
        <v>74</v>
      </c>
      <c r="T363" s="552" t="s">
        <v>75</v>
      </c>
      <c r="U363" s="552" t="s">
        <v>76</v>
      </c>
      <c r="V363" s="552" t="s">
        <v>77</v>
      </c>
      <c r="W363" s="552" t="s">
        <v>78</v>
      </c>
      <c r="X363" s="552" t="s">
        <v>79</v>
      </c>
      <c r="Y363" s="552" t="s">
        <v>80</v>
      </c>
      <c r="Z363" s="552" t="s">
        <v>81</v>
      </c>
      <c r="AA363" s="552" t="s">
        <v>82</v>
      </c>
      <c r="AB363" s="552" t="s">
        <v>83</v>
      </c>
      <c r="AC363" s="552" t="s">
        <v>84</v>
      </c>
      <c r="AD363" s="552" t="s">
        <v>85</v>
      </c>
      <c r="AF363" s="768" t="s">
        <v>72</v>
      </c>
      <c r="AG363" s="769"/>
      <c r="AH363" s="552" t="s">
        <v>74</v>
      </c>
      <c r="AI363" s="552" t="s">
        <v>75</v>
      </c>
      <c r="AJ363" s="552" t="s">
        <v>76</v>
      </c>
      <c r="AK363" s="552" t="s">
        <v>77</v>
      </c>
      <c r="AL363" s="552" t="s">
        <v>78</v>
      </c>
      <c r="AM363" s="552" t="s">
        <v>79</v>
      </c>
      <c r="AN363" s="552" t="s">
        <v>80</v>
      </c>
      <c r="AO363" s="552" t="s">
        <v>81</v>
      </c>
      <c r="AP363" s="552" t="s">
        <v>82</v>
      </c>
      <c r="AQ363" s="552" t="s">
        <v>83</v>
      </c>
      <c r="AR363" s="552" t="s">
        <v>84</v>
      </c>
      <c r="AS363" s="552" t="s">
        <v>85</v>
      </c>
      <c r="AU363"/>
    </row>
    <row r="364" spans="1:62" ht="24.6" customHeight="1">
      <c r="A364"/>
      <c r="B364" s="660" t="s">
        <v>90</v>
      </c>
      <c r="C364" s="654" t="s">
        <v>247</v>
      </c>
      <c r="D364" s="641">
        <v>100</v>
      </c>
      <c r="E364" s="641">
        <v>100</v>
      </c>
      <c r="F364" s="641">
        <v>100</v>
      </c>
      <c r="G364" s="641">
        <v>100</v>
      </c>
      <c r="H364" s="641">
        <v>100</v>
      </c>
      <c r="I364" s="641">
        <v>100</v>
      </c>
      <c r="J364" s="641">
        <v>100</v>
      </c>
      <c r="K364" s="641">
        <v>100</v>
      </c>
      <c r="L364" s="641">
        <v>100</v>
      </c>
      <c r="M364" s="641">
        <v>100</v>
      </c>
      <c r="N364" s="641">
        <v>100</v>
      </c>
      <c r="O364" s="641">
        <v>100</v>
      </c>
      <c r="Q364" s="555" t="s">
        <v>90</v>
      </c>
      <c r="R364" s="667" t="s">
        <v>247</v>
      </c>
      <c r="S364" s="641">
        <v>100</v>
      </c>
      <c r="T364" s="641">
        <v>100</v>
      </c>
      <c r="U364" s="641">
        <v>100</v>
      </c>
      <c r="V364" s="641">
        <v>100</v>
      </c>
      <c r="W364" s="641">
        <v>100</v>
      </c>
      <c r="X364" s="641">
        <v>114.98</v>
      </c>
      <c r="Y364" s="641">
        <v>114.98</v>
      </c>
      <c r="Z364" s="641">
        <v>100</v>
      </c>
      <c r="AA364" s="641">
        <v>100</v>
      </c>
      <c r="AB364" s="641">
        <v>100</v>
      </c>
      <c r="AC364" s="641"/>
      <c r="AD364" s="641"/>
      <c r="AF364" s="555" t="s">
        <v>90</v>
      </c>
      <c r="AG364" s="667" t="s">
        <v>245</v>
      </c>
      <c r="AH364" s="641">
        <v>100</v>
      </c>
      <c r="AI364" s="641">
        <v>100</v>
      </c>
      <c r="AJ364" s="641">
        <v>100</v>
      </c>
      <c r="AK364" s="641">
        <v>100</v>
      </c>
      <c r="AL364" s="641">
        <v>100</v>
      </c>
      <c r="AM364" s="641">
        <v>114.98</v>
      </c>
      <c r="AN364" s="641">
        <v>114.98</v>
      </c>
      <c r="AO364" s="641">
        <v>100</v>
      </c>
      <c r="AP364" s="641">
        <v>100</v>
      </c>
      <c r="AQ364" s="641">
        <v>100</v>
      </c>
      <c r="AR364" s="641">
        <v>0</v>
      </c>
      <c r="AS364" s="668">
        <v>0</v>
      </c>
      <c r="AU364"/>
    </row>
    <row r="365" spans="1:62" ht="24.6" customHeight="1">
      <c r="A365"/>
      <c r="B365" s="660" t="s">
        <v>90</v>
      </c>
      <c r="C365" s="654" t="s">
        <v>248</v>
      </c>
      <c r="D365" s="641">
        <v>0</v>
      </c>
      <c r="E365" s="641">
        <v>2</v>
      </c>
      <c r="F365" s="641">
        <v>2.5</v>
      </c>
      <c r="G365" s="641">
        <v>2.65</v>
      </c>
      <c r="H365" s="641">
        <v>2.8</v>
      </c>
      <c r="I365" s="641">
        <v>3</v>
      </c>
      <c r="J365" s="641">
        <v>3.15</v>
      </c>
      <c r="K365" s="641">
        <v>3.3</v>
      </c>
      <c r="L365" s="641">
        <v>3.5</v>
      </c>
      <c r="M365" s="641">
        <v>3.65</v>
      </c>
      <c r="N365" s="641">
        <v>3.8</v>
      </c>
      <c r="O365" s="641">
        <v>4</v>
      </c>
      <c r="Q365" s="555" t="s">
        <v>90</v>
      </c>
      <c r="R365" s="667" t="s">
        <v>248</v>
      </c>
      <c r="S365" s="641">
        <v>0</v>
      </c>
      <c r="T365" s="641">
        <v>1.26</v>
      </c>
      <c r="U365" s="641">
        <v>2.5049999999999994</v>
      </c>
      <c r="V365" s="641">
        <v>3.01</v>
      </c>
      <c r="W365" s="641">
        <v>2.92</v>
      </c>
      <c r="X365" s="641">
        <v>3.023333333333333</v>
      </c>
      <c r="Y365" s="641">
        <v>3.38</v>
      </c>
      <c r="Z365" s="641">
        <v>3.24</v>
      </c>
      <c r="AA365" s="641">
        <v>3.5</v>
      </c>
      <c r="AB365" s="641">
        <v>3.65</v>
      </c>
      <c r="AC365" s="641"/>
      <c r="AD365" s="641"/>
      <c r="AF365" s="555" t="s">
        <v>90</v>
      </c>
      <c r="AG365" s="667" t="s">
        <v>245</v>
      </c>
      <c r="AH365" s="641">
        <v>0</v>
      </c>
      <c r="AI365" s="641">
        <v>1.26</v>
      </c>
      <c r="AJ365" s="641">
        <v>2.5049999999999994</v>
      </c>
      <c r="AK365" s="641">
        <v>3.01</v>
      </c>
      <c r="AL365" s="641">
        <v>2.92</v>
      </c>
      <c r="AM365" s="641">
        <v>3.023333333333333</v>
      </c>
      <c r="AN365" s="641">
        <v>3.38</v>
      </c>
      <c r="AO365" s="641">
        <v>3.24</v>
      </c>
      <c r="AP365" s="641">
        <v>3.5</v>
      </c>
      <c r="AQ365" s="641">
        <v>3.65</v>
      </c>
      <c r="AR365" s="641">
        <v>0</v>
      </c>
      <c r="AS365" s="668">
        <v>0</v>
      </c>
      <c r="AU365"/>
    </row>
    <row r="366" spans="1:62" ht="24.6" customHeight="1">
      <c r="A366"/>
      <c r="B366" s="660" t="s">
        <v>90</v>
      </c>
      <c r="C366" s="654" t="s">
        <v>249</v>
      </c>
      <c r="D366" s="641">
        <v>100</v>
      </c>
      <c r="E366" s="641">
        <v>100</v>
      </c>
      <c r="F366" s="641">
        <v>100</v>
      </c>
      <c r="G366" s="641">
        <v>100</v>
      </c>
      <c r="H366" s="641">
        <v>100</v>
      </c>
      <c r="I366" s="641">
        <v>100</v>
      </c>
      <c r="J366" s="641">
        <v>100</v>
      </c>
      <c r="K366" s="641">
        <v>100</v>
      </c>
      <c r="L366" s="641">
        <v>100</v>
      </c>
      <c r="M366" s="641">
        <v>100</v>
      </c>
      <c r="N366" s="641">
        <v>100</v>
      </c>
      <c r="O366" s="641">
        <v>100</v>
      </c>
      <c r="Q366" s="555" t="s">
        <v>90</v>
      </c>
      <c r="R366" s="667" t="s">
        <v>249</v>
      </c>
      <c r="S366" s="641">
        <v>100</v>
      </c>
      <c r="T366" s="641">
        <v>100</v>
      </c>
      <c r="U366" s="641">
        <v>100</v>
      </c>
      <c r="V366" s="641">
        <v>100</v>
      </c>
      <c r="W366" s="641">
        <v>100</v>
      </c>
      <c r="X366" s="641">
        <v>110</v>
      </c>
      <c r="Y366" s="641">
        <v>110</v>
      </c>
      <c r="Z366" s="641">
        <v>110</v>
      </c>
      <c r="AA366" s="641">
        <v>110</v>
      </c>
      <c r="AB366" s="641">
        <v>110</v>
      </c>
      <c r="AC366" s="641"/>
      <c r="AD366" s="641"/>
      <c r="AF366" s="555" t="s">
        <v>90</v>
      </c>
      <c r="AG366" s="667" t="s">
        <v>245</v>
      </c>
      <c r="AH366" s="641">
        <v>100</v>
      </c>
      <c r="AI366" s="641">
        <v>100</v>
      </c>
      <c r="AJ366" s="641">
        <v>100</v>
      </c>
      <c r="AK366" s="641">
        <v>100</v>
      </c>
      <c r="AL366" s="641">
        <v>100</v>
      </c>
      <c r="AM366" s="641">
        <v>110</v>
      </c>
      <c r="AN366" s="641">
        <v>110</v>
      </c>
      <c r="AO366" s="641">
        <v>110</v>
      </c>
      <c r="AP366" s="641">
        <v>110</v>
      </c>
      <c r="AQ366" s="641">
        <v>110</v>
      </c>
      <c r="AR366" s="641">
        <v>0</v>
      </c>
      <c r="AS366" s="668">
        <v>0</v>
      </c>
      <c r="AU366"/>
    </row>
    <row r="367" spans="1:62" ht="39" customHeight="1">
      <c r="A367"/>
      <c r="B367" s="660" t="s">
        <v>90</v>
      </c>
      <c r="C367" s="717" t="s">
        <v>250</v>
      </c>
      <c r="D367" s="641">
        <v>100</v>
      </c>
      <c r="E367" s="641">
        <v>100</v>
      </c>
      <c r="F367" s="641">
        <v>100</v>
      </c>
      <c r="G367" s="641">
        <v>100</v>
      </c>
      <c r="H367" s="641">
        <v>100</v>
      </c>
      <c r="I367" s="641">
        <v>100</v>
      </c>
      <c r="J367" s="641">
        <v>100</v>
      </c>
      <c r="K367" s="641">
        <v>100</v>
      </c>
      <c r="L367" s="641">
        <v>100</v>
      </c>
      <c r="M367" s="641">
        <v>100</v>
      </c>
      <c r="N367" s="641">
        <v>100</v>
      </c>
      <c r="O367" s="641">
        <v>100</v>
      </c>
      <c r="Q367" s="555" t="s">
        <v>90</v>
      </c>
      <c r="R367" s="667" t="s">
        <v>250</v>
      </c>
      <c r="S367" s="641">
        <v>100</v>
      </c>
      <c r="T367" s="641">
        <v>100</v>
      </c>
      <c r="U367" s="641">
        <v>100</v>
      </c>
      <c r="V367" s="641">
        <v>100</v>
      </c>
      <c r="W367" s="641">
        <v>100</v>
      </c>
      <c r="X367" s="641">
        <v>100</v>
      </c>
      <c r="Y367" s="641">
        <v>100</v>
      </c>
      <c r="Z367" s="641">
        <v>100</v>
      </c>
      <c r="AA367" s="641">
        <v>100</v>
      </c>
      <c r="AB367" s="641">
        <v>100</v>
      </c>
      <c r="AC367" s="641"/>
      <c r="AD367" s="641"/>
      <c r="AF367" s="555" t="s">
        <v>90</v>
      </c>
      <c r="AG367" s="667" t="s">
        <v>245</v>
      </c>
      <c r="AH367" s="641">
        <v>100</v>
      </c>
      <c r="AI367" s="641">
        <v>100</v>
      </c>
      <c r="AJ367" s="641">
        <v>100</v>
      </c>
      <c r="AK367" s="641">
        <v>100</v>
      </c>
      <c r="AL367" s="641">
        <v>100</v>
      </c>
      <c r="AM367" s="641">
        <v>100</v>
      </c>
      <c r="AN367" s="641">
        <v>100</v>
      </c>
      <c r="AO367" s="641">
        <v>100</v>
      </c>
      <c r="AP367" s="641">
        <v>100</v>
      </c>
      <c r="AQ367" s="641">
        <v>100</v>
      </c>
      <c r="AR367" s="641">
        <v>0</v>
      </c>
      <c r="AS367" s="668">
        <v>0</v>
      </c>
      <c r="AU367"/>
    </row>
    <row r="368" spans="1:62" ht="13.9" customHeight="1">
      <c r="A368"/>
      <c r="D368" s="105"/>
      <c r="E368" s="105"/>
      <c r="F368" s="105"/>
      <c r="G368" s="105"/>
      <c r="H368" s="105"/>
      <c r="I368" s="105"/>
      <c r="J368" s="105"/>
      <c r="K368" s="105"/>
      <c r="L368" s="105"/>
      <c r="M368" s="105"/>
      <c r="N368" s="105"/>
      <c r="O368" s="105"/>
      <c r="S368" s="105"/>
      <c r="T368" s="105"/>
      <c r="U368" s="105"/>
      <c r="V368" s="105"/>
      <c r="W368" s="105"/>
      <c r="X368" s="105"/>
      <c r="Y368" s="664"/>
      <c r="Z368" s="105"/>
      <c r="AA368" s="105"/>
      <c r="AB368" s="105"/>
      <c r="AC368" s="105"/>
      <c r="AD368" s="105"/>
      <c r="AH368" s="105"/>
      <c r="AI368" s="105"/>
      <c r="AJ368" s="105"/>
      <c r="AK368" s="105"/>
      <c r="AL368" s="105"/>
      <c r="AM368" s="105"/>
      <c r="AN368" s="105"/>
      <c r="AO368" s="105"/>
      <c r="AP368" s="105"/>
      <c r="AQ368" s="105"/>
      <c r="AR368" s="105"/>
      <c r="AS368" s="105"/>
      <c r="AU368"/>
    </row>
  </sheetData>
  <mergeCells count="271">
    <mergeCell ref="B273:B275"/>
    <mergeCell ref="Q267:Q269"/>
    <mergeCell ref="B279:B281"/>
    <mergeCell ref="AF279:AF281"/>
    <mergeCell ref="AF17:AF19"/>
    <mergeCell ref="B20:B22"/>
    <mergeCell ref="Q20:Q22"/>
    <mergeCell ref="AF20:AF22"/>
    <mergeCell ref="B34:B36"/>
    <mergeCell ref="Q34:Q36"/>
    <mergeCell ref="AF34:AF36"/>
    <mergeCell ref="B37:B39"/>
    <mergeCell ref="Q37:Q39"/>
    <mergeCell ref="AF37:AF39"/>
    <mergeCell ref="B128:C128"/>
    <mergeCell ref="Q128:R128"/>
    <mergeCell ref="AF128:AG128"/>
    <mergeCell ref="Q117:Q118"/>
    <mergeCell ref="Q112:R112"/>
    <mergeCell ref="Q113:Q114"/>
    <mergeCell ref="Q115:Q116"/>
    <mergeCell ref="AF113:AF114"/>
    <mergeCell ref="AF115:AF116"/>
    <mergeCell ref="B112:C112"/>
    <mergeCell ref="AF285:AG285"/>
    <mergeCell ref="Q87:Q89"/>
    <mergeCell ref="Q90:Q92"/>
    <mergeCell ref="AF74:AG74"/>
    <mergeCell ref="AF75:AF77"/>
    <mergeCell ref="AF65:AF67"/>
    <mergeCell ref="AF68:AF70"/>
    <mergeCell ref="B78:B80"/>
    <mergeCell ref="B81:B83"/>
    <mergeCell ref="B84:B86"/>
    <mergeCell ref="B87:B89"/>
    <mergeCell ref="B90:B92"/>
    <mergeCell ref="Q78:Q80"/>
    <mergeCell ref="B188:C188"/>
    <mergeCell ref="Q188:R188"/>
    <mergeCell ref="AF188:AG188"/>
    <mergeCell ref="B233:C233"/>
    <mergeCell ref="Q233:R233"/>
    <mergeCell ref="B276:B278"/>
    <mergeCell ref="Q276:Q278"/>
    <mergeCell ref="Q279:Q281"/>
    <mergeCell ref="AF276:AF278"/>
    <mergeCell ref="B267:B269"/>
    <mergeCell ref="B270:B272"/>
    <mergeCell ref="AF298:AF300"/>
    <mergeCell ref="Q317:Q319"/>
    <mergeCell ref="AF317:AF319"/>
    <mergeCell ref="AF320:AF322"/>
    <mergeCell ref="Q358:R358"/>
    <mergeCell ref="AF358:AG358"/>
    <mergeCell ref="B359:C359"/>
    <mergeCell ref="B286:B288"/>
    <mergeCell ref="Q286:Q288"/>
    <mergeCell ref="Q289:Q291"/>
    <mergeCell ref="Q292:Q294"/>
    <mergeCell ref="Q295:Q297"/>
    <mergeCell ref="Q298:Q300"/>
    <mergeCell ref="AF301:AF303"/>
    <mergeCell ref="AF295:AF297"/>
    <mergeCell ref="B292:B294"/>
    <mergeCell ref="B295:B297"/>
    <mergeCell ref="B298:B300"/>
    <mergeCell ref="AF289:AF291"/>
    <mergeCell ref="AF292:AF294"/>
    <mergeCell ref="AF286:AF288"/>
    <mergeCell ref="Q285:R285"/>
    <mergeCell ref="B46:B48"/>
    <mergeCell ref="Q46:Q48"/>
    <mergeCell ref="AF46:AF48"/>
    <mergeCell ref="B218:B223"/>
    <mergeCell ref="Q218:Q223"/>
    <mergeCell ref="AF218:AF223"/>
    <mergeCell ref="B337:C337"/>
    <mergeCell ref="Q337:R337"/>
    <mergeCell ref="AF337:AG337"/>
    <mergeCell ref="B330:C330"/>
    <mergeCell ref="Q330:R330"/>
    <mergeCell ref="AF330:AG330"/>
    <mergeCell ref="B323:B325"/>
    <mergeCell ref="Q323:Q325"/>
    <mergeCell ref="AF323:AF325"/>
    <mergeCell ref="B314:B316"/>
    <mergeCell ref="Q314:Q316"/>
    <mergeCell ref="AF314:AF316"/>
    <mergeCell ref="B317:B319"/>
    <mergeCell ref="AF52:AG52"/>
    <mergeCell ref="AF53:AF55"/>
    <mergeCell ref="AF56:AF58"/>
    <mergeCell ref="B253:B255"/>
    <mergeCell ref="Q253:Q255"/>
    <mergeCell ref="AF59:AF61"/>
    <mergeCell ref="AF62:AF64"/>
    <mergeCell ref="B144:C144"/>
    <mergeCell ref="Q144:R144"/>
    <mergeCell ref="AF144:AG144"/>
    <mergeCell ref="Q166:R166"/>
    <mergeCell ref="B117:B118"/>
    <mergeCell ref="B119:B120"/>
    <mergeCell ref="AF119:AF120"/>
    <mergeCell ref="AF121:AF122"/>
    <mergeCell ref="Q119:Q120"/>
    <mergeCell ref="Q121:Q122"/>
    <mergeCell ref="Q123:Q124"/>
    <mergeCell ref="AF123:AF124"/>
    <mergeCell ref="B121:B122"/>
    <mergeCell ref="B123:B124"/>
    <mergeCell ref="B129:B130"/>
    <mergeCell ref="B166:C166"/>
    <mergeCell ref="AF166:AG166"/>
    <mergeCell ref="B62:B64"/>
    <mergeCell ref="Q101:R101"/>
    <mergeCell ref="AF101:AG101"/>
    <mergeCell ref="Q84:Q86"/>
    <mergeCell ref="B101:C101"/>
    <mergeCell ref="B363:C363"/>
    <mergeCell ref="Q363:R363"/>
    <mergeCell ref="B301:B303"/>
    <mergeCell ref="Q273:Q275"/>
    <mergeCell ref="Q270:Q272"/>
    <mergeCell ref="B212:B217"/>
    <mergeCell ref="Q212:Q217"/>
    <mergeCell ref="B65:B67"/>
    <mergeCell ref="B68:B70"/>
    <mergeCell ref="Q65:Q67"/>
    <mergeCell ref="Q68:Q70"/>
    <mergeCell ref="B74:C74"/>
    <mergeCell ref="B75:B77"/>
    <mergeCell ref="Q74:R74"/>
    <mergeCell ref="Q75:Q77"/>
    <mergeCell ref="B115:B116"/>
    <mergeCell ref="Q301:Q303"/>
    <mergeCell ref="B289:B291"/>
    <mergeCell ref="B224:B229"/>
    <mergeCell ref="Q224:Q229"/>
    <mergeCell ref="B320:B322"/>
    <mergeCell ref="Q320:Q322"/>
    <mergeCell ref="B285:C285"/>
    <mergeCell ref="AF363:AG363"/>
    <mergeCell ref="B338:B341"/>
    <mergeCell ref="Q338:Q341"/>
    <mergeCell ref="AF338:AF341"/>
    <mergeCell ref="B311:B313"/>
    <mergeCell ref="Q311:Q313"/>
    <mergeCell ref="AF311:AF313"/>
    <mergeCell ref="B307:C307"/>
    <mergeCell ref="Q307:R307"/>
    <mergeCell ref="AF307:AG307"/>
    <mergeCell ref="B308:B310"/>
    <mergeCell ref="Q308:Q310"/>
    <mergeCell ref="AF308:AF310"/>
    <mergeCell ref="B351:B353"/>
    <mergeCell ref="Q351:Q353"/>
    <mergeCell ref="AF351:AF353"/>
    <mergeCell ref="B350:C350"/>
    <mergeCell ref="Q350:R350"/>
    <mergeCell ref="AF350:AG350"/>
    <mergeCell ref="B345:C345"/>
    <mergeCell ref="Q345:R345"/>
    <mergeCell ref="AF345:AG345"/>
    <mergeCell ref="B346:C346"/>
    <mergeCell ref="B358:C358"/>
    <mergeCell ref="AF233:AG233"/>
    <mergeCell ref="B193:C193"/>
    <mergeCell ref="Q193:R193"/>
    <mergeCell ref="AF193:AG193"/>
    <mergeCell ref="B194:B199"/>
    <mergeCell ref="Q194:Q199"/>
    <mergeCell ref="AF194:AF199"/>
    <mergeCell ref="B200:B205"/>
    <mergeCell ref="Q200:Q205"/>
    <mergeCell ref="AF200:AF205"/>
    <mergeCell ref="B206:B211"/>
    <mergeCell ref="Q206:Q211"/>
    <mergeCell ref="AF224:AF229"/>
    <mergeCell ref="AF206:AF211"/>
    <mergeCell ref="AF263:AG263"/>
    <mergeCell ref="AF264:AF266"/>
    <mergeCell ref="AF267:AF269"/>
    <mergeCell ref="AF270:AF272"/>
    <mergeCell ref="AF273:AF275"/>
    <mergeCell ref="B263:C263"/>
    <mergeCell ref="AF212:AF217"/>
    <mergeCell ref="Q264:Q266"/>
    <mergeCell ref="Q263:R263"/>
    <mergeCell ref="B256:B258"/>
    <mergeCell ref="Q256:Q258"/>
    <mergeCell ref="AF256:AF258"/>
    <mergeCell ref="B243:C243"/>
    <mergeCell ref="Q243:R243"/>
    <mergeCell ref="AF243:AG243"/>
    <mergeCell ref="AF253:AF255"/>
    <mergeCell ref="B244:B246"/>
    <mergeCell ref="Q244:Q246"/>
    <mergeCell ref="AF244:AF246"/>
    <mergeCell ref="B247:B249"/>
    <mergeCell ref="Q247:Q249"/>
    <mergeCell ref="AF247:AF249"/>
    <mergeCell ref="B250:B252"/>
    <mergeCell ref="Q250:Q252"/>
    <mergeCell ref="B264:B266"/>
    <mergeCell ref="AF250:AF252"/>
    <mergeCell ref="B7:C7"/>
    <mergeCell ref="Q7:R7"/>
    <mergeCell ref="AF7:AG7"/>
    <mergeCell ref="B8:B10"/>
    <mergeCell ref="Q8:Q10"/>
    <mergeCell ref="AF8:AF10"/>
    <mergeCell ref="B11:B13"/>
    <mergeCell ref="Q11:Q13"/>
    <mergeCell ref="AF11:AF13"/>
    <mergeCell ref="Q23:Q25"/>
    <mergeCell ref="AF23:AF25"/>
    <mergeCell ref="B30:C30"/>
    <mergeCell ref="Q30:R30"/>
    <mergeCell ref="AF30:AG30"/>
    <mergeCell ref="B31:B33"/>
    <mergeCell ref="Q31:Q33"/>
    <mergeCell ref="AF31:AF33"/>
    <mergeCell ref="B14:B16"/>
    <mergeCell ref="Q14:Q16"/>
    <mergeCell ref="AF14:AF16"/>
    <mergeCell ref="B17:B19"/>
    <mergeCell ref="Q17:Q19"/>
    <mergeCell ref="B40:B42"/>
    <mergeCell ref="Q40:Q42"/>
    <mergeCell ref="AF40:AF42"/>
    <mergeCell ref="B43:B45"/>
    <mergeCell ref="Q43:Q45"/>
    <mergeCell ref="AF43:AF45"/>
    <mergeCell ref="B96:C96"/>
    <mergeCell ref="Q96:R96"/>
    <mergeCell ref="AF96:AG96"/>
    <mergeCell ref="AF78:AF80"/>
    <mergeCell ref="AF81:AF83"/>
    <mergeCell ref="AF84:AF86"/>
    <mergeCell ref="AF87:AF89"/>
    <mergeCell ref="AF90:AF92"/>
    <mergeCell ref="Q81:Q83"/>
    <mergeCell ref="B52:C52"/>
    <mergeCell ref="Q52:R52"/>
    <mergeCell ref="Q53:Q55"/>
    <mergeCell ref="Q56:Q58"/>
    <mergeCell ref="Q59:Q61"/>
    <mergeCell ref="Q62:Q64"/>
    <mergeCell ref="B53:B55"/>
    <mergeCell ref="B56:B58"/>
    <mergeCell ref="B59:B61"/>
    <mergeCell ref="AF117:AF118"/>
    <mergeCell ref="AF112:AG112"/>
    <mergeCell ref="B137:B138"/>
    <mergeCell ref="Q137:Q138"/>
    <mergeCell ref="AF137:AF138"/>
    <mergeCell ref="B139:B140"/>
    <mergeCell ref="Q139:Q140"/>
    <mergeCell ref="AF139:AF140"/>
    <mergeCell ref="Q129:Q130"/>
    <mergeCell ref="AF129:AF130"/>
    <mergeCell ref="B131:B132"/>
    <mergeCell ref="Q131:Q132"/>
    <mergeCell ref="AF131:AF132"/>
    <mergeCell ref="B133:B134"/>
    <mergeCell ref="Q133:Q134"/>
    <mergeCell ref="AF133:AF134"/>
    <mergeCell ref="B135:B136"/>
    <mergeCell ref="Q135:Q136"/>
    <mergeCell ref="AF135:AF136"/>
    <mergeCell ref="B113:B114"/>
  </mergeCells>
  <phoneticPr fontId="138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  <pageSetUpPr fitToPage="1"/>
  </sheetPr>
  <dimension ref="A1:BD72"/>
  <sheetViews>
    <sheetView workbookViewId="0"/>
  </sheetViews>
  <sheetFormatPr defaultRowHeight="15"/>
  <cols>
    <col min="1" max="1" width="5.7109375" customWidth="1"/>
    <col min="2" max="2" width="52" customWidth="1"/>
    <col min="3" max="3" width="13.42578125" style="366" bestFit="1" customWidth="1"/>
    <col min="4" max="4" width="18.7109375" customWidth="1"/>
    <col min="5" max="5" width="9.85546875" customWidth="1"/>
    <col min="6" max="6" width="15.7109375" bestFit="1" customWidth="1"/>
    <col min="7" max="7" width="11.140625" customWidth="1"/>
    <col min="8" max="8" width="14" customWidth="1"/>
    <col min="9" max="9" width="18.7109375" style="105" bestFit="1" customWidth="1"/>
    <col min="10" max="10" width="12.7109375" customWidth="1"/>
    <col min="11" max="11" width="6.28515625" style="181" customWidth="1"/>
    <col min="12" max="12" width="12.5703125" style="181" customWidth="1"/>
    <col min="13" max="13" width="11.7109375" customWidth="1"/>
    <col min="18" max="19" width="12.7109375" hidden="1" customWidth="1"/>
    <col min="20" max="20" width="0" hidden="1" customWidth="1"/>
    <col min="21" max="21" width="12.28515625" hidden="1" customWidth="1"/>
    <col min="29" max="29" width="9.42578125" bestFit="1" customWidth="1"/>
    <col min="56" max="56" width="14.140625" customWidth="1"/>
  </cols>
  <sheetData>
    <row r="1" spans="1:20" ht="16.5" thickBot="1">
      <c r="A1" s="38"/>
      <c r="B1" s="39" t="s">
        <v>251</v>
      </c>
      <c r="C1" s="378"/>
      <c r="D1" s="38"/>
      <c r="E1" s="38"/>
      <c r="F1" s="40"/>
    </row>
    <row r="2" spans="1:20" ht="16.5" thickBot="1">
      <c r="A2" s="38"/>
      <c r="B2" s="39" t="s">
        <v>252</v>
      </c>
      <c r="C2" s="378"/>
      <c r="D2" s="38"/>
      <c r="E2" s="38"/>
      <c r="F2" s="40"/>
      <c r="M2" s="41" t="s">
        <v>492</v>
      </c>
      <c r="N2" s="137" t="s">
        <v>154</v>
      </c>
    </row>
    <row r="3" spans="1:20" ht="15.75">
      <c r="A3" s="42"/>
      <c r="B3" s="138" t="s">
        <v>7</v>
      </c>
      <c r="C3" s="379"/>
      <c r="D3" s="38"/>
      <c r="E3" s="38"/>
      <c r="F3" s="40"/>
    </row>
    <row r="4" spans="1:20">
      <c r="A4" s="743" t="s">
        <v>8</v>
      </c>
      <c r="B4" s="745" t="s">
        <v>9</v>
      </c>
      <c r="C4" s="746"/>
      <c r="D4" s="743" t="s">
        <v>93</v>
      </c>
      <c r="E4" s="743" t="s">
        <v>99</v>
      </c>
      <c r="F4" s="743" t="s">
        <v>253</v>
      </c>
      <c r="G4" s="734" t="str">
        <f>VLOOKUP(M2,M7:N18,2,FALSE)</f>
        <v>S.D. OKTOBER</v>
      </c>
      <c r="H4" s="735"/>
      <c r="I4" s="735"/>
      <c r="J4" s="736"/>
    </row>
    <row r="5" spans="1:20" ht="26.45" customHeight="1">
      <c r="A5" s="744"/>
      <c r="B5" s="747"/>
      <c r="C5" s="748"/>
      <c r="D5" s="744"/>
      <c r="E5" s="744"/>
      <c r="F5" s="744"/>
      <c r="G5" s="419" t="s">
        <v>100</v>
      </c>
      <c r="H5" s="417" t="s">
        <v>254</v>
      </c>
      <c r="I5" s="417" t="s">
        <v>102</v>
      </c>
      <c r="J5" s="417" t="s">
        <v>103</v>
      </c>
      <c r="R5" s="417"/>
      <c r="S5" s="417"/>
    </row>
    <row r="6" spans="1:20" ht="15.75">
      <c r="A6" s="420">
        <v>1</v>
      </c>
      <c r="B6" s="393">
        <v>2</v>
      </c>
      <c r="C6" s="396"/>
      <c r="D6" s="420">
        <v>3</v>
      </c>
      <c r="E6" s="420">
        <v>4</v>
      </c>
      <c r="F6" s="420">
        <v>5</v>
      </c>
      <c r="G6" s="394">
        <v>6</v>
      </c>
      <c r="H6" s="452">
        <v>7</v>
      </c>
      <c r="I6" s="452">
        <v>8</v>
      </c>
      <c r="J6" s="417">
        <v>9</v>
      </c>
      <c r="R6" s="417"/>
      <c r="S6" s="417"/>
    </row>
    <row r="7" spans="1:20" ht="16.5">
      <c r="A7" s="72" t="str">
        <f>T.UP3!A7</f>
        <v>I</v>
      </c>
      <c r="B7" s="66" t="str">
        <f>T.UP3!B7</f>
        <v>Key Performance Indikator</v>
      </c>
      <c r="C7" s="369"/>
      <c r="D7" s="50"/>
      <c r="E7" s="68">
        <f>SUM(E8:E16)</f>
        <v>40</v>
      </c>
      <c r="F7" s="68"/>
      <c r="G7" s="68"/>
      <c r="H7" s="68"/>
      <c r="I7" s="68"/>
      <c r="J7" s="102">
        <f>SUM(J8:J16)</f>
        <v>41.760000000000005</v>
      </c>
      <c r="M7" s="421" t="s">
        <v>94</v>
      </c>
      <c r="N7" s="43" t="s">
        <v>156</v>
      </c>
      <c r="R7" s="102">
        <f>R8+R9+R10</f>
        <v>40.96</v>
      </c>
      <c r="S7" s="102">
        <f>S8+S9+S10</f>
        <v>41.25</v>
      </c>
    </row>
    <row r="8" spans="1:20" ht="16.5">
      <c r="A8" s="69">
        <f>T.UP3!A8</f>
        <v>1</v>
      </c>
      <c r="B8" s="265" t="str">
        <f>T.UP3!B8</f>
        <v>Penjualan Tenaga Listrik</v>
      </c>
      <c r="C8" s="370" t="str">
        <f>T.UP3!C8</f>
        <v>ñ</v>
      </c>
      <c r="D8" s="97" t="str">
        <f>T.UP3!D8</f>
        <v>GWh</v>
      </c>
      <c r="E8" s="188">
        <f>T.UP3!F8</f>
        <v>14</v>
      </c>
      <c r="F8" s="98">
        <f>T.UP3!H8</f>
        <v>231.47</v>
      </c>
      <c r="G8" s="90">
        <f>VLOOKUP(B8,T.UP3!$B$4:$T$69,MATCH('UP3'!$M$2,T.UP3!$B$5:$T$5,0),FALSE)</f>
        <v>191.42</v>
      </c>
      <c r="H8" s="98">
        <f>VLOOKUP(B8,'R.UP3'!$B$4:$T$67,MATCH('UP3'!$M$2,'R.UP3'!$B$5:$T$5,0),FALSE)</f>
        <v>185.536898264</v>
      </c>
      <c r="I8" s="157">
        <f>IF(OR(G8="N/A",H8="N/A"),"N/A",IF((H8/G8*100)&gt;=110,110,(H8/G8*100)))</f>
        <v>96.926600284191835</v>
      </c>
      <c r="J8" s="103">
        <f>ROUNDDOWN(IF(I8="N/A",0,IF(I8&gt;110,E8*110/100,E8*I8/100)),2)</f>
        <v>13.56</v>
      </c>
      <c r="K8" s="182"/>
      <c r="L8" s="401"/>
      <c r="M8" s="422" t="s">
        <v>95</v>
      </c>
      <c r="N8" s="44" t="s">
        <v>158</v>
      </c>
      <c r="R8" s="103">
        <v>13.56</v>
      </c>
      <c r="S8" s="103">
        <v>13.53</v>
      </c>
      <c r="T8" s="127">
        <f>R8-S8</f>
        <v>3.0000000000001137E-2</v>
      </c>
    </row>
    <row r="9" spans="1:20" ht="16.5">
      <c r="A9" s="186">
        <f>T.UP3!A9</f>
        <v>2</v>
      </c>
      <c r="B9" s="265" t="str">
        <f>T.UP3!B9</f>
        <v>Keandalan Sistem</v>
      </c>
      <c r="C9" s="370"/>
      <c r="D9" s="97"/>
      <c r="E9" s="188">
        <f>IF(OR(H9="N/A",G9="N/A"),0,T.UP3!F9)</f>
        <v>14</v>
      </c>
      <c r="F9" s="98"/>
      <c r="G9" s="90"/>
      <c r="H9" s="98"/>
      <c r="I9" s="157">
        <f>AVERAGE(I10:I12)</f>
        <v>110</v>
      </c>
      <c r="J9" s="103">
        <f>ROUNDDOWN(IF(I9="N/A",0,IF(I9&gt;110,E9*110/100,E9*I9/100)),2)</f>
        <v>15.4</v>
      </c>
      <c r="K9" s="182"/>
      <c r="L9" s="182"/>
      <c r="M9" s="422" t="s">
        <v>96</v>
      </c>
      <c r="N9" s="45" t="s">
        <v>159</v>
      </c>
      <c r="R9" s="103">
        <v>15.4</v>
      </c>
      <c r="S9" s="103">
        <v>15.4</v>
      </c>
      <c r="T9" s="127">
        <f>R9-S9</f>
        <v>0</v>
      </c>
    </row>
    <row r="10" spans="1:20" ht="16.5">
      <c r="A10" s="186"/>
      <c r="B10" s="74" t="str">
        <f>T.UP3!B10</f>
        <v>a. SAIDI Sesuai Kewenangannya</v>
      </c>
      <c r="C10" s="370" t="str">
        <f>T.UP3!C10</f>
        <v>ò</v>
      </c>
      <c r="D10" s="97" t="str">
        <f>T.UP3!D10</f>
        <v>Menit/Plg</v>
      </c>
      <c r="E10" s="188"/>
      <c r="F10" s="98">
        <f>T.UP3!H10</f>
        <v>280.67</v>
      </c>
      <c r="G10" s="90">
        <f>VLOOKUP(B10,T.UP3!$B$4:$T$69,MATCH('UP3'!$M$2,T.UP3!$B$5:$T$5,0),FALSE)</f>
        <v>233.89</v>
      </c>
      <c r="H10" s="98">
        <f>VLOOKUP(B10,'R.UP3'!$B$4:$T$67,MATCH('UP3'!$M$2,'R.UP3'!$B$5:$T$5,0),FALSE)</f>
        <v>196.05711720474355</v>
      </c>
      <c r="I10" s="157">
        <f>IF(OR(G10="N/A",H10="N/A"),"N/A",IF((2-(H10/G10))*100&gt;=110,110,(2-(H10/G10))*100))</f>
        <v>110</v>
      </c>
      <c r="J10" s="103"/>
      <c r="K10" s="182"/>
      <c r="L10" s="401"/>
      <c r="M10" s="422" t="s">
        <v>488</v>
      </c>
      <c r="N10" s="45" t="s">
        <v>160</v>
      </c>
      <c r="O10" s="127"/>
      <c r="R10" s="103">
        <v>12</v>
      </c>
      <c r="S10" s="103">
        <v>12.32</v>
      </c>
      <c r="T10" s="127">
        <f>R10-S10</f>
        <v>-0.32000000000000028</v>
      </c>
    </row>
    <row r="11" spans="1:20" ht="16.5">
      <c r="A11" s="186"/>
      <c r="B11" s="74" t="str">
        <f>T.UP3!B11</f>
        <v>b. SAIFI Sesuai Kewenangannya</v>
      </c>
      <c r="C11" s="370" t="str">
        <f>T.UP3!C11</f>
        <v>ò</v>
      </c>
      <c r="D11" s="97" t="str">
        <f>T.UP3!D11</f>
        <v>Kali/Plg</v>
      </c>
      <c r="E11" s="188"/>
      <c r="F11" s="98">
        <f>T.UP3!H11</f>
        <v>2.97</v>
      </c>
      <c r="G11" s="90">
        <f>VLOOKUP(B11,T.UP3!$B$4:$T$69,MATCH('UP3'!$M$2,T.UP3!$B$5:$T$5,0),FALSE)</f>
        <v>2.4700000000000002</v>
      </c>
      <c r="H11" s="98">
        <f>VLOOKUP(B11,'R.UP3'!$B$4:$T$67,MATCH('UP3'!$M$2,'R.UP3'!$B$5:$T$5,0),FALSE)</f>
        <v>2.1759567543301785</v>
      </c>
      <c r="I11" s="157">
        <f>IF(OR(G11="N/A",H11="N/A"),"N/A",IF((2-(H11/G11))*100&gt;=110,110,(2-(H11/G11))*100))</f>
        <v>110</v>
      </c>
      <c r="J11" s="103"/>
      <c r="K11" s="182"/>
      <c r="L11" s="401"/>
      <c r="M11" s="422" t="s">
        <v>489</v>
      </c>
      <c r="N11" s="45" t="s">
        <v>161</v>
      </c>
      <c r="O11" s="127"/>
      <c r="R11" s="103"/>
      <c r="S11" s="103"/>
      <c r="T11" s="127"/>
    </row>
    <row r="12" spans="1:20" ht="16.5">
      <c r="A12" s="186"/>
      <c r="B12" s="74" t="str">
        <f>T.UP3!B12</f>
        <v>c. ENS</v>
      </c>
      <c r="C12" s="370" t="str">
        <f>T.UP3!C12</f>
        <v>ò</v>
      </c>
      <c r="D12" s="97" t="str">
        <f>T.UP3!D12</f>
        <v>MWh</v>
      </c>
      <c r="E12" s="188"/>
      <c r="F12" s="98">
        <f>T.UP3!H12</f>
        <v>107.87</v>
      </c>
      <c r="G12" s="90">
        <f>VLOOKUP(B12,T.UP3!$B$4:$T$69,MATCH('UP3'!$M$2,T.UP3!$B$5:$T$5,0),FALSE)</f>
        <v>89.89</v>
      </c>
      <c r="H12" s="98">
        <f>VLOOKUP(B12,'R.UP3'!$B$4:$T$67,MATCH('UP3'!$M$2,'R.UP3'!$B$5:$T$5,0),FALSE)</f>
        <v>60.972000000000001</v>
      </c>
      <c r="I12" s="157">
        <f>IF(G12=0,0,IF(((G12-(H12-G12))/G12)*100&lt;=0,0,IF(((G12-(H12-G12))/G12)*100&gt;=110,110,((G12-(H12-G12))/G12)*100)))</f>
        <v>110</v>
      </c>
      <c r="J12" s="103"/>
      <c r="K12" s="182"/>
      <c r="L12" s="401"/>
      <c r="M12" s="395" t="s">
        <v>490</v>
      </c>
      <c r="N12" s="45" t="s">
        <v>162</v>
      </c>
      <c r="O12" s="127"/>
      <c r="R12" s="103"/>
      <c r="S12" s="103"/>
      <c r="T12" s="127"/>
    </row>
    <row r="13" spans="1:20" ht="16.5">
      <c r="A13" s="186">
        <f>T.UP3!A13</f>
        <v>3</v>
      </c>
      <c r="B13" s="265" t="str">
        <f>T.UP3!B13</f>
        <v>Efisiensi Jaringan Distribusi</v>
      </c>
      <c r="C13" s="370"/>
      <c r="D13" s="97"/>
      <c r="E13" s="188">
        <f>IF(OR(H13="N/A",G13="N/A"),0,T.UP3!F13)</f>
        <v>12</v>
      </c>
      <c r="F13" s="98"/>
      <c r="G13" s="90"/>
      <c r="H13" s="253"/>
      <c r="I13" s="157">
        <f>AVERAGE(I14:I16)</f>
        <v>106.66883613480023</v>
      </c>
      <c r="J13" s="103">
        <f>ROUNDDOWN(IF(I13="N/A",0,IF(I13&gt;110,E13*110/100,E13*I13/100)),2)</f>
        <v>12.8</v>
      </c>
      <c r="K13" s="182"/>
      <c r="L13" s="182"/>
      <c r="M13" s="422" t="s">
        <v>491</v>
      </c>
      <c r="N13" s="46" t="s">
        <v>164</v>
      </c>
      <c r="O13" s="127"/>
      <c r="R13" s="103"/>
      <c r="S13" s="103"/>
      <c r="T13" s="127"/>
    </row>
    <row r="14" spans="1:20" ht="16.5">
      <c r="A14" s="186"/>
      <c r="B14" s="74" t="str">
        <f>T.UP3!B14</f>
        <v>a. Susut Distribusi Tanpa E-min (sesuai kewenangan)</v>
      </c>
      <c r="C14" s="370" t="str">
        <f>T.UP3!C14</f>
        <v>ò</v>
      </c>
      <c r="D14" s="97" t="str">
        <f>T.UP3!D14</f>
        <v>%</v>
      </c>
      <c r="E14" s="188"/>
      <c r="F14" s="98">
        <f>T.UP3!H14</f>
        <v>9</v>
      </c>
      <c r="G14" s="90">
        <f>VLOOKUP(B14,T.UP3!$B$4:$T$69,MATCH('UP3'!$M$2,T.UP3!$B$5:$T$5,0),FALSE)</f>
        <v>9.14</v>
      </c>
      <c r="H14" s="90">
        <f>VLOOKUP(B14,'R.UP3'!$B$4:$T$67,MATCH('UP3'!$M$2,'R.UP3'!$B$5:$T$5,0),FALSE)</f>
        <v>8.2408737165638186</v>
      </c>
      <c r="I14" s="157">
        <f>IF(OR(G14="N/A",H14="N/A"),"N/A",IF((2-(H14/G14))*100&gt;=110,110,(2-(H14/G14))*100))</f>
        <v>109.83726787129302</v>
      </c>
      <c r="J14" s="103"/>
      <c r="K14" s="182"/>
      <c r="L14" s="401"/>
      <c r="M14" s="422" t="s">
        <v>165</v>
      </c>
      <c r="N14" s="45" t="s">
        <v>166</v>
      </c>
      <c r="O14" s="127"/>
      <c r="R14" s="103"/>
      <c r="S14" s="103"/>
      <c r="T14" s="127"/>
    </row>
    <row r="15" spans="1:20" ht="16.5">
      <c r="A15" s="186"/>
      <c r="B15" s="74" t="str">
        <f>T.UP3!B15</f>
        <v>b. Penyelesaian Temuan P2TL</v>
      </c>
      <c r="C15" s="370" t="str">
        <f>T.UP3!C15</f>
        <v>ñ</v>
      </c>
      <c r="D15" s="97" t="str">
        <f>T.UP3!D15</f>
        <v>%</v>
      </c>
      <c r="E15" s="188"/>
      <c r="F15" s="98">
        <f>T.UP3!H15</f>
        <v>100</v>
      </c>
      <c r="G15" s="90">
        <f>VLOOKUP(B15,T.UP3!$B$4:$T$69,MATCH('UP3'!$M$2,T.UP3!$B$5:$T$5,0),FALSE)</f>
        <v>80</v>
      </c>
      <c r="H15" s="253">
        <f>VLOOKUP(B15,'R.UP3'!$B$4:$T$67,MATCH('UP3'!$M$2,'R.UP3'!$B$5:$T$5,0),FALSE)</f>
        <v>98.245663179210254</v>
      </c>
      <c r="I15" s="157">
        <f>IF(OR(G15="N/A",H15="N/A"),"N/A",IF((H15/G15*100)&gt;=110,110,(H15/G15*100)))</f>
        <v>110</v>
      </c>
      <c r="J15" s="103"/>
      <c r="K15" s="182"/>
      <c r="L15" s="182"/>
      <c r="M15" s="421" t="s">
        <v>167</v>
      </c>
      <c r="N15" s="43" t="s">
        <v>168</v>
      </c>
      <c r="O15" s="127"/>
      <c r="R15" s="103"/>
      <c r="S15" s="103"/>
      <c r="T15" s="127"/>
    </row>
    <row r="16" spans="1:20" ht="16.5">
      <c r="A16" s="186"/>
      <c r="B16" s="74" t="str">
        <f>T.UP3!B16</f>
        <v>c. Penyelesaian Ganti Meter</v>
      </c>
      <c r="C16" s="370" t="str">
        <f>T.UP3!C16</f>
        <v>ñ</v>
      </c>
      <c r="D16" s="97" t="str">
        <f>T.UP3!D16</f>
        <v>Unit</v>
      </c>
      <c r="E16" s="188"/>
      <c r="F16" s="98">
        <f>T.UP3!H16</f>
        <v>4727</v>
      </c>
      <c r="G16" s="90">
        <f>VLOOKUP(B16,T.UP3!$B$4:$T$69,MATCH('UP3'!$M$2,T.UP3!$B$5:$T$5,0),FALSE)</f>
        <v>4727</v>
      </c>
      <c r="H16" s="253">
        <f>VLOOKUP(B16,'R.UP3'!$B$4:$T$67,MATCH('UP3'!$M$2,'R.UP3'!$B$5:$T$5,0),FALSE)</f>
        <v>4735</v>
      </c>
      <c r="I16" s="157">
        <f>IF(OR(G16="N/A",H16="N/A"),"N/A",IF((H16/G16*100)&gt;=110,110,(H16/G16*100)))</f>
        <v>100.16924053310767</v>
      </c>
      <c r="J16" s="103"/>
      <c r="K16" s="182"/>
      <c r="L16" s="182"/>
      <c r="M16" s="422" t="s">
        <v>492</v>
      </c>
      <c r="N16" s="45" t="s">
        <v>170</v>
      </c>
      <c r="R16" s="103"/>
      <c r="S16" s="103"/>
      <c r="T16" s="127"/>
    </row>
    <row r="17" spans="1:33" ht="16.5">
      <c r="A17" s="72" t="str">
        <f>T.UP3!A17</f>
        <v>II</v>
      </c>
      <c r="B17" s="71" t="str">
        <f>T.UP3!B17</f>
        <v>Perfomance Indicators</v>
      </c>
      <c r="C17" s="369"/>
      <c r="D17" s="50"/>
      <c r="E17" s="72">
        <f>SUM(E18:E68)</f>
        <v>60</v>
      </c>
      <c r="F17" s="72"/>
      <c r="G17" s="72"/>
      <c r="H17" s="72"/>
      <c r="I17" s="72"/>
      <c r="J17" s="242">
        <f>SUM(J18,J22,J27,J30,J33,J35,J42,J45,J49,J53,J58)</f>
        <v>61.080000000000005</v>
      </c>
      <c r="K17" s="182"/>
      <c r="L17" s="182"/>
      <c r="M17" s="423" t="s">
        <v>171</v>
      </c>
      <c r="N17" s="45" t="s">
        <v>172</v>
      </c>
      <c r="R17" s="103"/>
      <c r="S17" s="103"/>
      <c r="T17" s="127"/>
      <c r="AG17" s="318"/>
    </row>
    <row r="18" spans="1:33" ht="16.5">
      <c r="A18" s="186">
        <f>T.UP3!A18</f>
        <v>4</v>
      </c>
      <c r="B18" s="266" t="str">
        <f>T.UP3!B18</f>
        <v>Keandalan Jaringan Distribusi</v>
      </c>
      <c r="C18" s="370"/>
      <c r="D18" s="97"/>
      <c r="E18" s="188">
        <f>T.UP3!F18</f>
        <v>6</v>
      </c>
      <c r="F18" s="143"/>
      <c r="G18" s="90"/>
      <c r="H18" s="98"/>
      <c r="I18" s="157">
        <f>AVERAGE(I19:I21)</f>
        <v>110</v>
      </c>
      <c r="J18" s="103">
        <f>ROUNDDOWN(IF(I18="N/A",0,IF(I18&gt;110,E18*110/100,E18*I18/100)),2)</f>
        <v>6.6</v>
      </c>
      <c r="K18" s="182"/>
      <c r="L18" s="182"/>
      <c r="M18" s="423" t="s">
        <v>493</v>
      </c>
      <c r="N18" s="45" t="s">
        <v>175</v>
      </c>
      <c r="R18" s="242">
        <f>SUM(R19:R70)</f>
        <v>48.400000000000013</v>
      </c>
      <c r="S18" s="242">
        <f>SUM(S19:S70)</f>
        <v>53.07</v>
      </c>
    </row>
    <row r="19" spans="1:33" ht="16.5">
      <c r="A19" s="186"/>
      <c r="B19" s="153" t="str">
        <f>T.UP3!B19</f>
        <v>a. Gangguan TM &gt; 5 Menit</v>
      </c>
      <c r="C19" s="370" t="str">
        <f>T.UP3!C19</f>
        <v>ò</v>
      </c>
      <c r="D19" s="97" t="str">
        <f>T.UP3!D19</f>
        <v>Kali</v>
      </c>
      <c r="E19" s="188"/>
      <c r="F19" s="143">
        <f>T.UP3!H19</f>
        <v>166</v>
      </c>
      <c r="G19" s="90">
        <f>VLOOKUP(B19,T.UP3!$B$4:$T$69,MATCH('UP3'!$M$2,T.UP3!$B$5:$T$5,0),FALSE)</f>
        <v>148</v>
      </c>
      <c r="H19" s="98">
        <f>VLOOKUP(B19,'R.UP3'!$B$4:$T$67,MATCH('UP3'!$M$2,'R.UP3'!$B$5:$T$5,0),FALSE)</f>
        <v>115</v>
      </c>
      <c r="I19" s="157">
        <f>IF(G19=0,0,IF(((G19-(H19-G19))/G19)*100&lt;=0,0,IF(((G19-(H19-G19))/G19)*100&gt;=110,110,((G19-(H19-G19))/G19)*100)))</f>
        <v>110</v>
      </c>
      <c r="J19" s="103"/>
      <c r="K19" s="182"/>
      <c r="L19" s="182"/>
      <c r="R19" s="103">
        <v>6.42</v>
      </c>
      <c r="S19" s="103">
        <v>6.56</v>
      </c>
      <c r="T19" s="127">
        <f>R19-S19</f>
        <v>-0.13999999999999968</v>
      </c>
    </row>
    <row r="20" spans="1:33" ht="16.5">
      <c r="A20" s="186"/>
      <c r="B20" s="153" t="str">
        <f>T.UP3!B20</f>
        <v>b. Gangguan TM ≤ 5 Menit</v>
      </c>
      <c r="C20" s="370" t="str">
        <f>T.UP3!C20</f>
        <v>ò</v>
      </c>
      <c r="D20" s="97" t="str">
        <f>T.UP3!D20</f>
        <v>Kali</v>
      </c>
      <c r="E20" s="188"/>
      <c r="F20" s="143">
        <f>T.UP3!H20</f>
        <v>191</v>
      </c>
      <c r="G20" s="90">
        <f>VLOOKUP(B20,T.UP3!$B$4:$T$69,MATCH('UP3'!$M$2,T.UP3!$B$5:$T$5,0),FALSE)</f>
        <v>161</v>
      </c>
      <c r="H20" s="98">
        <f>VLOOKUP(B20,'R.UP3'!$B$4:$T$67,MATCH('UP3'!$M$2,'R.UP3'!$B$5:$T$5,0),FALSE)</f>
        <v>135</v>
      </c>
      <c r="I20" s="157">
        <f>IF(OR(G20="N/A",H20="N/A"),"N/A",IF((2-(H20/G20))*100&gt;=110,110,(2-(H20/G20))*100))</f>
        <v>110</v>
      </c>
      <c r="J20" s="190"/>
      <c r="K20" s="182"/>
      <c r="L20" s="401"/>
      <c r="R20" s="103">
        <v>6.22</v>
      </c>
      <c r="S20" s="103">
        <v>6.22</v>
      </c>
      <c r="T20" s="127">
        <f>R20-S20</f>
        <v>0</v>
      </c>
    </row>
    <row r="21" spans="1:33" ht="31.5">
      <c r="A21" s="186"/>
      <c r="B21" s="153" t="str">
        <f>T.UP3!B21</f>
        <v>c. Kerusakan Peralatan Distribusi (PHB TM dan Trafo) Sesuai Kewenangan</v>
      </c>
      <c r="C21" s="370" t="str">
        <f>T.UP3!C21</f>
        <v>ò</v>
      </c>
      <c r="D21" s="97" t="str">
        <f>T.UP3!D21</f>
        <v>Unit</v>
      </c>
      <c r="E21" s="188"/>
      <c r="F21" s="143">
        <f>T.UP3!H21</f>
        <v>5</v>
      </c>
      <c r="G21" s="91">
        <f>VLOOKUP(B21,T.UP3!$B$4:$T$69,MATCH('UP3'!$M$2,T.UP3!$B$5:$T$5,0),FALSE)</f>
        <v>5</v>
      </c>
      <c r="H21" s="98">
        <f>VLOOKUP(B21,'R.UP3'!$B$4:$T$67,MATCH('UP3'!$M$2,'R.UP3'!$B$5:$T$5,0),FALSE)</f>
        <v>3</v>
      </c>
      <c r="I21" s="157">
        <f>IFERROR(IF(OR(G21="N/A",H21="N/A"),"N/A",IF((2-(H21/G21))*100&gt;=110,110,(2-(H21/G21))*100)),100)</f>
        <v>110</v>
      </c>
      <c r="J21" s="103"/>
      <c r="K21" s="182"/>
      <c r="L21" s="401"/>
      <c r="R21" s="190"/>
      <c r="S21" s="190"/>
    </row>
    <row r="22" spans="1:33" ht="16.5">
      <c r="A22" s="186">
        <f>T.UP3!A22</f>
        <v>5</v>
      </c>
      <c r="B22" s="266" t="str">
        <f>T.UP3!B22</f>
        <v>Peningkatan Layanan</v>
      </c>
      <c r="C22" s="370"/>
      <c r="D22" s="254"/>
      <c r="E22" s="188">
        <f>T.UP3!F22</f>
        <v>6</v>
      </c>
      <c r="F22" s="101"/>
      <c r="G22" s="91"/>
      <c r="H22" s="98"/>
      <c r="I22" s="157">
        <f>AVERAGE(I23:I26)</f>
        <v>107.5</v>
      </c>
      <c r="J22" s="103">
        <f>ROUNDDOWN(IF(I22="N/A",0,IF(I22&gt;110,E22*110/100,E22*I22/100)),2)</f>
        <v>6.45</v>
      </c>
      <c r="K22" s="182"/>
      <c r="L22" s="182"/>
      <c r="R22" s="103">
        <v>4.4000000000000004</v>
      </c>
      <c r="S22" s="103">
        <v>4.4000000000000004</v>
      </c>
      <c r="T22" s="127">
        <f>R22-S22</f>
        <v>0</v>
      </c>
    </row>
    <row r="23" spans="1:33" ht="16.5">
      <c r="A23" s="186"/>
      <c r="B23" s="153" t="str">
        <f>T.UP3!B23</f>
        <v>a. Feedback Rating Negatif pada PLN Mobile - Gangguan</v>
      </c>
      <c r="C23" s="370" t="str">
        <f>T.UP3!C23</f>
        <v>ò</v>
      </c>
      <c r="D23" s="254" t="str">
        <f>T.UP3!D23</f>
        <v>%</v>
      </c>
      <c r="E23" s="188"/>
      <c r="F23" s="98">
        <f>T.UP3!H23</f>
        <v>0.09</v>
      </c>
      <c r="G23" s="90">
        <f>VLOOKUP(B23,T.UP3!$B$4:$T$69,MATCH('UP3'!$M$2,T.UP3!$B$5:$T$5,0),FALSE)</f>
        <v>0.09</v>
      </c>
      <c r="H23" s="98">
        <f>VLOOKUP(B23,'R.UP3'!$B$4:$T$67,MATCH('UP3'!$M$2,'R.UP3'!$B$5:$T$5,0),FALSE)</f>
        <v>0</v>
      </c>
      <c r="I23" s="157">
        <f>IF(OR(G23="N/A",H23="N/A"),"N/A",IF((2-(H23/G23))*100&gt;=110,110,(2-(H23/G23))*100))</f>
        <v>110</v>
      </c>
      <c r="J23" s="103"/>
      <c r="K23" s="182"/>
      <c r="L23" s="182"/>
      <c r="R23" s="103">
        <v>4.4000000000000004</v>
      </c>
      <c r="S23" s="103">
        <v>4.4000000000000004</v>
      </c>
      <c r="T23" s="127">
        <f>R23-S23</f>
        <v>0</v>
      </c>
    </row>
    <row r="24" spans="1:33" ht="16.5">
      <c r="A24" s="186"/>
      <c r="B24" s="153" t="str">
        <f>T.UP3!B24</f>
        <v>b. Pengaduan Gangguan Berulang pada PLN Mobile</v>
      </c>
      <c r="C24" s="370" t="str">
        <f>T.UP3!C24</f>
        <v>ò</v>
      </c>
      <c r="D24" s="254" t="str">
        <f>T.UP3!D24</f>
        <v>%</v>
      </c>
      <c r="E24" s="188"/>
      <c r="F24" s="98">
        <f>T.UP3!H24</f>
        <v>0.04</v>
      </c>
      <c r="G24" s="90">
        <f>VLOOKUP(B24,T.UP3!$B$4:$T$69,MATCH('UP3'!$M$2,T.UP3!$B$5:$T$5,0),FALSE)</f>
        <v>0.04</v>
      </c>
      <c r="H24" s="98">
        <f>VLOOKUP(B24,'R.UP3'!$B$4:$T$67,MATCH('UP3'!$M$2,'R.UP3'!$B$5:$T$5,0),FALSE)</f>
        <v>0</v>
      </c>
      <c r="I24" s="157">
        <f>IF(OR(G24="N/A",H24="N/A"),"N/A",IF((2-(H24/G24))*100&gt;=110,110,(2-(H24/G24))*100))</f>
        <v>110</v>
      </c>
      <c r="J24" s="103"/>
      <c r="K24" s="182"/>
      <c r="L24" s="401"/>
      <c r="R24" s="103"/>
      <c r="S24" s="103"/>
      <c r="T24" s="127"/>
    </row>
    <row r="25" spans="1:33" ht="16.5">
      <c r="A25" s="186"/>
      <c r="B25" s="153" t="str">
        <f>T.UP3!B25</f>
        <v>c. Rating PLN Mobile</v>
      </c>
      <c r="C25" s="370" t="str">
        <f>T.UP3!C25</f>
        <v>ñ</v>
      </c>
      <c r="D25" s="97" t="str">
        <f>T.UP3!D25</f>
        <v>Rating</v>
      </c>
      <c r="E25" s="188"/>
      <c r="F25" s="143">
        <f>T.UP3!H25</f>
        <v>4.9000000000000004</v>
      </c>
      <c r="G25" s="90">
        <f>VLOOKUP(B25,T.UP3!$B$4:$T$69,MATCH('UP3'!$M$2,T.UP3!$B$5:$T$5,0),FALSE)</f>
        <v>4.9000000000000004</v>
      </c>
      <c r="H25" s="98">
        <f>VLOOKUP(B25,'R.UP3'!$B$4:$T$67,MATCH('UP3'!$M$2,'R.UP3'!$B$5:$T$5,0),FALSE)</f>
        <v>4.9000000000000004</v>
      </c>
      <c r="I25" s="157">
        <f>IF(OR(G25="N/A",H25="N/A"),"N/A",IF((H25/G25*100)&gt;=110,110,(H25/G25*100)))</f>
        <v>100</v>
      </c>
      <c r="J25" s="103"/>
      <c r="K25" s="182"/>
      <c r="L25" s="182"/>
      <c r="R25" s="103">
        <v>0</v>
      </c>
      <c r="S25" s="103">
        <v>2.2000000000000002</v>
      </c>
      <c r="T25" s="127">
        <f>R25-S25</f>
        <v>-2.2000000000000002</v>
      </c>
      <c r="AB25" s="316"/>
    </row>
    <row r="26" spans="1:33" ht="16.5">
      <c r="A26" s="186"/>
      <c r="B26" s="153" t="str">
        <f>T.UP3!B26</f>
        <v>d. Jumlah Kali Transaksi Keuangan melalui PLN Mobile</v>
      </c>
      <c r="C26" s="370" t="str">
        <f>T.UP3!C26</f>
        <v>ñ</v>
      </c>
      <c r="D26" s="97" t="str">
        <f>T.UP3!D26</f>
        <v>Kali Transaksi</v>
      </c>
      <c r="E26" s="188"/>
      <c r="F26" s="143">
        <f>T.UP3!H26</f>
        <v>62908</v>
      </c>
      <c r="G26" s="90">
        <f>VLOOKUP(B26,T.UP3!$B$4:$T$69,MATCH('UP3'!$M$2,T.UP3!$B$5:$T$5,0),FALSE)</f>
        <v>52481</v>
      </c>
      <c r="H26" s="98">
        <f>VLOOKUP(B26,'R.UP3'!$B$4:$T$67,MATCH('UP3'!$M$2,'R.UP3'!$B$5:$T$5,0),FALSE)</f>
        <v>75000</v>
      </c>
      <c r="I26" s="157">
        <f>IF(OR(G26="N/A",H26="N/A"),"N/A",IF((H26/G26*100)&gt;=110,110,(H26/G26*100)))</f>
        <v>110</v>
      </c>
      <c r="J26" s="103"/>
      <c r="K26" s="182"/>
      <c r="L26" s="182"/>
      <c r="R26" s="103">
        <v>3.3</v>
      </c>
      <c r="S26" s="103">
        <v>3.3</v>
      </c>
      <c r="T26" s="127">
        <f>R26-S26</f>
        <v>0</v>
      </c>
    </row>
    <row r="27" spans="1:33" ht="16.5">
      <c r="A27" s="186">
        <f>T.UP3!A27</f>
        <v>6</v>
      </c>
      <c r="B27" s="266" t="str">
        <f>T.UP3!B27</f>
        <v>Dispatch Respon Time</v>
      </c>
      <c r="C27" s="370"/>
      <c r="D27" s="97"/>
      <c r="E27" s="188">
        <f>T.UP3!F27</f>
        <v>3</v>
      </c>
      <c r="F27" s="143"/>
      <c r="G27" s="90"/>
      <c r="H27" s="98"/>
      <c r="I27" s="157">
        <f>AVERAGE(I28:I29)</f>
        <v>105</v>
      </c>
      <c r="J27" s="103">
        <f>ROUNDDOWN(IF(I27="N/A",0,IF(I27&gt;110,E27*110/100,E27*I27/100)),2)</f>
        <v>3.15</v>
      </c>
      <c r="R27" s="103"/>
      <c r="S27" s="103"/>
      <c r="T27" s="127"/>
    </row>
    <row r="28" spans="1:33" ht="16.5">
      <c r="A28" s="186"/>
      <c r="B28" s="153" t="str">
        <f>T.UP3!B28</f>
        <v>a. Response Time atas Gangguan (diluar Clear Tamper)</v>
      </c>
      <c r="C28" s="370" t="str">
        <f>T.UP3!C28</f>
        <v>ò</v>
      </c>
      <c r="D28" s="97" t="str">
        <f>T.UP3!D28</f>
        <v>Menit</v>
      </c>
      <c r="E28" s="188"/>
      <c r="F28" s="143">
        <f>T.UP3!H28</f>
        <v>30</v>
      </c>
      <c r="G28" s="90">
        <f>VLOOKUP(B28,T.UP3!$B$4:$T$69,MATCH('UP3'!$M$2,T.UP3!$B$5:$T$5,0),FALSE)</f>
        <v>30</v>
      </c>
      <c r="H28" s="98">
        <f>VLOOKUP(B28,'R.UP3'!$B$4:$T$67,MATCH('UP3'!$M$2,'R.UP3'!$B$5:$T$5,0),FALSE)</f>
        <v>10.140176089784086</v>
      </c>
      <c r="I28" s="157">
        <f>IF(OR(G28="N/A",H28="N/A"),"N/A",IF((2-(H28/G28))*100&lt;0,0,IF((2-(H28/G28))*100&gt;=110,110,(2-(H28/G28))*100)))</f>
        <v>110</v>
      </c>
      <c r="J28" s="103"/>
    </row>
    <row r="29" spans="1:33" ht="31.5">
      <c r="A29" s="186"/>
      <c r="B29" s="153" t="str">
        <f>T.UP3!B29</f>
        <v>b. Success Rate Auto Dispatch Gangguan Individual (diluar Clear Tamper)</v>
      </c>
      <c r="C29" s="370" t="str">
        <f>T.UP3!C29</f>
        <v>ñ</v>
      </c>
      <c r="D29" s="97" t="str">
        <f>T.UP3!D29</f>
        <v>%</v>
      </c>
      <c r="E29" s="188"/>
      <c r="F29" s="143">
        <f>T.UP3!H29</f>
        <v>0</v>
      </c>
      <c r="G29" s="90">
        <f>VLOOKUP(B29,T.UP3!$B$4:$T$69,MATCH('UP3'!$M$2,T.UP3!$B$5:$T$5,0),FALSE)</f>
        <v>0</v>
      </c>
      <c r="H29" s="98">
        <f>VLOOKUP(B29,'R.UP3'!$B$4:$T$67,MATCH('UP3'!$M$2,'R.UP3'!$B$5:$T$5,0),FALSE)</f>
        <v>0</v>
      </c>
      <c r="I29" s="157">
        <f>IF(G29=0,100,(IF((H29/G29*100)&gt;110,110,(H29/G29*100))))</f>
        <v>100</v>
      </c>
      <c r="J29" s="103"/>
      <c r="R29" s="103"/>
      <c r="S29" s="103"/>
      <c r="T29" s="127"/>
    </row>
    <row r="30" spans="1:33" ht="16.5">
      <c r="A30" s="186">
        <f>T.UP3!A30</f>
        <v>7</v>
      </c>
      <c r="B30" s="266" t="str">
        <f>T.UP3!B30</f>
        <v>Sistem Recovery :</v>
      </c>
      <c r="C30" s="370"/>
      <c r="D30" s="97"/>
      <c r="E30" s="188">
        <f>T.UP3!F30</f>
        <v>4</v>
      </c>
      <c r="F30" s="143"/>
      <c r="G30" s="90"/>
      <c r="H30" s="98"/>
      <c r="I30" s="157">
        <f>AVERAGE(I31:I32)</f>
        <v>110</v>
      </c>
      <c r="J30" s="103">
        <f>ROUNDDOWN(IF(I30="N/A",0,IF(I30&gt;110,E30*110/100,E30*I30/100)),2)</f>
        <v>4.4000000000000004</v>
      </c>
      <c r="R30" s="103"/>
      <c r="S30" s="103"/>
      <c r="T30" s="127"/>
    </row>
    <row r="31" spans="1:33" ht="16.5">
      <c r="A31" s="186"/>
      <c r="B31" s="153" t="str">
        <f>T.UP3!B31</f>
        <v>a. Recovery Time Gangguan Meluas TM</v>
      </c>
      <c r="C31" s="370" t="str">
        <f>T.UP3!C31</f>
        <v>ñ</v>
      </c>
      <c r="D31" s="97" t="str">
        <f>T.UP3!D31</f>
        <v>%</v>
      </c>
      <c r="E31" s="188"/>
      <c r="F31" s="143">
        <f>T.UP3!H31</f>
        <v>100</v>
      </c>
      <c r="G31" s="90">
        <f>VLOOKUP(B31,T.UP3!$B$4:$T$69,MATCH('UP3'!$M$2,T.UP3!$B$5:$T$5,0),FALSE)</f>
        <v>100</v>
      </c>
      <c r="H31" s="98">
        <f>VLOOKUP(B31,'R.UP3'!$B$4:$T$67,MATCH('UP3'!$M$2,'R.UP3'!$B$5:$T$5,0),FALSE)</f>
        <v>110</v>
      </c>
      <c r="I31" s="157">
        <f>IF(OR(G31="N/A",H31="N/A"),"N/A",IF((H31/G31*100)&gt;=110,110,(H31/G31*100)))</f>
        <v>110</v>
      </c>
      <c r="J31" s="103"/>
      <c r="R31" s="103"/>
      <c r="S31" s="103"/>
      <c r="T31" s="127"/>
    </row>
    <row r="32" spans="1:33" ht="16.5">
      <c r="A32" s="186"/>
      <c r="B32" s="153" t="str">
        <f>T.UP3!B32</f>
        <v>b. Penormalan Siaga 1 Gangguan TM</v>
      </c>
      <c r="C32" s="370" t="str">
        <f>T.UP3!C32</f>
        <v>ñ</v>
      </c>
      <c r="D32" s="97" t="str">
        <f>T.UP3!D32</f>
        <v>%</v>
      </c>
      <c r="E32" s="188"/>
      <c r="F32" s="143">
        <f>T.UP3!H32</f>
        <v>100</v>
      </c>
      <c r="G32" s="90">
        <f>VLOOKUP(B32,T.UP3!$B$4:$T$69,MATCH('UP3'!$M$2,T.UP3!$B$5:$T$5,0),FALSE)</f>
        <v>100</v>
      </c>
      <c r="H32" s="98">
        <f>VLOOKUP(B32,'R.UP3'!$B$4:$T$67,MATCH('UP3'!$M$2,'R.UP3'!$B$5:$T$5,0),FALSE)</f>
        <v>110</v>
      </c>
      <c r="I32" s="157">
        <f>IF(OR(G32="N/A",H32="N/A"),"N/A",IF((H32/G32*100)&gt;=110,110,(H32/G32*100)))</f>
        <v>110</v>
      </c>
      <c r="J32" s="103"/>
      <c r="R32" s="103"/>
      <c r="S32" s="103"/>
      <c r="T32" s="127"/>
    </row>
    <row r="33" spans="1:31" ht="16.5">
      <c r="A33" s="186">
        <f>T.UP3!A33</f>
        <v>8</v>
      </c>
      <c r="B33" s="266" t="str">
        <f>T.UP3!B33</f>
        <v>Digitalisasi Aplikasi Korporat</v>
      </c>
      <c r="C33" s="370"/>
      <c r="D33" s="97"/>
      <c r="E33" s="188">
        <f>T.UP3!F33</f>
        <v>6</v>
      </c>
      <c r="F33" s="143"/>
      <c r="G33" s="90"/>
      <c r="H33" s="98"/>
      <c r="I33" s="157">
        <f>AVERAGE(I34)</f>
        <v>101.95</v>
      </c>
      <c r="J33" s="103">
        <f>ROUNDDOWN(IF(I33="N/A",0,IF(I33&gt;110,E33*110/100,E33*I33/100)),2)</f>
        <v>6.11</v>
      </c>
      <c r="R33" s="103"/>
      <c r="S33" s="103"/>
      <c r="T33" s="127"/>
    </row>
    <row r="34" spans="1:31" ht="16.5">
      <c r="A34" s="186"/>
      <c r="B34" s="153" t="str">
        <f>T.UP3!B34</f>
        <v>a. Pengembangan EAM Distribusi</v>
      </c>
      <c r="C34" s="370" t="str">
        <f>T.UP3!C34</f>
        <v>ñ</v>
      </c>
      <c r="D34" s="97" t="str">
        <f>T.UP3!D34</f>
        <v>%</v>
      </c>
      <c r="E34" s="188"/>
      <c r="F34" s="143">
        <f>T.UP3!H34</f>
        <v>100</v>
      </c>
      <c r="G34" s="90">
        <f>VLOOKUP(B34,T.UP3!$B$4:$T$69,MATCH('UP3'!$M$2,T.UP3!$B$5:$T$5,0),FALSE)</f>
        <v>100</v>
      </c>
      <c r="H34" s="98">
        <f>VLOOKUP(B34,'R.UP3'!$B$4:$T$67,MATCH('UP3'!$M$2,'R.UP3'!$B$5:$T$5,0),FALSE)</f>
        <v>101.95</v>
      </c>
      <c r="I34" s="157">
        <f>IF(G34=0,100,(IF((H34/G34*100)&gt;110,110,(H34/G34*100))))</f>
        <v>101.95</v>
      </c>
      <c r="J34" s="103"/>
      <c r="L34" s="182"/>
      <c r="R34" s="103">
        <v>4.5</v>
      </c>
      <c r="S34" s="103">
        <v>4.5</v>
      </c>
      <c r="T34" s="127">
        <f>R34-S34</f>
        <v>0</v>
      </c>
      <c r="Y34" s="262"/>
    </row>
    <row r="35" spans="1:31" ht="16.5">
      <c r="A35" s="186">
        <f>T.UP3!A35</f>
        <v>9</v>
      </c>
      <c r="B35" s="266" t="str">
        <f>T.UP3!B35</f>
        <v>Percepatan Penyambungan Pelanggan</v>
      </c>
      <c r="C35" s="370"/>
      <c r="D35" s="97"/>
      <c r="E35" s="188"/>
      <c r="F35" s="101"/>
      <c r="G35" s="91"/>
      <c r="H35" s="101"/>
      <c r="I35" s="157">
        <f>AVERAGE(I36:I41)</f>
        <v>91.302286945717086</v>
      </c>
      <c r="J35" s="103">
        <f>SUM(J36:J41)</f>
        <v>8.8000000000000007</v>
      </c>
      <c r="L35" s="182"/>
      <c r="R35" s="103"/>
      <c r="S35" s="103"/>
      <c r="T35" s="127"/>
      <c r="Y35" s="262"/>
    </row>
    <row r="36" spans="1:31" ht="16.5">
      <c r="A36" s="186"/>
      <c r="B36" s="153" t="str">
        <f>T.UP3!B36</f>
        <v>a. Penambahan Daya Tersambung</v>
      </c>
      <c r="C36" s="370" t="str">
        <f>T.UP3!C36</f>
        <v>ñ</v>
      </c>
      <c r="D36" s="97" t="str">
        <f>T.UP3!D36</f>
        <v>MVA</v>
      </c>
      <c r="E36" s="188">
        <f>T.UP3!F36</f>
        <v>2</v>
      </c>
      <c r="F36" s="143">
        <f>T.UP3!H36</f>
        <v>13.36</v>
      </c>
      <c r="G36" s="91">
        <f>VLOOKUP(B36,T.UP3!$B$4:$T$69,MATCH('UP3'!$M$2,T.UP3!$B$5:$T$5,0),FALSE)</f>
        <v>9.91</v>
      </c>
      <c r="H36" s="98">
        <f>VLOOKUP(B36,'R.UP3'!$B$4:$T$67,MATCH('UP3'!$M$2,'R.UP3'!$B$5:$T$5,0),FALSE)</f>
        <v>6.773083333333334</v>
      </c>
      <c r="I36" s="157">
        <f>IF(G36=0,110,(IF((H36/G36*100)&gt;110,110,(H36/G36*100))))</f>
        <v>68.3459468550286</v>
      </c>
      <c r="J36" s="103">
        <f t="shared" ref="J36:J41" si="0">ROUNDDOWN(IF(I36="N/A",0,IF(I36&gt;110,E36*110/100,E36*I36/100)),2)</f>
        <v>1.36</v>
      </c>
      <c r="L36" s="182"/>
      <c r="R36" s="103"/>
      <c r="S36" s="103"/>
      <c r="T36" s="127"/>
      <c r="Y36" s="262"/>
    </row>
    <row r="37" spans="1:31" ht="16.5">
      <c r="A37" s="186"/>
      <c r="B37" s="153" t="str">
        <f>T.UP3!B37</f>
        <v>b. Penambahan Jumlah Pelanggan</v>
      </c>
      <c r="C37" s="370" t="str">
        <f>T.UP3!C37</f>
        <v>ñ</v>
      </c>
      <c r="D37" s="254" t="str">
        <f>T.UP3!D37</f>
        <v>Pelanggan</v>
      </c>
      <c r="E37" s="188">
        <f>T.UP3!F37</f>
        <v>2</v>
      </c>
      <c r="F37" s="143">
        <f>T.UP3!H37</f>
        <v>10632</v>
      </c>
      <c r="G37" s="91">
        <f>VLOOKUP(B37,T.UP3!$B$4:$T$69,MATCH('UP3'!$M$2,T.UP3!$B$5:$T$5,0),FALSE)</f>
        <v>8638</v>
      </c>
      <c r="H37" s="98">
        <f>VLOOKUP(B37,'R.UP3'!$B$4:$T$67,MATCH('UP3'!$M$2,'R.UP3'!$B$5:$T$5,0),FALSE)</f>
        <v>4387</v>
      </c>
      <c r="I37" s="157">
        <f>IF(G37=0,110,(IF((H37/G37*100)&gt;110,110,(H37/G37*100))))</f>
        <v>50.787219263718455</v>
      </c>
      <c r="J37" s="103">
        <f t="shared" si="0"/>
        <v>1.01</v>
      </c>
      <c r="L37" s="182"/>
      <c r="R37" s="103"/>
      <c r="S37" s="103"/>
      <c r="T37" s="127"/>
      <c r="Y37" s="262"/>
    </row>
    <row r="38" spans="1:31" ht="16.5">
      <c r="A38" s="186"/>
      <c r="B38" s="153" t="str">
        <f>T.UP3!B38</f>
        <v>c. Jumlah Penambahan Pelanggan Produk Tematik</v>
      </c>
      <c r="C38" s="370" t="str">
        <f>T.UP3!C38</f>
        <v>ñ</v>
      </c>
      <c r="D38" s="97" t="str">
        <f>T.UP3!D38</f>
        <v>Pelanggan</v>
      </c>
      <c r="E38" s="188">
        <f>T.UP3!F38</f>
        <v>1.5</v>
      </c>
      <c r="F38" s="143">
        <f>T.UP3!H38</f>
        <v>996</v>
      </c>
      <c r="G38" s="98">
        <f>VLOOKUP(B38,T.UP3!$B$4:$T$69,MATCH('UP3'!$M$2,T.UP3!$B$5:$T$5,0),FALSE)</f>
        <v>864</v>
      </c>
      <c r="H38" s="98">
        <f>VLOOKUP(B38,'R.UP3'!$B$4:$T$67,MATCH('UP3'!$M$2,'R.UP3'!$B$5:$T$5,0),FALSE)</f>
        <v>939</v>
      </c>
      <c r="I38" s="157">
        <f>IF(G38=0,110,(IF((H38/G38*100)&gt;110,110,(H38/G38*100))))</f>
        <v>108.68055555555556</v>
      </c>
      <c r="J38" s="103">
        <f t="shared" si="0"/>
        <v>1.63</v>
      </c>
      <c r="L38" s="182"/>
      <c r="R38" s="103"/>
      <c r="S38" s="103"/>
      <c r="T38" s="127"/>
      <c r="Y38" s="262"/>
    </row>
    <row r="39" spans="1:31" ht="31.5">
      <c r="A39" s="186"/>
      <c r="B39" s="153" t="str">
        <f>T.UP3!B39</f>
        <v>d. Implementasi Kesesuaian Sektor Bisnis sesuai KBLI 2020</v>
      </c>
      <c r="C39" s="370" t="str">
        <f>T.UP3!C39</f>
        <v>ñ</v>
      </c>
      <c r="D39" s="97" t="str">
        <f>T.UP3!D39</f>
        <v>Pelanggan</v>
      </c>
      <c r="E39" s="188">
        <f>T.UP3!F39</f>
        <v>1.5</v>
      </c>
      <c r="F39" s="143">
        <f>T.UP3!H39</f>
        <v>8</v>
      </c>
      <c r="G39" s="98">
        <f>VLOOKUP(B39,T.UP3!$B$4:$T$69,MATCH('UP3'!$M$2,T.UP3!$B$5:$T$5,0),FALSE)</f>
        <v>8</v>
      </c>
      <c r="H39" s="98">
        <f>VLOOKUP(B39,'R.UP3'!$B$4:$T$67,MATCH('UP3'!$M$2,'R.UP3'!$B$5:$T$5,0),FALSE)</f>
        <v>8</v>
      </c>
      <c r="I39" s="157">
        <f>IF(G39=0,100,(IF((H39/G39*100)&gt;110,110,(H39/G39*100))))</f>
        <v>100</v>
      </c>
      <c r="J39" s="103">
        <f t="shared" si="0"/>
        <v>1.5</v>
      </c>
      <c r="L39" s="182"/>
      <c r="R39" s="103"/>
      <c r="S39" s="103"/>
      <c r="T39" s="127"/>
      <c r="Y39" s="262"/>
      <c r="AE39">
        <f>IF(AC39&gt;=100,110,IF(AC39&gt;=95,100,AC39))</f>
        <v>0</v>
      </c>
    </row>
    <row r="40" spans="1:31" ht="16.5">
      <c r="A40" s="186"/>
      <c r="B40" s="153" t="str">
        <f>T.UP3!B40</f>
        <v>e. Penambahan Jumlah Pelanggan Rumah Tangga Lisdes</v>
      </c>
      <c r="C40" s="370" t="str">
        <f>T.UP3!C40</f>
        <v>ñ</v>
      </c>
      <c r="D40" s="97" t="str">
        <f>T.UP3!D40</f>
        <v>Pelanggan</v>
      </c>
      <c r="E40" s="188">
        <f>T.UP3!F40</f>
        <v>1.5</v>
      </c>
      <c r="F40" s="143">
        <f>T.UP3!H40</f>
        <v>441</v>
      </c>
      <c r="G40" s="98">
        <f>VLOOKUP(B40,T.UP3!$B$4:$T$69,MATCH('UP3'!$M$2,T.UP3!$B$5:$T$5,0),FALSE)</f>
        <v>161</v>
      </c>
      <c r="H40" s="98">
        <f>VLOOKUP(B40,'R.UP3'!$B$4:$T$67,MATCH('UP3'!$M$2,'R.UP3'!$B$5:$T$5,0),FALSE)</f>
        <v>186</v>
      </c>
      <c r="I40" s="157">
        <f>IF(G40=0,110,(IF((H40/G40*100)&gt;110,110,(H40/G40*100))))</f>
        <v>110</v>
      </c>
      <c r="J40" s="103">
        <f t="shared" si="0"/>
        <v>1.65</v>
      </c>
      <c r="K40" s="182"/>
      <c r="L40" s="182"/>
      <c r="R40" s="103">
        <v>1.97</v>
      </c>
      <c r="S40" s="103">
        <v>1.97</v>
      </c>
      <c r="T40" s="127">
        <f>R40-S40</f>
        <v>0</v>
      </c>
    </row>
    <row r="41" spans="1:31" ht="31.5">
      <c r="A41" s="186"/>
      <c r="B41" s="153" t="str">
        <f>T.UP3!B41</f>
        <v>f. Peningkatan kWh Penjualan dari Pelanggan Rumah Tangga Lisdes</v>
      </c>
      <c r="C41" s="370" t="str">
        <f>T.UP3!C41</f>
        <v>ñ</v>
      </c>
      <c r="D41" s="97" t="str">
        <f>T.UP3!D41</f>
        <v>KWh</v>
      </c>
      <c r="E41" s="188">
        <f>T.UP3!F41</f>
        <v>1.5</v>
      </c>
      <c r="F41" s="143">
        <f>T.UP3!H41</f>
        <v>58950.990000000005</v>
      </c>
      <c r="G41" s="90">
        <f>VLOOKUP(B41,T.UP3!$B$4:$T$69,MATCH('UP3'!$M$2,T.UP3!$B$5:$T$5,0),FALSE)</f>
        <v>21521.791000000001</v>
      </c>
      <c r="H41" s="98">
        <f>VLOOKUP(B41,'R.UP3'!$B$4:$T$67,MATCH('UP3'!$M$2,'R.UP3'!$B$5:$T$5,0),FALSE)</f>
        <v>74417.7</v>
      </c>
      <c r="I41" s="157">
        <f>IF(OR(G41="N/A",H41="N/A"),"N/A",IF((H41/G41*100)&gt;=110,110,(H41/G41*100)))</f>
        <v>110</v>
      </c>
      <c r="J41" s="103">
        <f t="shared" si="0"/>
        <v>1.65</v>
      </c>
      <c r="K41" s="182"/>
      <c r="L41" s="182"/>
      <c r="R41" s="103"/>
      <c r="S41" s="103"/>
      <c r="T41" s="127"/>
    </row>
    <row r="42" spans="1:31" ht="16.5">
      <c r="A42" s="186">
        <f>T.UP3!A42</f>
        <v>10</v>
      </c>
      <c r="B42" s="266" t="str">
        <f>T.UP3!B42</f>
        <v>Pengelolaan Pembacaan Meter</v>
      </c>
      <c r="C42" s="370"/>
      <c r="D42" s="97"/>
      <c r="E42" s="188">
        <f>T.UP3!F42</f>
        <v>4</v>
      </c>
      <c r="F42" s="143"/>
      <c r="G42" s="90"/>
      <c r="H42" s="98"/>
      <c r="I42" s="157">
        <f>AVERAGE(I43:I44)</f>
        <v>105</v>
      </c>
      <c r="J42" s="103">
        <f>ROUNDDOWN(IF(I42="N/A",0,IF(I42&gt;110,E42*110/100,E42*I42/100)),2)</f>
        <v>4.2</v>
      </c>
      <c r="K42" s="182"/>
      <c r="L42" s="182"/>
      <c r="R42" s="103">
        <v>1.61</v>
      </c>
      <c r="S42" s="103">
        <v>1.61</v>
      </c>
      <c r="T42" s="127">
        <f>R42-S42</f>
        <v>0</v>
      </c>
    </row>
    <row r="43" spans="1:31" ht="16.5">
      <c r="A43" s="186"/>
      <c r="B43" s="153" t="str">
        <f>T.UP3!B43</f>
        <v>a. Jumlah Pengguna Swa Cam</v>
      </c>
      <c r="C43" s="370" t="str">
        <f>T.UP3!C43</f>
        <v>ñ</v>
      </c>
      <c r="D43" s="97" t="str">
        <f>T.UP3!D43</f>
        <v>Pelanggan</v>
      </c>
      <c r="E43" s="188"/>
      <c r="F43" s="143">
        <f>T.UP3!H43</f>
        <v>4728</v>
      </c>
      <c r="G43" s="91">
        <f>VLOOKUP(B43,T.UP3!$B$4:$T$69,MATCH('UP3'!$M$2,T.UP3!$B$5:$T$5,0),FALSE)</f>
        <v>4728</v>
      </c>
      <c r="H43" s="101">
        <f>VLOOKUP(B43,'R.UP3'!$B$4:$T$67,MATCH('UP3'!$M$2,'R.UP3'!$B$5:$T$5,0),FALSE)</f>
        <v>5532</v>
      </c>
      <c r="I43" s="157">
        <f>IF(OR(G43="N/A",H43="N/A"),"N/A",IF((H43/G43*100)&gt;=110,110,(H43/G43*100)))</f>
        <v>110</v>
      </c>
      <c r="J43" s="103"/>
      <c r="K43" s="182"/>
      <c r="L43" s="182"/>
      <c r="N43" s="127"/>
      <c r="R43" s="103">
        <v>1.77</v>
      </c>
      <c r="S43" s="103">
        <v>1.91</v>
      </c>
      <c r="T43" s="127">
        <f>R43-S43</f>
        <v>-0.1399999999999999</v>
      </c>
      <c r="U43" s="244"/>
      <c r="V43" s="302"/>
    </row>
    <row r="44" spans="1:31" ht="31.5">
      <c r="A44" s="186"/>
      <c r="B44" s="153" t="str">
        <f>T.UP3!B44</f>
        <v>b. Tindak Lanjut LBKB (Laporan Bulanan Kelainan Baca Meter)</v>
      </c>
      <c r="C44" s="370" t="str">
        <f>T.UP3!C44</f>
        <v>ò</v>
      </c>
      <c r="D44" s="97" t="str">
        <f>T.UP3!D44</f>
        <v>Pelanggan</v>
      </c>
      <c r="E44" s="188"/>
      <c r="F44" s="143">
        <f>T.UP3!H44</f>
        <v>0</v>
      </c>
      <c r="G44" s="91">
        <f>VLOOKUP(B44,T.UP3!$B$4:$T$69,MATCH('UP3'!$M$2,T.UP3!$B$5:$T$5,0),FALSE)</f>
        <v>0</v>
      </c>
      <c r="H44" s="101">
        <f>VLOOKUP(B44,'R.UP3'!$B$4:$T$67,MATCH('UP3'!$M$2,'R.UP3'!$B$5:$T$5,0),FALSE)</f>
        <v>0</v>
      </c>
      <c r="I44" s="157">
        <f>IF(G44=0,100,(IF((H44/G44*100)&gt;110,110,(H44/G44*100))))</f>
        <v>100</v>
      </c>
      <c r="J44" s="103"/>
      <c r="K44" s="182"/>
      <c r="L44" s="182"/>
      <c r="R44" s="103"/>
      <c r="S44" s="103"/>
      <c r="V44" s="302"/>
    </row>
    <row r="45" spans="1:31" ht="16.5">
      <c r="A45" s="186">
        <f>T.UP3!A45</f>
        <v>11</v>
      </c>
      <c r="B45" s="266" t="str">
        <f>T.UP3!B45</f>
        <v>Percepatan Cash In</v>
      </c>
      <c r="C45" s="370"/>
      <c r="D45" s="97" t="str">
        <f>T.UP3!D45</f>
        <v>%</v>
      </c>
      <c r="E45" s="188">
        <f>T.UP3!F45</f>
        <v>6</v>
      </c>
      <c r="F45" s="143"/>
      <c r="G45" s="91"/>
      <c r="H45" s="101"/>
      <c r="I45" s="157">
        <f>AVERAGE(I46:I48)</f>
        <v>106.21380472980053</v>
      </c>
      <c r="J45" s="103">
        <f>ROUNDDOWN(IF(I45="N/A",0,IF(I45&gt;110,E45*110/100,E45*I45/100)),2)</f>
        <v>6.37</v>
      </c>
      <c r="K45" s="182"/>
      <c r="L45" s="182"/>
      <c r="R45" s="103">
        <v>4.4000000000000004</v>
      </c>
      <c r="S45" s="103">
        <v>4.4000000000000004</v>
      </c>
      <c r="T45" s="127">
        <f>R45-S45</f>
        <v>0</v>
      </c>
    </row>
    <row r="46" spans="1:31" ht="31.5">
      <c r="A46" s="186"/>
      <c r="B46" s="153" t="str">
        <f>T.UP3!B46</f>
        <v>a. Pencapaian Rata-Rata Saldo Tanggal 20 diluar Konsumen Instansi (Kementerian &amp; Lembaga)</v>
      </c>
      <c r="C46" s="370" t="str">
        <f>T.UP3!C46</f>
        <v>ò</v>
      </c>
      <c r="D46" s="97" t="str">
        <f>T.UP3!D46</f>
        <v>Rp. Juta</v>
      </c>
      <c r="E46" s="188">
        <f>T.UP3!F46</f>
        <v>0</v>
      </c>
      <c r="F46" s="143">
        <f>T.UP3!H46</f>
        <v>1175</v>
      </c>
      <c r="G46" s="91">
        <f>VLOOKUP(B46,T.UP3!$B$4:$T$69,MATCH('UP3'!$M$2,T.UP3!$B$5:$T$5,0),FALSE)</f>
        <v>1175</v>
      </c>
      <c r="H46" s="101">
        <f>VLOOKUP(B46,'R.UP3'!$B$4:$T$67,MATCH('UP3'!$M$2,'R.UP3'!$B$5:$T$5,0),FALSE)</f>
        <v>1001.4119882222224</v>
      </c>
      <c r="I46" s="157">
        <f>IF(OR(G46="N/A",H46="N/A"),"N/A",IF((2-(H46/G46))*100&gt;=110,110,(2-(H46/G46))*100))</f>
        <v>110</v>
      </c>
      <c r="J46" s="103"/>
      <c r="K46" s="182"/>
      <c r="L46" s="182"/>
      <c r="R46" s="103"/>
      <c r="S46" s="103"/>
      <c r="T46" s="127"/>
    </row>
    <row r="47" spans="1:31" ht="31.5">
      <c r="A47" s="186"/>
      <c r="B47" s="153" t="str">
        <f>T.UP3!B47</f>
        <v>b. Pencapaian Saldo Rata-Rata Akhir Bulan diluar Konsumen Instansi (Kementerian &amp; Lembaga)</v>
      </c>
      <c r="C47" s="370" t="str">
        <f>T.UP3!C47</f>
        <v>ò</v>
      </c>
      <c r="D47" s="97" t="str">
        <f>T.UP3!D47</f>
        <v>Rp. Juta</v>
      </c>
      <c r="E47" s="188"/>
      <c r="F47" s="143">
        <f>T.UP3!H47</f>
        <v>286.27</v>
      </c>
      <c r="G47" s="90">
        <f>VLOOKUP(B47,T.UP3!$B$4:$T$69,MATCH('UP3'!$M$2,T.UP3!$B$5:$T$5,0),FALSE)</f>
        <v>286.27</v>
      </c>
      <c r="H47" s="98">
        <f>VLOOKUP(B47,'R.UP3'!$B$4:$T$67,MATCH('UP3'!$M$2,'R.UP3'!$B$5:$T$5,0),FALSE)</f>
        <v>290.15922360000002</v>
      </c>
      <c r="I47" s="157">
        <f>IF(OR(G47="N/A",H47="N/A"),"N/A",IF((2-(H47/G47))*100&gt;=110,110,(2-(H47/G47))*100))</f>
        <v>98.641414189401601</v>
      </c>
      <c r="J47" s="103"/>
      <c r="K47" s="182"/>
      <c r="L47" s="182"/>
      <c r="R47" s="103"/>
      <c r="S47" s="103"/>
      <c r="T47" s="127"/>
    </row>
    <row r="48" spans="1:31" ht="43.15" customHeight="1">
      <c r="A48" s="186"/>
      <c r="B48" s="153" t="str">
        <f>T.UP3!B48</f>
        <v>c. Pencapaian Pelunasan PRR</v>
      </c>
      <c r="C48" s="370" t="str">
        <f>T.UP3!C48</f>
        <v>ñ</v>
      </c>
      <c r="D48" s="97" t="str">
        <f>T.UP3!D48</f>
        <v>Rp. Juta</v>
      </c>
      <c r="E48" s="188"/>
      <c r="F48" s="143">
        <f>T.UP3!H48</f>
        <v>9.31</v>
      </c>
      <c r="G48" s="90">
        <f>VLOOKUP(B48,T.UP3!$B$4:$T$69,MATCH('UP3'!$M$2,T.UP3!$B$5:$T$5,0),FALSE)</f>
        <v>7.45</v>
      </c>
      <c r="H48" s="98">
        <f>VLOOKUP(B48,'R.UP3'!$B$4:$T$67,MATCH('UP3'!$M$2,'R.UP3'!$B$5:$T$5,0),FALSE)</f>
        <v>16.981306</v>
      </c>
      <c r="I48" s="157">
        <f>IF(OR(G48="N/A",H48="N/A"),"N/A",IF((H48/G48*100)&gt;=110,110,(H48/G48*100)))</f>
        <v>110</v>
      </c>
      <c r="J48" s="103"/>
      <c r="O48" s="243"/>
      <c r="R48" s="94"/>
      <c r="S48" s="94"/>
    </row>
    <row r="49" spans="1:56" ht="40.15" customHeight="1">
      <c r="A49" s="186">
        <f>T.UP3!A49</f>
        <v>12</v>
      </c>
      <c r="B49" s="266" t="str">
        <f>T.UP3!B49</f>
        <v>Pengendalian  Anggaran</v>
      </c>
      <c r="C49" s="370"/>
      <c r="D49" s="97"/>
      <c r="E49" s="188">
        <f>T.UP3!F49</f>
        <v>6</v>
      </c>
      <c r="F49" s="143"/>
      <c r="G49" s="90"/>
      <c r="H49" s="98"/>
      <c r="I49" s="157">
        <f>AVERAGE(I50:I52)</f>
        <v>98.350877192982466</v>
      </c>
      <c r="J49" s="103">
        <f t="shared" ref="J49:J58" si="1">ROUNDDOWN(IF(I49="N/A",0,IF(I49&gt;110,E49*110/100,E49*I49/100)),2)</f>
        <v>5.9</v>
      </c>
      <c r="L49" s="401"/>
      <c r="R49" s="94"/>
      <c r="S49" s="94"/>
    </row>
    <row r="50" spans="1:56" ht="18" customHeight="1">
      <c r="A50" s="186"/>
      <c r="B50" s="153" t="str">
        <f>T.UP3!B50</f>
        <v>a. Pengendalian Penggunaan Anggaran Investasi sesuai RKAP</v>
      </c>
      <c r="C50" s="370" t="str">
        <f>T.UP3!C50</f>
        <v>ó</v>
      </c>
      <c r="D50" s="97" t="str">
        <f>T.UP3!D50</f>
        <v>%</v>
      </c>
      <c r="E50" s="188"/>
      <c r="F50" s="143" t="str">
        <f>T.UP3!H50</f>
        <v>95-100</v>
      </c>
      <c r="G50" s="90" t="str">
        <f>VLOOKUP(B50,T.UP3!$B$4:$T$69,MATCH('UP3'!$M$2,T.UP3!$B$5:$T$5,0),FALSE)</f>
        <v>95-100</v>
      </c>
      <c r="H50" s="98">
        <f>VLOOKUP(B50,'R.UP3'!$B$4:$T$67,MATCH('UP3'!$M$2,'R.UP3'!$B$5:$T$5,0),FALSE)</f>
        <v>90.3</v>
      </c>
      <c r="I50" s="157">
        <f>MAX(0,_xlfn.IFS(H50&lt;95,H50/95,
AND(H50&gt;=95,H50&lt;=100),1+((H50-95)/(100-95))*0.1,H50&gt;
100,1-(H50-100)/(190-100)))*100</f>
        <v>95.05263157894737</v>
      </c>
      <c r="J50" s="103"/>
      <c r="R50" s="94"/>
      <c r="S50" s="94"/>
    </row>
    <row r="51" spans="1:56" ht="16.5">
      <c r="A51" s="186"/>
      <c r="B51" s="153" t="str">
        <f>T.UP3!B51</f>
        <v>b. Usulan Penghapusan ATTB</v>
      </c>
      <c r="C51" s="370" t="str">
        <f>T.UP3!C51</f>
        <v>ñ</v>
      </c>
      <c r="D51" s="97" t="str">
        <f>T.UP3!D51</f>
        <v>Rp. Milyar</v>
      </c>
      <c r="E51" s="188"/>
      <c r="F51" s="143">
        <f>T.UP3!H51</f>
        <v>3.16</v>
      </c>
      <c r="G51" s="90">
        <f>VLOOKUP(B51,T.UP3!$B$4:$T$69,MATCH('UP3'!$M$2,T.UP3!$B$5:$T$5,0),FALSE)</f>
        <v>0</v>
      </c>
      <c r="H51" s="98">
        <f>VLOOKUP(B51,'R.UP3'!$B$4:$T$67,MATCH('UP3'!$M$2,'R.UP3'!$B$5:$T$5,0),FALSE)</f>
        <v>0</v>
      </c>
      <c r="I51" s="157">
        <f>IF(G51=0,100,(IF((H51/G51*100)&gt;110,110,(H51/G51*100))))</f>
        <v>100</v>
      </c>
      <c r="J51" s="103"/>
      <c r="R51" s="94"/>
      <c r="S51" s="94"/>
    </row>
    <row r="52" spans="1:56" ht="16.5">
      <c r="A52" s="186"/>
      <c r="B52" s="153" t="str">
        <f>T.UP3!B52</f>
        <v>c. Usulan Penghapusan PRR</v>
      </c>
      <c r="C52" s="370" t="str">
        <f>T.UP3!C52</f>
        <v>ñ</v>
      </c>
      <c r="D52" s="97" t="str">
        <f>T.UP3!D52</f>
        <v>Rp. Milyar</v>
      </c>
      <c r="E52" s="188"/>
      <c r="F52" s="143">
        <f>T.UP3!H52</f>
        <v>34.29</v>
      </c>
      <c r="G52" s="90">
        <f>VLOOKUP(B52,T.UP3!$B$4:$T$69,MATCH('UP3'!$M$2,T.UP3!$B$5:$T$5,0),FALSE)</f>
        <v>0</v>
      </c>
      <c r="H52" s="98">
        <f>VLOOKUP(B52,'R.UP3'!$B$4:$T$67,MATCH('UP3'!$M$2,'R.UP3'!$B$5:$T$5,0),FALSE)</f>
        <v>0</v>
      </c>
      <c r="I52" s="157">
        <f>IF(OR(G52="N/A",H52="N/A"),"N/A",IF(AND(G52=0,H52=0),100,H52/G52*100))</f>
        <v>100</v>
      </c>
      <c r="J52" s="103"/>
      <c r="K52" s="182"/>
      <c r="R52" s="103">
        <v>0.81</v>
      </c>
      <c r="S52" s="103">
        <v>1.1000000000000001</v>
      </c>
      <c r="T52" s="127">
        <f>R52-S52</f>
        <v>-0.29000000000000004</v>
      </c>
    </row>
    <row r="53" spans="1:56" ht="16.5">
      <c r="A53" s="186">
        <f>T.UP3!A53</f>
        <v>13</v>
      </c>
      <c r="B53" s="266" t="str">
        <f>T.UP3!B53</f>
        <v>Manajemen SDM, Komunikasi, dan TJSL</v>
      </c>
      <c r="C53" s="370"/>
      <c r="D53" s="97"/>
      <c r="E53" s="188"/>
      <c r="F53" s="143"/>
      <c r="G53" s="90"/>
      <c r="H53" s="98"/>
      <c r="I53" s="157">
        <f>AVERAGE(I54:I57)</f>
        <v>100</v>
      </c>
      <c r="J53" s="103">
        <f>SUM(J54:J57)</f>
        <v>5</v>
      </c>
      <c r="K53" s="182"/>
      <c r="L53" s="182"/>
      <c r="R53" s="103">
        <v>1.1000000000000001</v>
      </c>
      <c r="S53" s="103">
        <v>1.1000000000000001</v>
      </c>
      <c r="T53" s="127">
        <f>R53-S53</f>
        <v>0</v>
      </c>
    </row>
    <row r="54" spans="1:56" ht="16.5">
      <c r="A54" s="186"/>
      <c r="B54" s="153" t="str">
        <f>T.UP3!B54</f>
        <v>a. HCR, OCR, dan Produktivitas Pegawai</v>
      </c>
      <c r="C54" s="370" t="str">
        <f>T.UP3!C54</f>
        <v>ñ</v>
      </c>
      <c r="D54" s="97" t="str">
        <f>T.UP3!D54</f>
        <v>%</v>
      </c>
      <c r="E54" s="188">
        <v>2</v>
      </c>
      <c r="F54" s="143">
        <f>T.UP3!H54</f>
        <v>100</v>
      </c>
      <c r="G54" s="90">
        <f>VLOOKUP(B54,T.UP3!$B$4:$T$69,MATCH('UP3'!$M$2,T.UP3!$B$5:$T$5,0),FALSE)</f>
        <v>100</v>
      </c>
      <c r="H54" s="283">
        <f>VLOOKUP(B54,'R.UP3'!$B$4:$T$67,MATCH('UP3'!$M$2,'R.UP3'!$B$5:$T$5,0),FALSE)</f>
        <v>100</v>
      </c>
      <c r="I54" s="157">
        <f>IF(G54=0,100,(IF((H54/G54*100)&gt;110,110,(H54/G54*100))))</f>
        <v>100</v>
      </c>
      <c r="J54" s="103">
        <f t="shared" si="1"/>
        <v>2</v>
      </c>
      <c r="K54" s="182"/>
      <c r="L54" s="182"/>
      <c r="R54" s="103">
        <v>1.1000000000000001</v>
      </c>
      <c r="S54" s="103">
        <v>1.1000000000000001</v>
      </c>
      <c r="T54" s="127">
        <f>R54-S54</f>
        <v>0</v>
      </c>
    </row>
    <row r="55" spans="1:56" ht="16.5">
      <c r="A55" s="186"/>
      <c r="B55" s="153" t="str">
        <f>T.UP3!B55</f>
        <v>b. Produktivitas Unit</v>
      </c>
      <c r="C55" s="370" t="str">
        <f>T.UP3!C55</f>
        <v>ñ</v>
      </c>
      <c r="D55" s="97" t="str">
        <f>T.UP3!D55</f>
        <v>%</v>
      </c>
      <c r="E55" s="188">
        <v>1</v>
      </c>
      <c r="F55" s="143">
        <f>T.UP3!H55</f>
        <v>100</v>
      </c>
      <c r="G55" s="90">
        <f>VLOOKUP(B55,T.UP3!$B$4:$T$69,MATCH('UP3'!$M$2,T.UP3!$B$5:$T$5,0),FALSE)</f>
        <v>100</v>
      </c>
      <c r="H55" s="283">
        <f>VLOOKUP(B55,'R.UP3'!$B$4:$T$67,MATCH('UP3'!$M$2,'R.UP3'!$B$5:$T$5,0),FALSE)</f>
        <v>90</v>
      </c>
      <c r="I55" s="157">
        <f>IF(G55=0,100,(IF((H55/G55*100)&gt;110,110,(H55/G55*100))))</f>
        <v>90</v>
      </c>
      <c r="J55" s="103">
        <f t="shared" si="1"/>
        <v>0.9</v>
      </c>
      <c r="K55" s="182"/>
      <c r="L55" s="182"/>
      <c r="R55" s="103">
        <v>2.2000000000000002</v>
      </c>
      <c r="S55" s="103">
        <v>2.2000000000000002</v>
      </c>
      <c r="T55" s="127">
        <f>R55-S55</f>
        <v>0</v>
      </c>
      <c r="BD55" s="21"/>
    </row>
    <row r="56" spans="1:56" ht="16.5">
      <c r="A56" s="186"/>
      <c r="B56" s="153" t="str">
        <f>T.UP3!B56</f>
        <v>c. Pengelolaan Komunikasi dan TJSL</v>
      </c>
      <c r="C56" s="370" t="str">
        <f>T.UP3!C56</f>
        <v>ñ</v>
      </c>
      <c r="D56" s="97" t="str">
        <f>T.UP3!D56</f>
        <v>%</v>
      </c>
      <c r="E56" s="188">
        <v>1</v>
      </c>
      <c r="F56" s="143">
        <f>T.UP3!H56</f>
        <v>100</v>
      </c>
      <c r="G56" s="90">
        <f>VLOOKUP(B56,T.UP3!$B$4:$T$69,MATCH('UP3'!$M$2,T.UP3!$B$5:$T$5,0),FALSE)</f>
        <v>100</v>
      </c>
      <c r="H56" s="98">
        <f>VLOOKUP(B56,'R.UP3'!$B$4:$T$67,MATCH('UP3'!$M$2,'R.UP3'!$B$5:$T$5,0),FALSE)</f>
        <v>110</v>
      </c>
      <c r="I56" s="157">
        <f>IF(OR(G56="N/A",H56="N/A"),"N/A",IF(AND(G56=0,H56=0),100,H56/G56*100))</f>
        <v>110.00000000000001</v>
      </c>
      <c r="J56" s="103">
        <f t="shared" si="1"/>
        <v>1.1000000000000001</v>
      </c>
      <c r="K56" s="182"/>
      <c r="L56" s="182"/>
      <c r="R56" s="103"/>
      <c r="S56" s="103"/>
      <c r="T56" s="127"/>
      <c r="BD56" s="21"/>
    </row>
    <row r="57" spans="1:56" ht="16.5">
      <c r="A57" s="186"/>
      <c r="B57" s="153" t="str">
        <f>T.UP3!B57</f>
        <v>d. Peningkatan Layanan dan Budaya K3</v>
      </c>
      <c r="C57" s="370" t="str">
        <f>T.UP3!C57</f>
        <v>ñ</v>
      </c>
      <c r="D57" s="97" t="str">
        <f>T.UP3!D57</f>
        <v>%</v>
      </c>
      <c r="E57" s="188">
        <v>1</v>
      </c>
      <c r="F57" s="143">
        <f>T.UP3!H57</f>
        <v>100</v>
      </c>
      <c r="G57" s="90">
        <f>VLOOKUP(B57,T.UP3!$B$4:$T$69,MATCH('UP3'!$M$2,T.UP3!$B$5:$T$5,0),FALSE)</f>
        <v>100</v>
      </c>
      <c r="H57" s="98">
        <f>VLOOKUP(B57,'R.UP3'!$B$4:$T$67,MATCH('UP3'!$M$2,'R.UP3'!$B$5:$T$5,0),FALSE)</f>
        <v>100</v>
      </c>
      <c r="I57" s="157">
        <f>IF(OR(G57="N/A",H57="N/A"),"N/A",IF(AND(G57=0,H57=0),100,H57/G57*100))</f>
        <v>100</v>
      </c>
      <c r="J57" s="103">
        <f t="shared" si="1"/>
        <v>1</v>
      </c>
      <c r="K57" s="182"/>
      <c r="L57" s="182"/>
      <c r="R57" s="103">
        <v>2.2000000000000002</v>
      </c>
      <c r="S57" s="103">
        <v>2.2000000000000002</v>
      </c>
      <c r="T57" s="127">
        <f>R57-S57</f>
        <v>0</v>
      </c>
    </row>
    <row r="58" spans="1:56" ht="16.5">
      <c r="A58" s="186">
        <f>T.UP3!A58</f>
        <v>14</v>
      </c>
      <c r="B58" s="266" t="str">
        <f>T.UP3!B58</f>
        <v>Perbaikan Proses Bisnis dan Keberlanjutan</v>
      </c>
      <c r="C58" s="370"/>
      <c r="D58" s="97"/>
      <c r="E58" s="188">
        <f>T.UP3!F58</f>
        <v>4</v>
      </c>
      <c r="F58" s="143"/>
      <c r="G58" s="257"/>
      <c r="H58" s="160"/>
      <c r="I58" s="303">
        <f>AVERAGE(I59:I62)</f>
        <v>102.5</v>
      </c>
      <c r="J58" s="103">
        <f t="shared" si="1"/>
        <v>4.0999999999999996</v>
      </c>
      <c r="K58" s="182"/>
      <c r="L58" s="182"/>
      <c r="R58" s="103">
        <v>2</v>
      </c>
      <c r="S58" s="103">
        <v>2</v>
      </c>
      <c r="T58" s="127">
        <f>R58-S58</f>
        <v>0</v>
      </c>
    </row>
    <row r="59" spans="1:56" ht="16.5">
      <c r="A59" s="186"/>
      <c r="B59" s="153" t="str">
        <f>T.UP3!B59</f>
        <v>a. Implementasi PLN Bisnis Ekselen</v>
      </c>
      <c r="C59" s="370" t="str">
        <f>T.UP3!C59</f>
        <v>ñ</v>
      </c>
      <c r="D59" s="97" t="str">
        <f>T.UP3!D59</f>
        <v>%</v>
      </c>
      <c r="E59" s="188"/>
      <c r="F59" s="143">
        <f>T.UP3!H59</f>
        <v>100</v>
      </c>
      <c r="G59" s="257">
        <f>VLOOKUP(B59,T.UP3!$B$4:$T$69,MATCH('UP3'!$M$2,T.UP3!$B$5:$T$5,0),FALSE)</f>
        <v>100</v>
      </c>
      <c r="H59" s="160">
        <f>VLOOKUP(B59,'R.UP3'!$B$4:$T$67,MATCH('UP3'!$M$2,'R.UP3'!$B$5:$T$5,0),FALSE)</f>
        <v>100</v>
      </c>
      <c r="I59" s="303">
        <f>IF(OR(G59="N/A",H59="N/A"),"N/A",IF(AND(G59=0,H59=0),100,H59/G59*100))</f>
        <v>100</v>
      </c>
      <c r="J59" s="103"/>
      <c r="K59" s="182"/>
      <c r="L59" s="182"/>
      <c r="R59" s="103"/>
      <c r="S59" s="103"/>
      <c r="T59" s="127"/>
    </row>
    <row r="60" spans="1:56" ht="16.5">
      <c r="A60" s="186"/>
      <c r="B60" s="153" t="str">
        <f>T.UP3!B60</f>
        <v>b. Maturity Level Gudang</v>
      </c>
      <c r="C60" s="370" t="str">
        <f>T.UP3!C60</f>
        <v>ñ</v>
      </c>
      <c r="D60" s="97" t="str">
        <f>T.UP3!D60</f>
        <v>Skor</v>
      </c>
      <c r="E60" s="188"/>
      <c r="F60" s="143">
        <f>T.UP3!H57</f>
        <v>100</v>
      </c>
      <c r="G60" s="257">
        <f>VLOOKUP(B60,T.UP3!$B$4:$T$69,MATCH('UP3'!$M$2,T.UP3!$B$5:$T$5,0),FALSE)</f>
        <v>3.65</v>
      </c>
      <c r="H60" s="98">
        <f>VLOOKUP(B60,'R.UP3'!$B$4:$T$67,MATCH('UP3'!$M$2,'R.UP3'!$B$5:$T$5,0),FALSE)</f>
        <v>3.65</v>
      </c>
      <c r="I60" s="303">
        <f>IFERROR(IF(OR(G60="N/A",H60="N/A"),"N/A",IF((H60/G60*100)&gt;=110,110,(H60/G60*100))),100)</f>
        <v>100</v>
      </c>
      <c r="J60" s="103"/>
      <c r="K60" s="182"/>
      <c r="L60" s="182"/>
      <c r="R60" s="103"/>
      <c r="S60" s="103"/>
      <c r="T60" s="127"/>
    </row>
    <row r="61" spans="1:56" ht="16.5">
      <c r="A61" s="186"/>
      <c r="B61" s="153" t="str">
        <f>T.UP3!B61</f>
        <v>c. Maturity Level Sustainbility</v>
      </c>
      <c r="C61" s="370" t="str">
        <f>T.UP3!C61</f>
        <v>ñ</v>
      </c>
      <c r="D61" s="97" t="str">
        <f>T.UP3!D61</f>
        <v>%</v>
      </c>
      <c r="E61" s="188"/>
      <c r="F61" s="143">
        <f>T.UP3!H58</f>
        <v>0</v>
      </c>
      <c r="G61" s="90">
        <f>VLOOKUP(B61,T.UP3!$B$4:$T$69,MATCH('UP3'!$M$2,T.UP3!$B$5:$T$5,0),FALSE)</f>
        <v>100</v>
      </c>
      <c r="H61" s="304">
        <f>VLOOKUP(B61,'R.UP3'!$B$4:$T$67,MATCH('UP3'!$M$2,'R.UP3'!$B$5:$T$5,0),FALSE)</f>
        <v>110</v>
      </c>
      <c r="I61" s="157">
        <f>IF(OR(G61="N/A",H61="N/A"),"N/A",IF((H61/G61*100)&gt;=110,110,(H61/G61*100)))</f>
        <v>110</v>
      </c>
      <c r="J61" s="103"/>
      <c r="K61" s="182"/>
      <c r="L61" s="182"/>
      <c r="R61" s="103"/>
      <c r="S61" s="103"/>
      <c r="T61" s="127"/>
    </row>
    <row r="62" spans="1:56" ht="31.5">
      <c r="A62" s="186"/>
      <c r="B62" s="153" t="str">
        <f>T.UP3!B62</f>
        <v>d. Implementasi Roadmap Perbaikan Penerapan Manajemen Risiko dan Pencapaian Perlakuan Risiko</v>
      </c>
      <c r="C62" s="370" t="str">
        <f>T.UP3!C62</f>
        <v>ñ</v>
      </c>
      <c r="D62" s="97" t="str">
        <f>T.UP3!D62</f>
        <v>%</v>
      </c>
      <c r="E62" s="188"/>
      <c r="F62" s="143">
        <f>T.UP3!H59</f>
        <v>100</v>
      </c>
      <c r="G62" s="90">
        <f>VLOOKUP(B62,T.UP3!$B$4:$T$69,MATCH('UP3'!$M$2,T.UP3!$B$5:$T$5,0),FALSE)</f>
        <v>100</v>
      </c>
      <c r="H62" s="98">
        <f>VLOOKUP(B62,'R.UP3'!$B$4:$T$67,MATCH('UP3'!$M$2,'R.UP3'!$B$5:$T$5,0),FALSE)</f>
        <v>100</v>
      </c>
      <c r="I62" s="157">
        <f>IF(OR(G62="N/A",H62="N/A"),"N/A",IF((H62/G62*100)&gt;=110,110,(H62/G62*100)))</f>
        <v>100</v>
      </c>
      <c r="J62" s="103"/>
      <c r="K62" s="182"/>
      <c r="L62" s="182"/>
      <c r="R62" s="103"/>
      <c r="S62" s="103"/>
    </row>
    <row r="63" spans="1:56" ht="16.5">
      <c r="A63" s="186">
        <f>T.UP3!A63</f>
        <v>15</v>
      </c>
      <c r="B63" s="266" t="str">
        <f>T.UP3!B63</f>
        <v>Kepatuhan :</v>
      </c>
      <c r="C63" s="370"/>
      <c r="D63" s="97"/>
      <c r="E63" s="188"/>
      <c r="F63" s="143"/>
      <c r="G63" s="90"/>
      <c r="H63" s="98"/>
      <c r="I63" s="157"/>
      <c r="J63" s="103"/>
      <c r="K63" s="182"/>
      <c r="L63" s="182"/>
      <c r="R63" s="103">
        <v>0</v>
      </c>
      <c r="S63" s="103">
        <v>0.9</v>
      </c>
      <c r="T63" s="127">
        <f>R63-S63</f>
        <v>-0.9</v>
      </c>
    </row>
    <row r="64" spans="1:56" ht="16.5">
      <c r="A64" s="186"/>
      <c r="B64" s="153" t="str">
        <f>T.UP3!B64</f>
        <v>a. Pengelolaan K3, Keamanan dan Lingkungan Hidup</v>
      </c>
      <c r="C64" s="370"/>
      <c r="D64" s="97"/>
      <c r="E64" s="188" t="str">
        <f>T.UP3!F64</f>
        <v>Max-8</v>
      </c>
      <c r="F64" s="98"/>
      <c r="G64" s="90"/>
      <c r="H64" s="98"/>
      <c r="I64" s="157"/>
      <c r="J64" s="103"/>
      <c r="K64" s="182"/>
      <c r="L64" s="182"/>
      <c r="R64" s="103">
        <v>0</v>
      </c>
      <c r="S64" s="103">
        <v>1</v>
      </c>
      <c r="T64" s="127">
        <f>R64-S64</f>
        <v>-1</v>
      </c>
    </row>
    <row r="65" spans="1:19" ht="31.5">
      <c r="A65" s="186"/>
      <c r="B65" s="153" t="str">
        <f>T.UP3!B65</f>
        <v>b. Maturity Level Implementasi Sistem Manajemen Anti Penyuapan (SMAP)</v>
      </c>
      <c r="C65" s="370"/>
      <c r="D65" s="97"/>
      <c r="E65" s="188" t="str">
        <f>T.UP3!F65</f>
        <v>Max-4</v>
      </c>
      <c r="F65" s="98"/>
      <c r="G65" s="90"/>
      <c r="H65" s="98"/>
      <c r="I65" s="157"/>
      <c r="J65" s="103"/>
      <c r="K65" s="182"/>
      <c r="L65" s="182"/>
      <c r="R65" s="103"/>
      <c r="S65" s="103"/>
    </row>
    <row r="66" spans="1:19" ht="31.5">
      <c r="A66" s="186"/>
      <c r="B66" s="153" t="str">
        <f>T.UP3!B66</f>
        <v>c. Ketepatan penyampaian pelaporan dan
Akurasi Data Kinerja</v>
      </c>
      <c r="C66" s="370"/>
      <c r="D66" s="97"/>
      <c r="E66" s="188" t="str">
        <f>T.UP3!F66</f>
        <v>Max-10</v>
      </c>
      <c r="F66" s="143"/>
      <c r="G66" s="98"/>
      <c r="H66" s="90"/>
      <c r="I66" s="99"/>
      <c r="J66" s="103"/>
      <c r="K66" s="182"/>
      <c r="L66" s="182"/>
      <c r="R66" s="103"/>
      <c r="S66" s="103"/>
    </row>
    <row r="67" spans="1:19" ht="16.5">
      <c r="A67" s="186"/>
      <c r="B67" s="153" t="str">
        <f>T.UP3!B67</f>
        <v>d. Tindak Lanjut Temuan Auditor</v>
      </c>
      <c r="C67" s="370"/>
      <c r="D67" s="97"/>
      <c r="E67" s="188" t="str">
        <f>T.UP3!F67</f>
        <v>Max-5</v>
      </c>
      <c r="F67" s="143"/>
      <c r="G67" s="98"/>
      <c r="H67" s="90"/>
      <c r="I67" s="99"/>
      <c r="J67" s="103"/>
      <c r="K67" s="182"/>
      <c r="L67" s="182"/>
      <c r="R67" s="103"/>
      <c r="S67" s="103"/>
    </row>
    <row r="68" spans="1:19" ht="31.5">
      <c r="A68" s="186"/>
      <c r="B68" s="153" t="str">
        <f>T.UP3!B68</f>
        <v>e. Pencapaian Beyond RKAP</v>
      </c>
      <c r="C68" s="370"/>
      <c r="D68" s="97"/>
      <c r="E68" s="392" t="str">
        <f>T.UP3!F68</f>
        <v>Max-2
Max+2</v>
      </c>
      <c r="F68" s="143"/>
      <c r="G68" s="98"/>
      <c r="H68" s="98"/>
      <c r="I68" s="99"/>
      <c r="J68" s="103"/>
      <c r="K68" s="182"/>
      <c r="L68" s="182"/>
      <c r="M68" s="243"/>
      <c r="R68" s="103"/>
      <c r="S68" s="103"/>
    </row>
    <row r="69" spans="1:19" ht="16.5">
      <c r="A69" s="70"/>
      <c r="B69" s="80" t="s">
        <v>104</v>
      </c>
      <c r="C69" s="380"/>
      <c r="D69" s="81"/>
      <c r="E69" s="82">
        <f>E7+E17</f>
        <v>100</v>
      </c>
      <c r="F69" s="82"/>
      <c r="G69" s="82"/>
      <c r="H69" s="82"/>
      <c r="I69" s="82"/>
      <c r="J69" s="104">
        <f>J7+J17</f>
        <v>102.84</v>
      </c>
      <c r="K69" s="182"/>
      <c r="L69" s="182"/>
      <c r="R69" s="103"/>
      <c r="S69" s="103"/>
    </row>
    <row r="70" spans="1:19" ht="16.5">
      <c r="A70" s="73"/>
      <c r="B70" s="83" t="s">
        <v>105</v>
      </c>
      <c r="C70" s="374"/>
      <c r="D70" s="85"/>
      <c r="E70" s="86">
        <v>100</v>
      </c>
      <c r="F70" s="86"/>
      <c r="G70" s="86"/>
      <c r="H70" s="86"/>
      <c r="I70" s="86"/>
      <c r="J70" s="146">
        <f>E70/E69*J69</f>
        <v>102.84</v>
      </c>
      <c r="K70" s="182"/>
      <c r="L70" s="182"/>
      <c r="R70" s="103"/>
      <c r="S70" s="103"/>
    </row>
    <row r="71" spans="1:19" ht="15.75">
      <c r="R71" s="104">
        <v>98.610000000000014</v>
      </c>
      <c r="S71" s="104">
        <v>103.58</v>
      </c>
    </row>
    <row r="72" spans="1:19" ht="15.75">
      <c r="A72" s="124"/>
      <c r="B72" s="124"/>
      <c r="C72" s="124"/>
      <c r="D72" s="124"/>
      <c r="E72" s="124"/>
      <c r="F72" s="124"/>
      <c r="G72" s="124"/>
      <c r="H72" s="124"/>
      <c r="I72" s="124"/>
      <c r="J72" s="124"/>
      <c r="R72" s="146">
        <v>102.71875000000003</v>
      </c>
      <c r="S72" s="146">
        <v>103.58</v>
      </c>
    </row>
  </sheetData>
  <mergeCells count="6">
    <mergeCell ref="G4:J4"/>
    <mergeCell ref="A4:A5"/>
    <mergeCell ref="B4:C5"/>
    <mergeCell ref="D4:D5"/>
    <mergeCell ref="E4:E5"/>
    <mergeCell ref="F4:F5"/>
  </mergeCells>
  <phoneticPr fontId="138" type="noConversion"/>
  <conditionalFormatting sqref="C8:C16">
    <cfRule type="iconSet" priority="48204">
      <iconSet iconSet="3ArrowsGray" showValue="0">
        <cfvo type="percent" val="0"/>
        <cfvo type="num" val="2"/>
        <cfvo type="num" val="3"/>
      </iconSet>
    </cfRule>
  </conditionalFormatting>
  <conditionalFormatting sqref="C18:C68">
    <cfRule type="iconSet" priority="48215">
      <iconSet iconSet="3ArrowsGray" showValue="0">
        <cfvo type="percent" val="0"/>
        <cfvo type="num" val="2"/>
        <cfvo type="num" val="3"/>
      </iconSet>
    </cfRule>
  </conditionalFormatting>
  <conditionalFormatting sqref="I8">
    <cfRule type="iconSet" priority="777">
      <iconSet>
        <cfvo type="percent" val="0"/>
        <cfvo type="num" val="95"/>
        <cfvo type="num" val="100"/>
      </iconSet>
    </cfRule>
    <cfRule type="iconSet" priority="780">
      <iconSet>
        <cfvo type="percent" val="0"/>
        <cfvo type="num" val="95"/>
        <cfvo type="num" val="100"/>
      </iconSet>
    </cfRule>
    <cfRule type="iconSet" priority="779">
      <iconSet>
        <cfvo type="percent" val="0"/>
        <cfvo type="num" val="70"/>
        <cfvo type="num" val="90"/>
      </iconSet>
    </cfRule>
    <cfRule type="iconSet" priority="778">
      <iconSet>
        <cfvo type="percent" val="0"/>
        <cfvo type="num" val="70"/>
        <cfvo type="num" val="90"/>
      </iconSet>
    </cfRule>
    <cfRule type="iconSet" priority="776">
      <iconSet>
        <cfvo type="percent" val="0"/>
        <cfvo type="num" val="95"/>
        <cfvo type="num" val="100"/>
      </iconSet>
    </cfRule>
    <cfRule type="iconSet" priority="775">
      <iconSet>
        <cfvo type="percent" val="0"/>
        <cfvo type="num" val="95"/>
        <cfvo type="num" val="100"/>
      </iconSet>
    </cfRule>
    <cfRule type="iconSet" priority="772">
      <iconSet>
        <cfvo type="percent" val="0"/>
        <cfvo type="num" val="95"/>
        <cfvo type="num" val="100"/>
      </iconSet>
    </cfRule>
    <cfRule type="iconSet" priority="773">
      <iconSet>
        <cfvo type="percent" val="0"/>
        <cfvo type="num" val="70"/>
        <cfvo type="num" val="90"/>
      </iconSet>
    </cfRule>
    <cfRule type="iconSet" priority="774">
      <iconSet>
        <cfvo type="percent" val="0"/>
        <cfvo type="num" val="70"/>
        <cfvo type="num" val="90"/>
      </iconSet>
    </cfRule>
  </conditionalFormatting>
  <conditionalFormatting sqref="I9">
    <cfRule type="iconSet" priority="544">
      <iconSet>
        <cfvo type="percent" val="0"/>
        <cfvo type="num" val="95"/>
        <cfvo type="num" val="100"/>
      </iconSet>
    </cfRule>
    <cfRule type="iconSet" priority="545">
      <iconSet>
        <cfvo type="percent" val="0"/>
        <cfvo type="num" val="95"/>
        <cfvo type="num" val="100"/>
      </iconSet>
    </cfRule>
    <cfRule type="iconSet" priority="543">
      <iconSet>
        <cfvo type="percent" val="0"/>
        <cfvo type="num" val="95"/>
        <cfvo type="num" val="100"/>
      </iconSet>
    </cfRule>
    <cfRule type="iconSet" priority="542">
      <iconSet>
        <cfvo type="percent" val="0"/>
        <cfvo type="num" val="70"/>
        <cfvo type="num" val="90"/>
      </iconSet>
    </cfRule>
    <cfRule type="iconSet" priority="541">
      <iconSet>
        <cfvo type="percent" val="0"/>
        <cfvo type="num" val="70"/>
        <cfvo type="num" val="90"/>
      </iconSet>
    </cfRule>
    <cfRule type="iconSet" priority="540">
      <iconSet>
        <cfvo type="percent" val="0"/>
        <cfvo type="num" val="95"/>
        <cfvo type="num" val="100"/>
      </iconSet>
    </cfRule>
    <cfRule type="iconSet" priority="546">
      <iconSet>
        <cfvo type="percent" val="0"/>
        <cfvo type="num" val="70"/>
        <cfvo type="num" val="90"/>
      </iconSet>
    </cfRule>
    <cfRule type="iconSet" priority="547">
      <iconSet>
        <cfvo type="percent" val="0"/>
        <cfvo type="num" val="70"/>
        <cfvo type="num" val="90"/>
      </iconSet>
    </cfRule>
    <cfRule type="iconSet" priority="548">
      <iconSet>
        <cfvo type="percent" val="0"/>
        <cfvo type="num" val="95"/>
        <cfvo type="num" val="100"/>
      </iconSet>
    </cfRule>
  </conditionalFormatting>
  <conditionalFormatting sqref="I10:I16">
    <cfRule type="iconSet" priority="48210">
      <iconSet>
        <cfvo type="percent" val="0"/>
        <cfvo type="num" val="95"/>
        <cfvo type="num" val="100"/>
      </iconSet>
    </cfRule>
    <cfRule type="iconSet" priority="48209">
      <iconSet>
        <cfvo type="percent" val="0"/>
        <cfvo type="num" val="95"/>
        <cfvo type="num" val="100"/>
      </iconSet>
    </cfRule>
    <cfRule type="iconSet" priority="48208">
      <iconSet>
        <cfvo type="percent" val="0"/>
        <cfvo type="num" val="70"/>
        <cfvo type="num" val="90"/>
      </iconSet>
    </cfRule>
    <cfRule type="iconSet" priority="48207">
      <iconSet>
        <cfvo type="percent" val="0"/>
        <cfvo type="num" val="70"/>
        <cfvo type="num" val="90"/>
      </iconSet>
    </cfRule>
    <cfRule type="iconSet" priority="48206">
      <iconSet>
        <cfvo type="percent" val="0"/>
        <cfvo type="num" val="95"/>
        <cfvo type="num" val="100"/>
      </iconSet>
    </cfRule>
    <cfRule type="iconSet" priority="48212">
      <iconSet>
        <cfvo type="percent" val="0"/>
        <cfvo type="num" val="70"/>
        <cfvo type="num" val="90"/>
      </iconSet>
    </cfRule>
    <cfRule type="iconSet" priority="48211">
      <iconSet>
        <cfvo type="percent" val="0"/>
        <cfvo type="num" val="95"/>
        <cfvo type="num" val="100"/>
      </iconSet>
    </cfRule>
    <cfRule type="iconSet" priority="48213">
      <iconSet>
        <cfvo type="percent" val="0"/>
        <cfvo type="num" val="70"/>
        <cfvo type="num" val="90"/>
      </iconSet>
    </cfRule>
    <cfRule type="iconSet" priority="48214">
      <iconSet>
        <cfvo type="percent" val="0"/>
        <cfvo type="num" val="95"/>
        <cfvo type="num" val="100"/>
      </iconSet>
    </cfRule>
  </conditionalFormatting>
  <conditionalFormatting sqref="I18:I24">
    <cfRule type="iconSet" priority="100">
      <iconSet>
        <cfvo type="percent" val="0"/>
        <cfvo type="num" val="70"/>
        <cfvo type="num" val="90"/>
      </iconSet>
    </cfRule>
    <cfRule type="iconSet" priority="99">
      <iconSet>
        <cfvo type="percent" val="0"/>
        <cfvo type="num" val="95"/>
        <cfvo type="num" val="100"/>
      </iconSet>
    </cfRule>
    <cfRule type="iconSet" priority="107">
      <iconSet>
        <cfvo type="percent" val="0"/>
        <cfvo type="num" val="95"/>
        <cfvo type="num" val="100"/>
      </iconSet>
    </cfRule>
    <cfRule type="iconSet" priority="106">
      <iconSet>
        <cfvo type="percent" val="0"/>
        <cfvo type="num" val="70"/>
        <cfvo type="num" val="90"/>
      </iconSet>
    </cfRule>
    <cfRule type="iconSet" priority="105">
      <iconSet>
        <cfvo type="percent" val="0"/>
        <cfvo type="num" val="70"/>
        <cfvo type="num" val="90"/>
      </iconSet>
    </cfRule>
    <cfRule type="iconSet" priority="104">
      <iconSet>
        <cfvo type="percent" val="0"/>
        <cfvo type="num" val="95"/>
        <cfvo type="num" val="100"/>
      </iconSet>
    </cfRule>
    <cfRule type="iconSet" priority="103">
      <iconSet>
        <cfvo type="percent" val="0"/>
        <cfvo type="num" val="95"/>
        <cfvo type="num" val="100"/>
      </iconSet>
    </cfRule>
    <cfRule type="iconSet" priority="102">
      <iconSet>
        <cfvo type="percent" val="0"/>
        <cfvo type="num" val="95"/>
        <cfvo type="num" val="100"/>
      </iconSet>
    </cfRule>
    <cfRule type="iconSet" priority="101">
      <iconSet>
        <cfvo type="percent" val="0"/>
        <cfvo type="num" val="70"/>
        <cfvo type="num" val="90"/>
      </iconSet>
    </cfRule>
  </conditionalFormatting>
  <conditionalFormatting sqref="I25:I40">
    <cfRule type="iconSet" priority="48225">
      <iconSet>
        <cfvo type="percent" val="0"/>
        <cfvo type="num" val="95"/>
        <cfvo type="num" val="100"/>
      </iconSet>
    </cfRule>
    <cfRule type="iconSet" priority="48217">
      <iconSet>
        <cfvo type="percent" val="0"/>
        <cfvo type="num" val="95"/>
        <cfvo type="num" val="100"/>
      </iconSet>
    </cfRule>
    <cfRule type="iconSet" priority="48218">
      <iconSet>
        <cfvo type="percent" val="0"/>
        <cfvo type="num" val="70"/>
        <cfvo type="num" val="90"/>
      </iconSet>
    </cfRule>
    <cfRule type="iconSet" priority="48219">
      <iconSet>
        <cfvo type="percent" val="0"/>
        <cfvo type="num" val="70"/>
        <cfvo type="num" val="90"/>
      </iconSet>
    </cfRule>
    <cfRule type="iconSet" priority="48220">
      <iconSet>
        <cfvo type="percent" val="0"/>
        <cfvo type="num" val="95"/>
        <cfvo type="num" val="100"/>
      </iconSet>
    </cfRule>
    <cfRule type="iconSet" priority="48221">
      <iconSet>
        <cfvo type="percent" val="0"/>
        <cfvo type="num" val="95"/>
        <cfvo type="num" val="100"/>
      </iconSet>
    </cfRule>
    <cfRule type="iconSet" priority="48222">
      <iconSet>
        <cfvo type="percent" val="0"/>
        <cfvo type="num" val="95"/>
        <cfvo type="num" val="100"/>
      </iconSet>
    </cfRule>
    <cfRule type="iconSet" priority="48223">
      <iconSet>
        <cfvo type="percent" val="0"/>
        <cfvo type="num" val="70"/>
        <cfvo type="num" val="90"/>
      </iconSet>
    </cfRule>
    <cfRule type="iconSet" priority="48224">
      <iconSet>
        <cfvo type="percent" val="0"/>
        <cfvo type="num" val="70"/>
        <cfvo type="num" val="90"/>
      </iconSet>
    </cfRule>
  </conditionalFormatting>
  <conditionalFormatting sqref="I41:I42">
    <cfRule type="iconSet" priority="64">
      <iconSet>
        <cfvo type="percent" val="0"/>
        <cfvo type="num" val="70"/>
        <cfvo type="num" val="90"/>
      </iconSet>
    </cfRule>
    <cfRule type="iconSet" priority="63">
      <iconSet>
        <cfvo type="percent" val="0"/>
        <cfvo type="num" val="95"/>
        <cfvo type="num" val="100"/>
      </iconSet>
    </cfRule>
    <cfRule type="iconSet" priority="70">
      <iconSet>
        <cfvo type="percent" val="0"/>
        <cfvo type="num" val="70"/>
        <cfvo type="num" val="90"/>
      </iconSet>
    </cfRule>
    <cfRule type="iconSet" priority="69">
      <iconSet>
        <cfvo type="percent" val="0"/>
        <cfvo type="num" val="70"/>
        <cfvo type="num" val="90"/>
      </iconSet>
    </cfRule>
    <cfRule type="iconSet" priority="68">
      <iconSet>
        <cfvo type="percent" val="0"/>
        <cfvo type="num" val="95"/>
        <cfvo type="num" val="100"/>
      </iconSet>
    </cfRule>
    <cfRule type="iconSet" priority="67">
      <iconSet>
        <cfvo type="percent" val="0"/>
        <cfvo type="num" val="95"/>
        <cfvo type="num" val="100"/>
      </iconSet>
    </cfRule>
    <cfRule type="iconSet" priority="71">
      <iconSet>
        <cfvo type="percent" val="0"/>
        <cfvo type="num" val="95"/>
        <cfvo type="num" val="100"/>
      </iconSet>
    </cfRule>
    <cfRule type="iconSet" priority="66">
      <iconSet>
        <cfvo type="percent" val="0"/>
        <cfvo type="num" val="95"/>
        <cfvo type="num" val="100"/>
      </iconSet>
    </cfRule>
    <cfRule type="iconSet" priority="65">
      <iconSet>
        <cfvo type="percent" val="0"/>
        <cfvo type="num" val="70"/>
        <cfvo type="num" val="90"/>
      </iconSet>
    </cfRule>
  </conditionalFormatting>
  <conditionalFormatting sqref="I43:I45">
    <cfRule type="iconSet" priority="61">
      <iconSet>
        <cfvo type="percent" val="0"/>
        <cfvo type="num" val="70"/>
        <cfvo type="num" val="90"/>
      </iconSet>
    </cfRule>
    <cfRule type="iconSet" priority="62">
      <iconSet>
        <cfvo type="percent" val="0"/>
        <cfvo type="num" val="95"/>
        <cfvo type="num" val="100"/>
      </iconSet>
    </cfRule>
    <cfRule type="iconSet" priority="54">
      <iconSet>
        <cfvo type="percent" val="0"/>
        <cfvo type="num" val="95"/>
        <cfvo type="num" val="100"/>
      </iconSet>
    </cfRule>
    <cfRule type="iconSet" priority="55">
      <iconSet>
        <cfvo type="percent" val="0"/>
        <cfvo type="num" val="70"/>
        <cfvo type="num" val="90"/>
      </iconSet>
    </cfRule>
    <cfRule type="iconSet" priority="57">
      <iconSet>
        <cfvo type="percent" val="0"/>
        <cfvo type="num" val="95"/>
        <cfvo type="num" val="100"/>
      </iconSet>
    </cfRule>
    <cfRule type="iconSet" priority="58">
      <iconSet>
        <cfvo type="percent" val="0"/>
        <cfvo type="num" val="95"/>
        <cfvo type="num" val="100"/>
      </iconSet>
    </cfRule>
    <cfRule type="iconSet" priority="60">
      <iconSet>
        <cfvo type="percent" val="0"/>
        <cfvo type="num" val="70"/>
        <cfvo type="num" val="90"/>
      </iconSet>
    </cfRule>
    <cfRule type="iconSet" priority="59">
      <iconSet>
        <cfvo type="percent" val="0"/>
        <cfvo type="num" val="95"/>
        <cfvo type="num" val="100"/>
      </iconSet>
    </cfRule>
    <cfRule type="iconSet" priority="56">
      <iconSet>
        <cfvo type="percent" val="0"/>
        <cfvo type="num" val="70"/>
        <cfvo type="num" val="90"/>
      </iconSet>
    </cfRule>
  </conditionalFormatting>
  <conditionalFormatting sqref="I46:I50">
    <cfRule type="iconSet" priority="53">
      <iconSet>
        <cfvo type="percent" val="0"/>
        <cfvo type="num" val="95"/>
        <cfvo type="num" val="100"/>
      </iconSet>
    </cfRule>
    <cfRule type="iconSet" priority="52">
      <iconSet>
        <cfvo type="percent" val="0"/>
        <cfvo type="num" val="70"/>
        <cfvo type="num" val="90"/>
      </iconSet>
    </cfRule>
    <cfRule type="iconSet" priority="51">
      <iconSet>
        <cfvo type="percent" val="0"/>
        <cfvo type="num" val="70"/>
        <cfvo type="num" val="90"/>
      </iconSet>
    </cfRule>
    <cfRule type="iconSet" priority="50">
      <iconSet>
        <cfvo type="percent" val="0"/>
        <cfvo type="num" val="95"/>
        <cfvo type="num" val="100"/>
      </iconSet>
    </cfRule>
    <cfRule type="iconSet" priority="48">
      <iconSet>
        <cfvo type="percent" val="0"/>
        <cfvo type="num" val="95"/>
        <cfvo type="num" val="100"/>
      </iconSet>
    </cfRule>
    <cfRule type="iconSet" priority="47">
      <iconSet>
        <cfvo type="percent" val="0"/>
        <cfvo type="num" val="70"/>
        <cfvo type="num" val="90"/>
      </iconSet>
    </cfRule>
    <cfRule type="iconSet" priority="46">
      <iconSet>
        <cfvo type="percent" val="0"/>
        <cfvo type="num" val="70"/>
        <cfvo type="num" val="90"/>
      </iconSet>
    </cfRule>
    <cfRule type="iconSet" priority="45">
      <iconSet>
        <cfvo type="percent" val="0"/>
        <cfvo type="num" val="95"/>
        <cfvo type="num" val="100"/>
      </iconSet>
    </cfRule>
    <cfRule type="iconSet" priority="49">
      <iconSet>
        <cfvo type="percent" val="0"/>
        <cfvo type="num" val="95"/>
        <cfvo type="num" val="100"/>
      </iconSet>
    </cfRule>
  </conditionalFormatting>
  <conditionalFormatting sqref="I51:I54">
    <cfRule type="iconSet" priority="37">
      <iconSet>
        <cfvo type="percent" val="0"/>
        <cfvo type="num" val="70"/>
        <cfvo type="num" val="90"/>
      </iconSet>
    </cfRule>
    <cfRule type="iconSet" priority="36">
      <iconSet>
        <cfvo type="percent" val="0"/>
        <cfvo type="num" val="95"/>
        <cfvo type="num" val="100"/>
      </iconSet>
    </cfRule>
    <cfRule type="iconSet" priority="44">
      <iconSet>
        <cfvo type="percent" val="0"/>
        <cfvo type="num" val="95"/>
        <cfvo type="num" val="100"/>
      </iconSet>
    </cfRule>
    <cfRule type="iconSet" priority="43">
      <iconSet>
        <cfvo type="percent" val="0"/>
        <cfvo type="num" val="70"/>
        <cfvo type="num" val="90"/>
      </iconSet>
    </cfRule>
    <cfRule type="iconSet" priority="42">
      <iconSet>
        <cfvo type="percent" val="0"/>
        <cfvo type="num" val="70"/>
        <cfvo type="num" val="90"/>
      </iconSet>
    </cfRule>
    <cfRule type="iconSet" priority="41">
      <iconSet>
        <cfvo type="percent" val="0"/>
        <cfvo type="num" val="95"/>
        <cfvo type="num" val="100"/>
      </iconSet>
    </cfRule>
    <cfRule type="iconSet" priority="40">
      <iconSet>
        <cfvo type="percent" val="0"/>
        <cfvo type="num" val="95"/>
        <cfvo type="num" val="100"/>
      </iconSet>
    </cfRule>
    <cfRule type="iconSet" priority="39">
      <iconSet>
        <cfvo type="percent" val="0"/>
        <cfvo type="num" val="95"/>
        <cfvo type="num" val="100"/>
      </iconSet>
    </cfRule>
    <cfRule type="iconSet" priority="38">
      <iconSet>
        <cfvo type="percent" val="0"/>
        <cfvo type="num" val="70"/>
        <cfvo type="num" val="90"/>
      </iconSet>
    </cfRule>
  </conditionalFormatting>
  <conditionalFormatting sqref="I55:I57">
    <cfRule type="iconSet" priority="584">
      <iconSet>
        <cfvo type="percent" val="0"/>
        <cfvo type="num" val="95"/>
        <cfvo type="num" val="100"/>
      </iconSet>
    </cfRule>
    <cfRule type="iconSet" priority="583">
      <iconSet>
        <cfvo type="percent" val="0"/>
        <cfvo type="num" val="70"/>
        <cfvo type="num" val="90"/>
      </iconSet>
    </cfRule>
    <cfRule type="iconSet" priority="582">
      <iconSet>
        <cfvo type="percent" val="0"/>
        <cfvo type="num" val="70"/>
        <cfvo type="num" val="90"/>
      </iconSet>
    </cfRule>
    <cfRule type="iconSet" priority="581">
      <iconSet>
        <cfvo type="percent" val="0"/>
        <cfvo type="num" val="95"/>
        <cfvo type="num" val="100"/>
      </iconSet>
    </cfRule>
    <cfRule type="iconSet" priority="580">
      <iconSet>
        <cfvo type="percent" val="0"/>
        <cfvo type="num" val="95"/>
        <cfvo type="num" val="100"/>
      </iconSet>
    </cfRule>
    <cfRule type="iconSet" priority="579">
      <iconSet>
        <cfvo type="percent" val="0"/>
        <cfvo type="num" val="95"/>
        <cfvo type="num" val="100"/>
      </iconSet>
    </cfRule>
    <cfRule type="iconSet" priority="576">
      <iconSet>
        <cfvo type="percent" val="0"/>
        <cfvo type="num" val="95"/>
        <cfvo type="num" val="100"/>
      </iconSet>
    </cfRule>
    <cfRule type="iconSet" priority="577">
      <iconSet>
        <cfvo type="percent" val="0"/>
        <cfvo type="num" val="70"/>
        <cfvo type="num" val="90"/>
      </iconSet>
    </cfRule>
    <cfRule type="iconSet" priority="578">
      <iconSet>
        <cfvo type="percent" val="0"/>
        <cfvo type="num" val="70"/>
        <cfvo type="num" val="90"/>
      </iconSet>
    </cfRule>
  </conditionalFormatting>
  <conditionalFormatting sqref="I58:I62">
    <cfRule type="iconSet" priority="31">
      <iconSet>
        <cfvo type="percent" val="0"/>
        <cfvo type="num" val="95"/>
        <cfvo type="num" val="100"/>
      </iconSet>
    </cfRule>
    <cfRule type="iconSet" priority="32">
      <iconSet>
        <cfvo type="percent" val="0"/>
        <cfvo type="num" val="95"/>
        <cfvo type="num" val="100"/>
      </iconSet>
    </cfRule>
    <cfRule type="iconSet" priority="33">
      <iconSet>
        <cfvo type="percent" val="0"/>
        <cfvo type="num" val="70"/>
        <cfvo type="num" val="90"/>
      </iconSet>
    </cfRule>
    <cfRule type="iconSet" priority="34">
      <iconSet>
        <cfvo type="percent" val="0"/>
        <cfvo type="num" val="70"/>
        <cfvo type="num" val="90"/>
      </iconSet>
    </cfRule>
    <cfRule type="iconSet" priority="35">
      <iconSet>
        <cfvo type="percent" val="0"/>
        <cfvo type="num" val="95"/>
        <cfvo type="num" val="100"/>
      </iconSet>
    </cfRule>
    <cfRule type="iconSet" priority="27">
      <iconSet>
        <cfvo type="percent" val="0"/>
        <cfvo type="num" val="95"/>
        <cfvo type="num" val="100"/>
      </iconSet>
    </cfRule>
    <cfRule type="iconSet" priority="28">
      <iconSet>
        <cfvo type="percent" val="0"/>
        <cfvo type="num" val="70"/>
        <cfvo type="num" val="90"/>
      </iconSet>
    </cfRule>
    <cfRule type="iconSet" priority="29">
      <iconSet>
        <cfvo type="percent" val="0"/>
        <cfvo type="num" val="70"/>
        <cfvo type="num" val="90"/>
      </iconSet>
    </cfRule>
    <cfRule type="iconSet" priority="30">
      <iconSet>
        <cfvo type="percent" val="0"/>
        <cfvo type="num" val="95"/>
        <cfvo type="num" val="100"/>
      </iconSet>
    </cfRule>
  </conditionalFormatting>
  <conditionalFormatting sqref="I63:I65">
    <cfRule type="iconSet" priority="23">
      <iconSet>
        <cfvo type="percent" val="0"/>
        <cfvo type="num" val="95"/>
        <cfvo type="num" val="100"/>
      </iconSet>
    </cfRule>
    <cfRule type="iconSet" priority="18">
      <iconSet>
        <cfvo type="percent" val="0"/>
        <cfvo type="num" val="95"/>
        <cfvo type="num" val="100"/>
      </iconSet>
    </cfRule>
    <cfRule type="iconSet" priority="19">
      <iconSet>
        <cfvo type="percent" val="0"/>
        <cfvo type="num" val="70"/>
        <cfvo type="num" val="90"/>
      </iconSet>
    </cfRule>
    <cfRule type="iconSet" priority="20">
      <iconSet>
        <cfvo type="percent" val="0"/>
        <cfvo type="num" val="70"/>
        <cfvo type="num" val="90"/>
      </iconSet>
    </cfRule>
    <cfRule type="iconSet" priority="21">
      <iconSet>
        <cfvo type="percent" val="0"/>
        <cfvo type="num" val="95"/>
        <cfvo type="num" val="100"/>
      </iconSet>
    </cfRule>
    <cfRule type="iconSet" priority="22">
      <iconSet>
        <cfvo type="percent" val="0"/>
        <cfvo type="num" val="95"/>
        <cfvo type="num" val="100"/>
      </iconSet>
    </cfRule>
    <cfRule type="iconSet" priority="24">
      <iconSet>
        <cfvo type="percent" val="0"/>
        <cfvo type="num" val="70"/>
        <cfvo type="num" val="90"/>
      </iconSet>
    </cfRule>
    <cfRule type="iconSet" priority="25">
      <iconSet>
        <cfvo type="percent" val="0"/>
        <cfvo type="num" val="70"/>
        <cfvo type="num" val="90"/>
      </iconSet>
    </cfRule>
    <cfRule type="iconSet" priority="26">
      <iconSet>
        <cfvo type="percent" val="0"/>
        <cfvo type="num" val="95"/>
        <cfvo type="num" val="100"/>
      </iconSet>
    </cfRule>
  </conditionalFormatting>
  <conditionalFormatting sqref="I66:I67">
    <cfRule type="iconSet" priority="1166">
      <iconSet>
        <cfvo type="percent" val="0"/>
        <cfvo type="num" val="95"/>
        <cfvo type="num" val="100"/>
      </iconSet>
    </cfRule>
    <cfRule type="iconSet" priority="1167">
      <iconSet>
        <cfvo type="percent" val="0"/>
        <cfvo type="num" val="70"/>
        <cfvo type="num" val="90"/>
      </iconSet>
    </cfRule>
    <cfRule type="iconSet" priority="1168">
      <iconSet>
        <cfvo type="percent" val="0"/>
        <cfvo type="num" val="70"/>
        <cfvo type="num" val="90"/>
      </iconSet>
    </cfRule>
    <cfRule type="iconSet" priority="1169">
      <iconSet>
        <cfvo type="percent" val="0"/>
        <cfvo type="num" val="95"/>
        <cfvo type="num" val="100"/>
      </iconSet>
    </cfRule>
    <cfRule type="iconSet" priority="1170">
      <iconSet>
        <cfvo type="percent" val="0"/>
        <cfvo type="num" val="95"/>
        <cfvo type="num" val="100"/>
      </iconSet>
    </cfRule>
    <cfRule type="iconSet" priority="1171">
      <iconSet>
        <cfvo type="percent" val="0"/>
        <cfvo type="num" val="70"/>
        <cfvo type="num" val="90"/>
      </iconSet>
    </cfRule>
    <cfRule type="iconSet" priority="1172">
      <iconSet>
        <cfvo type="percent" val="0"/>
        <cfvo type="num" val="70"/>
        <cfvo type="num" val="90"/>
      </iconSet>
    </cfRule>
    <cfRule type="iconSet" priority="1173">
      <iconSet>
        <cfvo type="percent" val="0"/>
        <cfvo type="num" val="95"/>
        <cfvo type="num" val="100"/>
      </iconSet>
    </cfRule>
    <cfRule type="iconSet" priority="1174">
      <iconSet>
        <cfvo type="percent" val="0"/>
        <cfvo type="num" val="95"/>
        <cfvo type="num" val="100"/>
      </iconSet>
    </cfRule>
    <cfRule type="iconSet" priority="1175">
      <iconSet>
        <cfvo type="percent" val="0"/>
        <cfvo type="num" val="70"/>
        <cfvo type="num" val="90"/>
      </iconSet>
    </cfRule>
    <cfRule type="iconSet" priority="1176">
      <iconSet>
        <cfvo type="percent" val="0"/>
        <cfvo type="num" val="70"/>
        <cfvo type="num" val="90"/>
      </iconSet>
    </cfRule>
    <cfRule type="iconSet" priority="1177">
      <iconSet>
        <cfvo type="percent" val="0"/>
        <cfvo type="num" val="95"/>
        <cfvo type="num" val="100"/>
      </iconSet>
    </cfRule>
    <cfRule type="iconSet" priority="1160">
      <iconSet>
        <cfvo type="percent" val="0"/>
        <cfvo type="num" val="70"/>
        <cfvo type="num" val="90"/>
      </iconSet>
    </cfRule>
    <cfRule type="iconSet" priority="1150">
      <iconSet>
        <cfvo type="percent" val="0"/>
        <cfvo type="num" val="95"/>
        <cfvo type="num" val="100"/>
      </iconSet>
    </cfRule>
    <cfRule type="iconSet" priority="1151">
      <iconSet>
        <cfvo type="percent" val="0"/>
        <cfvo type="num" val="70"/>
        <cfvo type="num" val="90"/>
      </iconSet>
    </cfRule>
    <cfRule type="iconSet" priority="1152">
      <iconSet>
        <cfvo type="percent" val="0"/>
        <cfvo type="num" val="70"/>
        <cfvo type="num" val="90"/>
      </iconSet>
    </cfRule>
    <cfRule type="iconSet" priority="1153">
      <iconSet>
        <cfvo type="percent" val="0"/>
        <cfvo type="num" val="95"/>
        <cfvo type="num" val="100"/>
      </iconSet>
    </cfRule>
    <cfRule type="iconSet" priority="1154">
      <iconSet>
        <cfvo type="percent" val="0"/>
        <cfvo type="num" val="95"/>
        <cfvo type="num" val="100"/>
      </iconSet>
    </cfRule>
    <cfRule type="iconSet" priority="1155">
      <iconSet>
        <cfvo type="percent" val="0"/>
        <cfvo type="num" val="70"/>
        <cfvo type="num" val="90"/>
      </iconSet>
    </cfRule>
    <cfRule type="iconSet" priority="1156">
      <iconSet>
        <cfvo type="percent" val="0"/>
        <cfvo type="num" val="70"/>
        <cfvo type="num" val="90"/>
      </iconSet>
    </cfRule>
    <cfRule type="iconSet" priority="1157">
      <iconSet>
        <cfvo type="percent" val="0"/>
        <cfvo type="num" val="95"/>
        <cfvo type="num" val="100"/>
      </iconSet>
    </cfRule>
    <cfRule type="iconSet" priority="1158">
      <iconSet>
        <cfvo type="percent" val="0"/>
        <cfvo type="num" val="95"/>
        <cfvo type="num" val="100"/>
      </iconSet>
    </cfRule>
    <cfRule type="iconSet" priority="1159">
      <iconSet>
        <cfvo type="percent" val="0"/>
        <cfvo type="num" val="70"/>
        <cfvo type="num" val="90"/>
      </iconSet>
    </cfRule>
    <cfRule type="iconSet" priority="1161">
      <iconSet>
        <cfvo type="percent" val="0"/>
        <cfvo type="num" val="95"/>
        <cfvo type="num" val="100"/>
      </iconSet>
    </cfRule>
    <cfRule type="iconSet" priority="1162">
      <iconSet>
        <cfvo type="percent" val="0"/>
        <cfvo type="num" val="95"/>
        <cfvo type="num" val="100"/>
      </iconSet>
    </cfRule>
    <cfRule type="iconSet" priority="1163">
      <iconSet>
        <cfvo type="percent" val="0"/>
        <cfvo type="num" val="70"/>
        <cfvo type="num" val="90"/>
      </iconSet>
    </cfRule>
    <cfRule type="iconSet" priority="1164">
      <iconSet>
        <cfvo type="percent" val="0"/>
        <cfvo type="num" val="70"/>
        <cfvo type="num" val="90"/>
      </iconSet>
    </cfRule>
    <cfRule type="iconSet" priority="1165">
      <iconSet>
        <cfvo type="percent" val="0"/>
        <cfvo type="num" val="95"/>
        <cfvo type="num" val="100"/>
      </iconSet>
    </cfRule>
  </conditionalFormatting>
  <conditionalFormatting sqref="I66:I68">
    <cfRule type="iconSet" priority="40682">
      <iconSet>
        <cfvo type="percent" val="0"/>
        <cfvo type="num" val="70"/>
        <cfvo type="num" val="90"/>
      </iconSet>
    </cfRule>
    <cfRule type="iconSet" priority="40683">
      <iconSet>
        <cfvo type="percent" val="0"/>
        <cfvo type="num" val="95"/>
        <cfvo type="num" val="100"/>
      </iconSet>
    </cfRule>
    <cfRule type="iconSet" priority="40688">
      <iconSet>
        <cfvo type="percent" val="0"/>
        <cfvo type="num" val="95"/>
        <cfvo type="num" val="100"/>
      </iconSet>
    </cfRule>
  </conditionalFormatting>
  <conditionalFormatting sqref="I68">
    <cfRule type="iconSet" priority="1129">
      <iconSet>
        <cfvo type="percent" val="0"/>
        <cfvo type="num" val="95"/>
        <cfvo type="num" val="100"/>
      </iconSet>
    </cfRule>
    <cfRule type="iconSet" priority="1130">
      <iconSet>
        <cfvo type="percent" val="0"/>
        <cfvo type="num" val="95"/>
        <cfvo type="num" val="100"/>
      </iconSet>
    </cfRule>
    <cfRule type="iconSet" priority="1131">
      <iconSet>
        <cfvo type="percent" val="0"/>
        <cfvo type="num" val="70"/>
        <cfvo type="num" val="90"/>
      </iconSet>
    </cfRule>
    <cfRule type="iconSet" priority="1132">
      <iconSet>
        <cfvo type="percent" val="0"/>
        <cfvo type="num" val="70"/>
        <cfvo type="num" val="90"/>
      </iconSet>
    </cfRule>
    <cfRule type="iconSet" priority="1133">
      <iconSet>
        <cfvo type="percent" val="0"/>
        <cfvo type="num" val="95"/>
        <cfvo type="num" val="100"/>
      </iconSet>
    </cfRule>
    <cfRule type="iconSet" priority="1134">
      <iconSet>
        <cfvo type="percent" val="0"/>
        <cfvo type="num" val="95"/>
        <cfvo type="num" val="100"/>
      </iconSet>
    </cfRule>
    <cfRule type="iconSet" priority="1135">
      <iconSet>
        <cfvo type="percent" val="0"/>
        <cfvo type="num" val="70"/>
        <cfvo type="num" val="90"/>
      </iconSet>
    </cfRule>
    <cfRule type="iconSet" priority="1136">
      <iconSet>
        <cfvo type="percent" val="0"/>
        <cfvo type="num" val="70"/>
        <cfvo type="num" val="90"/>
      </iconSet>
    </cfRule>
    <cfRule type="iconSet" priority="1137">
      <iconSet>
        <cfvo type="percent" val="0"/>
        <cfvo type="num" val="95"/>
        <cfvo type="num" val="100"/>
      </iconSet>
    </cfRule>
    <cfRule type="iconSet" priority="1139">
      <iconSet>
        <cfvo type="percent" val="0"/>
        <cfvo type="num" val="70"/>
        <cfvo type="num" val="90"/>
      </iconSet>
    </cfRule>
    <cfRule type="iconSet" priority="1140">
      <iconSet>
        <cfvo type="percent" val="0"/>
        <cfvo type="num" val="70"/>
        <cfvo type="num" val="90"/>
      </iconSet>
    </cfRule>
    <cfRule type="iconSet" priority="1141">
      <iconSet>
        <cfvo type="percent" val="0"/>
        <cfvo type="num" val="95"/>
        <cfvo type="num" val="100"/>
      </iconSet>
    </cfRule>
    <cfRule type="iconSet" priority="1142">
      <iconSet>
        <cfvo type="percent" val="0"/>
        <cfvo type="num" val="95"/>
        <cfvo type="num" val="100"/>
      </iconSet>
    </cfRule>
    <cfRule type="iconSet" priority="40686">
      <iconSet>
        <cfvo type="percent" val="0"/>
        <cfvo type="num" val="70"/>
        <cfvo type="num" val="90"/>
      </iconSet>
    </cfRule>
    <cfRule type="iconSet" priority="1149">
      <iconSet>
        <cfvo type="percent" val="0"/>
        <cfvo type="num" val="95"/>
        <cfvo type="num" val="100"/>
      </iconSet>
    </cfRule>
    <cfRule type="iconSet" priority="1148">
      <iconSet>
        <cfvo type="percent" val="0"/>
        <cfvo type="num" val="70"/>
        <cfvo type="num" val="90"/>
      </iconSet>
    </cfRule>
    <cfRule type="iconSet" priority="1147">
      <iconSet>
        <cfvo type="percent" val="0"/>
        <cfvo type="num" val="70"/>
        <cfvo type="num" val="90"/>
      </iconSet>
    </cfRule>
    <cfRule type="iconSet" priority="1146">
      <iconSet>
        <cfvo type="percent" val="0"/>
        <cfvo type="num" val="95"/>
        <cfvo type="num" val="100"/>
      </iconSet>
    </cfRule>
    <cfRule type="iconSet" priority="1145">
      <iconSet>
        <cfvo type="percent" val="0"/>
        <cfvo type="num" val="95"/>
        <cfvo type="num" val="100"/>
      </iconSet>
    </cfRule>
    <cfRule type="iconSet" priority="1144">
      <iconSet>
        <cfvo type="percent" val="0"/>
        <cfvo type="num" val="70"/>
        <cfvo type="num" val="90"/>
      </iconSet>
    </cfRule>
    <cfRule type="iconSet" priority="1138">
      <iconSet>
        <cfvo type="percent" val="0"/>
        <cfvo type="num" val="95"/>
        <cfvo type="num" val="100"/>
      </iconSet>
    </cfRule>
    <cfRule type="iconSet" priority="1143">
      <iconSet>
        <cfvo type="percent" val="0"/>
        <cfvo type="num" val="70"/>
        <cfvo type="num" val="90"/>
      </iconSet>
    </cfRule>
    <cfRule type="iconSet" priority="1122">
      <iconSet>
        <cfvo type="percent" val="0"/>
        <cfvo type="num" val="95"/>
        <cfvo type="num" val="100"/>
      </iconSet>
    </cfRule>
    <cfRule type="iconSet" priority="1123">
      <iconSet>
        <cfvo type="percent" val="0"/>
        <cfvo type="num" val="70"/>
        <cfvo type="num" val="90"/>
      </iconSet>
    </cfRule>
    <cfRule type="iconSet" priority="1124">
      <iconSet>
        <cfvo type="percent" val="0"/>
        <cfvo type="num" val="70"/>
        <cfvo type="num" val="90"/>
      </iconSet>
    </cfRule>
    <cfRule type="iconSet" priority="1125">
      <iconSet>
        <cfvo type="percent" val="0"/>
        <cfvo type="num" val="95"/>
        <cfvo type="num" val="100"/>
      </iconSet>
    </cfRule>
    <cfRule type="iconSet" priority="1126">
      <iconSet>
        <cfvo type="percent" val="0"/>
        <cfvo type="num" val="95"/>
        <cfvo type="num" val="100"/>
      </iconSet>
    </cfRule>
    <cfRule type="iconSet" priority="1127">
      <iconSet>
        <cfvo type="percent" val="0"/>
        <cfvo type="num" val="70"/>
        <cfvo type="num" val="90"/>
      </iconSet>
    </cfRule>
    <cfRule type="iconSet" priority="1128">
      <iconSet>
        <cfvo type="percent" val="0"/>
        <cfvo type="num" val="70"/>
        <cfvo type="num" val="90"/>
      </iconSet>
    </cfRule>
    <cfRule type="iconSet" priority="40687">
      <iconSet>
        <cfvo type="percent" val="0"/>
        <cfvo type="num" val="95"/>
        <cfvo type="num" val="100"/>
      </iconSet>
    </cfRule>
  </conditionalFormatting>
  <conditionalFormatting sqref="V43">
    <cfRule type="iconSet" priority="7">
      <iconSet iconSet="3ArrowsGray" showValue="0">
        <cfvo type="percent" val="0"/>
        <cfvo type="num" val="2"/>
        <cfvo type="num" val="3"/>
      </iconSet>
    </cfRule>
    <cfRule type="iconSet" priority="8">
      <iconSet iconSet="3ArrowsGray" showValue="0">
        <cfvo type="percent" val="0"/>
        <cfvo type="num" val="2"/>
        <cfvo type="num" val="3"/>
      </iconSet>
    </cfRule>
  </conditionalFormatting>
  <conditionalFormatting sqref="V44">
    <cfRule type="iconSet" priority="6">
      <iconSet iconSet="3ArrowsGray" showValue="0">
        <cfvo type="percent" val="0"/>
        <cfvo type="num" val="2"/>
        <cfvo type="num" val="3"/>
      </iconSet>
    </cfRule>
    <cfRule type="iconSet" priority="5">
      <iconSet iconSet="3ArrowsGray" showValue="0">
        <cfvo type="percent" val="0"/>
        <cfvo type="num" val="2"/>
        <cfvo type="num" val="3"/>
      </iconSet>
    </cfRule>
  </conditionalFormatting>
  <dataValidations count="1">
    <dataValidation type="list" allowBlank="1" showInputMessage="1" showErrorMessage="1" sqref="M2" xr:uid="{00000000-0002-0000-0A00-000000000000}">
      <formula1>$M$7:$M$18</formula1>
    </dataValidation>
  </dataValidations>
  <printOptions horizontalCentered="1"/>
  <pageMargins left="0.25" right="0.25" top="0.75" bottom="0.75" header="0.3" footer="0.3"/>
  <pageSetup paperSize="9" fitToWidth="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  <pageSetUpPr fitToPage="1"/>
  </sheetPr>
  <dimension ref="A1:U53"/>
  <sheetViews>
    <sheetView workbookViewId="0"/>
  </sheetViews>
  <sheetFormatPr defaultRowHeight="15"/>
  <cols>
    <col min="1" max="1" width="5.7109375" customWidth="1"/>
    <col min="2" max="2" width="48" customWidth="1"/>
    <col min="3" max="3" width="2.85546875" customWidth="1"/>
    <col min="4" max="4" width="11.5703125" bestFit="1" customWidth="1"/>
    <col min="5" max="5" width="9.140625" customWidth="1"/>
    <col min="6" max="6" width="10.85546875" customWidth="1"/>
    <col min="7" max="8" width="12.7109375" customWidth="1"/>
    <col min="9" max="9" width="12.7109375" style="105" customWidth="1"/>
    <col min="10" max="10" width="12.7109375" customWidth="1"/>
    <col min="11" max="11" width="6.28515625" style="181" customWidth="1"/>
    <col min="12" max="12" width="4.85546875" style="181" bestFit="1" customWidth="1"/>
    <col min="13" max="13" width="11.7109375" customWidth="1"/>
    <col min="18" max="19" width="12.7109375" hidden="1" customWidth="1"/>
    <col min="20" max="20" width="0" hidden="1" customWidth="1"/>
    <col min="21" max="21" width="12.28515625" hidden="1" customWidth="1"/>
  </cols>
  <sheetData>
    <row r="1" spans="1:20" ht="16.5" thickBot="1">
      <c r="A1" s="38"/>
      <c r="B1" s="39" t="s">
        <v>122</v>
      </c>
      <c r="C1" s="38"/>
      <c r="D1" s="38"/>
      <c r="E1" s="38"/>
      <c r="F1" s="40"/>
    </row>
    <row r="2" spans="1:20" ht="16.5" thickBot="1">
      <c r="A2" s="38"/>
      <c r="B2" s="39" t="s">
        <v>252</v>
      </c>
      <c r="C2" s="38"/>
      <c r="D2" s="38"/>
      <c r="E2" s="38"/>
      <c r="F2" s="40"/>
      <c r="M2" s="41" t="s">
        <v>165</v>
      </c>
      <c r="N2" s="137" t="s">
        <v>154</v>
      </c>
    </row>
    <row r="3" spans="1:20" ht="15.75">
      <c r="A3" s="42"/>
      <c r="B3" s="138" t="s">
        <v>7</v>
      </c>
      <c r="C3" s="40"/>
      <c r="D3" s="38"/>
      <c r="E3" s="38"/>
      <c r="F3" s="40"/>
    </row>
    <row r="4" spans="1:20" ht="16.5" customHeight="1">
      <c r="A4" s="743" t="s">
        <v>8</v>
      </c>
      <c r="B4" s="745" t="s">
        <v>9</v>
      </c>
      <c r="C4" s="746"/>
      <c r="D4" s="743" t="s">
        <v>93</v>
      </c>
      <c r="E4" s="743" t="s">
        <v>99</v>
      </c>
      <c r="F4" s="743" t="s">
        <v>255</v>
      </c>
      <c r="G4" s="734" t="str">
        <f>VLOOKUP(M2,M7:N18,2,FALSE)</f>
        <v>S.D. AGUSTUS</v>
      </c>
      <c r="H4" s="735"/>
      <c r="I4" s="735"/>
      <c r="J4" s="736"/>
    </row>
    <row r="5" spans="1:20" ht="19.149999999999999" customHeight="1">
      <c r="A5" s="744"/>
      <c r="B5" s="747"/>
      <c r="C5" s="748"/>
      <c r="D5" s="744"/>
      <c r="E5" s="744"/>
      <c r="F5" s="744"/>
      <c r="G5" s="419" t="s">
        <v>100</v>
      </c>
      <c r="H5" s="417" t="s">
        <v>254</v>
      </c>
      <c r="I5" s="417" t="s">
        <v>102</v>
      </c>
      <c r="J5" s="417" t="s">
        <v>103</v>
      </c>
      <c r="R5" s="417"/>
      <c r="S5" s="417"/>
    </row>
    <row r="6" spans="1:20" ht="15.75">
      <c r="A6" s="420">
        <v>1</v>
      </c>
      <c r="B6" s="393">
        <v>2</v>
      </c>
      <c r="C6" s="228"/>
      <c r="D6" s="420">
        <v>3</v>
      </c>
      <c r="E6" s="420">
        <v>4</v>
      </c>
      <c r="F6" s="420">
        <v>5</v>
      </c>
      <c r="G6" s="394">
        <v>6</v>
      </c>
      <c r="H6" s="452">
        <v>7</v>
      </c>
      <c r="I6" s="452">
        <v>8</v>
      </c>
      <c r="J6" s="417">
        <v>9</v>
      </c>
      <c r="R6" s="417"/>
      <c r="S6" s="417"/>
    </row>
    <row r="7" spans="1:20" ht="20.100000000000001" customHeight="1">
      <c r="A7" s="72" t="str">
        <f>T.UP3!A7</f>
        <v>I</v>
      </c>
      <c r="B7" s="66" t="str">
        <f>T.UP3!B7</f>
        <v>Key Performance Indikator</v>
      </c>
      <c r="C7" s="67"/>
      <c r="D7" s="50"/>
      <c r="E7" s="68" t="e">
        <f>SUM(E8:E15)</f>
        <v>#REF!</v>
      </c>
      <c r="F7" s="68"/>
      <c r="G7" s="68"/>
      <c r="H7" s="68"/>
      <c r="I7" s="68"/>
      <c r="J7" s="102" t="e">
        <f>SUM(J8:J15)</f>
        <v>#REF!</v>
      </c>
      <c r="M7" s="421" t="s">
        <v>94</v>
      </c>
      <c r="N7" s="43" t="s">
        <v>156</v>
      </c>
      <c r="R7" s="102">
        <f>R8+R9+R10</f>
        <v>40.96</v>
      </c>
      <c r="S7" s="102">
        <f>S8+S9+S10</f>
        <v>41.25</v>
      </c>
    </row>
    <row r="8" spans="1:20" ht="21" customHeight="1">
      <c r="A8" s="69">
        <f>T.UP3!A8</f>
        <v>1</v>
      </c>
      <c r="B8" s="74" t="str">
        <f>T.UP3!B8</f>
        <v>Penjualan Tenaga Listrik</v>
      </c>
      <c r="C8" s="75" t="str">
        <f>T.UP3!C8</f>
        <v>ñ</v>
      </c>
      <c r="D8" s="97" t="str">
        <f>T.UP3!D8</f>
        <v>GWh</v>
      </c>
      <c r="E8" s="188">
        <f>IF(OR(H8="N/A",G8="N/A"),0,T.UP3!F8)</f>
        <v>14</v>
      </c>
      <c r="F8" s="98">
        <f>T.UP3!H8</f>
        <v>231.47</v>
      </c>
      <c r="G8" s="90">
        <f>VLOOKUP(B8,T.UP3!$B$4:$T$69,MATCH('PROG. JUNI'!$M$2,T.UP3!$B$5:$T$5,0),FALSE)</f>
        <v>151.71</v>
      </c>
      <c r="H8" s="98">
        <f>VLOOKUP(B8,'R.UP3'!$B$4:$S$54,MATCH('PROG. JUNI'!$M$2,'R.UP3'!$B$5:$S$5,0),FALSE)</f>
        <v>148.05997696200001</v>
      </c>
      <c r="I8" s="157">
        <f>IF(OR(G8="N/A",H8="N/A"),"N/A",IF(AND(G8=0,H8=0),0,H8/G8*100))</f>
        <v>97.594078809570888</v>
      </c>
      <c r="J8" s="103">
        <f>ROUNDDOWN(IF(I8="N/A",0,IF(I8&gt;110,E8*110/100,E8*I8/100)),2)</f>
        <v>13.66</v>
      </c>
      <c r="K8" s="182" t="s">
        <v>157</v>
      </c>
      <c r="L8" s="182"/>
      <c r="M8" s="422" t="s">
        <v>95</v>
      </c>
      <c r="N8" s="44" t="s">
        <v>158</v>
      </c>
      <c r="R8" s="103">
        <v>13.56</v>
      </c>
      <c r="S8" s="103">
        <v>13.53</v>
      </c>
      <c r="T8" s="127">
        <f>R8-S8</f>
        <v>3.0000000000001137E-2</v>
      </c>
    </row>
    <row r="9" spans="1:20" ht="21" customHeight="1">
      <c r="A9" s="69">
        <f>T.UP3!A9</f>
        <v>2</v>
      </c>
      <c r="B9" s="74" t="str">
        <f>T.UP3!B9</f>
        <v>Keandalan Sistem</v>
      </c>
      <c r="C9" s="75"/>
      <c r="D9" s="97"/>
      <c r="E9" s="188">
        <f>IF(OR(H9="N/A",G9="N/A"),0,T.UP3!F9)</f>
        <v>14</v>
      </c>
      <c r="F9" s="98"/>
      <c r="G9" s="90"/>
      <c r="H9" s="98"/>
      <c r="I9" s="157">
        <f>AVERAGE(I10:I12)</f>
        <v>110</v>
      </c>
      <c r="J9" s="103">
        <f>ROUNDDOWN(IF(I9="N/A",0,IF(I9&gt;110,E9*110/100,E9*I9/100)),2)</f>
        <v>15.4</v>
      </c>
      <c r="K9" s="182"/>
      <c r="L9" s="182"/>
      <c r="M9" s="422" t="s">
        <v>96</v>
      </c>
      <c r="N9" s="45" t="s">
        <v>159</v>
      </c>
      <c r="R9" s="103">
        <v>15.4</v>
      </c>
      <c r="S9" s="103">
        <v>15.4</v>
      </c>
      <c r="T9" s="127">
        <f>R9-S9</f>
        <v>0</v>
      </c>
    </row>
    <row r="10" spans="1:20" ht="21" customHeight="1">
      <c r="A10" s="69"/>
      <c r="B10" s="74" t="str">
        <f>T.UP3!B10</f>
        <v>a. SAIDI Sesuai Kewenangannya</v>
      </c>
      <c r="C10" s="75" t="str">
        <f>T.UP3!C10</f>
        <v>ò</v>
      </c>
      <c r="D10" s="97" t="str">
        <f>T.UP3!D10</f>
        <v>Menit/Plg</v>
      </c>
      <c r="E10" s="188"/>
      <c r="F10" s="98">
        <f>T.UP3!H10</f>
        <v>280.67</v>
      </c>
      <c r="G10" s="90">
        <f>VLOOKUP(B10,T.UP3!$B$4:$T$69,MATCH('PROG. JUNI'!$M$2,T.UP3!$B$5:$T$5,0),FALSE)</f>
        <v>187.11</v>
      </c>
      <c r="H10" s="98">
        <f>VLOOKUP(B10,'R.UP3'!$B$4:$S$54,MATCH('PROG. JUNI'!$M$2,'R.UP3'!$B$5:$S$5,0),FALSE)</f>
        <v>149.85371016749113</v>
      </c>
      <c r="I10" s="157">
        <v>110</v>
      </c>
      <c r="J10" s="103"/>
      <c r="K10" s="182" t="s">
        <v>157</v>
      </c>
      <c r="L10" s="182"/>
      <c r="M10" s="422" t="s">
        <v>97</v>
      </c>
      <c r="N10" s="45" t="s">
        <v>160</v>
      </c>
      <c r="O10" s="127"/>
      <c r="R10" s="103">
        <v>12</v>
      </c>
      <c r="S10" s="103">
        <v>12.32</v>
      </c>
      <c r="T10" s="127">
        <f>R10-S10</f>
        <v>-0.32000000000000028</v>
      </c>
    </row>
    <row r="11" spans="1:20" ht="21" customHeight="1">
      <c r="A11" s="69"/>
      <c r="B11" s="74" t="str">
        <f>T.UP3!B11</f>
        <v>b. SAIFI Sesuai Kewenangannya</v>
      </c>
      <c r="C11" s="75" t="str">
        <f>T.UP3!C11</f>
        <v>ò</v>
      </c>
      <c r="D11" s="97" t="str">
        <f>T.UP3!D11</f>
        <v>Kali/Plg</v>
      </c>
      <c r="E11" s="188"/>
      <c r="F11" s="98">
        <f>T.UP3!H11</f>
        <v>2.97</v>
      </c>
      <c r="G11" s="90">
        <f>VLOOKUP(B11,T.UP3!$B$4:$T$69,MATCH('PROG. JUNI'!$M$2,T.UP3!$B$5:$T$5,0),FALSE)</f>
        <v>1.98</v>
      </c>
      <c r="H11" s="98">
        <f>VLOOKUP(B11,'R.UP3'!$B$4:$S$54,MATCH('PROG. JUNI'!$M$2,'R.UP3'!$B$5:$S$5,0),FALSE)</f>
        <v>1.5900798533510785</v>
      </c>
      <c r="I11" s="157">
        <v>110</v>
      </c>
      <c r="J11" s="103"/>
      <c r="K11" s="182" t="s">
        <v>157</v>
      </c>
      <c r="L11" s="182"/>
      <c r="M11" s="422" t="s">
        <v>98</v>
      </c>
      <c r="N11" s="45" t="s">
        <v>161</v>
      </c>
      <c r="O11" s="127"/>
      <c r="R11" s="103"/>
      <c r="S11" s="103"/>
      <c r="T11" s="127"/>
    </row>
    <row r="12" spans="1:20" ht="21" customHeight="1">
      <c r="A12" s="69"/>
      <c r="B12" s="74" t="str">
        <f>T.UP3!B12</f>
        <v>c. ENS</v>
      </c>
      <c r="C12" s="75" t="str">
        <f>T.UP3!C12</f>
        <v>ò</v>
      </c>
      <c r="D12" s="97" t="str">
        <f>T.UP3!D12</f>
        <v>MWh</v>
      </c>
      <c r="E12" s="188"/>
      <c r="F12" s="98">
        <f>T.UP3!H12</f>
        <v>107.87</v>
      </c>
      <c r="G12" s="90">
        <f>VLOOKUP(B12,T.UP3!$B$4:$T$69,MATCH('PROG. JUNI'!$M$2,T.UP3!$B$5:$T$5,0),FALSE)</f>
        <v>71.91</v>
      </c>
      <c r="H12" s="98">
        <f>VLOOKUP(B12,'R.UP3'!$B$4:$S$54,MATCH('PROG. JUNI'!$M$2,'R.UP3'!$B$5:$S$5,0),FALSE)</f>
        <v>46.248000000000005</v>
      </c>
      <c r="I12" s="261">
        <v>110</v>
      </c>
      <c r="J12" s="103"/>
      <c r="K12" s="182" t="s">
        <v>157</v>
      </c>
      <c r="L12" s="182"/>
      <c r="M12" s="395" t="s">
        <v>153</v>
      </c>
      <c r="N12" s="45" t="s">
        <v>162</v>
      </c>
      <c r="O12" s="127"/>
      <c r="R12" s="103"/>
      <c r="S12" s="103"/>
      <c r="T12" s="127"/>
    </row>
    <row r="13" spans="1:20" ht="21" customHeight="1">
      <c r="A13" s="69" t="e">
        <f>T.UP3!#REF!</f>
        <v>#REF!</v>
      </c>
      <c r="B13" s="74" t="e">
        <f>T.UP3!#REF!</f>
        <v>#REF!</v>
      </c>
      <c r="C13" s="75"/>
      <c r="D13" s="97"/>
      <c r="E13" s="188" t="e">
        <f>IF(OR(H13="N/A",G13="N/A"),0,T.UP3!#REF!)</f>
        <v>#REF!</v>
      </c>
      <c r="F13" s="98"/>
      <c r="G13" s="90"/>
      <c r="H13" s="253"/>
      <c r="I13" s="157">
        <f>AVERAGE(I14:I15)</f>
        <v>101.29790940766551</v>
      </c>
      <c r="J13" s="103" t="e">
        <f>ROUNDDOWN(IF(I13="N/A",0,IF(I13&gt;110,E13*110/100,E13*I13/100)),2)</f>
        <v>#REF!</v>
      </c>
      <c r="K13" s="182"/>
      <c r="L13" s="182"/>
      <c r="M13" s="422" t="s">
        <v>163</v>
      </c>
      <c r="N13" s="46" t="s">
        <v>164</v>
      </c>
      <c r="O13" s="127"/>
      <c r="R13" s="103"/>
      <c r="S13" s="103"/>
      <c r="T13" s="127"/>
    </row>
    <row r="14" spans="1:20" ht="21" customHeight="1">
      <c r="A14" s="69"/>
      <c r="B14" s="74" t="str">
        <f>T.UP3!B16</f>
        <v>c. Penyelesaian Ganti Meter</v>
      </c>
      <c r="C14" s="75" t="str">
        <f>T.UP3!C16</f>
        <v>ñ</v>
      </c>
      <c r="D14" s="97" t="str">
        <f>T.UP3!D16</f>
        <v>Unit</v>
      </c>
      <c r="E14" s="188"/>
      <c r="F14" s="98">
        <f>T.UP3!H16</f>
        <v>4727</v>
      </c>
      <c r="G14" s="90">
        <f>VLOOKUP(B14,T.UP3!$B$4:$T$69,MATCH('PROG. JUNI'!$M$2,T.UP3!$B$5:$T$5,0),FALSE)</f>
        <v>3444</v>
      </c>
      <c r="H14" s="98">
        <f>VLOOKUP(B14,'R.UP3'!$B$4:$S$54,MATCH('PROG. JUNI'!$M$2,'R.UP3'!$B$5:$S$5,0),FALSE)</f>
        <v>3699</v>
      </c>
      <c r="I14" s="157">
        <f>IF(OR(G14="N/A",H14="N/A"),"N/A",IF(AND(G14=0,H14=0),0,(2-H14/G14)*100))</f>
        <v>92.595818815331015</v>
      </c>
      <c r="J14" s="103"/>
      <c r="K14" s="182" t="s">
        <v>157</v>
      </c>
      <c r="L14" s="182"/>
      <c r="M14" s="422" t="s">
        <v>165</v>
      </c>
      <c r="N14" s="45" t="s">
        <v>166</v>
      </c>
      <c r="O14" s="127"/>
      <c r="R14" s="103"/>
      <c r="S14" s="103"/>
      <c r="T14" s="127"/>
    </row>
    <row r="15" spans="1:20" ht="21" customHeight="1">
      <c r="A15" s="69"/>
      <c r="B15" s="74" t="e">
        <f>T.UP3!#REF!</f>
        <v>#REF!</v>
      </c>
      <c r="C15" s="75" t="e">
        <f>T.UP3!#REF!</f>
        <v>#REF!</v>
      </c>
      <c r="D15" s="97" t="e">
        <f>T.UP3!#REF!</f>
        <v>#REF!</v>
      </c>
      <c r="E15" s="188"/>
      <c r="F15" s="101" t="e">
        <f>T.UP3!#REF!</f>
        <v>#REF!</v>
      </c>
      <c r="G15" s="91" t="e">
        <f>VLOOKUP(B15,T.UP3!$B$4:$T$69,MATCH('PROG. JUNI'!$M$2,T.UP3!$B$5:$T$5,0),FALSE)</f>
        <v>#REF!</v>
      </c>
      <c r="H15" s="101" t="e">
        <f>VLOOKUP(B15,'R.UP3'!$B$4:$S$54,MATCH('PROG. JUNI'!$M$2,'R.UP3'!$B$5:$S$5,0),FALSE)</f>
        <v>#REF!</v>
      </c>
      <c r="I15" s="261">
        <v>110</v>
      </c>
      <c r="J15" s="103"/>
      <c r="K15" s="182" t="s">
        <v>157</v>
      </c>
      <c r="L15" s="182"/>
      <c r="M15" s="421" t="s">
        <v>167</v>
      </c>
      <c r="N15" s="43" t="s">
        <v>168</v>
      </c>
      <c r="O15" s="127"/>
      <c r="R15" s="103"/>
      <c r="S15" s="103"/>
      <c r="T15" s="127"/>
    </row>
    <row r="16" spans="1:20" ht="24.6" customHeight="1">
      <c r="A16" s="72" t="str">
        <f>T.UP3!A17</f>
        <v>II</v>
      </c>
      <c r="B16" s="71" t="str">
        <f>T.UP3!B17</f>
        <v>Perfomance Indicators</v>
      </c>
      <c r="C16" s="67"/>
      <c r="D16" s="50"/>
      <c r="E16" s="72" t="e">
        <f>SUM(E17:E49)</f>
        <v>#REF!</v>
      </c>
      <c r="F16" s="72"/>
      <c r="G16" s="72"/>
      <c r="H16" s="72"/>
      <c r="I16" s="72"/>
      <c r="J16" s="242" t="e">
        <f>SUM(J17:J49)</f>
        <v>#REF!</v>
      </c>
      <c r="K16" s="182"/>
      <c r="L16" s="182"/>
      <c r="M16" s="422" t="s">
        <v>169</v>
      </c>
      <c r="N16" s="45" t="s">
        <v>170</v>
      </c>
      <c r="R16" s="242">
        <f>SUM(R17:R47)</f>
        <v>57.650000000000013</v>
      </c>
      <c r="S16" s="242">
        <f>SUM(S17:S47)</f>
        <v>62.33</v>
      </c>
    </row>
    <row r="17" spans="1:21" ht="20.100000000000001" customHeight="1">
      <c r="A17" s="69" t="e">
        <f>T.UP3!#REF!</f>
        <v>#REF!</v>
      </c>
      <c r="B17" s="153" t="e">
        <f>T.UP3!#REF!</f>
        <v>#REF!</v>
      </c>
      <c r="C17" s="75"/>
      <c r="D17" s="97"/>
      <c r="E17" s="188">
        <f>IF(OR(H17="N/A",G17="N/A"),0,T.UP3!F18)</f>
        <v>6</v>
      </c>
      <c r="F17" s="143"/>
      <c r="G17" s="173"/>
      <c r="H17" s="173"/>
      <c r="I17" s="157">
        <f>AVERAGE(I18:I21)</f>
        <v>107.5</v>
      </c>
      <c r="J17" s="103">
        <f>ROUNDDOWN(IF(I17="N/A",0,IF(I17&gt;110,E17*110/100,E17*I17/100)),2)</f>
        <v>6.45</v>
      </c>
      <c r="K17" s="182"/>
      <c r="L17" s="182"/>
      <c r="M17" s="422" t="s">
        <v>171</v>
      </c>
      <c r="N17" s="45" t="s">
        <v>172</v>
      </c>
      <c r="R17" s="103">
        <v>5.95</v>
      </c>
      <c r="S17" s="103">
        <v>5.96</v>
      </c>
      <c r="T17" s="127">
        <f>R17-S17</f>
        <v>-9.9999999999997868E-3</v>
      </c>
    </row>
    <row r="18" spans="1:21" ht="16.5">
      <c r="A18" s="69">
        <f>T.UP3!A18</f>
        <v>4</v>
      </c>
      <c r="B18" s="153" t="str">
        <f>T.UP3!B18</f>
        <v>Keandalan Jaringan Distribusi</v>
      </c>
      <c r="C18" s="75" t="str">
        <f>T.UP3!C19</f>
        <v>ò</v>
      </c>
      <c r="D18" s="97" t="str">
        <f>T.UP3!D19</f>
        <v>Kali</v>
      </c>
      <c r="E18" s="188"/>
      <c r="F18" s="98">
        <f>T.UP3!H19</f>
        <v>166</v>
      </c>
      <c r="G18" s="90">
        <f>VLOOKUP(B18,T.UP3!$B$4:$T$69,MATCH('PROG. JUNI'!$M$2,T.UP3!$B$5:$T$5,0),FALSE)</f>
        <v>0</v>
      </c>
      <c r="H18" s="98">
        <f>VLOOKUP(B18,'R.UP3'!$B$4:$S$54,MATCH('PROG. JUNI'!$M$2,'R.UP3'!$B$5:$S$5,0),FALSE)</f>
        <v>0</v>
      </c>
      <c r="I18" s="157">
        <v>110</v>
      </c>
      <c r="J18" s="103"/>
      <c r="K18" s="182" t="s">
        <v>157</v>
      </c>
      <c r="L18" s="182"/>
      <c r="M18" s="423" t="s">
        <v>174</v>
      </c>
      <c r="N18" s="45" t="s">
        <v>175</v>
      </c>
      <c r="R18" s="103">
        <v>6.42</v>
      </c>
      <c r="S18" s="103">
        <v>6.56</v>
      </c>
      <c r="T18" s="127">
        <f>R18-S18</f>
        <v>-0.13999999999999968</v>
      </c>
    </row>
    <row r="19" spans="1:21" ht="16.5">
      <c r="A19" s="69">
        <f>T.UP3!A19</f>
        <v>0</v>
      </c>
      <c r="B19" s="153" t="str">
        <f>T.UP3!B19</f>
        <v>a. Gangguan TM &gt; 5 Menit</v>
      </c>
      <c r="C19" s="75" t="str">
        <f>T.UP3!C20</f>
        <v>ò</v>
      </c>
      <c r="D19" s="97" t="str">
        <f>T.UP3!D20</f>
        <v>Kali</v>
      </c>
      <c r="E19" s="188"/>
      <c r="F19" s="98">
        <f>T.UP3!H20</f>
        <v>191</v>
      </c>
      <c r="G19" s="90">
        <f>VLOOKUP(B19,T.UP3!$B$4:$T$69,MATCH('PROG. JUNI'!$M$2,T.UP3!$B$5:$T$5,0),FALSE)</f>
        <v>119</v>
      </c>
      <c r="H19" s="98">
        <f>VLOOKUP(B19,'R.UP3'!$B$4:$S$54,MATCH('PROG. JUNI'!$M$2,'R.UP3'!$B$5:$S$5,0),FALSE)</f>
        <v>87</v>
      </c>
      <c r="I19" s="157">
        <v>110</v>
      </c>
      <c r="J19" s="103"/>
      <c r="K19" s="182" t="s">
        <v>157</v>
      </c>
      <c r="L19" s="182"/>
      <c r="R19" s="103">
        <v>6.22</v>
      </c>
      <c r="S19" s="103">
        <v>6.22</v>
      </c>
      <c r="T19" s="127">
        <f>R19-S19</f>
        <v>0</v>
      </c>
    </row>
    <row r="20" spans="1:21" ht="16.5">
      <c r="A20" s="69">
        <f>T.UP3!A20</f>
        <v>0</v>
      </c>
      <c r="B20" s="153" t="str">
        <f>T.UP3!B20</f>
        <v>b. Gangguan TM ≤ 5 Menit</v>
      </c>
      <c r="C20" s="75" t="str">
        <f>T.UP3!C21</f>
        <v>ò</v>
      </c>
      <c r="D20" s="97" t="str">
        <f>T.UP3!D21</f>
        <v>Unit</v>
      </c>
      <c r="E20" s="188"/>
      <c r="F20" s="98">
        <f>T.UP3!H21</f>
        <v>5</v>
      </c>
      <c r="G20" s="90">
        <f>VLOOKUP(B20,T.UP3!$B$4:$T$69,MATCH('PROG. JUNI'!$M$2,T.UP3!$B$5:$T$5,0),FALSE)</f>
        <v>128</v>
      </c>
      <c r="H20" s="98">
        <f>VLOOKUP(B20,'R.UP3'!$B$4:$S$54,MATCH('PROG. JUNI'!$M$2,'R.UP3'!$B$5:$S$5,0),FALSE)</f>
        <v>96</v>
      </c>
      <c r="I20" s="157">
        <v>110</v>
      </c>
      <c r="J20" s="190"/>
      <c r="K20" s="182" t="s">
        <v>157</v>
      </c>
      <c r="R20" s="190"/>
      <c r="S20" s="190"/>
    </row>
    <row r="21" spans="1:21" ht="19.149999999999999" customHeight="1">
      <c r="A21" s="69">
        <f>T.UP3!A21</f>
        <v>0</v>
      </c>
      <c r="B21" s="153" t="str">
        <f>T.UP3!B21</f>
        <v>c. Kerusakan Peralatan Distribusi (PHB TM dan Trafo) Sesuai Kewenangan</v>
      </c>
      <c r="C21" s="75">
        <f>T.UP3!C22</f>
        <v>0</v>
      </c>
      <c r="D21" s="97">
        <f>T.UP3!D22</f>
        <v>0</v>
      </c>
      <c r="E21" s="188"/>
      <c r="F21" s="101">
        <f>T.UP3!H22</f>
        <v>0</v>
      </c>
      <c r="G21" s="91">
        <f>VLOOKUP(B21,T.UP3!$B$4:$T$69,MATCH('PROG. JUNI'!$M$2,T.UP3!$B$5:$T$5,0),FALSE)</f>
        <v>5</v>
      </c>
      <c r="H21" s="101">
        <f>VLOOKUP(B21,'R.UP3'!$B$4:$S$54,MATCH('PROG. JUNI'!$M$2,'R.UP3'!$B$5:$S$5,0),FALSE)</f>
        <v>3</v>
      </c>
      <c r="I21" s="157">
        <v>100</v>
      </c>
      <c r="J21" s="103"/>
      <c r="K21" s="182" t="s">
        <v>157</v>
      </c>
      <c r="L21" s="182"/>
      <c r="R21" s="103">
        <v>4.4000000000000004</v>
      </c>
      <c r="S21" s="103">
        <v>4.4000000000000004</v>
      </c>
      <c r="T21" s="127">
        <f>R21-S21</f>
        <v>0</v>
      </c>
    </row>
    <row r="22" spans="1:21" ht="20.100000000000001" customHeight="1">
      <c r="A22" s="69">
        <f>T.UP3!A22</f>
        <v>5</v>
      </c>
      <c r="B22" s="153" t="str">
        <f>T.UP3!B22</f>
        <v>Peningkatan Layanan</v>
      </c>
      <c r="C22" s="75"/>
      <c r="D22" s="97"/>
      <c r="E22" s="188">
        <f>IF(OR(H22="N/A",G22="N/A"),0,T.UP3!F24)</f>
        <v>0</v>
      </c>
      <c r="F22" s="143"/>
      <c r="G22" s="98"/>
      <c r="H22" s="90"/>
      <c r="I22" s="157">
        <f>AVERAGE(I23:I26)</f>
        <v>116.4320873163076</v>
      </c>
      <c r="J22" s="103">
        <f>ROUNDDOWN(IF(I22="N/A",0,IF(I22&gt;110,E22*110/100,E22*I22/100)),2)</f>
        <v>0</v>
      </c>
      <c r="K22" s="182"/>
      <c r="L22" s="182">
        <f>E22-J22</f>
        <v>0</v>
      </c>
      <c r="R22" s="103">
        <v>4.4000000000000004</v>
      </c>
      <c r="S22" s="103">
        <v>4.4000000000000004</v>
      </c>
      <c r="T22" s="127">
        <f>R22-S22</f>
        <v>0</v>
      </c>
    </row>
    <row r="23" spans="1:21" ht="16.5">
      <c r="A23" s="69">
        <f>T.UP3!A24</f>
        <v>0</v>
      </c>
      <c r="B23" s="153" t="str">
        <f>T.UP3!B24</f>
        <v>b. Pengaduan Gangguan Berulang pada PLN Mobile</v>
      </c>
      <c r="C23" s="75" t="str">
        <f>T.UP3!C25</f>
        <v>ñ</v>
      </c>
      <c r="D23" s="97" t="str">
        <f>T.UP3!D25</f>
        <v>Rating</v>
      </c>
      <c r="E23" s="188"/>
      <c r="F23" s="98">
        <f>T.UP3!H25</f>
        <v>4.9000000000000004</v>
      </c>
      <c r="G23" s="90">
        <f>VLOOKUP(B23,T.UP3!$B$4:$T$69,MATCH('PROG. JUNI'!$M$2,T.UP3!$B$5:$T$5,0),FALSE)</f>
        <v>0.04</v>
      </c>
      <c r="H23" s="98">
        <f>VLOOKUP(B23,'R.UP3'!$B$4:$S$54,MATCH('PROG. JUNI'!$M$2,'R.UP3'!$B$5:$S$5,0),FALSE)</f>
        <v>0</v>
      </c>
      <c r="I23" s="157">
        <f>IF(OR(G23="N/A",H23="N/A"),"N/A",IF(AND(G23=0,H23=0),0,(2-H23/G23)*100))</f>
        <v>200</v>
      </c>
      <c r="J23" s="103"/>
      <c r="K23" s="182" t="s">
        <v>157</v>
      </c>
      <c r="L23" s="182"/>
      <c r="R23" s="103">
        <v>0</v>
      </c>
      <c r="S23" s="103">
        <v>2.2000000000000002</v>
      </c>
      <c r="T23" s="127">
        <f>R23-S23</f>
        <v>-2.2000000000000002</v>
      </c>
    </row>
    <row r="24" spans="1:21" ht="16.5">
      <c r="A24" s="69">
        <f>T.UP3!A25</f>
        <v>0</v>
      </c>
      <c r="B24" s="153" t="str">
        <f>T.UP3!B25</f>
        <v>c. Rating PLN Mobile</v>
      </c>
      <c r="C24" s="75" t="e">
        <f>T.UP3!#REF!</f>
        <v>#REF!</v>
      </c>
      <c r="D24" s="97" t="e">
        <f>T.UP3!#REF!</f>
        <v>#REF!</v>
      </c>
      <c r="E24" s="188"/>
      <c r="F24" s="98" t="e">
        <f>T.UP3!#REF!</f>
        <v>#REF!</v>
      </c>
      <c r="G24" s="90">
        <f>VLOOKUP(B24,T.UP3!$B$4:$T$69,MATCH('PROG. JUNI'!$M$2,T.UP3!$B$5:$T$5,0),FALSE)</f>
        <v>4.9000000000000004</v>
      </c>
      <c r="H24" s="98">
        <f>VLOOKUP(B24,'R.UP3'!$B$4:$S$54,MATCH('PROG. JUNI'!$M$2,'R.UP3'!$B$5:$S$5,0),FALSE)</f>
        <v>4.9000000000000004</v>
      </c>
      <c r="I24" s="157">
        <f>IF(OR(G24="N/A",H24="N/A"),"N/A",IF(AND(G24=0,H24=0),0,(2-H24/G24)*100))</f>
        <v>100</v>
      </c>
      <c r="J24" s="103"/>
      <c r="K24" s="182" t="s">
        <v>157</v>
      </c>
      <c r="L24" s="182"/>
      <c r="R24" s="103"/>
      <c r="S24" s="103"/>
    </row>
    <row r="25" spans="1:21" ht="31.5">
      <c r="A25" s="69">
        <f>T.UP3!A26</f>
        <v>0</v>
      </c>
      <c r="B25" s="153" t="str">
        <f>T.UP3!B26</f>
        <v>d. Jumlah Kali Transaksi Keuangan melalui PLN Mobile</v>
      </c>
      <c r="C25" s="75" t="str">
        <f>T.UP3!C26</f>
        <v>ñ</v>
      </c>
      <c r="D25" s="97" t="str">
        <f>T.UP3!D26</f>
        <v>Kali Transaksi</v>
      </c>
      <c r="E25" s="188"/>
      <c r="F25" s="98">
        <f>T.UP3!H26</f>
        <v>62908</v>
      </c>
      <c r="G25" s="90">
        <f>VLOOKUP(B25,T.UP3!$B$4:$T$69,MATCH('PROG. JUNI'!$M$2,T.UP3!$B$5:$T$5,0),FALSE)</f>
        <v>42054</v>
      </c>
      <c r="H25" s="98">
        <f>VLOOKUP(B25,'R.UP3'!$B$4:$S$54,MATCH('PROG. JUNI'!$M$2,'R.UP3'!$B$5:$S$5,0),FALSE)</f>
        <v>60672</v>
      </c>
      <c r="I25" s="157">
        <f>IF(OR(G25="N/A",H25="N/A"),"N/A",IF(AND(G25=0,H25=0),0,(2-H25/G25)*100))</f>
        <v>55.728349265230428</v>
      </c>
      <c r="J25" s="103"/>
      <c r="K25" s="182" t="s">
        <v>157</v>
      </c>
      <c r="L25" s="182"/>
      <c r="R25" s="103">
        <v>3.3</v>
      </c>
      <c r="S25" s="103">
        <v>3.3</v>
      </c>
      <c r="T25" s="127">
        <f t="shared" ref="T25:T30" si="0">R25-S25</f>
        <v>0</v>
      </c>
    </row>
    <row r="26" spans="1:21" ht="20.100000000000001" customHeight="1">
      <c r="A26" s="69">
        <f>T.UP3!A30</f>
        <v>7</v>
      </c>
      <c r="B26" s="153" t="str">
        <f>T.UP3!B30</f>
        <v>Sistem Recovery :</v>
      </c>
      <c r="C26" s="75" t="e">
        <f>T.UP3!#REF!</f>
        <v>#REF!</v>
      </c>
      <c r="D26" s="97" t="e">
        <f>T.UP3!#REF!</f>
        <v>#REF!</v>
      </c>
      <c r="E26" s="188"/>
      <c r="F26" s="98" t="e">
        <f>T.UP3!#REF!</f>
        <v>#REF!</v>
      </c>
      <c r="G26" s="90">
        <f>VLOOKUP(B26,T.UP3!$B$4:$T$69,MATCH('PROG. JUNI'!$M$2,T.UP3!$B$5:$T$5,0),FALSE)</f>
        <v>0</v>
      </c>
      <c r="H26" s="98">
        <f>VLOOKUP(B26,'R.UP3'!$B$4:$S$54,MATCH('PROG. JUNI'!$M$2,'R.UP3'!$B$5:$S$5,0),FALSE)</f>
        <v>0</v>
      </c>
      <c r="I26" s="157">
        <v>110</v>
      </c>
      <c r="J26" s="103"/>
      <c r="R26" s="103">
        <v>3.3</v>
      </c>
      <c r="S26" s="103">
        <v>3.3</v>
      </c>
      <c r="T26" s="127">
        <f t="shared" si="0"/>
        <v>0</v>
      </c>
    </row>
    <row r="27" spans="1:21" ht="16.5">
      <c r="A27" s="69">
        <f>T.UP3!A31</f>
        <v>0</v>
      </c>
      <c r="B27" s="153" t="str">
        <f>T.UP3!B31</f>
        <v>a. Recovery Time Gangguan Meluas TM</v>
      </c>
      <c r="C27" s="75" t="str">
        <f>T.UP3!C37</f>
        <v>ñ</v>
      </c>
      <c r="D27" s="254" t="str">
        <f>T.UP3!D37</f>
        <v>Pelanggan</v>
      </c>
      <c r="E27" s="188">
        <f>IF(OR(H27="N/A",G27="N/A"),0,T.UP3!F37)</f>
        <v>2</v>
      </c>
      <c r="F27" s="101">
        <f>T.UP3!H37</f>
        <v>10632</v>
      </c>
      <c r="G27" s="91">
        <f>VLOOKUP(B27,T.UP3!$B$4:$T$69,MATCH('PROG. JUNI'!$M$2,T.UP3!$B$5:$T$5,0),FALSE)</f>
        <v>100</v>
      </c>
      <c r="H27" s="98">
        <f>VLOOKUP(B27,'R.UP3'!$B$4:$S$54,MATCH('PROG. JUNI'!$M$2,'R.UP3'!$B$5:$S$5,0),FALSE)</f>
        <v>110</v>
      </c>
      <c r="I27" s="157">
        <f>IF(OR(G27="N/A",H27="N/A"),"N/A",IF(AND(G27=0,H27=0),0,H27/G27*100))</f>
        <v>110.00000000000001</v>
      </c>
      <c r="J27" s="103">
        <f>ROUNDDOWN(IF(I27="N/A",0,IF(I27&gt;110,E27*110/100,E27*I27/100)),2)</f>
        <v>2.2000000000000002</v>
      </c>
      <c r="K27" s="181" t="s">
        <v>157</v>
      </c>
      <c r="L27" s="182"/>
      <c r="R27" s="103">
        <v>4.5</v>
      </c>
      <c r="S27" s="103">
        <v>4.5</v>
      </c>
      <c r="T27" s="127">
        <f t="shared" si="0"/>
        <v>0</v>
      </c>
    </row>
    <row r="28" spans="1:21" ht="16.5">
      <c r="A28" s="69">
        <f>T.UP3!A32</f>
        <v>0</v>
      </c>
      <c r="B28" s="153" t="str">
        <f>T.UP3!B32</f>
        <v>b. Penormalan Siaga 1 Gangguan TM</v>
      </c>
      <c r="C28" s="75"/>
      <c r="D28" s="97"/>
      <c r="E28" s="188">
        <f>IF(OR(H28="N/A",G28="N/A"),0,T.UP3!F40)</f>
        <v>1.5</v>
      </c>
      <c r="F28" s="143"/>
      <c r="G28" s="98"/>
      <c r="H28" s="98"/>
      <c r="I28" s="157">
        <f>AVERAGE(I29:I32)</f>
        <v>102.90983606557377</v>
      </c>
      <c r="J28" s="103">
        <f>ROUNDDOWN(IF(I28="N/A",0,IF(I28&gt;110,E28*110/100,E28*I28/100)),2)</f>
        <v>1.54</v>
      </c>
      <c r="K28" s="182"/>
      <c r="L28" s="182">
        <f>E28-J28</f>
        <v>-4.0000000000000036E-2</v>
      </c>
      <c r="R28" s="103">
        <v>1.97</v>
      </c>
      <c r="S28" s="103">
        <v>1.97</v>
      </c>
      <c r="T28" s="127">
        <f t="shared" si="0"/>
        <v>0</v>
      </c>
    </row>
    <row r="29" spans="1:21" ht="16.5">
      <c r="A29" s="69">
        <f>T.UP3!A33</f>
        <v>8</v>
      </c>
      <c r="B29" s="153" t="str">
        <f>T.UP3!B33</f>
        <v>Digitalisasi Aplikasi Korporat</v>
      </c>
      <c r="C29" s="75" t="str">
        <f>T.UP3!C41</f>
        <v>ñ</v>
      </c>
      <c r="D29" s="97" t="str">
        <f>T.UP3!D41</f>
        <v>KWh</v>
      </c>
      <c r="E29" s="188"/>
      <c r="F29" s="98">
        <f>T.UP3!H41</f>
        <v>58950.990000000005</v>
      </c>
      <c r="G29" s="90">
        <f>VLOOKUP(B29,T.UP3!$B$4:$T$69,MATCH('PROG. JUNI'!$M$2,T.UP3!$B$5:$T$5,0),FALSE)</f>
        <v>0</v>
      </c>
      <c r="H29" s="98">
        <f>VLOOKUP(B29,'R.UP3'!$B$4:$S$54,MATCH('PROG. JUNI'!$M$2,'R.UP3'!$B$5:$S$5,0),FALSE)</f>
        <v>0</v>
      </c>
      <c r="I29" s="157">
        <v>110</v>
      </c>
      <c r="J29" s="103"/>
      <c r="K29" s="182" t="s">
        <v>157</v>
      </c>
      <c r="L29" s="182"/>
      <c r="R29" s="103">
        <v>1.61</v>
      </c>
      <c r="S29" s="103">
        <v>1.61</v>
      </c>
      <c r="T29" s="127">
        <f t="shared" si="0"/>
        <v>0</v>
      </c>
    </row>
    <row r="30" spans="1:21" ht="20.100000000000001" customHeight="1">
      <c r="A30" s="69">
        <f>T.UP3!A36</f>
        <v>0</v>
      </c>
      <c r="B30" s="153" t="str">
        <f>T.UP3!B36</f>
        <v>a. Penambahan Daya Tersambung</v>
      </c>
      <c r="C30" s="75">
        <f>T.UP3!C42</f>
        <v>0</v>
      </c>
      <c r="D30" s="97">
        <f>T.UP3!D42</f>
        <v>0</v>
      </c>
      <c r="E30" s="188"/>
      <c r="F30" s="98">
        <f>T.UP3!H42</f>
        <v>0</v>
      </c>
      <c r="G30" s="90">
        <f>VLOOKUP(B30,T.UP3!$B$4:$T$69,MATCH('PROG. JUNI'!$M$2,T.UP3!$B$5:$T$5,0),FALSE)</f>
        <v>7.62</v>
      </c>
      <c r="H30" s="98">
        <f>VLOOKUP(B30,'R.UP3'!$B$4:$S$54,MATCH('PROG. JUNI'!$M$2,'R.UP3'!$B$5:$S$5,0),FALSE)</f>
        <v>4.2161333333333335</v>
      </c>
      <c r="I30" s="157">
        <v>100</v>
      </c>
      <c r="J30" s="103"/>
      <c r="K30" s="182" t="s">
        <v>157</v>
      </c>
      <c r="L30" s="182"/>
      <c r="N30" s="127"/>
      <c r="R30" s="103">
        <v>1.77</v>
      </c>
      <c r="S30" s="103">
        <v>1.91</v>
      </c>
      <c r="T30" s="127">
        <f t="shared" si="0"/>
        <v>-0.1399999999999999</v>
      </c>
      <c r="U30" s="244"/>
    </row>
    <row r="31" spans="1:21" ht="16.5">
      <c r="A31" s="69">
        <f>T.UP3!A37</f>
        <v>0</v>
      </c>
      <c r="B31" s="153" t="str">
        <f>T.UP3!B37</f>
        <v>b. Penambahan Jumlah Pelanggan</v>
      </c>
      <c r="C31" s="75" t="str">
        <f>T.UP3!C43</f>
        <v>ñ</v>
      </c>
      <c r="D31" s="97" t="str">
        <f>T.UP3!D43</f>
        <v>Pelanggan</v>
      </c>
      <c r="E31" s="188"/>
      <c r="F31" s="98">
        <f>T.UP3!H43</f>
        <v>4728</v>
      </c>
      <c r="G31" s="90">
        <f>VLOOKUP(B31,T.UP3!$B$4:$T$69,MATCH('PROG. JUNI'!$M$2,T.UP3!$B$5:$T$5,0),FALSE)</f>
        <v>6645</v>
      </c>
      <c r="H31" s="98">
        <f>VLOOKUP(B31,'R.UP3'!$B$4:$S$54,MATCH('PROG. JUNI'!$M$2,'R.UP3'!$B$5:$S$5,0),FALSE)</f>
        <v>3293</v>
      </c>
      <c r="I31" s="157">
        <v>100</v>
      </c>
      <c r="J31" s="103"/>
      <c r="K31" s="182" t="s">
        <v>157</v>
      </c>
      <c r="L31" s="182"/>
      <c r="R31" s="103"/>
      <c r="S31" s="103"/>
    </row>
    <row r="32" spans="1:21" ht="20.100000000000001" customHeight="1">
      <c r="A32" s="69">
        <f>T.UP3!A38</f>
        <v>0</v>
      </c>
      <c r="B32" s="153" t="str">
        <f>T.UP3!B38</f>
        <v>c. Jumlah Penambahan Pelanggan Produk Tematik</v>
      </c>
      <c r="C32" s="75" t="e">
        <f>T.UP3!#REF!</f>
        <v>#REF!</v>
      </c>
      <c r="D32" s="97" t="e">
        <f>T.UP3!#REF!</f>
        <v>#REF!</v>
      </c>
      <c r="E32" s="188"/>
      <c r="F32" s="101" t="e">
        <f>T.UP3!#REF!</f>
        <v>#REF!</v>
      </c>
      <c r="G32" s="91">
        <f>VLOOKUP(B32,T.UP3!$B$4:$T$69,MATCH('PROG. JUNI'!$M$2,T.UP3!$B$5:$T$5,0),FALSE)</f>
        <v>732</v>
      </c>
      <c r="H32" s="101">
        <f>VLOOKUP(B32,'R.UP3'!$B$4:$S$54,MATCH('PROG. JUNI'!$M$2,'R.UP3'!$B$5:$S$5,0),FALSE)</f>
        <v>744</v>
      </c>
      <c r="I32" s="157">
        <f>IF(OR(G32="N/A",H32="N/A"),"N/A",IF(AND(G32=0,H32=0),0,H32/G32*100))</f>
        <v>101.63934426229508</v>
      </c>
      <c r="J32" s="103"/>
      <c r="K32" s="182" t="s">
        <v>157</v>
      </c>
      <c r="L32" s="182"/>
      <c r="R32" s="103">
        <v>4.4000000000000004</v>
      </c>
      <c r="S32" s="103">
        <v>4.4000000000000004</v>
      </c>
      <c r="T32" s="127">
        <f>R32-S32</f>
        <v>0</v>
      </c>
    </row>
    <row r="33" spans="1:20" ht="20.100000000000001" customHeight="1">
      <c r="A33" s="69">
        <f>T.UP3!A40</f>
        <v>0</v>
      </c>
      <c r="B33" s="153" t="str">
        <f>T.UP3!B40</f>
        <v>e. Penambahan Jumlah Pelanggan Rumah Tangga Lisdes</v>
      </c>
      <c r="C33" s="75" t="str">
        <f>T.UP3!C46</f>
        <v>ò</v>
      </c>
      <c r="D33" s="97" t="str">
        <f>T.UP3!D46</f>
        <v>Rp. Juta</v>
      </c>
      <c r="E33" s="188">
        <f>IF(OR(H33="N/A",G33="N/A"),0,T.UP3!F46)</f>
        <v>0</v>
      </c>
      <c r="F33" s="98">
        <f>T.UP3!H46</f>
        <v>1175</v>
      </c>
      <c r="G33" s="90">
        <f>VLOOKUP(B33,T.UP3!$B$4:$T$69,MATCH('PROG. JUNI'!$M$2,T.UP3!$B$5:$T$5,0),FALSE)</f>
        <v>61</v>
      </c>
      <c r="H33" s="98">
        <f>VLOOKUP(B33,'R.UP3'!$B$4:$S$54,MATCH('PROG. JUNI'!$M$2,'R.UP3'!$B$5:$S$5,0),FALSE)</f>
        <v>159</v>
      </c>
      <c r="I33" s="157">
        <f>IF(OR(G33="N/A",H33="N/A"),"N/A",IF(AND(G33=0,H33=0),0,H33/G33*100))</f>
        <v>260.65573770491801</v>
      </c>
      <c r="J33" s="103">
        <f>ROUNDDOWN(IF(I33="N/A",0,IF(I33&gt;110,E33*110/100,E33*I33/100)),2)</f>
        <v>0</v>
      </c>
      <c r="K33" s="181" t="s">
        <v>157</v>
      </c>
      <c r="R33" s="94"/>
      <c r="S33" s="94"/>
    </row>
    <row r="34" spans="1:20" ht="20.100000000000001" customHeight="1">
      <c r="A34" s="69">
        <f>T.UP3!A41</f>
        <v>0</v>
      </c>
      <c r="B34" s="153" t="str">
        <f>T.UP3!B41</f>
        <v>f. Peningkatan kWh Penjualan dari Pelanggan Rumah Tangga Lisdes</v>
      </c>
      <c r="C34" s="75"/>
      <c r="D34" s="97"/>
      <c r="E34" s="188">
        <f>IF(OR(H34="N/A",G34="N/A"),0,T.UP3!F50)</f>
        <v>0</v>
      </c>
      <c r="F34" s="143"/>
      <c r="G34" s="98"/>
      <c r="H34" s="98"/>
      <c r="I34" s="157">
        <f>AVERAGE(I35:I37)</f>
        <v>106.66666666666667</v>
      </c>
      <c r="J34" s="103">
        <f>ROUNDDOWN(IF(I34="N/A",0,IF(I34&gt;110,E34*110/100,E34*I34/100)),2)</f>
        <v>0</v>
      </c>
      <c r="K34" s="182"/>
      <c r="R34" s="103">
        <v>0.81</v>
      </c>
      <c r="S34" s="103">
        <v>1.1000000000000001</v>
      </c>
      <c r="T34" s="127">
        <f t="shared" ref="T34:T39" si="1">R34-S34</f>
        <v>-0.29000000000000004</v>
      </c>
    </row>
    <row r="35" spans="1:20" ht="16.5">
      <c r="A35" s="69">
        <f>T.UP3!A42</f>
        <v>10</v>
      </c>
      <c r="B35" s="153" t="str">
        <f>T.UP3!B42</f>
        <v>Pengelolaan Pembacaan Meter</v>
      </c>
      <c r="C35" s="75" t="e">
        <f>T.UP3!#REF!</f>
        <v>#REF!</v>
      </c>
      <c r="D35" s="97" t="e">
        <f>T.UP3!#REF!</f>
        <v>#REF!</v>
      </c>
      <c r="E35" s="188"/>
      <c r="F35" s="98" t="e">
        <f>T.UP3!#REF!</f>
        <v>#REF!</v>
      </c>
      <c r="G35" s="90">
        <f>VLOOKUP(B35,T.UP3!$B$4:$T$69,MATCH('PROG. JUNI'!$M$2,T.UP3!$B$5:$T$5,0),FALSE)</f>
        <v>0</v>
      </c>
      <c r="H35" s="98">
        <f>VLOOKUP(B35,'R.UP3'!$B$4:$S$54,MATCH('PROG. JUNI'!$M$2,'R.UP3'!$B$5:$S$5,0),FALSE)</f>
        <v>0</v>
      </c>
      <c r="I35" s="157">
        <v>110</v>
      </c>
      <c r="J35" s="103"/>
      <c r="K35" s="182" t="s">
        <v>157</v>
      </c>
      <c r="L35" s="182"/>
      <c r="R35" s="103">
        <v>1.1000000000000001</v>
      </c>
      <c r="S35" s="103">
        <v>1.1000000000000001</v>
      </c>
      <c r="T35" s="127">
        <f t="shared" si="1"/>
        <v>0</v>
      </c>
    </row>
    <row r="36" spans="1:20" ht="20.100000000000001" customHeight="1">
      <c r="A36" s="69">
        <f>T.UP3!A43</f>
        <v>0</v>
      </c>
      <c r="B36" s="153" t="str">
        <f>T.UP3!B43</f>
        <v>a. Jumlah Pengguna Swa Cam</v>
      </c>
      <c r="C36" s="75" t="e">
        <f>T.UP3!#REF!</f>
        <v>#REF!</v>
      </c>
      <c r="D36" s="97" t="e">
        <f>T.UP3!#REF!</f>
        <v>#REF!</v>
      </c>
      <c r="E36" s="188"/>
      <c r="F36" s="98" t="e">
        <f>T.UP3!#REF!</f>
        <v>#REF!</v>
      </c>
      <c r="G36" s="90">
        <f>VLOOKUP(B36,T.UP3!$B$4:$T$69,MATCH('PROG. JUNI'!$M$2,T.UP3!$B$5:$T$5,0),FALSE)</f>
        <v>4728</v>
      </c>
      <c r="H36" s="98">
        <f>VLOOKUP(B36,'R.UP3'!$B$4:$S$54,MATCH('PROG. JUNI'!$M$2,'R.UP3'!$B$5:$S$5,0),FALSE)</f>
        <v>5376</v>
      </c>
      <c r="I36" s="157">
        <v>110</v>
      </c>
      <c r="J36" s="103"/>
      <c r="K36" s="182" t="s">
        <v>157</v>
      </c>
      <c r="L36" s="182"/>
      <c r="R36" s="103">
        <v>1.1000000000000001</v>
      </c>
      <c r="S36" s="103">
        <v>1.1000000000000001</v>
      </c>
      <c r="T36" s="127">
        <f t="shared" si="1"/>
        <v>0</v>
      </c>
    </row>
    <row r="37" spans="1:20" ht="20.100000000000001" customHeight="1">
      <c r="A37" s="69">
        <f>T.UP3!A46</f>
        <v>0</v>
      </c>
      <c r="B37" s="153" t="str">
        <f>T.UP3!B46</f>
        <v>a. Pencapaian Rata-Rata Saldo Tanggal 20 diluar Konsumen Instansi (Kementerian &amp; Lembaga)</v>
      </c>
      <c r="C37" s="75" t="e">
        <f>T.UP3!#REF!</f>
        <v>#REF!</v>
      </c>
      <c r="D37" s="97" t="e">
        <f>T.UP3!#REF!</f>
        <v>#REF!</v>
      </c>
      <c r="E37" s="188"/>
      <c r="F37" s="98" t="e">
        <f>T.UP3!#REF!</f>
        <v>#REF!</v>
      </c>
      <c r="G37" s="90">
        <f>VLOOKUP(B37,T.UP3!$B$4:$T$69,MATCH('PROG. JUNI'!$M$2,T.UP3!$B$5:$T$5,0),FALSE)</f>
        <v>1175</v>
      </c>
      <c r="H37" s="98">
        <v>671.6888488106141</v>
      </c>
      <c r="I37" s="261">
        <v>100</v>
      </c>
      <c r="J37" s="103"/>
      <c r="K37" s="182" t="s">
        <v>157</v>
      </c>
      <c r="L37" s="182"/>
      <c r="R37" s="103">
        <v>2.2000000000000002</v>
      </c>
      <c r="S37" s="103">
        <v>2.2000000000000002</v>
      </c>
      <c r="T37" s="127">
        <f t="shared" si="1"/>
        <v>0</v>
      </c>
    </row>
    <row r="38" spans="1:20" ht="16.5">
      <c r="A38" s="69" t="e">
        <f>T.UP3!#REF!</f>
        <v>#REF!</v>
      </c>
      <c r="B38" s="153" t="e">
        <f>T.UP3!#REF!</f>
        <v>#REF!</v>
      </c>
      <c r="C38" s="75" t="str">
        <f>T.UP3!C51</f>
        <v>ñ</v>
      </c>
      <c r="D38" s="97" t="str">
        <f>T.UP3!D51</f>
        <v>Rp. Milyar</v>
      </c>
      <c r="E38" s="188" t="e">
        <f>IF(OR(H38="N/A",G38="N/A"),0,T.UP3!F51)</f>
        <v>#REF!</v>
      </c>
      <c r="F38" s="143">
        <f>T.UP3!H51</f>
        <v>3.16</v>
      </c>
      <c r="G38" s="90" t="e">
        <f>VLOOKUP(B38,T.UP3!$B$4:$T$69,MATCH('PROG. JUNI'!$M$2,T.UP3!$B$5:$T$5,0),FALSE)</f>
        <v>#REF!</v>
      </c>
      <c r="H38" s="98">
        <v>69</v>
      </c>
      <c r="I38" s="157" t="e">
        <f>IF(OR(G38="N/A",H38="N/A"),"N/A",IF(AND(G38=0,H38=0),0,H38/100*100))</f>
        <v>#REF!</v>
      </c>
      <c r="J38" s="103" t="e">
        <f>ROUNDDOWN(IF(I38="N/A",0,IF(I38&gt;110,E38*110/100,E38*I38/100)),2)</f>
        <v>#REF!</v>
      </c>
      <c r="K38" s="182"/>
      <c r="L38" s="182"/>
      <c r="R38" s="103">
        <v>2.2000000000000002</v>
      </c>
      <c r="S38" s="103">
        <v>2.2000000000000002</v>
      </c>
      <c r="T38" s="127">
        <f t="shared" si="1"/>
        <v>0</v>
      </c>
    </row>
    <row r="39" spans="1:20" ht="20.100000000000001" customHeight="1">
      <c r="A39" s="69">
        <f>T.UP3!A47</f>
        <v>0</v>
      </c>
      <c r="B39" s="153" t="str">
        <f>T.UP3!B47</f>
        <v>b. Pencapaian Saldo Rata-Rata Akhir Bulan diluar Konsumen Instansi (Kementerian &amp; Lembaga)</v>
      </c>
      <c r="C39" s="75" t="e">
        <f>T.UP3!#REF!</f>
        <v>#REF!</v>
      </c>
      <c r="D39" s="97" t="e">
        <f>T.UP3!#REF!</f>
        <v>#REF!</v>
      </c>
      <c r="E39" s="188" t="e">
        <f>IF(OR(H39="N/A",G39="N/A"),0,T.UP3!#REF!)</f>
        <v>#REF!</v>
      </c>
      <c r="F39" s="98" t="e">
        <f>T.UP3!#REF!</f>
        <v>#REF!</v>
      </c>
      <c r="G39" s="90">
        <f>VLOOKUP(B39,T.UP3!$B$4:$T$69,MATCH('PROG. JUNI'!$M$2,T.UP3!$B$5:$T$5,0),FALSE)</f>
        <v>286.27</v>
      </c>
      <c r="H39" s="98">
        <f>VLOOKUP(B39,'R.UP3'!$B$4:$S$54,MATCH('PROG. JUNI'!$M$2,'R.UP3'!$B$5:$S$5,0),FALSE)</f>
        <v>356.950721875</v>
      </c>
      <c r="I39" s="261">
        <v>110</v>
      </c>
      <c r="J39" s="103" t="e">
        <f>ROUNDDOWN(IF(I39="N/A",0,IF(I39&gt;110,E39*110/100,E39*I39/100)),2)</f>
        <v>#REF!</v>
      </c>
      <c r="K39" s="182" t="s">
        <v>157</v>
      </c>
      <c r="L39" s="182"/>
      <c r="R39" s="103">
        <v>2</v>
      </c>
      <c r="S39" s="103">
        <v>2</v>
      </c>
      <c r="T39" s="127">
        <f t="shared" si="1"/>
        <v>0</v>
      </c>
    </row>
    <row r="40" spans="1:20" ht="16.5">
      <c r="A40" s="69">
        <f>T.UP3!A48</f>
        <v>0</v>
      </c>
      <c r="B40" s="153" t="str">
        <f>T.UP3!B48</f>
        <v>c. Pencapaian Pelunasan PRR</v>
      </c>
      <c r="C40" s="75" t="str">
        <f>T.UP3!C52</f>
        <v>ñ</v>
      </c>
      <c r="D40" s="97" t="str">
        <f>T.UP3!D52</f>
        <v>Rp. Milyar</v>
      </c>
      <c r="E40" s="188">
        <f>IF(OR(H40="N/A",G40="N/A"),0,T.UP3!F52)</f>
        <v>0</v>
      </c>
      <c r="F40" s="98">
        <f>T.UP3!H52</f>
        <v>34.29</v>
      </c>
      <c r="G40" s="90">
        <f>VLOOKUP(B40,T.UP3!$B$4:$T$69,MATCH('PROG. JUNI'!$M$2,T.UP3!$B$5:$T$5,0),FALSE)</f>
        <v>5.59</v>
      </c>
      <c r="H40" s="98">
        <v>100</v>
      </c>
      <c r="I40" s="261">
        <f>IF(OR(G40="N/A",H40="N/A"),"N/A",IF(AND(G40=0,H40=0),0,H40/G40*100))</f>
        <v>1788.9087656529518</v>
      </c>
      <c r="J40" s="103">
        <f>ROUNDDOWN(IF(I40="N/A",0,IF(I40&gt;110,E40*110/100,E40*I40/100)),2)</f>
        <v>0</v>
      </c>
      <c r="K40" s="182" t="s">
        <v>157</v>
      </c>
      <c r="L40" s="182"/>
      <c r="R40" s="103"/>
      <c r="S40" s="103"/>
    </row>
    <row r="41" spans="1:20" ht="16.5">
      <c r="A41" s="69">
        <f>T.UP3!A49</f>
        <v>12</v>
      </c>
      <c r="B41" s="153" t="str">
        <f>T.UP3!B49</f>
        <v>Pengendalian  Anggaran</v>
      </c>
      <c r="C41" s="75" t="str">
        <f>T.UP3!C54</f>
        <v>ñ</v>
      </c>
      <c r="D41" s="97" t="str">
        <f>T.UP3!D54</f>
        <v>%</v>
      </c>
      <c r="E41" s="188">
        <f>IF(OR(H41="N/A",G41="N/A"),0,T.UP3!F54)</f>
        <v>0</v>
      </c>
      <c r="F41" s="98">
        <f>T.UP3!H54</f>
        <v>100</v>
      </c>
      <c r="G41" s="90">
        <v>4.05</v>
      </c>
      <c r="H41" s="98">
        <v>3.3</v>
      </c>
      <c r="I41" s="157">
        <f>IF(OR(G41="N/A",H41="N/A"),"N/A",IF(AND(G41=0,H41=0),0,H41/G41*100))</f>
        <v>81.481481481481481</v>
      </c>
      <c r="J41" s="103">
        <f>ROUNDDOWN(IF(I41="N/A",0,IF(I41&gt;110,E41*110/100,E41*I41/100)),2)</f>
        <v>0</v>
      </c>
      <c r="K41" s="182" t="s">
        <v>157</v>
      </c>
      <c r="L41" s="182"/>
      <c r="R41" s="103">
        <v>0</v>
      </c>
      <c r="S41" s="103">
        <v>0.9</v>
      </c>
      <c r="T41" s="127">
        <f>R41-S41</f>
        <v>-0.9</v>
      </c>
    </row>
    <row r="42" spans="1:20" ht="20.100000000000001" customHeight="1">
      <c r="A42" s="69">
        <f>T.UP3!A50</f>
        <v>0</v>
      </c>
      <c r="B42" s="153" t="str">
        <f>T.UP3!B50</f>
        <v>a. Pengendalian Penggunaan Anggaran Investasi sesuai RKAP</v>
      </c>
      <c r="C42" s="75"/>
      <c r="D42" s="97"/>
      <c r="E42" s="188"/>
      <c r="F42" s="143"/>
      <c r="G42" s="98"/>
      <c r="H42" s="98"/>
      <c r="I42" s="157"/>
      <c r="J42" s="103"/>
      <c r="K42" s="182"/>
      <c r="L42" s="182"/>
      <c r="R42" s="103">
        <v>0</v>
      </c>
      <c r="S42" s="103">
        <v>1</v>
      </c>
      <c r="T42" s="127">
        <f>R42-S42</f>
        <v>-1</v>
      </c>
    </row>
    <row r="43" spans="1:20" ht="20.100000000000001" customHeight="1">
      <c r="A43" s="69">
        <f>T.UP3!A51</f>
        <v>0</v>
      </c>
      <c r="B43" s="153" t="str">
        <f>T.UP3!B51</f>
        <v>b. Usulan Penghapusan ATTB</v>
      </c>
      <c r="C43" s="75" t="str">
        <f>T.UP3!C57</f>
        <v>ñ</v>
      </c>
      <c r="D43" s="97" t="str">
        <f>T.UP3!D57</f>
        <v>%</v>
      </c>
      <c r="E43" s="188">
        <v>2</v>
      </c>
      <c r="F43" s="98">
        <f>T.UP3!H57</f>
        <v>100</v>
      </c>
      <c r="G43" s="90">
        <f>VLOOKUP(B43,T.UP3!$B$4:$T$69,MATCH('PROG. JUNI'!$M$2,T.UP3!$B$5:$T$5,0),FALSE)</f>
        <v>0</v>
      </c>
      <c r="H43" s="98">
        <f>VLOOKUP(B43,'R.UP3'!$B$4:$S$54,MATCH('PROG. JUNI'!$M$2,'R.UP3'!$B$5:$S$5,0),FALSE)</f>
        <v>0</v>
      </c>
      <c r="I43" s="157">
        <f>IF(OR(G43="N/A",H43="N/A"),"N/A",IF(AND(G43=0,H43=0),0,H43/G43*100))</f>
        <v>0</v>
      </c>
      <c r="J43" s="103">
        <f>ROUNDDOWN(IF(I43="N/A",0,IF(I43&gt;110,E43*110/100,E43*I43/100)),2)</f>
        <v>0</v>
      </c>
      <c r="K43" s="182" t="s">
        <v>157</v>
      </c>
      <c r="L43" s="182"/>
      <c r="R43" s="103"/>
      <c r="S43" s="103"/>
    </row>
    <row r="44" spans="1:20" ht="20.100000000000001" customHeight="1">
      <c r="A44" s="69">
        <f>T.UP3!A52</f>
        <v>0</v>
      </c>
      <c r="B44" s="153" t="str">
        <f>T.UP3!B58</f>
        <v>Perbaikan Proses Bisnis dan Keberlanjutan</v>
      </c>
      <c r="C44" s="75">
        <f>T.UP3!C58</f>
        <v>0</v>
      </c>
      <c r="D44" s="97">
        <f>T.UP3!D58</f>
        <v>0</v>
      </c>
      <c r="E44" s="188">
        <v>2</v>
      </c>
      <c r="F44" s="98">
        <f>T.UP3!H58</f>
        <v>0</v>
      </c>
      <c r="G44" s="90">
        <v>100</v>
      </c>
      <c r="H44" s="98">
        <v>100</v>
      </c>
      <c r="I44" s="261">
        <f>IF(OR(G44="N/A",H44="N/A"),"N/A",IF(AND(G44=0,H44=0),0,H44/G44*100))</f>
        <v>100</v>
      </c>
      <c r="J44" s="103">
        <f>ROUNDDOWN(IF(I44="N/A",0,IF(I44&gt;110,E44*110/100,E44*I44/100)),2)</f>
        <v>2</v>
      </c>
      <c r="K44" s="182" t="s">
        <v>157</v>
      </c>
      <c r="L44" s="182"/>
      <c r="R44" s="103"/>
      <c r="S44" s="103"/>
    </row>
    <row r="45" spans="1:20" ht="16.5">
      <c r="A45" s="69">
        <f>T.UP3!A53</f>
        <v>13</v>
      </c>
      <c r="B45" s="153" t="str">
        <f>T.UP3!B60</f>
        <v>b. Maturity Level Gudang</v>
      </c>
      <c r="C45" s="75"/>
      <c r="D45" s="97"/>
      <c r="E45" s="188"/>
      <c r="F45" s="143"/>
      <c r="G45" s="98"/>
      <c r="H45" s="90"/>
      <c r="I45" s="99"/>
      <c r="J45" s="103"/>
      <c r="K45" s="182"/>
      <c r="L45" s="182"/>
      <c r="R45" s="103"/>
      <c r="S45" s="103"/>
    </row>
    <row r="46" spans="1:20" ht="16.5">
      <c r="A46" s="69">
        <f>T.UP3!A54</f>
        <v>0</v>
      </c>
      <c r="B46" s="153" t="str">
        <f>T.UP3!B61</f>
        <v>c. Maturity Level Sustainbility</v>
      </c>
      <c r="C46" s="75"/>
      <c r="D46" s="97" t="str">
        <f>T.UP3!D61</f>
        <v>%</v>
      </c>
      <c r="E46" s="188"/>
      <c r="F46" s="143"/>
      <c r="G46" s="98"/>
      <c r="H46" s="98"/>
      <c r="I46" s="99"/>
      <c r="J46" s="103"/>
      <c r="K46" s="182"/>
      <c r="L46" s="182"/>
      <c r="R46" s="103"/>
      <c r="S46" s="103"/>
    </row>
    <row r="47" spans="1:20" ht="20.100000000000001" customHeight="1">
      <c r="A47" s="69">
        <f>T.UP3!A55</f>
        <v>0</v>
      </c>
      <c r="B47" s="153" t="str">
        <f>T.UP3!B62</f>
        <v>d. Implementasi Roadmap Perbaikan Penerapan Manajemen Risiko dan Pencapaian Perlakuan Risiko</v>
      </c>
      <c r="C47" s="75"/>
      <c r="D47" s="97" t="str">
        <f>T.UP3!D62</f>
        <v>%</v>
      </c>
      <c r="E47" s="188"/>
      <c r="F47" s="143"/>
      <c r="G47" s="98"/>
      <c r="H47" s="98"/>
      <c r="I47" s="162"/>
      <c r="J47" s="103"/>
      <c r="K47" s="182"/>
      <c r="L47" s="182"/>
      <c r="R47" s="103"/>
      <c r="S47" s="103"/>
    </row>
    <row r="48" spans="1:20" ht="31.5">
      <c r="A48" s="69">
        <f>T.UP3!A56</f>
        <v>0</v>
      </c>
      <c r="B48" s="153" t="str">
        <f>T.UP3!B66</f>
        <v>c. Ketepatan penyampaian pelaporan dan
Akurasi Data Kinerja</v>
      </c>
      <c r="C48" s="75"/>
      <c r="D48" s="97">
        <f>T.UP3!D66</f>
        <v>0</v>
      </c>
      <c r="E48" s="188"/>
      <c r="F48" s="143"/>
      <c r="G48" s="255"/>
      <c r="H48" s="255"/>
      <c r="I48" s="256"/>
      <c r="J48" s="103"/>
      <c r="K48" s="182"/>
      <c r="L48" s="182"/>
      <c r="R48" s="103"/>
      <c r="S48" s="103"/>
    </row>
    <row r="49" spans="1:19" ht="20.100000000000001" customHeight="1">
      <c r="A49" s="69">
        <f>T.UP3!A57</f>
        <v>0</v>
      </c>
      <c r="B49" s="153" t="str">
        <f>T.UP3!B68</f>
        <v>e. Pencapaian Beyond RKAP</v>
      </c>
      <c r="C49" s="75"/>
      <c r="D49" s="97">
        <f>T.UP3!D68</f>
        <v>0</v>
      </c>
      <c r="E49" s="188"/>
      <c r="F49" s="143"/>
      <c r="G49" s="255"/>
      <c r="H49" s="255"/>
      <c r="I49" s="256"/>
      <c r="J49" s="103"/>
      <c r="K49" s="182"/>
      <c r="L49" s="182"/>
      <c r="R49" s="103"/>
      <c r="S49" s="103"/>
    </row>
    <row r="50" spans="1:19" ht="15.75">
      <c r="A50" s="70"/>
      <c r="B50" s="80" t="s">
        <v>104</v>
      </c>
      <c r="C50" s="128"/>
      <c r="D50" s="81"/>
      <c r="E50" s="82" t="e">
        <f>E7+E16</f>
        <v>#REF!</v>
      </c>
      <c r="F50" s="82"/>
      <c r="G50" s="82"/>
      <c r="H50" s="82"/>
      <c r="I50" s="82"/>
      <c r="J50" s="104" t="e">
        <f>J7+J16</f>
        <v>#REF!</v>
      </c>
      <c r="R50" s="104">
        <v>98.610000000000014</v>
      </c>
      <c r="S50" s="104">
        <v>103.58</v>
      </c>
    </row>
    <row r="51" spans="1:19" ht="15.75">
      <c r="A51" s="73"/>
      <c r="B51" s="83" t="s">
        <v>105</v>
      </c>
      <c r="C51" s="84"/>
      <c r="D51" s="85"/>
      <c r="E51" s="86">
        <v>100</v>
      </c>
      <c r="F51" s="86"/>
      <c r="G51" s="86"/>
      <c r="H51" s="86"/>
      <c r="I51" s="86"/>
      <c r="J51" s="146" t="e">
        <f>E51/E50*J50</f>
        <v>#REF!</v>
      </c>
      <c r="R51" s="146">
        <v>102.71875000000003</v>
      </c>
      <c r="S51" s="146">
        <v>103.58</v>
      </c>
    </row>
    <row r="53" spans="1:19">
      <c r="A53" s="742" t="s">
        <v>256</v>
      </c>
      <c r="B53" s="742"/>
      <c r="C53" s="742"/>
      <c r="D53" s="742"/>
      <c r="E53" s="742"/>
      <c r="F53" s="742"/>
      <c r="G53" s="742"/>
      <c r="H53" s="742"/>
      <c r="I53" s="742"/>
      <c r="J53" s="742"/>
    </row>
  </sheetData>
  <mergeCells count="7">
    <mergeCell ref="A53:J53"/>
    <mergeCell ref="A4:A5"/>
    <mergeCell ref="B4:C5"/>
    <mergeCell ref="D4:D5"/>
    <mergeCell ref="E4:E5"/>
    <mergeCell ref="F4:F5"/>
    <mergeCell ref="G4:J4"/>
  </mergeCells>
  <conditionalFormatting sqref="C8:C15">
    <cfRule type="iconSet" priority="332">
      <iconSet iconSet="3ArrowsGray" showValue="0">
        <cfvo type="percent" val="0"/>
        <cfvo type="num" val="2"/>
        <cfvo type="num" val="3"/>
      </iconSet>
    </cfRule>
  </conditionalFormatting>
  <conditionalFormatting sqref="C17:C49">
    <cfRule type="iconSet" priority="334">
      <iconSet iconSet="3ArrowsGray" showValue="0">
        <cfvo type="percent" val="0"/>
        <cfvo type="num" val="2"/>
        <cfvo type="num" val="3"/>
      </iconSet>
    </cfRule>
  </conditionalFormatting>
  <conditionalFormatting sqref="I8">
    <cfRule type="iconSet" priority="263">
      <iconSet>
        <cfvo type="percent" val="0"/>
        <cfvo type="num" val="70"/>
        <cfvo type="num" val="90"/>
      </iconSet>
    </cfRule>
    <cfRule type="iconSet" priority="264">
      <iconSet>
        <cfvo type="percent" val="0"/>
        <cfvo type="num" val="70"/>
        <cfvo type="num" val="90"/>
      </iconSet>
    </cfRule>
    <cfRule type="iconSet" priority="262">
      <iconSet>
        <cfvo type="percent" val="0"/>
        <cfvo type="num" val="95"/>
        <cfvo type="num" val="100"/>
      </iconSet>
    </cfRule>
    <cfRule type="iconSet" priority="270">
      <iconSet>
        <cfvo type="percent" val="0"/>
        <cfvo type="num" val="95"/>
        <cfvo type="num" val="100"/>
      </iconSet>
    </cfRule>
    <cfRule type="iconSet" priority="269">
      <iconSet>
        <cfvo type="percent" val="0"/>
        <cfvo type="num" val="70"/>
        <cfvo type="num" val="90"/>
      </iconSet>
    </cfRule>
    <cfRule type="iconSet" priority="268">
      <iconSet>
        <cfvo type="percent" val="0"/>
        <cfvo type="num" val="70"/>
        <cfvo type="num" val="90"/>
      </iconSet>
    </cfRule>
    <cfRule type="iconSet" priority="267">
      <iconSet>
        <cfvo type="percent" val="0"/>
        <cfvo type="num" val="95"/>
        <cfvo type="num" val="100"/>
      </iconSet>
    </cfRule>
    <cfRule type="iconSet" priority="266">
      <iconSet>
        <cfvo type="percent" val="0"/>
        <cfvo type="num" val="95"/>
        <cfvo type="num" val="100"/>
      </iconSet>
    </cfRule>
    <cfRule type="iconSet" priority="265">
      <iconSet>
        <cfvo type="percent" val="0"/>
        <cfvo type="num" val="95"/>
        <cfvo type="num" val="100"/>
      </iconSet>
    </cfRule>
  </conditionalFormatting>
  <conditionalFormatting sqref="I9">
    <cfRule type="iconSet" priority="228">
      <iconSet>
        <cfvo type="percent" val="0"/>
        <cfvo type="num" val="70"/>
        <cfvo type="num" val="90"/>
      </iconSet>
    </cfRule>
    <cfRule type="iconSet" priority="227">
      <iconSet>
        <cfvo type="percent" val="0"/>
        <cfvo type="num" val="70"/>
        <cfvo type="num" val="90"/>
      </iconSet>
    </cfRule>
    <cfRule type="iconSet" priority="226">
      <iconSet>
        <cfvo type="percent" val="0"/>
        <cfvo type="num" val="95"/>
        <cfvo type="num" val="100"/>
      </iconSet>
    </cfRule>
    <cfRule type="iconSet" priority="229">
      <iconSet>
        <cfvo type="percent" val="0"/>
        <cfvo type="num" val="95"/>
        <cfvo type="num" val="100"/>
      </iconSet>
    </cfRule>
    <cfRule type="iconSet" priority="234">
      <iconSet>
        <cfvo type="percent" val="0"/>
        <cfvo type="num" val="95"/>
        <cfvo type="num" val="100"/>
      </iconSet>
    </cfRule>
    <cfRule type="iconSet" priority="233">
      <iconSet>
        <cfvo type="percent" val="0"/>
        <cfvo type="num" val="70"/>
        <cfvo type="num" val="90"/>
      </iconSet>
    </cfRule>
    <cfRule type="iconSet" priority="232">
      <iconSet>
        <cfvo type="percent" val="0"/>
        <cfvo type="num" val="70"/>
        <cfvo type="num" val="90"/>
      </iconSet>
    </cfRule>
    <cfRule type="iconSet" priority="231">
      <iconSet>
        <cfvo type="percent" val="0"/>
        <cfvo type="num" val="95"/>
        <cfvo type="num" val="100"/>
      </iconSet>
    </cfRule>
    <cfRule type="iconSet" priority="230">
      <iconSet>
        <cfvo type="percent" val="0"/>
        <cfvo type="num" val="95"/>
        <cfvo type="num" val="100"/>
      </iconSet>
    </cfRule>
  </conditionalFormatting>
  <conditionalFormatting sqref="I10">
    <cfRule type="iconSet" priority="225">
      <iconSet>
        <cfvo type="percent" val="0"/>
        <cfvo type="num" val="95"/>
        <cfvo type="num" val="100"/>
      </iconSet>
    </cfRule>
    <cfRule type="iconSet" priority="224">
      <iconSet>
        <cfvo type="percent" val="0"/>
        <cfvo type="num" val="70"/>
        <cfvo type="num" val="90"/>
      </iconSet>
    </cfRule>
    <cfRule type="iconSet" priority="223">
      <iconSet>
        <cfvo type="percent" val="0"/>
        <cfvo type="num" val="70"/>
        <cfvo type="num" val="90"/>
      </iconSet>
    </cfRule>
    <cfRule type="iconSet" priority="222">
      <iconSet>
        <cfvo type="percent" val="0"/>
        <cfvo type="num" val="95"/>
        <cfvo type="num" val="100"/>
      </iconSet>
    </cfRule>
    <cfRule type="iconSet" priority="221">
      <iconSet>
        <cfvo type="percent" val="0"/>
        <cfvo type="num" val="95"/>
        <cfvo type="num" val="100"/>
      </iconSet>
    </cfRule>
    <cfRule type="iconSet" priority="220">
      <iconSet>
        <cfvo type="percent" val="0"/>
        <cfvo type="num" val="95"/>
        <cfvo type="num" val="100"/>
      </iconSet>
    </cfRule>
    <cfRule type="iconSet" priority="219">
      <iconSet>
        <cfvo type="percent" val="0"/>
        <cfvo type="num" val="70"/>
        <cfvo type="num" val="90"/>
      </iconSet>
    </cfRule>
    <cfRule type="iconSet" priority="218">
      <iconSet>
        <cfvo type="percent" val="0"/>
        <cfvo type="num" val="70"/>
        <cfvo type="num" val="90"/>
      </iconSet>
    </cfRule>
    <cfRule type="iconSet" priority="217">
      <iconSet>
        <cfvo type="percent" val="0"/>
        <cfvo type="num" val="95"/>
        <cfvo type="num" val="100"/>
      </iconSet>
    </cfRule>
  </conditionalFormatting>
  <conditionalFormatting sqref="I11">
    <cfRule type="iconSet" priority="211">
      <iconSet>
        <cfvo type="percent" val="0"/>
        <cfvo type="num" val="95"/>
        <cfvo type="num" val="100"/>
      </iconSet>
    </cfRule>
    <cfRule type="iconSet" priority="210">
      <iconSet>
        <cfvo type="percent" val="0"/>
        <cfvo type="num" val="70"/>
        <cfvo type="num" val="90"/>
      </iconSet>
    </cfRule>
    <cfRule type="iconSet" priority="209">
      <iconSet>
        <cfvo type="percent" val="0"/>
        <cfvo type="num" val="70"/>
        <cfvo type="num" val="90"/>
      </iconSet>
    </cfRule>
    <cfRule type="iconSet" priority="208">
      <iconSet>
        <cfvo type="percent" val="0"/>
        <cfvo type="num" val="95"/>
        <cfvo type="num" val="100"/>
      </iconSet>
    </cfRule>
    <cfRule type="iconSet" priority="216">
      <iconSet>
        <cfvo type="percent" val="0"/>
        <cfvo type="num" val="95"/>
        <cfvo type="num" val="100"/>
      </iconSet>
    </cfRule>
    <cfRule type="iconSet" priority="215">
      <iconSet>
        <cfvo type="percent" val="0"/>
        <cfvo type="num" val="70"/>
        <cfvo type="num" val="90"/>
      </iconSet>
    </cfRule>
    <cfRule type="iconSet" priority="214">
      <iconSet>
        <cfvo type="percent" val="0"/>
        <cfvo type="num" val="70"/>
        <cfvo type="num" val="90"/>
      </iconSet>
    </cfRule>
    <cfRule type="iconSet" priority="213">
      <iconSet>
        <cfvo type="percent" val="0"/>
        <cfvo type="num" val="95"/>
        <cfvo type="num" val="100"/>
      </iconSet>
    </cfRule>
    <cfRule type="iconSet" priority="212">
      <iconSet>
        <cfvo type="percent" val="0"/>
        <cfvo type="num" val="95"/>
        <cfvo type="num" val="100"/>
      </iconSet>
    </cfRule>
  </conditionalFormatting>
  <conditionalFormatting sqref="I12">
    <cfRule type="iconSet" priority="203">
      <iconSet>
        <cfvo type="percent" val="0"/>
        <cfvo type="num" val="95"/>
        <cfvo type="num" val="100"/>
      </iconSet>
    </cfRule>
    <cfRule type="iconSet" priority="202">
      <iconSet>
        <cfvo type="percent" val="0"/>
        <cfvo type="num" val="95"/>
        <cfvo type="num" val="100"/>
      </iconSet>
    </cfRule>
    <cfRule type="iconSet" priority="201">
      <iconSet>
        <cfvo type="percent" val="0"/>
        <cfvo type="num" val="70"/>
        <cfvo type="num" val="90"/>
      </iconSet>
    </cfRule>
    <cfRule type="iconSet" priority="200">
      <iconSet>
        <cfvo type="percent" val="0"/>
        <cfvo type="num" val="70"/>
        <cfvo type="num" val="90"/>
      </iconSet>
    </cfRule>
    <cfRule type="iconSet" priority="199">
      <iconSet>
        <cfvo type="percent" val="0"/>
        <cfvo type="num" val="95"/>
        <cfvo type="num" val="100"/>
      </iconSet>
    </cfRule>
    <cfRule type="iconSet" priority="207">
      <iconSet>
        <cfvo type="percent" val="0"/>
        <cfvo type="num" val="95"/>
        <cfvo type="num" val="100"/>
      </iconSet>
    </cfRule>
    <cfRule type="iconSet" priority="206">
      <iconSet>
        <cfvo type="percent" val="0"/>
        <cfvo type="num" val="70"/>
        <cfvo type="num" val="90"/>
      </iconSet>
    </cfRule>
    <cfRule type="iconSet" priority="205">
      <iconSet>
        <cfvo type="percent" val="0"/>
        <cfvo type="num" val="70"/>
        <cfvo type="num" val="90"/>
      </iconSet>
    </cfRule>
    <cfRule type="iconSet" priority="204">
      <iconSet>
        <cfvo type="percent" val="0"/>
        <cfvo type="num" val="95"/>
        <cfvo type="num" val="100"/>
      </iconSet>
    </cfRule>
  </conditionalFormatting>
  <conditionalFormatting sqref="I13">
    <cfRule type="iconSet" priority="180">
      <iconSet>
        <cfvo type="percent" val="0"/>
        <cfvo type="num" val="95"/>
        <cfvo type="num" val="100"/>
      </iconSet>
    </cfRule>
    <cfRule type="iconSet" priority="174">
      <iconSet>
        <cfvo type="percent" val="0"/>
        <cfvo type="num" val="70"/>
        <cfvo type="num" val="90"/>
      </iconSet>
    </cfRule>
    <cfRule type="iconSet" priority="172">
      <iconSet>
        <cfvo type="percent" val="0"/>
        <cfvo type="num" val="95"/>
        <cfvo type="num" val="100"/>
      </iconSet>
    </cfRule>
    <cfRule type="iconSet" priority="173">
      <iconSet>
        <cfvo type="percent" val="0"/>
        <cfvo type="num" val="70"/>
        <cfvo type="num" val="90"/>
      </iconSet>
    </cfRule>
    <cfRule type="iconSet" priority="175">
      <iconSet>
        <cfvo type="percent" val="0"/>
        <cfvo type="num" val="95"/>
        <cfvo type="num" val="100"/>
      </iconSet>
    </cfRule>
    <cfRule type="iconSet" priority="179">
      <iconSet>
        <cfvo type="percent" val="0"/>
        <cfvo type="num" val="70"/>
        <cfvo type="num" val="90"/>
      </iconSet>
    </cfRule>
    <cfRule type="iconSet" priority="178">
      <iconSet>
        <cfvo type="percent" val="0"/>
        <cfvo type="num" val="70"/>
        <cfvo type="num" val="90"/>
      </iconSet>
    </cfRule>
    <cfRule type="iconSet" priority="176">
      <iconSet>
        <cfvo type="percent" val="0"/>
        <cfvo type="num" val="95"/>
        <cfvo type="num" val="100"/>
      </iconSet>
    </cfRule>
    <cfRule type="iconSet" priority="177">
      <iconSet>
        <cfvo type="percent" val="0"/>
        <cfvo type="num" val="95"/>
        <cfvo type="num" val="100"/>
      </iconSet>
    </cfRule>
  </conditionalFormatting>
  <conditionalFormatting sqref="I14">
    <cfRule type="iconSet" priority="197">
      <iconSet>
        <cfvo type="percent" val="0"/>
        <cfvo type="num" val="70"/>
        <cfvo type="num" val="90"/>
      </iconSet>
    </cfRule>
    <cfRule type="iconSet" priority="198">
      <iconSet>
        <cfvo type="percent" val="0"/>
        <cfvo type="num" val="95"/>
        <cfvo type="num" val="100"/>
      </iconSet>
    </cfRule>
    <cfRule type="iconSet" priority="191">
      <iconSet>
        <cfvo type="percent" val="0"/>
        <cfvo type="num" val="70"/>
        <cfvo type="num" val="90"/>
      </iconSet>
    </cfRule>
    <cfRule type="iconSet" priority="196">
      <iconSet>
        <cfvo type="percent" val="0"/>
        <cfvo type="num" val="70"/>
        <cfvo type="num" val="90"/>
      </iconSet>
    </cfRule>
    <cfRule type="iconSet" priority="195">
      <iconSet>
        <cfvo type="percent" val="0"/>
        <cfvo type="num" val="95"/>
        <cfvo type="num" val="100"/>
      </iconSet>
    </cfRule>
    <cfRule type="iconSet" priority="194">
      <iconSet>
        <cfvo type="percent" val="0"/>
        <cfvo type="num" val="95"/>
        <cfvo type="num" val="100"/>
      </iconSet>
    </cfRule>
    <cfRule type="iconSet" priority="193">
      <iconSet>
        <cfvo type="percent" val="0"/>
        <cfvo type="num" val="95"/>
        <cfvo type="num" val="100"/>
      </iconSet>
    </cfRule>
    <cfRule type="iconSet" priority="192">
      <iconSet>
        <cfvo type="percent" val="0"/>
        <cfvo type="num" val="70"/>
        <cfvo type="num" val="90"/>
      </iconSet>
    </cfRule>
    <cfRule type="iconSet" priority="190">
      <iconSet>
        <cfvo type="percent" val="0"/>
        <cfvo type="num" val="95"/>
        <cfvo type="num" val="100"/>
      </iconSet>
    </cfRule>
  </conditionalFormatting>
  <conditionalFormatting sqref="I15">
    <cfRule type="iconSet" priority="182">
      <iconSet>
        <cfvo type="percent" val="0"/>
        <cfvo type="num" val="70"/>
        <cfvo type="num" val="90"/>
      </iconSet>
    </cfRule>
    <cfRule type="iconSet" priority="189">
      <iconSet>
        <cfvo type="percent" val="0"/>
        <cfvo type="num" val="95"/>
        <cfvo type="num" val="100"/>
      </iconSet>
    </cfRule>
    <cfRule type="iconSet" priority="188">
      <iconSet>
        <cfvo type="percent" val="0"/>
        <cfvo type="num" val="70"/>
        <cfvo type="num" val="90"/>
      </iconSet>
    </cfRule>
    <cfRule type="iconSet" priority="187">
      <iconSet>
        <cfvo type="percent" val="0"/>
        <cfvo type="num" val="70"/>
        <cfvo type="num" val="90"/>
      </iconSet>
    </cfRule>
    <cfRule type="iconSet" priority="186">
      <iconSet>
        <cfvo type="percent" val="0"/>
        <cfvo type="num" val="95"/>
        <cfvo type="num" val="100"/>
      </iconSet>
    </cfRule>
    <cfRule type="iconSet" priority="185">
      <iconSet>
        <cfvo type="percent" val="0"/>
        <cfvo type="num" val="95"/>
        <cfvo type="num" val="100"/>
      </iconSet>
    </cfRule>
    <cfRule type="iconSet" priority="184">
      <iconSet>
        <cfvo type="percent" val="0"/>
        <cfvo type="num" val="95"/>
        <cfvo type="num" val="100"/>
      </iconSet>
    </cfRule>
    <cfRule type="iconSet" priority="183">
      <iconSet>
        <cfvo type="percent" val="0"/>
        <cfvo type="num" val="70"/>
        <cfvo type="num" val="90"/>
      </iconSet>
    </cfRule>
    <cfRule type="iconSet" priority="181">
      <iconSet>
        <cfvo type="percent" val="0"/>
        <cfvo type="num" val="95"/>
        <cfvo type="num" val="100"/>
      </iconSet>
    </cfRule>
  </conditionalFormatting>
  <conditionalFormatting sqref="I17">
    <cfRule type="iconSet" priority="161">
      <iconSet>
        <cfvo type="percent" val="0"/>
        <cfvo type="num" val="70"/>
        <cfvo type="num" val="90"/>
      </iconSet>
    </cfRule>
    <cfRule type="iconSet" priority="160">
      <iconSet>
        <cfvo type="percent" val="0"/>
        <cfvo type="num" val="70"/>
        <cfvo type="num" val="90"/>
      </iconSet>
    </cfRule>
    <cfRule type="iconSet" priority="162">
      <iconSet>
        <cfvo type="percent" val="0"/>
        <cfvo type="num" val="95"/>
        <cfvo type="num" val="100"/>
      </iconSet>
    </cfRule>
    <cfRule type="iconSet" priority="154">
      <iconSet>
        <cfvo type="percent" val="0"/>
        <cfvo type="num" val="95"/>
        <cfvo type="num" val="100"/>
      </iconSet>
    </cfRule>
    <cfRule type="iconSet" priority="155">
      <iconSet>
        <cfvo type="percent" val="0"/>
        <cfvo type="num" val="70"/>
        <cfvo type="num" val="90"/>
      </iconSet>
    </cfRule>
    <cfRule type="iconSet" priority="156">
      <iconSet>
        <cfvo type="percent" val="0"/>
        <cfvo type="num" val="70"/>
        <cfvo type="num" val="90"/>
      </iconSet>
    </cfRule>
    <cfRule type="iconSet" priority="157">
      <iconSet>
        <cfvo type="percent" val="0"/>
        <cfvo type="num" val="95"/>
        <cfvo type="num" val="100"/>
      </iconSet>
    </cfRule>
    <cfRule type="iconSet" priority="158">
      <iconSet>
        <cfvo type="percent" val="0"/>
        <cfvo type="num" val="95"/>
        <cfvo type="num" val="100"/>
      </iconSet>
    </cfRule>
    <cfRule type="iconSet" priority="159">
      <iconSet>
        <cfvo type="percent" val="0"/>
        <cfvo type="num" val="95"/>
        <cfvo type="num" val="100"/>
      </iconSet>
    </cfRule>
  </conditionalFormatting>
  <conditionalFormatting sqref="I18:I20">
    <cfRule type="iconSet" priority="168">
      <iconSet>
        <cfvo type="percent" val="0"/>
        <cfvo type="num" val="95"/>
        <cfvo type="num" val="100"/>
      </iconSet>
    </cfRule>
    <cfRule type="iconSet" priority="164">
      <iconSet>
        <cfvo type="percent" val="0"/>
        <cfvo type="num" val="70"/>
        <cfvo type="num" val="90"/>
      </iconSet>
    </cfRule>
    <cfRule type="iconSet" priority="163">
      <iconSet>
        <cfvo type="percent" val="0"/>
        <cfvo type="num" val="95"/>
        <cfvo type="num" val="100"/>
      </iconSet>
    </cfRule>
    <cfRule type="iconSet" priority="171">
      <iconSet>
        <cfvo type="percent" val="0"/>
        <cfvo type="num" val="95"/>
        <cfvo type="num" val="100"/>
      </iconSet>
    </cfRule>
    <cfRule type="iconSet" priority="170">
      <iconSet>
        <cfvo type="percent" val="0"/>
        <cfvo type="num" val="70"/>
        <cfvo type="num" val="90"/>
      </iconSet>
    </cfRule>
    <cfRule type="iconSet" priority="169">
      <iconSet>
        <cfvo type="percent" val="0"/>
        <cfvo type="num" val="70"/>
        <cfvo type="num" val="90"/>
      </iconSet>
    </cfRule>
    <cfRule type="iconSet" priority="167">
      <iconSet>
        <cfvo type="percent" val="0"/>
        <cfvo type="num" val="95"/>
        <cfvo type="num" val="100"/>
      </iconSet>
    </cfRule>
    <cfRule type="iconSet" priority="166">
      <iconSet>
        <cfvo type="percent" val="0"/>
        <cfvo type="num" val="95"/>
        <cfvo type="num" val="100"/>
      </iconSet>
    </cfRule>
    <cfRule type="iconSet" priority="165">
      <iconSet>
        <cfvo type="percent" val="0"/>
        <cfvo type="num" val="70"/>
        <cfvo type="num" val="90"/>
      </iconSet>
    </cfRule>
  </conditionalFormatting>
  <conditionalFormatting sqref="I21">
    <cfRule type="iconSet" priority="145">
      <iconSet>
        <cfvo type="percent" val="0"/>
        <cfvo type="num" val="95"/>
        <cfvo type="num" val="100"/>
      </iconSet>
    </cfRule>
    <cfRule type="iconSet" priority="146">
      <iconSet>
        <cfvo type="percent" val="0"/>
        <cfvo type="num" val="70"/>
        <cfvo type="num" val="90"/>
      </iconSet>
    </cfRule>
    <cfRule type="iconSet" priority="147">
      <iconSet>
        <cfvo type="percent" val="0"/>
        <cfvo type="num" val="70"/>
        <cfvo type="num" val="90"/>
      </iconSet>
    </cfRule>
    <cfRule type="iconSet" priority="148">
      <iconSet>
        <cfvo type="percent" val="0"/>
        <cfvo type="num" val="95"/>
        <cfvo type="num" val="100"/>
      </iconSet>
    </cfRule>
    <cfRule type="iconSet" priority="149">
      <iconSet>
        <cfvo type="percent" val="0"/>
        <cfvo type="num" val="95"/>
        <cfvo type="num" val="100"/>
      </iconSet>
    </cfRule>
    <cfRule type="iconSet" priority="150">
      <iconSet>
        <cfvo type="percent" val="0"/>
        <cfvo type="num" val="95"/>
        <cfvo type="num" val="100"/>
      </iconSet>
    </cfRule>
    <cfRule type="iconSet" priority="152">
      <iconSet>
        <cfvo type="percent" val="0"/>
        <cfvo type="num" val="70"/>
        <cfvo type="num" val="90"/>
      </iconSet>
    </cfRule>
    <cfRule type="iconSet" priority="153">
      <iconSet>
        <cfvo type="percent" val="0"/>
        <cfvo type="num" val="95"/>
        <cfvo type="num" val="100"/>
      </iconSet>
    </cfRule>
    <cfRule type="iconSet" priority="151">
      <iconSet>
        <cfvo type="percent" val="0"/>
        <cfvo type="num" val="70"/>
        <cfvo type="num" val="90"/>
      </iconSet>
    </cfRule>
  </conditionalFormatting>
  <conditionalFormatting sqref="I22">
    <cfRule type="iconSet" priority="128">
      <iconSet>
        <cfvo type="percent" val="0"/>
        <cfvo type="num" val="70"/>
        <cfvo type="num" val="90"/>
      </iconSet>
    </cfRule>
    <cfRule type="iconSet" priority="129">
      <iconSet>
        <cfvo type="percent" val="0"/>
        <cfvo type="num" val="70"/>
        <cfvo type="num" val="90"/>
      </iconSet>
    </cfRule>
    <cfRule type="iconSet" priority="130">
      <iconSet>
        <cfvo type="percent" val="0"/>
        <cfvo type="num" val="95"/>
        <cfvo type="num" val="100"/>
      </iconSet>
    </cfRule>
    <cfRule type="iconSet" priority="131">
      <iconSet>
        <cfvo type="percent" val="0"/>
        <cfvo type="num" val="95"/>
        <cfvo type="num" val="100"/>
      </iconSet>
    </cfRule>
    <cfRule type="iconSet" priority="132">
      <iconSet>
        <cfvo type="percent" val="0"/>
        <cfvo type="num" val="95"/>
        <cfvo type="num" val="100"/>
      </iconSet>
    </cfRule>
    <cfRule type="iconSet" priority="133">
      <iconSet>
        <cfvo type="percent" val="0"/>
        <cfvo type="num" val="70"/>
        <cfvo type="num" val="90"/>
      </iconSet>
    </cfRule>
    <cfRule type="iconSet" priority="134">
      <iconSet>
        <cfvo type="percent" val="0"/>
        <cfvo type="num" val="70"/>
        <cfvo type="num" val="90"/>
      </iconSet>
    </cfRule>
    <cfRule type="iconSet" priority="135">
      <iconSet>
        <cfvo type="percent" val="0"/>
        <cfvo type="num" val="95"/>
        <cfvo type="num" val="100"/>
      </iconSet>
    </cfRule>
    <cfRule type="iconSet" priority="127">
      <iconSet>
        <cfvo type="percent" val="0"/>
        <cfvo type="num" val="95"/>
        <cfvo type="num" val="100"/>
      </iconSet>
    </cfRule>
  </conditionalFormatting>
  <conditionalFormatting sqref="I23:I26">
    <cfRule type="iconSet" priority="138">
      <iconSet>
        <cfvo type="percent" val="0"/>
        <cfvo type="num" val="70"/>
        <cfvo type="num" val="90"/>
      </iconSet>
    </cfRule>
    <cfRule type="iconSet" priority="139">
      <iconSet>
        <cfvo type="percent" val="0"/>
        <cfvo type="num" val="95"/>
        <cfvo type="num" val="100"/>
      </iconSet>
    </cfRule>
    <cfRule type="iconSet" priority="136">
      <iconSet>
        <cfvo type="percent" val="0"/>
        <cfvo type="num" val="95"/>
        <cfvo type="num" val="100"/>
      </iconSet>
    </cfRule>
    <cfRule type="iconSet" priority="144">
      <iconSet>
        <cfvo type="percent" val="0"/>
        <cfvo type="num" val="95"/>
        <cfvo type="num" val="100"/>
      </iconSet>
    </cfRule>
    <cfRule type="iconSet" priority="137">
      <iconSet>
        <cfvo type="percent" val="0"/>
        <cfvo type="num" val="70"/>
        <cfvo type="num" val="90"/>
      </iconSet>
    </cfRule>
    <cfRule type="iconSet" priority="140">
      <iconSet>
        <cfvo type="percent" val="0"/>
        <cfvo type="num" val="95"/>
        <cfvo type="num" val="100"/>
      </iconSet>
    </cfRule>
    <cfRule type="iconSet" priority="141">
      <iconSet>
        <cfvo type="percent" val="0"/>
        <cfvo type="num" val="95"/>
        <cfvo type="num" val="100"/>
      </iconSet>
    </cfRule>
    <cfRule type="iconSet" priority="142">
      <iconSet>
        <cfvo type="percent" val="0"/>
        <cfvo type="num" val="70"/>
        <cfvo type="num" val="90"/>
      </iconSet>
    </cfRule>
    <cfRule type="iconSet" priority="143">
      <iconSet>
        <cfvo type="percent" val="0"/>
        <cfvo type="num" val="70"/>
        <cfvo type="num" val="90"/>
      </iconSet>
    </cfRule>
  </conditionalFormatting>
  <conditionalFormatting sqref="I27">
    <cfRule type="iconSet" priority="123">
      <iconSet>
        <cfvo type="percent" val="0"/>
        <cfvo type="num" val="95"/>
        <cfvo type="num" val="100"/>
      </iconSet>
    </cfRule>
    <cfRule type="iconSet" priority="118">
      <iconSet>
        <cfvo type="percent" val="0"/>
        <cfvo type="num" val="95"/>
        <cfvo type="num" val="100"/>
      </iconSet>
    </cfRule>
    <cfRule type="iconSet" priority="119">
      <iconSet>
        <cfvo type="percent" val="0"/>
        <cfvo type="num" val="70"/>
        <cfvo type="num" val="90"/>
      </iconSet>
    </cfRule>
    <cfRule type="iconSet" priority="120">
      <iconSet>
        <cfvo type="percent" val="0"/>
        <cfvo type="num" val="70"/>
        <cfvo type="num" val="90"/>
      </iconSet>
    </cfRule>
    <cfRule type="iconSet" priority="121">
      <iconSet>
        <cfvo type="percent" val="0"/>
        <cfvo type="num" val="95"/>
        <cfvo type="num" val="100"/>
      </iconSet>
    </cfRule>
    <cfRule type="iconSet" priority="122">
      <iconSet>
        <cfvo type="percent" val="0"/>
        <cfvo type="num" val="95"/>
        <cfvo type="num" val="100"/>
      </iconSet>
    </cfRule>
    <cfRule type="iconSet" priority="125">
      <iconSet>
        <cfvo type="percent" val="0"/>
        <cfvo type="num" val="70"/>
        <cfvo type="num" val="90"/>
      </iconSet>
    </cfRule>
    <cfRule type="iconSet" priority="126">
      <iconSet>
        <cfvo type="percent" val="0"/>
        <cfvo type="num" val="95"/>
        <cfvo type="num" val="100"/>
      </iconSet>
    </cfRule>
    <cfRule type="iconSet" priority="124">
      <iconSet>
        <cfvo type="percent" val="0"/>
        <cfvo type="num" val="70"/>
        <cfvo type="num" val="90"/>
      </iconSet>
    </cfRule>
  </conditionalFormatting>
  <conditionalFormatting sqref="I28">
    <cfRule type="iconSet" priority="89">
      <iconSet>
        <cfvo type="percent" val="0"/>
        <cfvo type="num" val="70"/>
        <cfvo type="num" val="90"/>
      </iconSet>
    </cfRule>
    <cfRule type="iconSet" priority="90">
      <iconSet>
        <cfvo type="percent" val="0"/>
        <cfvo type="num" val="95"/>
        <cfvo type="num" val="100"/>
      </iconSet>
    </cfRule>
    <cfRule type="iconSet" priority="82">
      <iconSet>
        <cfvo type="percent" val="0"/>
        <cfvo type="num" val="95"/>
        <cfvo type="num" val="100"/>
      </iconSet>
    </cfRule>
    <cfRule type="iconSet" priority="83">
      <iconSet>
        <cfvo type="percent" val="0"/>
        <cfvo type="num" val="70"/>
        <cfvo type="num" val="90"/>
      </iconSet>
    </cfRule>
    <cfRule type="iconSet" priority="84">
      <iconSet>
        <cfvo type="percent" val="0"/>
        <cfvo type="num" val="70"/>
        <cfvo type="num" val="90"/>
      </iconSet>
    </cfRule>
    <cfRule type="iconSet" priority="85">
      <iconSet>
        <cfvo type="percent" val="0"/>
        <cfvo type="num" val="95"/>
        <cfvo type="num" val="100"/>
      </iconSet>
    </cfRule>
    <cfRule type="iconSet" priority="86">
      <iconSet>
        <cfvo type="percent" val="0"/>
        <cfvo type="num" val="95"/>
        <cfvo type="num" val="100"/>
      </iconSet>
    </cfRule>
    <cfRule type="iconSet" priority="87">
      <iconSet>
        <cfvo type="percent" val="0"/>
        <cfvo type="num" val="95"/>
        <cfvo type="num" val="100"/>
      </iconSet>
    </cfRule>
    <cfRule type="iconSet" priority="88">
      <iconSet>
        <cfvo type="percent" val="0"/>
        <cfvo type="num" val="70"/>
        <cfvo type="num" val="90"/>
      </iconSet>
    </cfRule>
  </conditionalFormatting>
  <conditionalFormatting sqref="I29">
    <cfRule type="iconSet" priority="111">
      <iconSet>
        <cfvo type="percent" val="0"/>
        <cfvo type="num" val="70"/>
        <cfvo type="num" val="90"/>
      </iconSet>
    </cfRule>
    <cfRule type="iconSet" priority="112">
      <iconSet>
        <cfvo type="percent" val="0"/>
        <cfvo type="num" val="95"/>
        <cfvo type="num" val="100"/>
      </iconSet>
    </cfRule>
    <cfRule type="iconSet" priority="113">
      <iconSet>
        <cfvo type="percent" val="0"/>
        <cfvo type="num" val="95"/>
        <cfvo type="num" val="100"/>
      </iconSet>
    </cfRule>
    <cfRule type="iconSet" priority="114">
      <iconSet>
        <cfvo type="percent" val="0"/>
        <cfvo type="num" val="95"/>
        <cfvo type="num" val="100"/>
      </iconSet>
    </cfRule>
    <cfRule type="iconSet" priority="115">
      <iconSet>
        <cfvo type="percent" val="0"/>
        <cfvo type="num" val="70"/>
        <cfvo type="num" val="90"/>
      </iconSet>
    </cfRule>
    <cfRule type="iconSet" priority="116">
      <iconSet>
        <cfvo type="percent" val="0"/>
        <cfvo type="num" val="70"/>
        <cfvo type="num" val="90"/>
      </iconSet>
    </cfRule>
    <cfRule type="iconSet" priority="117">
      <iconSet>
        <cfvo type="percent" val="0"/>
        <cfvo type="num" val="95"/>
        <cfvo type="num" val="100"/>
      </iconSet>
    </cfRule>
    <cfRule type="iconSet" priority="109">
      <iconSet>
        <cfvo type="percent" val="0"/>
        <cfvo type="num" val="95"/>
        <cfvo type="num" val="100"/>
      </iconSet>
    </cfRule>
    <cfRule type="iconSet" priority="110">
      <iconSet>
        <cfvo type="percent" val="0"/>
        <cfvo type="num" val="70"/>
        <cfvo type="num" val="90"/>
      </iconSet>
    </cfRule>
  </conditionalFormatting>
  <conditionalFormatting sqref="I30">
    <cfRule type="iconSet" priority="100">
      <iconSet>
        <cfvo type="percent" val="0"/>
        <cfvo type="num" val="95"/>
        <cfvo type="num" val="100"/>
      </iconSet>
    </cfRule>
    <cfRule type="iconSet" priority="101">
      <iconSet>
        <cfvo type="percent" val="0"/>
        <cfvo type="num" val="70"/>
        <cfvo type="num" val="90"/>
      </iconSet>
    </cfRule>
    <cfRule type="iconSet" priority="102">
      <iconSet>
        <cfvo type="percent" val="0"/>
        <cfvo type="num" val="70"/>
        <cfvo type="num" val="90"/>
      </iconSet>
    </cfRule>
    <cfRule type="iconSet" priority="103">
      <iconSet>
        <cfvo type="percent" val="0"/>
        <cfvo type="num" val="95"/>
        <cfvo type="num" val="100"/>
      </iconSet>
    </cfRule>
    <cfRule type="iconSet" priority="104">
      <iconSet>
        <cfvo type="percent" val="0"/>
        <cfvo type="num" val="95"/>
        <cfvo type="num" val="100"/>
      </iconSet>
    </cfRule>
    <cfRule type="iconSet" priority="105">
      <iconSet>
        <cfvo type="percent" val="0"/>
        <cfvo type="num" val="95"/>
        <cfvo type="num" val="100"/>
      </iconSet>
    </cfRule>
    <cfRule type="iconSet" priority="106">
      <iconSet>
        <cfvo type="percent" val="0"/>
        <cfvo type="num" val="70"/>
        <cfvo type="num" val="90"/>
      </iconSet>
    </cfRule>
    <cfRule type="iconSet" priority="107">
      <iconSet>
        <cfvo type="percent" val="0"/>
        <cfvo type="num" val="70"/>
        <cfvo type="num" val="90"/>
      </iconSet>
    </cfRule>
    <cfRule type="iconSet" priority="108">
      <iconSet>
        <cfvo type="percent" val="0"/>
        <cfvo type="num" val="95"/>
        <cfvo type="num" val="100"/>
      </iconSet>
    </cfRule>
  </conditionalFormatting>
  <conditionalFormatting sqref="I31">
    <cfRule type="iconSet" priority="94">
      <iconSet>
        <cfvo type="percent" val="0"/>
        <cfvo type="num" val="95"/>
        <cfvo type="num" val="100"/>
      </iconSet>
    </cfRule>
    <cfRule type="iconSet" priority="95">
      <iconSet>
        <cfvo type="percent" val="0"/>
        <cfvo type="num" val="95"/>
        <cfvo type="num" val="100"/>
      </iconSet>
    </cfRule>
    <cfRule type="iconSet" priority="96">
      <iconSet>
        <cfvo type="percent" val="0"/>
        <cfvo type="num" val="95"/>
        <cfvo type="num" val="100"/>
      </iconSet>
    </cfRule>
    <cfRule type="iconSet" priority="97">
      <iconSet>
        <cfvo type="percent" val="0"/>
        <cfvo type="num" val="70"/>
        <cfvo type="num" val="90"/>
      </iconSet>
    </cfRule>
    <cfRule type="iconSet" priority="98">
      <iconSet>
        <cfvo type="percent" val="0"/>
        <cfvo type="num" val="70"/>
        <cfvo type="num" val="90"/>
      </iconSet>
    </cfRule>
    <cfRule type="iconSet" priority="91">
      <iconSet>
        <cfvo type="percent" val="0"/>
        <cfvo type="num" val="95"/>
        <cfvo type="num" val="100"/>
      </iconSet>
    </cfRule>
    <cfRule type="iconSet" priority="92">
      <iconSet>
        <cfvo type="percent" val="0"/>
        <cfvo type="num" val="70"/>
        <cfvo type="num" val="90"/>
      </iconSet>
    </cfRule>
    <cfRule type="iconSet" priority="93">
      <iconSet>
        <cfvo type="percent" val="0"/>
        <cfvo type="num" val="70"/>
        <cfvo type="num" val="90"/>
      </iconSet>
    </cfRule>
    <cfRule type="iconSet" priority="99">
      <iconSet>
        <cfvo type="percent" val="0"/>
        <cfvo type="num" val="95"/>
        <cfvo type="num" val="100"/>
      </iconSet>
    </cfRule>
  </conditionalFormatting>
  <conditionalFormatting sqref="I32">
    <cfRule type="iconSet" priority="7">
      <iconSet>
        <cfvo type="percent" val="0"/>
        <cfvo type="num" val="70"/>
        <cfvo type="num" val="90"/>
      </iconSet>
    </cfRule>
    <cfRule type="iconSet" priority="8">
      <iconSet>
        <cfvo type="percent" val="0"/>
        <cfvo type="num" val="70"/>
        <cfvo type="num" val="90"/>
      </iconSet>
    </cfRule>
    <cfRule type="iconSet" priority="9">
      <iconSet>
        <cfvo type="percent" val="0"/>
        <cfvo type="num" val="95"/>
        <cfvo type="num" val="100"/>
      </iconSet>
    </cfRule>
    <cfRule type="iconSet" priority="1">
      <iconSet>
        <cfvo type="percent" val="0"/>
        <cfvo type="num" val="95"/>
        <cfvo type="num" val="100"/>
      </iconSet>
    </cfRule>
    <cfRule type="iconSet" priority="2">
      <iconSet>
        <cfvo type="percent" val="0"/>
        <cfvo type="num" val="70"/>
        <cfvo type="num" val="90"/>
      </iconSet>
    </cfRule>
    <cfRule type="iconSet" priority="3">
      <iconSet>
        <cfvo type="percent" val="0"/>
        <cfvo type="num" val="70"/>
        <cfvo type="num" val="90"/>
      </iconSet>
    </cfRule>
    <cfRule type="iconSet" priority="4">
      <iconSet>
        <cfvo type="percent" val="0"/>
        <cfvo type="num" val="95"/>
        <cfvo type="num" val="100"/>
      </iconSet>
    </cfRule>
    <cfRule type="iconSet" priority="5">
      <iconSet>
        <cfvo type="percent" val="0"/>
        <cfvo type="num" val="95"/>
        <cfvo type="num" val="100"/>
      </iconSet>
    </cfRule>
    <cfRule type="iconSet" priority="6">
      <iconSet>
        <cfvo type="percent" val="0"/>
        <cfvo type="num" val="95"/>
        <cfvo type="num" val="100"/>
      </iconSet>
    </cfRule>
  </conditionalFormatting>
  <conditionalFormatting sqref="I33">
    <cfRule type="iconSet" priority="77">
      <iconSet>
        <cfvo type="percent" val="0"/>
        <cfvo type="num" val="95"/>
        <cfvo type="num" val="100"/>
      </iconSet>
    </cfRule>
    <cfRule type="iconSet" priority="76">
      <iconSet>
        <cfvo type="percent" val="0"/>
        <cfvo type="num" val="95"/>
        <cfvo type="num" val="100"/>
      </iconSet>
    </cfRule>
    <cfRule type="iconSet" priority="75">
      <iconSet>
        <cfvo type="percent" val="0"/>
        <cfvo type="num" val="70"/>
        <cfvo type="num" val="90"/>
      </iconSet>
    </cfRule>
    <cfRule type="iconSet" priority="74">
      <iconSet>
        <cfvo type="percent" val="0"/>
        <cfvo type="num" val="70"/>
        <cfvo type="num" val="90"/>
      </iconSet>
    </cfRule>
    <cfRule type="iconSet" priority="73">
      <iconSet>
        <cfvo type="percent" val="0"/>
        <cfvo type="num" val="95"/>
        <cfvo type="num" val="100"/>
      </iconSet>
    </cfRule>
    <cfRule type="iconSet" priority="80">
      <iconSet>
        <cfvo type="percent" val="0"/>
        <cfvo type="num" val="70"/>
        <cfvo type="num" val="90"/>
      </iconSet>
    </cfRule>
    <cfRule type="iconSet" priority="78">
      <iconSet>
        <cfvo type="percent" val="0"/>
        <cfvo type="num" val="95"/>
        <cfvo type="num" val="100"/>
      </iconSet>
    </cfRule>
    <cfRule type="iconSet" priority="81">
      <iconSet>
        <cfvo type="percent" val="0"/>
        <cfvo type="num" val="95"/>
        <cfvo type="num" val="100"/>
      </iconSet>
    </cfRule>
    <cfRule type="iconSet" priority="79">
      <iconSet>
        <cfvo type="percent" val="0"/>
        <cfvo type="num" val="70"/>
        <cfvo type="num" val="90"/>
      </iconSet>
    </cfRule>
  </conditionalFormatting>
  <conditionalFormatting sqref="I34">
    <cfRule type="iconSet" priority="72">
      <iconSet>
        <cfvo type="percent" val="0"/>
        <cfvo type="num" val="95"/>
        <cfvo type="num" val="100"/>
      </iconSet>
    </cfRule>
    <cfRule type="iconSet" priority="71">
      <iconSet>
        <cfvo type="percent" val="0"/>
        <cfvo type="num" val="70"/>
        <cfvo type="num" val="90"/>
      </iconSet>
    </cfRule>
    <cfRule type="iconSet" priority="70">
      <iconSet>
        <cfvo type="percent" val="0"/>
        <cfvo type="num" val="70"/>
        <cfvo type="num" val="90"/>
      </iconSet>
    </cfRule>
    <cfRule type="iconSet" priority="69">
      <iconSet>
        <cfvo type="percent" val="0"/>
        <cfvo type="num" val="95"/>
        <cfvo type="num" val="100"/>
      </iconSet>
    </cfRule>
    <cfRule type="iconSet" priority="68">
      <iconSet>
        <cfvo type="percent" val="0"/>
        <cfvo type="num" val="95"/>
        <cfvo type="num" val="100"/>
      </iconSet>
    </cfRule>
    <cfRule type="iconSet" priority="67">
      <iconSet>
        <cfvo type="percent" val="0"/>
        <cfvo type="num" val="95"/>
        <cfvo type="num" val="100"/>
      </iconSet>
    </cfRule>
    <cfRule type="iconSet" priority="66">
      <iconSet>
        <cfvo type="percent" val="0"/>
        <cfvo type="num" val="70"/>
        <cfvo type="num" val="90"/>
      </iconSet>
    </cfRule>
    <cfRule type="iconSet" priority="65">
      <iconSet>
        <cfvo type="percent" val="0"/>
        <cfvo type="num" val="70"/>
        <cfvo type="num" val="90"/>
      </iconSet>
    </cfRule>
    <cfRule type="iconSet" priority="64">
      <iconSet>
        <cfvo type="percent" val="0"/>
        <cfvo type="num" val="95"/>
        <cfvo type="num" val="100"/>
      </iconSet>
    </cfRule>
  </conditionalFormatting>
  <conditionalFormatting sqref="I35:I36">
    <cfRule type="iconSet" priority="258">
      <iconSet>
        <cfvo type="percent" val="0"/>
        <cfvo type="num" val="95"/>
        <cfvo type="num" val="100"/>
      </iconSet>
    </cfRule>
    <cfRule type="iconSet" priority="257">
      <iconSet>
        <cfvo type="percent" val="0"/>
        <cfvo type="num" val="95"/>
        <cfvo type="num" val="100"/>
      </iconSet>
    </cfRule>
    <cfRule type="iconSet" priority="256">
      <iconSet>
        <cfvo type="percent" val="0"/>
        <cfvo type="num" val="95"/>
        <cfvo type="num" val="100"/>
      </iconSet>
    </cfRule>
    <cfRule type="iconSet" priority="253">
      <iconSet>
        <cfvo type="percent" val="0"/>
        <cfvo type="num" val="95"/>
        <cfvo type="num" val="100"/>
      </iconSet>
    </cfRule>
    <cfRule type="iconSet" priority="255">
      <iconSet>
        <cfvo type="percent" val="0"/>
        <cfvo type="num" val="70"/>
        <cfvo type="num" val="90"/>
      </iconSet>
    </cfRule>
    <cfRule type="iconSet" priority="254">
      <iconSet>
        <cfvo type="percent" val="0"/>
        <cfvo type="num" val="70"/>
        <cfvo type="num" val="90"/>
      </iconSet>
    </cfRule>
    <cfRule type="iconSet" priority="261">
      <iconSet>
        <cfvo type="percent" val="0"/>
        <cfvo type="num" val="95"/>
        <cfvo type="num" val="100"/>
      </iconSet>
    </cfRule>
    <cfRule type="iconSet" priority="260">
      <iconSet>
        <cfvo type="percent" val="0"/>
        <cfvo type="num" val="70"/>
        <cfvo type="num" val="90"/>
      </iconSet>
    </cfRule>
    <cfRule type="iconSet" priority="259">
      <iconSet>
        <cfvo type="percent" val="0"/>
        <cfvo type="num" val="70"/>
        <cfvo type="num" val="90"/>
      </iconSet>
    </cfRule>
  </conditionalFormatting>
  <conditionalFormatting sqref="I37">
    <cfRule type="iconSet" priority="13">
      <iconSet>
        <cfvo type="percent" val="0"/>
        <cfvo type="num" val="95"/>
        <cfvo type="num" val="100"/>
      </iconSet>
    </cfRule>
    <cfRule type="iconSet" priority="14">
      <iconSet>
        <cfvo type="percent" val="0"/>
        <cfvo type="num" val="95"/>
        <cfvo type="num" val="100"/>
      </iconSet>
    </cfRule>
    <cfRule type="iconSet" priority="16">
      <iconSet>
        <cfvo type="percent" val="0"/>
        <cfvo type="num" val="70"/>
        <cfvo type="num" val="90"/>
      </iconSet>
    </cfRule>
    <cfRule type="iconSet" priority="10">
      <iconSet>
        <cfvo type="percent" val="0"/>
        <cfvo type="num" val="95"/>
        <cfvo type="num" val="100"/>
      </iconSet>
    </cfRule>
    <cfRule type="iconSet" priority="11">
      <iconSet>
        <cfvo type="percent" val="0"/>
        <cfvo type="num" val="70"/>
        <cfvo type="num" val="90"/>
      </iconSet>
    </cfRule>
    <cfRule type="iconSet" priority="12">
      <iconSet>
        <cfvo type="percent" val="0"/>
        <cfvo type="num" val="70"/>
        <cfvo type="num" val="90"/>
      </iconSet>
    </cfRule>
    <cfRule type="iconSet" priority="18">
      <iconSet>
        <cfvo type="percent" val="0"/>
        <cfvo type="num" val="95"/>
        <cfvo type="num" val="100"/>
      </iconSet>
    </cfRule>
    <cfRule type="iconSet" priority="17">
      <iconSet>
        <cfvo type="percent" val="0"/>
        <cfvo type="num" val="70"/>
        <cfvo type="num" val="90"/>
      </iconSet>
    </cfRule>
    <cfRule type="iconSet" priority="15">
      <iconSet>
        <cfvo type="percent" val="0"/>
        <cfvo type="num" val="95"/>
        <cfvo type="num" val="100"/>
      </iconSet>
    </cfRule>
  </conditionalFormatting>
  <conditionalFormatting sqref="I38">
    <cfRule type="iconSet" priority="249">
      <iconSet>
        <cfvo type="percent" val="0"/>
        <cfvo type="num" val="95"/>
        <cfvo type="num" val="100"/>
      </iconSet>
    </cfRule>
    <cfRule type="iconSet" priority="250">
      <iconSet>
        <cfvo type="percent" val="0"/>
        <cfvo type="num" val="70"/>
        <cfvo type="num" val="90"/>
      </iconSet>
    </cfRule>
    <cfRule type="iconSet" priority="251">
      <iconSet>
        <cfvo type="percent" val="0"/>
        <cfvo type="num" val="70"/>
        <cfvo type="num" val="90"/>
      </iconSet>
    </cfRule>
    <cfRule type="iconSet" priority="252">
      <iconSet>
        <cfvo type="percent" val="0"/>
        <cfvo type="num" val="95"/>
        <cfvo type="num" val="100"/>
      </iconSet>
    </cfRule>
    <cfRule type="iconSet" priority="244">
      <iconSet>
        <cfvo type="percent" val="0"/>
        <cfvo type="num" val="95"/>
        <cfvo type="num" val="100"/>
      </iconSet>
    </cfRule>
    <cfRule type="iconSet" priority="245">
      <iconSet>
        <cfvo type="percent" val="0"/>
        <cfvo type="num" val="70"/>
        <cfvo type="num" val="90"/>
      </iconSet>
    </cfRule>
    <cfRule type="iconSet" priority="246">
      <iconSet>
        <cfvo type="percent" val="0"/>
        <cfvo type="num" val="70"/>
        <cfvo type="num" val="90"/>
      </iconSet>
    </cfRule>
    <cfRule type="iconSet" priority="247">
      <iconSet>
        <cfvo type="percent" val="0"/>
        <cfvo type="num" val="95"/>
        <cfvo type="num" val="100"/>
      </iconSet>
    </cfRule>
    <cfRule type="iconSet" priority="248">
      <iconSet>
        <cfvo type="percent" val="0"/>
        <cfvo type="num" val="95"/>
        <cfvo type="num" val="100"/>
      </iconSet>
    </cfRule>
  </conditionalFormatting>
  <conditionalFormatting sqref="I39">
    <cfRule type="iconSet" priority="63">
      <iconSet>
        <cfvo type="percent" val="0"/>
        <cfvo type="num" val="95"/>
        <cfvo type="num" val="100"/>
      </iconSet>
    </cfRule>
    <cfRule type="iconSet" priority="62">
      <iconSet>
        <cfvo type="percent" val="0"/>
        <cfvo type="num" val="70"/>
        <cfvo type="num" val="90"/>
      </iconSet>
    </cfRule>
    <cfRule type="iconSet" priority="61">
      <iconSet>
        <cfvo type="percent" val="0"/>
        <cfvo type="num" val="70"/>
        <cfvo type="num" val="90"/>
      </iconSet>
    </cfRule>
    <cfRule type="iconSet" priority="60">
      <iconSet>
        <cfvo type="percent" val="0"/>
        <cfvo type="num" val="95"/>
        <cfvo type="num" val="100"/>
      </iconSet>
    </cfRule>
    <cfRule type="iconSet" priority="59">
      <iconSet>
        <cfvo type="percent" val="0"/>
        <cfvo type="num" val="95"/>
        <cfvo type="num" val="100"/>
      </iconSet>
    </cfRule>
    <cfRule type="iconSet" priority="58">
      <iconSet>
        <cfvo type="percent" val="0"/>
        <cfvo type="num" val="95"/>
        <cfvo type="num" val="100"/>
      </iconSet>
    </cfRule>
    <cfRule type="iconSet" priority="56">
      <iconSet>
        <cfvo type="percent" val="0"/>
        <cfvo type="num" val="70"/>
        <cfvo type="num" val="90"/>
      </iconSet>
    </cfRule>
    <cfRule type="iconSet" priority="55">
      <iconSet>
        <cfvo type="percent" val="0"/>
        <cfvo type="num" val="95"/>
        <cfvo type="num" val="100"/>
      </iconSet>
    </cfRule>
    <cfRule type="iconSet" priority="57">
      <iconSet>
        <cfvo type="percent" val="0"/>
        <cfvo type="num" val="70"/>
        <cfvo type="num" val="90"/>
      </iconSet>
    </cfRule>
  </conditionalFormatting>
  <conditionalFormatting sqref="I40">
    <cfRule type="iconSet" priority="54">
      <iconSet>
        <cfvo type="percent" val="0"/>
        <cfvo type="num" val="95"/>
        <cfvo type="num" val="100"/>
      </iconSet>
    </cfRule>
    <cfRule type="iconSet" priority="53">
      <iconSet>
        <cfvo type="percent" val="0"/>
        <cfvo type="num" val="70"/>
        <cfvo type="num" val="90"/>
      </iconSet>
    </cfRule>
    <cfRule type="iconSet" priority="52">
      <iconSet>
        <cfvo type="percent" val="0"/>
        <cfvo type="num" val="70"/>
        <cfvo type="num" val="90"/>
      </iconSet>
    </cfRule>
    <cfRule type="iconSet" priority="51">
      <iconSet>
        <cfvo type="percent" val="0"/>
        <cfvo type="num" val="95"/>
        <cfvo type="num" val="100"/>
      </iconSet>
    </cfRule>
    <cfRule type="iconSet" priority="50">
      <iconSet>
        <cfvo type="percent" val="0"/>
        <cfvo type="num" val="95"/>
        <cfvo type="num" val="100"/>
      </iconSet>
    </cfRule>
    <cfRule type="iconSet" priority="49">
      <iconSet>
        <cfvo type="percent" val="0"/>
        <cfvo type="num" val="95"/>
        <cfvo type="num" val="100"/>
      </iconSet>
    </cfRule>
    <cfRule type="iconSet" priority="48">
      <iconSet>
        <cfvo type="percent" val="0"/>
        <cfvo type="num" val="70"/>
        <cfvo type="num" val="90"/>
      </iconSet>
    </cfRule>
    <cfRule type="iconSet" priority="47">
      <iconSet>
        <cfvo type="percent" val="0"/>
        <cfvo type="num" val="70"/>
        <cfvo type="num" val="90"/>
      </iconSet>
    </cfRule>
    <cfRule type="iconSet" priority="46">
      <iconSet>
        <cfvo type="percent" val="0"/>
        <cfvo type="num" val="95"/>
        <cfvo type="num" val="100"/>
      </iconSet>
    </cfRule>
  </conditionalFormatting>
  <conditionalFormatting sqref="I41">
    <cfRule type="iconSet" priority="45">
      <iconSet>
        <cfvo type="percent" val="0"/>
        <cfvo type="num" val="95"/>
        <cfvo type="num" val="100"/>
      </iconSet>
    </cfRule>
    <cfRule type="iconSet" priority="44">
      <iconSet>
        <cfvo type="percent" val="0"/>
        <cfvo type="num" val="70"/>
        <cfvo type="num" val="90"/>
      </iconSet>
    </cfRule>
    <cfRule type="iconSet" priority="43">
      <iconSet>
        <cfvo type="percent" val="0"/>
        <cfvo type="num" val="70"/>
        <cfvo type="num" val="90"/>
      </iconSet>
    </cfRule>
    <cfRule type="iconSet" priority="41">
      <iconSet>
        <cfvo type="percent" val="0"/>
        <cfvo type="num" val="95"/>
        <cfvo type="num" val="100"/>
      </iconSet>
    </cfRule>
    <cfRule type="iconSet" priority="40">
      <iconSet>
        <cfvo type="percent" val="0"/>
        <cfvo type="num" val="95"/>
        <cfvo type="num" val="100"/>
      </iconSet>
    </cfRule>
    <cfRule type="iconSet" priority="39">
      <iconSet>
        <cfvo type="percent" val="0"/>
        <cfvo type="num" val="70"/>
        <cfvo type="num" val="90"/>
      </iconSet>
    </cfRule>
    <cfRule type="iconSet" priority="38">
      <iconSet>
        <cfvo type="percent" val="0"/>
        <cfvo type="num" val="70"/>
        <cfvo type="num" val="90"/>
      </iconSet>
    </cfRule>
    <cfRule type="iconSet" priority="37">
      <iconSet>
        <cfvo type="percent" val="0"/>
        <cfvo type="num" val="95"/>
        <cfvo type="num" val="100"/>
      </iconSet>
    </cfRule>
    <cfRule type="iconSet" priority="42">
      <iconSet>
        <cfvo type="percent" val="0"/>
        <cfvo type="num" val="95"/>
        <cfvo type="num" val="100"/>
      </iconSet>
    </cfRule>
  </conditionalFormatting>
  <conditionalFormatting sqref="I42">
    <cfRule type="iconSet" priority="243">
      <iconSet>
        <cfvo type="percent" val="0"/>
        <cfvo type="num" val="95"/>
        <cfvo type="num" val="100"/>
      </iconSet>
    </cfRule>
    <cfRule type="iconSet" priority="238">
      <iconSet>
        <cfvo type="percent" val="0"/>
        <cfvo type="num" val="95"/>
        <cfvo type="num" val="100"/>
      </iconSet>
    </cfRule>
    <cfRule type="iconSet" priority="237">
      <iconSet>
        <cfvo type="percent" val="0"/>
        <cfvo type="num" val="70"/>
        <cfvo type="num" val="90"/>
      </iconSet>
    </cfRule>
    <cfRule type="iconSet" priority="235">
      <iconSet>
        <cfvo type="percent" val="0"/>
        <cfvo type="num" val="95"/>
        <cfvo type="num" val="100"/>
      </iconSet>
    </cfRule>
    <cfRule type="iconSet" priority="236">
      <iconSet>
        <cfvo type="percent" val="0"/>
        <cfvo type="num" val="70"/>
        <cfvo type="num" val="90"/>
      </iconSet>
    </cfRule>
    <cfRule type="iconSet" priority="242">
      <iconSet>
        <cfvo type="percent" val="0"/>
        <cfvo type="num" val="70"/>
        <cfvo type="num" val="90"/>
      </iconSet>
    </cfRule>
    <cfRule type="iconSet" priority="241">
      <iconSet>
        <cfvo type="percent" val="0"/>
        <cfvo type="num" val="70"/>
        <cfvo type="num" val="90"/>
      </iconSet>
    </cfRule>
    <cfRule type="iconSet" priority="240">
      <iconSet>
        <cfvo type="percent" val="0"/>
        <cfvo type="num" val="95"/>
        <cfvo type="num" val="100"/>
      </iconSet>
    </cfRule>
    <cfRule type="iconSet" priority="239">
      <iconSet>
        <cfvo type="percent" val="0"/>
        <cfvo type="num" val="95"/>
        <cfvo type="num" val="100"/>
      </iconSet>
    </cfRule>
  </conditionalFormatting>
  <conditionalFormatting sqref="I43">
    <cfRule type="iconSet" priority="35">
      <iconSet>
        <cfvo type="percent" val="0"/>
        <cfvo type="num" val="70"/>
        <cfvo type="num" val="90"/>
      </iconSet>
    </cfRule>
    <cfRule type="iconSet" priority="34">
      <iconSet>
        <cfvo type="percent" val="0"/>
        <cfvo type="num" val="70"/>
        <cfvo type="num" val="90"/>
      </iconSet>
    </cfRule>
    <cfRule type="iconSet" priority="33">
      <iconSet>
        <cfvo type="percent" val="0"/>
        <cfvo type="num" val="95"/>
        <cfvo type="num" val="100"/>
      </iconSet>
    </cfRule>
    <cfRule type="iconSet" priority="28">
      <iconSet>
        <cfvo type="percent" val="0"/>
        <cfvo type="num" val="95"/>
        <cfvo type="num" val="100"/>
      </iconSet>
    </cfRule>
    <cfRule type="iconSet" priority="31">
      <iconSet>
        <cfvo type="percent" val="0"/>
        <cfvo type="num" val="95"/>
        <cfvo type="num" val="100"/>
      </iconSet>
    </cfRule>
    <cfRule type="iconSet" priority="30">
      <iconSet>
        <cfvo type="percent" val="0"/>
        <cfvo type="num" val="70"/>
        <cfvo type="num" val="90"/>
      </iconSet>
    </cfRule>
    <cfRule type="iconSet" priority="32">
      <iconSet>
        <cfvo type="percent" val="0"/>
        <cfvo type="num" val="95"/>
        <cfvo type="num" val="100"/>
      </iconSet>
    </cfRule>
    <cfRule type="iconSet" priority="29">
      <iconSet>
        <cfvo type="percent" val="0"/>
        <cfvo type="num" val="70"/>
        <cfvo type="num" val="90"/>
      </iconSet>
    </cfRule>
    <cfRule type="iconSet" priority="36">
      <iconSet>
        <cfvo type="percent" val="0"/>
        <cfvo type="num" val="95"/>
        <cfvo type="num" val="100"/>
      </iconSet>
    </cfRule>
  </conditionalFormatting>
  <conditionalFormatting sqref="I44">
    <cfRule type="iconSet" priority="27">
      <iconSet>
        <cfvo type="percent" val="0"/>
        <cfvo type="num" val="95"/>
        <cfvo type="num" val="100"/>
      </iconSet>
    </cfRule>
    <cfRule type="iconSet" priority="19">
      <iconSet>
        <cfvo type="percent" val="0"/>
        <cfvo type="num" val="95"/>
        <cfvo type="num" val="100"/>
      </iconSet>
    </cfRule>
    <cfRule type="iconSet" priority="20">
      <iconSet>
        <cfvo type="percent" val="0"/>
        <cfvo type="num" val="70"/>
        <cfvo type="num" val="90"/>
      </iconSet>
    </cfRule>
    <cfRule type="iconSet" priority="21">
      <iconSet>
        <cfvo type="percent" val="0"/>
        <cfvo type="num" val="70"/>
        <cfvo type="num" val="90"/>
      </iconSet>
    </cfRule>
    <cfRule type="iconSet" priority="22">
      <iconSet>
        <cfvo type="percent" val="0"/>
        <cfvo type="num" val="95"/>
        <cfvo type="num" val="100"/>
      </iconSet>
    </cfRule>
    <cfRule type="iconSet" priority="23">
      <iconSet>
        <cfvo type="percent" val="0"/>
        <cfvo type="num" val="95"/>
        <cfvo type="num" val="100"/>
      </iconSet>
    </cfRule>
    <cfRule type="iconSet" priority="24">
      <iconSet>
        <cfvo type="percent" val="0"/>
        <cfvo type="num" val="95"/>
        <cfvo type="num" val="100"/>
      </iconSet>
    </cfRule>
    <cfRule type="iconSet" priority="26">
      <iconSet>
        <cfvo type="percent" val="0"/>
        <cfvo type="num" val="70"/>
        <cfvo type="num" val="90"/>
      </iconSet>
    </cfRule>
    <cfRule type="iconSet" priority="25">
      <iconSet>
        <cfvo type="percent" val="0"/>
        <cfvo type="num" val="70"/>
        <cfvo type="num" val="90"/>
      </iconSet>
    </cfRule>
  </conditionalFormatting>
  <conditionalFormatting sqref="I45">
    <cfRule type="iconSet" priority="319">
      <iconSet>
        <cfvo type="percent" val="0"/>
        <cfvo type="num" val="95"/>
        <cfvo type="num" val="100"/>
      </iconSet>
    </cfRule>
    <cfRule type="iconSet" priority="320">
      <iconSet>
        <cfvo type="percent" val="0"/>
        <cfvo type="num" val="70"/>
        <cfvo type="num" val="90"/>
      </iconSet>
    </cfRule>
    <cfRule type="iconSet" priority="321">
      <iconSet>
        <cfvo type="percent" val="0"/>
        <cfvo type="num" val="70"/>
        <cfvo type="num" val="90"/>
      </iconSet>
    </cfRule>
    <cfRule type="iconSet" priority="322">
      <iconSet>
        <cfvo type="percent" val="0"/>
        <cfvo type="num" val="95"/>
        <cfvo type="num" val="100"/>
      </iconSet>
    </cfRule>
    <cfRule type="iconSet" priority="323">
      <iconSet>
        <cfvo type="percent" val="0"/>
        <cfvo type="num" val="95"/>
        <cfvo type="num" val="100"/>
      </iconSet>
    </cfRule>
    <cfRule type="iconSet" priority="324">
      <iconSet>
        <cfvo type="percent" val="0"/>
        <cfvo type="num" val="70"/>
        <cfvo type="num" val="90"/>
      </iconSet>
    </cfRule>
    <cfRule type="iconSet" priority="325">
      <iconSet>
        <cfvo type="percent" val="0"/>
        <cfvo type="num" val="70"/>
        <cfvo type="num" val="90"/>
      </iconSet>
    </cfRule>
    <cfRule type="iconSet" priority="326">
      <iconSet>
        <cfvo type="percent" val="0"/>
        <cfvo type="num" val="95"/>
        <cfvo type="num" val="100"/>
      </iconSet>
    </cfRule>
    <cfRule type="iconSet" priority="314">
      <iconSet>
        <cfvo type="percent" val="0"/>
        <cfvo type="num" val="95"/>
        <cfvo type="num" val="100"/>
      </iconSet>
    </cfRule>
    <cfRule type="iconSet" priority="299">
      <iconSet>
        <cfvo type="percent" val="0"/>
        <cfvo type="num" val="95"/>
        <cfvo type="num" val="100"/>
      </iconSet>
    </cfRule>
    <cfRule type="iconSet" priority="300">
      <iconSet>
        <cfvo type="percent" val="0"/>
        <cfvo type="num" val="70"/>
        <cfvo type="num" val="90"/>
      </iconSet>
    </cfRule>
    <cfRule type="iconSet" priority="301">
      <iconSet>
        <cfvo type="percent" val="0"/>
        <cfvo type="num" val="70"/>
        <cfvo type="num" val="90"/>
      </iconSet>
    </cfRule>
    <cfRule type="iconSet" priority="302">
      <iconSet>
        <cfvo type="percent" val="0"/>
        <cfvo type="num" val="95"/>
        <cfvo type="num" val="100"/>
      </iconSet>
    </cfRule>
    <cfRule type="iconSet" priority="303">
      <iconSet>
        <cfvo type="percent" val="0"/>
        <cfvo type="num" val="95"/>
        <cfvo type="num" val="100"/>
      </iconSet>
    </cfRule>
    <cfRule type="iconSet" priority="304">
      <iconSet>
        <cfvo type="percent" val="0"/>
        <cfvo type="num" val="70"/>
        <cfvo type="num" val="90"/>
      </iconSet>
    </cfRule>
    <cfRule type="iconSet" priority="305">
      <iconSet>
        <cfvo type="percent" val="0"/>
        <cfvo type="num" val="70"/>
        <cfvo type="num" val="90"/>
      </iconSet>
    </cfRule>
    <cfRule type="iconSet" priority="306">
      <iconSet>
        <cfvo type="percent" val="0"/>
        <cfvo type="num" val="95"/>
        <cfvo type="num" val="100"/>
      </iconSet>
    </cfRule>
    <cfRule type="iconSet" priority="307">
      <iconSet>
        <cfvo type="percent" val="0"/>
        <cfvo type="num" val="95"/>
        <cfvo type="num" val="100"/>
      </iconSet>
    </cfRule>
    <cfRule type="iconSet" priority="308">
      <iconSet>
        <cfvo type="percent" val="0"/>
        <cfvo type="num" val="70"/>
        <cfvo type="num" val="90"/>
      </iconSet>
    </cfRule>
    <cfRule type="iconSet" priority="309">
      <iconSet>
        <cfvo type="percent" val="0"/>
        <cfvo type="num" val="70"/>
        <cfvo type="num" val="90"/>
      </iconSet>
    </cfRule>
    <cfRule type="iconSet" priority="310">
      <iconSet>
        <cfvo type="percent" val="0"/>
        <cfvo type="num" val="95"/>
        <cfvo type="num" val="100"/>
      </iconSet>
    </cfRule>
    <cfRule type="iconSet" priority="311">
      <iconSet>
        <cfvo type="percent" val="0"/>
        <cfvo type="num" val="95"/>
        <cfvo type="num" val="100"/>
      </iconSet>
    </cfRule>
    <cfRule type="iconSet" priority="312">
      <iconSet>
        <cfvo type="percent" val="0"/>
        <cfvo type="num" val="70"/>
        <cfvo type="num" val="90"/>
      </iconSet>
    </cfRule>
    <cfRule type="iconSet" priority="313">
      <iconSet>
        <cfvo type="percent" val="0"/>
        <cfvo type="num" val="70"/>
        <cfvo type="num" val="90"/>
      </iconSet>
    </cfRule>
    <cfRule type="iconSet" priority="315">
      <iconSet>
        <cfvo type="percent" val="0"/>
        <cfvo type="num" val="95"/>
        <cfvo type="num" val="100"/>
      </iconSet>
    </cfRule>
    <cfRule type="iconSet" priority="316">
      <iconSet>
        <cfvo type="percent" val="0"/>
        <cfvo type="num" val="70"/>
        <cfvo type="num" val="90"/>
      </iconSet>
    </cfRule>
    <cfRule type="iconSet" priority="317">
      <iconSet>
        <cfvo type="percent" val="0"/>
        <cfvo type="num" val="70"/>
        <cfvo type="num" val="90"/>
      </iconSet>
    </cfRule>
    <cfRule type="iconSet" priority="318">
      <iconSet>
        <cfvo type="percent" val="0"/>
        <cfvo type="num" val="95"/>
        <cfvo type="num" val="100"/>
      </iconSet>
    </cfRule>
  </conditionalFormatting>
  <conditionalFormatting sqref="I45:I46">
    <cfRule type="iconSet" priority="327">
      <iconSet>
        <cfvo type="percent" val="0"/>
        <cfvo type="num" val="70"/>
        <cfvo type="num" val="90"/>
      </iconSet>
    </cfRule>
    <cfRule type="iconSet" priority="328">
      <iconSet>
        <cfvo type="percent" val="0"/>
        <cfvo type="num" val="95"/>
        <cfvo type="num" val="100"/>
      </iconSet>
    </cfRule>
    <cfRule type="iconSet" priority="331">
      <iconSet>
        <cfvo type="percent" val="0"/>
        <cfvo type="num" val="95"/>
        <cfvo type="num" val="100"/>
      </iconSet>
    </cfRule>
  </conditionalFormatting>
  <conditionalFormatting sqref="I46">
    <cfRule type="iconSet" priority="274">
      <iconSet>
        <cfvo type="percent" val="0"/>
        <cfvo type="num" val="95"/>
        <cfvo type="num" val="100"/>
      </iconSet>
    </cfRule>
    <cfRule type="iconSet" priority="275">
      <iconSet>
        <cfvo type="percent" val="0"/>
        <cfvo type="num" val="95"/>
        <cfvo type="num" val="100"/>
      </iconSet>
    </cfRule>
    <cfRule type="iconSet" priority="276">
      <iconSet>
        <cfvo type="percent" val="0"/>
        <cfvo type="num" val="70"/>
        <cfvo type="num" val="90"/>
      </iconSet>
    </cfRule>
    <cfRule type="iconSet" priority="277">
      <iconSet>
        <cfvo type="percent" val="0"/>
        <cfvo type="num" val="70"/>
        <cfvo type="num" val="90"/>
      </iconSet>
    </cfRule>
    <cfRule type="iconSet" priority="278">
      <iconSet>
        <cfvo type="percent" val="0"/>
        <cfvo type="num" val="95"/>
        <cfvo type="num" val="100"/>
      </iconSet>
    </cfRule>
    <cfRule type="iconSet" priority="292">
      <iconSet>
        <cfvo type="percent" val="0"/>
        <cfvo type="num" val="70"/>
        <cfvo type="num" val="90"/>
      </iconSet>
    </cfRule>
    <cfRule type="iconSet" priority="280">
      <iconSet>
        <cfvo type="percent" val="0"/>
        <cfvo type="num" val="70"/>
        <cfvo type="num" val="90"/>
      </iconSet>
    </cfRule>
    <cfRule type="iconSet" priority="281">
      <iconSet>
        <cfvo type="percent" val="0"/>
        <cfvo type="num" val="70"/>
        <cfvo type="num" val="90"/>
      </iconSet>
    </cfRule>
    <cfRule type="iconSet" priority="295">
      <iconSet>
        <cfvo type="percent" val="0"/>
        <cfvo type="num" val="95"/>
        <cfvo type="num" val="100"/>
      </iconSet>
    </cfRule>
    <cfRule type="iconSet" priority="296">
      <iconSet>
        <cfvo type="percent" val="0"/>
        <cfvo type="num" val="70"/>
        <cfvo type="num" val="90"/>
      </iconSet>
    </cfRule>
    <cfRule type="iconSet" priority="294">
      <iconSet>
        <cfvo type="percent" val="0"/>
        <cfvo type="num" val="95"/>
        <cfvo type="num" val="100"/>
      </iconSet>
    </cfRule>
    <cfRule type="iconSet" priority="297">
      <iconSet>
        <cfvo type="percent" val="0"/>
        <cfvo type="num" val="70"/>
        <cfvo type="num" val="90"/>
      </iconSet>
    </cfRule>
    <cfRule type="iconSet" priority="298">
      <iconSet>
        <cfvo type="percent" val="0"/>
        <cfvo type="num" val="95"/>
        <cfvo type="num" val="100"/>
      </iconSet>
    </cfRule>
    <cfRule type="iconSet" priority="282">
      <iconSet>
        <cfvo type="percent" val="0"/>
        <cfvo type="num" val="95"/>
        <cfvo type="num" val="100"/>
      </iconSet>
    </cfRule>
    <cfRule type="iconSet" priority="283">
      <iconSet>
        <cfvo type="percent" val="0"/>
        <cfvo type="num" val="95"/>
        <cfvo type="num" val="100"/>
      </iconSet>
    </cfRule>
    <cfRule type="iconSet" priority="284">
      <iconSet>
        <cfvo type="percent" val="0"/>
        <cfvo type="num" val="70"/>
        <cfvo type="num" val="90"/>
      </iconSet>
    </cfRule>
    <cfRule type="iconSet" priority="285">
      <iconSet>
        <cfvo type="percent" val="0"/>
        <cfvo type="num" val="70"/>
        <cfvo type="num" val="90"/>
      </iconSet>
    </cfRule>
    <cfRule type="iconSet" priority="286">
      <iconSet>
        <cfvo type="percent" val="0"/>
        <cfvo type="num" val="95"/>
        <cfvo type="num" val="100"/>
      </iconSet>
    </cfRule>
    <cfRule type="iconSet" priority="287">
      <iconSet>
        <cfvo type="percent" val="0"/>
        <cfvo type="num" val="95"/>
        <cfvo type="num" val="100"/>
      </iconSet>
    </cfRule>
    <cfRule type="iconSet" priority="288">
      <iconSet>
        <cfvo type="percent" val="0"/>
        <cfvo type="num" val="70"/>
        <cfvo type="num" val="90"/>
      </iconSet>
    </cfRule>
    <cfRule type="iconSet" priority="289">
      <iconSet>
        <cfvo type="percent" val="0"/>
        <cfvo type="num" val="70"/>
        <cfvo type="num" val="90"/>
      </iconSet>
    </cfRule>
    <cfRule type="iconSet" priority="290">
      <iconSet>
        <cfvo type="percent" val="0"/>
        <cfvo type="num" val="95"/>
        <cfvo type="num" val="100"/>
      </iconSet>
    </cfRule>
    <cfRule type="iconSet" priority="291">
      <iconSet>
        <cfvo type="percent" val="0"/>
        <cfvo type="num" val="95"/>
        <cfvo type="num" val="100"/>
      </iconSet>
    </cfRule>
    <cfRule type="iconSet" priority="271">
      <iconSet>
        <cfvo type="percent" val="0"/>
        <cfvo type="num" val="95"/>
        <cfvo type="num" val="100"/>
      </iconSet>
    </cfRule>
    <cfRule type="iconSet" priority="272">
      <iconSet>
        <cfvo type="percent" val="0"/>
        <cfvo type="num" val="70"/>
        <cfvo type="num" val="90"/>
      </iconSet>
    </cfRule>
    <cfRule type="iconSet" priority="329">
      <iconSet>
        <cfvo type="percent" val="0"/>
        <cfvo type="num" val="70"/>
        <cfvo type="num" val="90"/>
      </iconSet>
    </cfRule>
    <cfRule type="iconSet" priority="330">
      <iconSet>
        <cfvo type="percent" val="0"/>
        <cfvo type="num" val="95"/>
        <cfvo type="num" val="100"/>
      </iconSet>
    </cfRule>
    <cfRule type="iconSet" priority="273">
      <iconSet>
        <cfvo type="percent" val="0"/>
        <cfvo type="num" val="70"/>
        <cfvo type="num" val="90"/>
      </iconSet>
    </cfRule>
    <cfRule type="iconSet" priority="279">
      <iconSet>
        <cfvo type="percent" val="0"/>
        <cfvo type="num" val="95"/>
        <cfvo type="num" val="100"/>
      </iconSet>
    </cfRule>
    <cfRule type="iconSet" priority="293">
      <iconSet>
        <cfvo type="percent" val="0"/>
        <cfvo type="num" val="70"/>
        <cfvo type="num" val="90"/>
      </iconSet>
    </cfRule>
  </conditionalFormatting>
  <conditionalFormatting sqref="I47:I49">
    <cfRule type="iconSet" priority="333">
      <iconSet>
        <cfvo type="percent" val="0"/>
        <cfvo type="num" val="95"/>
        <cfvo type="num" val="100"/>
      </iconSet>
    </cfRule>
  </conditionalFormatting>
  <dataValidations count="1">
    <dataValidation type="list" allowBlank="1" showInputMessage="1" showErrorMessage="1" sqref="M2" xr:uid="{00000000-0002-0000-0B00-000000000000}">
      <formula1>$M$7:$M$18</formula1>
    </dataValidation>
  </dataValidations>
  <printOptions horizontalCentered="1"/>
  <pageMargins left="0.25" right="0.25" top="0.75" bottom="0.75" header="0.3" footer="0.3"/>
  <pageSetup paperSize="9" scale="64" fitToWidth="0" orientation="portrait" horizontalDpi="360" verticalDpi="36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  <pageSetUpPr fitToPage="1"/>
  </sheetPr>
  <dimension ref="A1:BD90"/>
  <sheetViews>
    <sheetView workbookViewId="0"/>
  </sheetViews>
  <sheetFormatPr defaultColWidth="9.140625" defaultRowHeight="15"/>
  <cols>
    <col min="1" max="1" width="8.7109375" style="1" customWidth="1"/>
    <col min="2" max="2" width="3.85546875" style="170" customWidth="1"/>
    <col min="3" max="3" width="5.7109375" style="7" customWidth="1"/>
    <col min="4" max="4" width="46.5703125" style="1" customWidth="1"/>
    <col min="5" max="5" width="9.85546875" style="381" customWidth="1"/>
    <col min="6" max="6" width="14.28515625" style="7" customWidth="1"/>
    <col min="7" max="7" width="11.140625" style="7" customWidth="1"/>
    <col min="8" max="8" width="14" style="7" customWidth="1"/>
    <col min="9" max="9" width="12.28515625" style="7" bestFit="1" customWidth="1"/>
    <col min="10" max="10" width="12.7109375" style="7" customWidth="1"/>
    <col min="11" max="11" width="13.7109375" style="7" bestFit="1" customWidth="1"/>
    <col min="12" max="12" width="12.5703125" style="7" customWidth="1"/>
    <col min="13" max="13" width="7.140625" style="1" customWidth="1"/>
    <col min="14" max="14" width="5.7109375" style="7" customWidth="1"/>
    <col min="15" max="15" width="57.7109375" style="1" customWidth="1"/>
    <col min="16" max="16" width="2.85546875" style="381" customWidth="1"/>
    <col min="17" max="17" width="12.28515625" style="7" bestFit="1" customWidth="1"/>
    <col min="18" max="18" width="9.7109375" style="7" customWidth="1"/>
    <col min="19" max="19" width="13.7109375" style="7" bestFit="1" customWidth="1"/>
    <col min="20" max="20" width="10.28515625" style="7" bestFit="1" customWidth="1"/>
    <col min="21" max="21" width="12.7109375" style="7" customWidth="1"/>
    <col min="22" max="22" width="13.28515625" style="7" customWidth="1"/>
    <col min="23" max="23" width="11.7109375" style="7" bestFit="1" customWidth="1"/>
    <col min="24" max="24" width="7.140625" style="1" customWidth="1"/>
    <col min="25" max="25" width="5.7109375" style="1" customWidth="1"/>
    <col min="26" max="26" width="56.7109375" style="1" customWidth="1"/>
    <col min="27" max="27" width="2.85546875" style="381" customWidth="1"/>
    <col min="28" max="28" width="11.42578125" style="1" customWidth="1"/>
    <col min="29" max="29" width="9.7109375" style="1" customWidth="1"/>
    <col min="30" max="30" width="11.28515625" style="1" bestFit="1" customWidth="1"/>
    <col min="31" max="31" width="9.85546875" style="1" customWidth="1"/>
    <col min="32" max="32" width="11.7109375" style="1" bestFit="1" customWidth="1"/>
    <col min="33" max="33" width="12.7109375" style="1" bestFit="1" customWidth="1"/>
    <col min="34" max="34" width="11.85546875" style="1" customWidth="1"/>
    <col min="35" max="35" width="8.5703125" style="1" customWidth="1"/>
    <col min="36" max="36" width="5.7109375" style="1" customWidth="1"/>
    <col min="37" max="37" width="58.7109375" style="1" customWidth="1"/>
    <col min="38" max="38" width="3" style="381" customWidth="1"/>
    <col min="39" max="39" width="11.42578125" style="1" customWidth="1"/>
    <col min="40" max="40" width="9.7109375" style="1" customWidth="1"/>
    <col min="41" max="41" width="12.28515625" style="1" bestFit="1" customWidth="1"/>
    <col min="42" max="42" width="9.7109375" style="1" bestFit="1" customWidth="1"/>
    <col min="43" max="43" width="13.85546875" style="1" bestFit="1" customWidth="1"/>
    <col min="44" max="44" width="12.85546875" style="7" customWidth="1"/>
    <col min="45" max="45" width="12.140625" style="1" customWidth="1"/>
    <col min="46" max="46" width="9.7109375" style="1" customWidth="1"/>
    <col min="47" max="47" width="5.7109375" style="1" customWidth="1"/>
    <col min="48" max="48" width="55.85546875" style="1" customWidth="1"/>
    <col min="49" max="49" width="2.85546875" style="381" customWidth="1"/>
    <col min="50" max="50" width="11.42578125" style="1" customWidth="1"/>
    <col min="51" max="51" width="9.7109375" style="1" customWidth="1"/>
    <col min="52" max="52" width="10.7109375" style="1" customWidth="1"/>
    <col min="53" max="53" width="9.5703125" style="1" customWidth="1"/>
    <col min="54" max="54" width="11" style="1" bestFit="1" customWidth="1"/>
    <col min="55" max="55" width="12.85546875" style="1" customWidth="1"/>
    <col min="56" max="56" width="14.140625" style="1" customWidth="1"/>
    <col min="57" max="58" width="9.140625" style="1"/>
    <col min="59" max="59" width="14" style="1" bestFit="1" customWidth="1"/>
    <col min="60" max="16384" width="9.140625" style="1"/>
  </cols>
  <sheetData>
    <row r="1" spans="1:56" ht="16.5" thickBot="1">
      <c r="A1" s="140" t="s">
        <v>165</v>
      </c>
      <c r="B1" s="169"/>
      <c r="C1" s="6" t="s">
        <v>154</v>
      </c>
      <c r="N1" s="6"/>
    </row>
    <row r="2" spans="1:56">
      <c r="J2" s="7" t="s">
        <v>257</v>
      </c>
      <c r="U2" s="7" t="s">
        <v>257</v>
      </c>
      <c r="AO2" s="22"/>
    </row>
    <row r="3" spans="1:56" ht="15.75">
      <c r="D3" s="8" t="s">
        <v>258</v>
      </c>
      <c r="E3" s="382"/>
      <c r="O3" s="8" t="str">
        <f>$D$3</f>
        <v>REALISASI KINERJA UNIT TAHUN 2025</v>
      </c>
      <c r="P3" s="382"/>
      <c r="R3" s="240"/>
      <c r="S3" s="240"/>
      <c r="T3" s="240"/>
      <c r="U3" s="240"/>
      <c r="Y3" s="7"/>
      <c r="Z3" s="8" t="str">
        <f>$D$3</f>
        <v>REALISASI KINERJA UNIT TAHUN 2025</v>
      </c>
      <c r="AA3" s="382"/>
      <c r="AB3" s="7"/>
      <c r="AC3" s="7"/>
      <c r="AD3" s="7"/>
      <c r="AJ3" s="7"/>
      <c r="AK3" s="8" t="str">
        <f>$D$3</f>
        <v>REALISASI KINERJA UNIT TAHUN 2025</v>
      </c>
      <c r="AL3" s="382"/>
      <c r="AM3" s="7"/>
      <c r="AN3" s="7"/>
      <c r="AO3" s="7"/>
      <c r="AU3" s="7"/>
      <c r="AV3" s="8" t="str">
        <f>$D$3</f>
        <v>REALISASI KINERJA UNIT TAHUN 2025</v>
      </c>
      <c r="AW3" s="382"/>
      <c r="AX3" s="7"/>
      <c r="AY3" s="7"/>
      <c r="AZ3"/>
    </row>
    <row r="4" spans="1:56" ht="15.75">
      <c r="D4" s="8" t="s">
        <v>259</v>
      </c>
      <c r="E4" s="382"/>
      <c r="O4" s="8" t="s">
        <v>260</v>
      </c>
      <c r="P4" s="382"/>
      <c r="V4" s="240"/>
      <c r="Y4" s="7"/>
      <c r="Z4" s="8" t="s">
        <v>261</v>
      </c>
      <c r="AA4" s="382"/>
      <c r="AB4" s="7"/>
      <c r="AC4" s="7"/>
      <c r="AD4" s="7"/>
      <c r="AJ4" s="7"/>
      <c r="AK4" s="8" t="s">
        <v>262</v>
      </c>
      <c r="AL4" s="382"/>
      <c r="AM4" s="7"/>
      <c r="AN4" s="7"/>
      <c r="AO4" s="7"/>
      <c r="AQ4" s="391"/>
      <c r="AU4" s="7"/>
      <c r="AV4" s="8" t="s">
        <v>263</v>
      </c>
      <c r="AW4" s="382"/>
      <c r="AX4" s="7"/>
      <c r="AY4" s="7"/>
      <c r="AZ4" s="7"/>
    </row>
    <row r="5" spans="1:56" ht="26.45" customHeight="1">
      <c r="A5" s="9" t="s">
        <v>264</v>
      </c>
      <c r="B5" s="171"/>
      <c r="C5" s="10"/>
      <c r="N5" s="10"/>
      <c r="Y5" s="10"/>
      <c r="AB5" s="7"/>
      <c r="AC5" s="7"/>
      <c r="AD5" s="7"/>
      <c r="AJ5" s="10"/>
      <c r="AM5" s="7"/>
      <c r="AN5" s="7"/>
      <c r="AO5" s="7"/>
      <c r="AU5" s="10"/>
      <c r="AX5" s="7"/>
      <c r="AY5" s="7"/>
      <c r="AZ5" s="7"/>
    </row>
    <row r="6" spans="1:56" s="11" customFormat="1">
      <c r="B6" s="172"/>
      <c r="C6" s="790" t="s">
        <v>8</v>
      </c>
      <c r="D6" s="793" t="s">
        <v>265</v>
      </c>
      <c r="E6" s="383"/>
      <c r="F6" s="795" t="s">
        <v>93</v>
      </c>
      <c r="G6" s="790" t="s">
        <v>99</v>
      </c>
      <c r="H6" s="790" t="s">
        <v>266</v>
      </c>
      <c r="I6" s="792" t="str">
        <f>VLOOKUP($A$1,$K$74:$L$85,2,FALSE)</f>
        <v>S.D. AGUSTUS</v>
      </c>
      <c r="J6" s="792"/>
      <c r="K6" s="792"/>
      <c r="L6" s="792"/>
      <c r="N6" s="790" t="s">
        <v>8</v>
      </c>
      <c r="O6" s="793" t="s">
        <v>265</v>
      </c>
      <c r="P6" s="383"/>
      <c r="Q6" s="795" t="s">
        <v>93</v>
      </c>
      <c r="R6" s="790" t="s">
        <v>99</v>
      </c>
      <c r="S6" s="790" t="s">
        <v>266</v>
      </c>
      <c r="T6" s="792" t="str">
        <f>VLOOKUP($A$1,$K$74:$L$85,2,FALSE)</f>
        <v>S.D. AGUSTUS</v>
      </c>
      <c r="U6" s="792"/>
      <c r="V6" s="792"/>
      <c r="W6" s="792"/>
      <c r="Y6" s="790" t="s">
        <v>8</v>
      </c>
      <c r="Z6" s="793" t="s">
        <v>265</v>
      </c>
      <c r="AA6" s="383"/>
      <c r="AB6" s="795" t="s">
        <v>93</v>
      </c>
      <c r="AC6" s="790" t="s">
        <v>99</v>
      </c>
      <c r="AD6" s="790" t="s">
        <v>266</v>
      </c>
      <c r="AE6" s="792" t="str">
        <f>VLOOKUP($A$1,$K$74:$L$85,2,FALSE)</f>
        <v>S.D. AGUSTUS</v>
      </c>
      <c r="AF6" s="792"/>
      <c r="AG6" s="792"/>
      <c r="AH6" s="792"/>
      <c r="AJ6" s="790" t="s">
        <v>8</v>
      </c>
      <c r="AK6" s="793" t="s">
        <v>265</v>
      </c>
      <c r="AL6" s="383"/>
      <c r="AM6" s="795" t="s">
        <v>93</v>
      </c>
      <c r="AN6" s="790" t="s">
        <v>99</v>
      </c>
      <c r="AO6" s="790" t="s">
        <v>266</v>
      </c>
      <c r="AP6" s="792" t="str">
        <f>VLOOKUP($A$1,$K$74:$L$85,2,FALSE)</f>
        <v>S.D. AGUSTUS</v>
      </c>
      <c r="AQ6" s="792"/>
      <c r="AR6" s="792"/>
      <c r="AS6" s="792"/>
      <c r="AU6" s="790" t="s">
        <v>8</v>
      </c>
      <c r="AV6" s="793" t="s">
        <v>265</v>
      </c>
      <c r="AW6" s="383"/>
      <c r="AX6" s="795" t="s">
        <v>93</v>
      </c>
      <c r="AY6" s="790" t="s">
        <v>99</v>
      </c>
      <c r="AZ6" s="790" t="s">
        <v>266</v>
      </c>
      <c r="BA6" s="792" t="str">
        <f>VLOOKUP($A$1,$K$74:$L$85,2,FALSE)</f>
        <v>S.D. AGUSTUS</v>
      </c>
      <c r="BB6" s="792"/>
      <c r="BC6" s="792"/>
      <c r="BD6" s="792"/>
    </row>
    <row r="7" spans="1:56" s="11" customFormat="1">
      <c r="B7" s="172"/>
      <c r="C7" s="791"/>
      <c r="D7" s="794"/>
      <c r="E7" s="384"/>
      <c r="F7" s="796"/>
      <c r="G7" s="791"/>
      <c r="H7" s="791"/>
      <c r="I7" s="424" t="s">
        <v>100</v>
      </c>
      <c r="J7" s="424" t="s">
        <v>254</v>
      </c>
      <c r="K7" s="424" t="s">
        <v>102</v>
      </c>
      <c r="L7" s="424" t="s">
        <v>103</v>
      </c>
      <c r="N7" s="791"/>
      <c r="O7" s="794"/>
      <c r="P7" s="384"/>
      <c r="Q7" s="796"/>
      <c r="R7" s="791"/>
      <c r="S7" s="791"/>
      <c r="T7" s="424" t="s">
        <v>100</v>
      </c>
      <c r="U7" s="424" t="s">
        <v>254</v>
      </c>
      <c r="V7" s="424" t="s">
        <v>102</v>
      </c>
      <c r="W7" s="424" t="s">
        <v>103</v>
      </c>
      <c r="Y7" s="791"/>
      <c r="Z7" s="794"/>
      <c r="AA7" s="384"/>
      <c r="AB7" s="796"/>
      <c r="AC7" s="791"/>
      <c r="AD7" s="791"/>
      <c r="AE7" s="424" t="s">
        <v>100</v>
      </c>
      <c r="AF7" s="424" t="s">
        <v>254</v>
      </c>
      <c r="AG7" s="424" t="s">
        <v>102</v>
      </c>
      <c r="AH7" s="424" t="s">
        <v>103</v>
      </c>
      <c r="AJ7" s="791"/>
      <c r="AK7" s="794"/>
      <c r="AL7" s="384"/>
      <c r="AM7" s="796"/>
      <c r="AN7" s="791"/>
      <c r="AO7" s="791"/>
      <c r="AP7" s="424" t="s">
        <v>100</v>
      </c>
      <c r="AQ7" s="424" t="s">
        <v>254</v>
      </c>
      <c r="AR7" s="424" t="s">
        <v>102</v>
      </c>
      <c r="AS7" s="424" t="s">
        <v>103</v>
      </c>
      <c r="AU7" s="791"/>
      <c r="AV7" s="794"/>
      <c r="AW7" s="384"/>
      <c r="AX7" s="796"/>
      <c r="AY7" s="791"/>
      <c r="AZ7" s="791"/>
      <c r="BA7" s="424" t="s">
        <v>100</v>
      </c>
      <c r="BB7" s="424" t="s">
        <v>101</v>
      </c>
      <c r="BC7" s="424" t="s">
        <v>102</v>
      </c>
      <c r="BD7" s="424" t="s">
        <v>103</v>
      </c>
    </row>
    <row r="8" spans="1:56" s="11" customFormat="1">
      <c r="B8" s="172"/>
      <c r="C8" s="424">
        <v>1</v>
      </c>
      <c r="D8" s="397">
        <v>2</v>
      </c>
      <c r="E8" s="385"/>
      <c r="F8" s="425">
        <v>3</v>
      </c>
      <c r="G8" s="424">
        <v>4</v>
      </c>
      <c r="H8" s="424">
        <v>5</v>
      </c>
      <c r="I8" s="424">
        <v>6</v>
      </c>
      <c r="J8" s="424">
        <v>7</v>
      </c>
      <c r="K8" s="424">
        <v>8</v>
      </c>
      <c r="L8" s="424">
        <v>9</v>
      </c>
      <c r="N8" s="424">
        <v>1</v>
      </c>
      <c r="O8" s="397">
        <v>2</v>
      </c>
      <c r="P8" s="385"/>
      <c r="Q8" s="425">
        <v>3</v>
      </c>
      <c r="R8" s="424">
        <v>4</v>
      </c>
      <c r="S8" s="424">
        <v>5</v>
      </c>
      <c r="T8" s="424">
        <v>6</v>
      </c>
      <c r="U8" s="424">
        <v>7</v>
      </c>
      <c r="V8" s="424">
        <v>8</v>
      </c>
      <c r="W8" s="424">
        <v>9</v>
      </c>
      <c r="Y8" s="424">
        <v>1</v>
      </c>
      <c r="Z8" s="397">
        <v>2</v>
      </c>
      <c r="AA8" s="385"/>
      <c r="AB8" s="425">
        <v>3</v>
      </c>
      <c r="AC8" s="424">
        <v>4</v>
      </c>
      <c r="AD8" s="424">
        <v>5</v>
      </c>
      <c r="AE8" s="424">
        <v>6</v>
      </c>
      <c r="AF8" s="424">
        <v>7</v>
      </c>
      <c r="AG8" s="424">
        <v>8</v>
      </c>
      <c r="AH8" s="424">
        <v>9</v>
      </c>
      <c r="AJ8" s="424">
        <v>1</v>
      </c>
      <c r="AK8" s="397">
        <v>2</v>
      </c>
      <c r="AL8" s="385"/>
      <c r="AM8" s="425">
        <v>3</v>
      </c>
      <c r="AN8" s="424">
        <v>4</v>
      </c>
      <c r="AO8" s="424">
        <v>5</v>
      </c>
      <c r="AP8" s="424">
        <v>6</v>
      </c>
      <c r="AQ8" s="424">
        <v>7</v>
      </c>
      <c r="AR8" s="424">
        <v>8</v>
      </c>
      <c r="AS8" s="424">
        <v>9</v>
      </c>
      <c r="AU8" s="424">
        <v>1</v>
      </c>
      <c r="AV8" s="397">
        <v>2</v>
      </c>
      <c r="AW8" s="385"/>
      <c r="AX8" s="425">
        <v>3</v>
      </c>
      <c r="AY8" s="424">
        <v>4</v>
      </c>
      <c r="AZ8" s="424">
        <v>5</v>
      </c>
      <c r="BA8" s="424">
        <v>6</v>
      </c>
      <c r="BB8" s="424">
        <v>7</v>
      </c>
      <c r="BC8" s="424">
        <v>8</v>
      </c>
      <c r="BD8" s="424">
        <v>9</v>
      </c>
    </row>
    <row r="9" spans="1:56" s="12" customFormat="1" ht="16.5">
      <c r="B9" s="170"/>
      <c r="C9" s="47" t="s">
        <v>267</v>
      </c>
      <c r="D9" s="48" t="str">
        <f>T.TOLIS!$B$7</f>
        <v>Key Performance Indicators</v>
      </c>
      <c r="E9" s="363"/>
      <c r="F9" s="50"/>
      <c r="G9" s="62">
        <f>SUM(G10:G18)</f>
        <v>40</v>
      </c>
      <c r="H9" s="62"/>
      <c r="I9" s="62"/>
      <c r="J9" s="62"/>
      <c r="K9" s="62"/>
      <c r="L9" s="110">
        <f>SUM(L10,L11,L15)</f>
        <v>41.69</v>
      </c>
      <c r="N9" s="47" t="str">
        <f>$C$9</f>
        <v>I</v>
      </c>
      <c r="O9" s="48" t="str">
        <f>$D$9</f>
        <v>Key Performance Indicators</v>
      </c>
      <c r="P9" s="363"/>
      <c r="Q9" s="50"/>
      <c r="R9" s="62">
        <f>SUM(R10:R18)</f>
        <v>40</v>
      </c>
      <c r="S9" s="62"/>
      <c r="T9" s="62"/>
      <c r="U9" s="62"/>
      <c r="V9" s="62"/>
      <c r="W9" s="110">
        <f>SUM(W10,W11,W15)</f>
        <v>41.04</v>
      </c>
      <c r="Y9" s="47" t="str">
        <f>$C$9</f>
        <v>I</v>
      </c>
      <c r="Z9" s="48" t="str">
        <f>$D$9</f>
        <v>Key Performance Indicators</v>
      </c>
      <c r="AA9" s="363"/>
      <c r="AB9" s="50"/>
      <c r="AC9" s="62">
        <f>SUM(AC10:AC18)</f>
        <v>40</v>
      </c>
      <c r="AD9" s="62"/>
      <c r="AE9" s="62"/>
      <c r="AF9" s="62"/>
      <c r="AG9" s="62"/>
      <c r="AH9" s="110">
        <f>SUM(AH10,AH11,AH15)</f>
        <v>42.64</v>
      </c>
      <c r="AJ9" s="47" t="str">
        <f>$C$9</f>
        <v>I</v>
      </c>
      <c r="AK9" s="48" t="str">
        <f>$D$9</f>
        <v>Key Performance Indicators</v>
      </c>
      <c r="AL9" s="363"/>
      <c r="AM9" s="50"/>
      <c r="AN9" s="62">
        <f>SUM(AN10:AN18)</f>
        <v>40</v>
      </c>
      <c r="AO9" s="62"/>
      <c r="AP9" s="62"/>
      <c r="AQ9" s="62"/>
      <c r="AR9" s="62"/>
      <c r="AS9" s="110">
        <f>SUM(AS10,AS11,AS15)</f>
        <v>41.629999999999995</v>
      </c>
      <c r="AU9" s="47" t="s">
        <v>267</v>
      </c>
      <c r="AV9" s="48" t="str">
        <f>O9</f>
        <v>Key Performance Indicators</v>
      </c>
      <c r="AW9" s="363"/>
      <c r="AX9" s="50"/>
      <c r="AY9" s="62">
        <f>SUM(AY10:AY18)</f>
        <v>40</v>
      </c>
      <c r="AZ9" s="62"/>
      <c r="BA9" s="62"/>
      <c r="BB9" s="62"/>
      <c r="BC9" s="62"/>
      <c r="BD9" s="110">
        <f>SUM(BD10,BD11,BD15)</f>
        <v>42.879999999999995</v>
      </c>
    </row>
    <row r="10" spans="1:56" ht="16.5">
      <c r="C10" s="91">
        <f>T.TOLIS!A8</f>
        <v>1</v>
      </c>
      <c r="D10" s="267" t="str">
        <f>T.TOLIS!B8</f>
        <v>Penjualan Tenaga Listrik</v>
      </c>
      <c r="E10" s="364" t="str">
        <f>T.TOLIS!C8</f>
        <v>ñ</v>
      </c>
      <c r="F10" s="61" t="str">
        <f>T.TOLIS!D8</f>
        <v>GWh</v>
      </c>
      <c r="G10" s="53">
        <f>IF(J10="N/A",0,T.TOLIS!F8)</f>
        <v>14</v>
      </c>
      <c r="H10" s="90">
        <f>T.TOLIS!H8</f>
        <v>80.8</v>
      </c>
      <c r="I10" s="90">
        <f>VLOOKUP(D10,T.TOLIS!$B$4:$T$55,MATCH(ULP!$A$1,T.TOLIS!$B$5:$T$5,0),FALSE)</f>
        <v>52.96</v>
      </c>
      <c r="J10" s="90">
        <f>VLOOKUP(D10,'R.TOLIS'!$B$4:$T$64,MATCH(ULP!$A$1,'R.TOLIS'!$B$5:$T$5,0),FALSE)</f>
        <v>49.775069007000006</v>
      </c>
      <c r="K10" s="157">
        <f>IF(OR(I10="N/A",J10="N/A"),"N/A",IF((J10/I10*100)&gt;=110,110,(J10/I10*100)))</f>
        <v>93.986157490558924</v>
      </c>
      <c r="L10" s="103">
        <f>ROUNDDOWN(IF(K10="N/A",0,IF(K10&gt;110,G10*110/100,G10*K10/100)),2)</f>
        <v>13.15</v>
      </c>
      <c r="N10" s="91">
        <f>T.LEOK!A8</f>
        <v>1</v>
      </c>
      <c r="O10" s="267" t="str">
        <f>T.LEOK!B8</f>
        <v>Penjualan Tenaga Listrik</v>
      </c>
      <c r="P10" s="364" t="str">
        <f>T.LEOK!C8</f>
        <v>ñ</v>
      </c>
      <c r="Q10" s="61" t="str">
        <f>T.LEOK!D8</f>
        <v>GWh</v>
      </c>
      <c r="R10" s="53">
        <f>IF(U10="N/A",0,T.LEOK!F8)</f>
        <v>14</v>
      </c>
      <c r="S10" s="90">
        <f>T.LEOK!T8</f>
        <v>52.76</v>
      </c>
      <c r="T10" s="90">
        <f>VLOOKUP(O10,T.LEOK!$B$4:$T$55,MATCH(ULP!$A$1,T.LEOK!$B$5:$T$5,0),FALSE)</f>
        <v>34.58</v>
      </c>
      <c r="U10" s="90">
        <f>VLOOKUP(O10,'R.LEOK'!$B$4:$T$63,MATCH(ULP!$A$1,'R.LEOK'!$B$5:$T$5,0),FALSE)</f>
        <v>34.460204871000002</v>
      </c>
      <c r="V10" s="157">
        <f>IF(OR(T10="N/A",U10="N/A"),"N/A",IF((U10/T10*100)&gt;=110,110,(U10/T10*100)))</f>
        <v>99.653571055523443</v>
      </c>
      <c r="W10" s="103">
        <f>ROUNDDOWN(IF(V10="N/A",0,IF(V10&gt;110,R10*110/100,R10*V10/100)),2)</f>
        <v>13.95</v>
      </c>
      <c r="Y10" s="91">
        <f>T.BANGKIR!A8</f>
        <v>1</v>
      </c>
      <c r="Z10" s="267" t="str">
        <f>T.BANGKIR!B8</f>
        <v>Penjualan Tenaga Listrik</v>
      </c>
      <c r="AA10" s="364" t="str">
        <f>T.BANGKIR!C8</f>
        <v>ñ</v>
      </c>
      <c r="AB10" s="61" t="str">
        <f>T.BANGKIR!D8</f>
        <v>GWh</v>
      </c>
      <c r="AC10" s="53">
        <f>IF(AF10="N/A",0,T.BANGKIR!F8)</f>
        <v>14</v>
      </c>
      <c r="AD10" s="90">
        <f>T.BANGKIR!T8</f>
        <v>27.1</v>
      </c>
      <c r="AE10" s="90">
        <f>VLOOKUP(Z10,T.BANGKIR!$B$4:$T$55,MATCH(ULP!$A$1,T.BANGKIR!$B$5:$T$5,0),FALSE)</f>
        <v>17.760000000000002</v>
      </c>
      <c r="AF10" s="90">
        <f>VLOOKUP(Z10,'R.BANGKIR'!$B$4:$T$63,MATCH(ULP!$A$1,'R.BANGKIR'!$B$5:$T$5,0),FALSE)</f>
        <v>17.818448144999998</v>
      </c>
      <c r="AG10" s="157">
        <f>IF(OR(AE10="N/A",AF10="N/A"),"N/A",IF((AF10/AE10*100)&gt;=110,110,(AF10/AE10*100)))</f>
        <v>100.32909991554051</v>
      </c>
      <c r="AH10" s="103">
        <f>ROUNDDOWN(IF(AG10="N/A",0,IF(AG10&gt;110,AC10*110/100,AC10*AG10/100)),2)</f>
        <v>14.04</v>
      </c>
      <c r="AJ10" s="91">
        <f>T.MOUTONG!A8</f>
        <v>1</v>
      </c>
      <c r="AK10" s="267" t="str">
        <f>T.MOUTONG!B8</f>
        <v>Penjualan Tenaga Listrik</v>
      </c>
      <c r="AL10" s="364" t="str">
        <f>T.MOUTONG!C8</f>
        <v>ñ</v>
      </c>
      <c r="AM10" s="61" t="str">
        <f>T.MOUTONG!D8</f>
        <v>GWh</v>
      </c>
      <c r="AN10" s="53">
        <f>IF(AQ10="N/A",0,T.MOUTONG!F8)</f>
        <v>14</v>
      </c>
      <c r="AO10" s="90">
        <f>T.MOUTONG!T8</f>
        <v>34.83</v>
      </c>
      <c r="AP10" s="90">
        <f>VLOOKUP(AK10,T.MOUTONG!$B$4:$T$55,MATCH(ULP!$A$1,T.MOUTONG!$B$5:$T$5,0),FALSE)</f>
        <v>22.83</v>
      </c>
      <c r="AQ10" s="90">
        <f>VLOOKUP(AK10,'R.MOUTONG'!$B$4:$T$63,MATCH(ULP!$A$1,'R.MOUTONG'!$B$5:$T$5,0),FALSE)</f>
        <v>21.942900960000003</v>
      </c>
      <c r="AR10" s="157">
        <f>IF(OR(AP10="N/A",AQ10="N/A"),"N/A",IF((AQ10/AP10*100)&gt;=110,110,(AQ10/AP10*100)))</f>
        <v>96.114327463863361</v>
      </c>
      <c r="AS10" s="103">
        <f>ROUNDDOWN(IF(AR10="N/A",0,IF(AR10&gt;110,AN10*110/100,AN10*AR10/100)),2)</f>
        <v>13.45</v>
      </c>
      <c r="AU10" s="91">
        <f>T.KOTARAYA!A8</f>
        <v>1</v>
      </c>
      <c r="AV10" s="267" t="str">
        <f>T.KOTARAYA!B8</f>
        <v>Penjualan Tenaga Listrik</v>
      </c>
      <c r="AW10" s="364" t="str">
        <f>T.KOTARAYA!C8</f>
        <v>ñ</v>
      </c>
      <c r="AX10" s="259" t="str">
        <f>T.KOTARAYA!D8</f>
        <v>GWh</v>
      </c>
      <c r="AY10" s="53">
        <f>IF(BB10="N/A",0,T.KOTARAYA!F8)</f>
        <v>14</v>
      </c>
      <c r="AZ10" s="90">
        <f>T.KOTARAYA!T8</f>
        <v>35.99</v>
      </c>
      <c r="BA10" s="90">
        <f>VLOOKUP(AV10,T.KOTARAYA!$B$4:$T$55,MATCH(ULP!$A$1,T.KOTARAYA!$B$5:$T$5,0),FALSE)</f>
        <v>23.59</v>
      </c>
      <c r="BB10" s="90">
        <f>VLOOKUP(AV10,'R.KOTARAYA'!$B$4:$T$63,MATCH(ULP!$A$1,'R.KOTARAYA'!$B$5:$T$5,0),FALSE)</f>
        <v>24.063353978999995</v>
      </c>
      <c r="BC10" s="157">
        <f>IF(OR(BA10="N/A",BB10="N/A"),"N/A",IF((BB10/BA10*100)&gt;=110,110,(BB10/BA10*100)))</f>
        <v>102.0065874480712</v>
      </c>
      <c r="BD10" s="103">
        <f>ROUNDDOWN(IF(BC10="N/A",0,IF(BC10&gt;110,AY10*110/100,AY10*BC10/100)),2)</f>
        <v>14.28</v>
      </c>
    </row>
    <row r="11" spans="1:56" ht="16.5">
      <c r="C11" s="91">
        <f>T.TOLIS!A9</f>
        <v>2</v>
      </c>
      <c r="D11" s="267" t="str">
        <f>T.TOLIS!B9</f>
        <v>Keandalan Sistem</v>
      </c>
      <c r="E11" s="364"/>
      <c r="F11" s="61"/>
      <c r="G11" s="53"/>
      <c r="H11" s="90"/>
      <c r="I11" s="90"/>
      <c r="J11" s="90"/>
      <c r="K11" s="157">
        <f>AVERAGE(K12:K14)</f>
        <v>110</v>
      </c>
      <c r="L11" s="103">
        <f>SUM(L12:L14)</f>
        <v>15.399999999999999</v>
      </c>
      <c r="N11" s="91">
        <f>T.LEOK!A9</f>
        <v>2</v>
      </c>
      <c r="O11" s="267" t="str">
        <f>T.LEOK!B9</f>
        <v>Keandalan Sistem</v>
      </c>
      <c r="P11" s="364"/>
      <c r="Q11" s="61"/>
      <c r="R11" s="53"/>
      <c r="S11" s="91"/>
      <c r="T11" s="90"/>
      <c r="U11" s="90"/>
      <c r="V11" s="157">
        <f>AVERAGE(V12:V14)</f>
        <v>110</v>
      </c>
      <c r="W11" s="103">
        <f>SUM(W12:W14)</f>
        <v>15.399999999999999</v>
      </c>
      <c r="Y11" s="91">
        <f>T.BANGKIR!A9</f>
        <v>2</v>
      </c>
      <c r="Z11" s="267" t="str">
        <f>T.BANGKIR!B9</f>
        <v>Keandalan Sistem</v>
      </c>
      <c r="AA11" s="364"/>
      <c r="AB11" s="61"/>
      <c r="AC11" s="53"/>
      <c r="AD11" s="90"/>
      <c r="AE11" s="90"/>
      <c r="AF11" s="90"/>
      <c r="AG11" s="157">
        <f>AVERAGE(AG12:AG14)</f>
        <v>110</v>
      </c>
      <c r="AH11" s="103">
        <f>SUM(AH12:AH14)</f>
        <v>15.399999999999999</v>
      </c>
      <c r="AI11" s="245"/>
      <c r="AJ11" s="91">
        <f>T.MOUTONG!A9</f>
        <v>2</v>
      </c>
      <c r="AK11" s="267" t="str">
        <f>T.MOUTONG!B9</f>
        <v>Keandalan Sistem</v>
      </c>
      <c r="AL11" s="364"/>
      <c r="AM11" s="61"/>
      <c r="AN11" s="53"/>
      <c r="AO11" s="91"/>
      <c r="AP11" s="91"/>
      <c r="AQ11" s="90"/>
      <c r="AR11" s="157">
        <f>AVERAGE(AR12:AR14)</f>
        <v>110</v>
      </c>
      <c r="AS11" s="103">
        <f>SUM(AS12:AS14)</f>
        <v>15.399999999999999</v>
      </c>
      <c r="AU11" s="91">
        <f>T.KOTARAYA!A9</f>
        <v>2</v>
      </c>
      <c r="AV11" s="267" t="str">
        <f>T.KOTARAYA!B9</f>
        <v>Keandalan Sistem</v>
      </c>
      <c r="AW11" s="364"/>
      <c r="AX11" s="259"/>
      <c r="AY11" s="53"/>
      <c r="AZ11" s="90"/>
      <c r="BA11" s="90"/>
      <c r="BB11" s="90"/>
      <c r="BC11" s="157">
        <f>AVERAGE(BC12:BC14)</f>
        <v>110</v>
      </c>
      <c r="BD11" s="103">
        <f>SUM(BD12:BD14)</f>
        <v>15.399999999999999</v>
      </c>
    </row>
    <row r="12" spans="1:56" s="12" customFormat="1" ht="16.5">
      <c r="B12" s="170"/>
      <c r="C12" s="91"/>
      <c r="D12" s="52" t="str">
        <f>T.TOLIS!B10</f>
        <v>a. SAIDI (sesuai kewenangan)</v>
      </c>
      <c r="E12" s="364" t="str">
        <f>T.TOLIS!C10</f>
        <v>ò</v>
      </c>
      <c r="F12" s="61" t="str">
        <f>T.TOLIS!D10</f>
        <v>menit/plg</v>
      </c>
      <c r="G12" s="53">
        <v>6</v>
      </c>
      <c r="H12" s="90">
        <f>T.TOLIS!H10</f>
        <v>389.24</v>
      </c>
      <c r="I12" s="90">
        <f>VLOOKUP(D12,T.TOLIS!$B$4:$T$55,MATCH(ULP!$A$1,T.TOLIS!$B$5:$T$5,0),FALSE)</f>
        <v>259.49</v>
      </c>
      <c r="J12" s="90">
        <f>VLOOKUP(D12,'R.TOLIS'!$B$4:$T$64,MATCH(ULP!$A$1,'R.TOLIS'!$B$5:$T$5,0),FALSE)</f>
        <v>228.80562323483539</v>
      </c>
      <c r="K12" s="157">
        <f>IF(OR(I12="N/A",J12="N/A"),"N/A",IF((2-(J12/I12))*100&gt;=110,110,(2-(J12/I12))*100))</f>
        <v>110</v>
      </c>
      <c r="L12" s="103">
        <f>ROUNDDOWN(IF(K12="N/A",0,IF(K12&gt;110,G12*110/100,G12*K12/100)),2)</f>
        <v>6.6</v>
      </c>
      <c r="M12" s="150"/>
      <c r="N12" s="91"/>
      <c r="O12" s="52" t="str">
        <f>T.LEOK!B10</f>
        <v>a. SAIDI (sesuai kewenangan)</v>
      </c>
      <c r="P12" s="364" t="str">
        <f>T.LEOK!C10</f>
        <v>ò</v>
      </c>
      <c r="Q12" s="61" t="str">
        <f>T.LEOK!D10</f>
        <v>Menit/plg</v>
      </c>
      <c r="R12" s="53">
        <v>6</v>
      </c>
      <c r="S12" s="90">
        <f>T.LEOK!T10</f>
        <v>302.68</v>
      </c>
      <c r="T12" s="90">
        <f>VLOOKUP(O12,T.LEOK!$B$4:$T$55,MATCH(ULP!$A$1,T.LEOK!$B$5:$T$5,0),FALSE)</f>
        <v>201.78</v>
      </c>
      <c r="U12" s="90">
        <f>VLOOKUP(O12,'R.LEOK'!$B$4:$T$63,MATCH(ULP!$A$1,'R.LEOK'!$B$5:$T$5,0),FALSE)</f>
        <v>155.5875226039783</v>
      </c>
      <c r="V12" s="157">
        <f>IF(OR(T12="N/A",U12="N/A"),"N/A",IF((2-(U12/T12))*100&gt;=110,110,(2-(U12/T12))*100))</f>
        <v>110</v>
      </c>
      <c r="W12" s="103">
        <f>ROUNDDOWN(IF(V12="N/A",0,IF(V12&gt;110,R12*110/100,R12*V12/100)),2)</f>
        <v>6.6</v>
      </c>
      <c r="Y12" s="91"/>
      <c r="Z12" s="52" t="str">
        <f>T.BANGKIR!B10</f>
        <v>a. SAIDI (sesuai kewenangan)</v>
      </c>
      <c r="AA12" s="364" t="str">
        <f>T.BANGKIR!C10</f>
        <v>ò</v>
      </c>
      <c r="AB12" s="61" t="str">
        <f>T.BANGKIR!D10</f>
        <v>Menit/plg</v>
      </c>
      <c r="AC12" s="53">
        <v>6</v>
      </c>
      <c r="AD12" s="90">
        <f>T.BANGKIR!T10</f>
        <v>175.78</v>
      </c>
      <c r="AE12" s="90">
        <f>VLOOKUP(Z12,T.BANGKIR!$B$4:$T$55,MATCH(ULP!$A$1,T.BANGKIR!$B$5:$T$5,0),FALSE)</f>
        <v>117.18</v>
      </c>
      <c r="AF12" s="90">
        <f>VLOOKUP(Z12,'R.BANGKIR'!$B$4:$T$63,MATCH(ULP!$A$1,'R.BANGKIR'!$B$5:$T$5,0),FALSE)</f>
        <v>86.942387802332448</v>
      </c>
      <c r="AG12" s="157">
        <f>IF(OR(AE12="N/A",AF12="N/A"),"N/A",IF((2-(AF12/AE12))*100&gt;=110,110,(2-(AF12/AE12))*100))</f>
        <v>110</v>
      </c>
      <c r="AH12" s="103">
        <f>ROUNDDOWN(IF(AG12="N/A",0,IF(AG12&gt;110,AC12*110/100,AC12*AG12/100)),2)</f>
        <v>6.6</v>
      </c>
      <c r="AJ12" s="91"/>
      <c r="AK12" s="52" t="str">
        <f>T.MOUTONG!B10</f>
        <v>a. SAIDI (sesuai kewenangan)</v>
      </c>
      <c r="AL12" s="364" t="str">
        <f>T.MOUTONG!C10</f>
        <v>ò</v>
      </c>
      <c r="AM12" s="61" t="str">
        <f>T.MOUTONG!D10</f>
        <v>Menit/plg</v>
      </c>
      <c r="AN12" s="53">
        <v>6</v>
      </c>
      <c r="AO12" s="90">
        <f>T.MOUTONG!T10</f>
        <v>207.7</v>
      </c>
      <c r="AP12" s="90">
        <f>VLOOKUP(AK12,T.MOUTONG!$B$4:$T$55,MATCH(ULP!$A$1,T.MOUTONG!$B$5:$T$5,0),FALSE)</f>
        <v>138.47</v>
      </c>
      <c r="AQ12" s="90">
        <f>VLOOKUP(AK12,'R.MOUTONG'!$B$4:$T$63,MATCH(ULP!$A$1,'R.MOUTONG'!$B$5:$T$5,0),FALSE)</f>
        <v>90.410040317336467</v>
      </c>
      <c r="AR12" s="157">
        <f>IF(OR(AP12="N/A",AQ12="N/A"),"N/A",IF((2-(AQ12/AP12))*100&gt;=110,110,(2-(AQ12/AP12))*100))</f>
        <v>110</v>
      </c>
      <c r="AS12" s="103">
        <f>ROUNDDOWN(IF(AR12="N/A",0,IF(AR12&gt;110,AN12*110/100,AN12*AR12/100)),2)</f>
        <v>6.6</v>
      </c>
      <c r="AU12" s="91"/>
      <c r="AV12" s="52" t="str">
        <f>T.KOTARAYA!B10</f>
        <v>a. SAIDI (sesuai kewenangan)</v>
      </c>
      <c r="AW12" s="364" t="str">
        <f>T.KOTARAYA!C10</f>
        <v>ò</v>
      </c>
      <c r="AX12" s="259" t="str">
        <f>T.KOTARAYA!D10</f>
        <v>Menit/plg</v>
      </c>
      <c r="AY12" s="53">
        <v>6</v>
      </c>
      <c r="AZ12" s="90">
        <f>T.KOTARAYA!T10</f>
        <v>844.27156923076882</v>
      </c>
      <c r="BA12" s="90">
        <f>VLOOKUP(AV12,T.KOTARAYA!$B$4:$T$55,MATCH(ULP!$A$1,T.KOTARAYA!$B$5:$T$5,0),FALSE)</f>
        <v>562.8477128205127</v>
      </c>
      <c r="BB12" s="90">
        <f>VLOOKUP(AV12,'R.KOTARAYA'!$B$4:$T$63,MATCH(ULP!$A$1,'R.KOTARAYA'!$B$5:$T$5,0),FALSE)</f>
        <v>110.25374950403385</v>
      </c>
      <c r="BC12" s="157">
        <f>IF(OR(BA12="N/A",BB12="N/A"),"N/A",IF((2-(BB12/BA12))*100&gt;=110,110,(2-(BB12/BA12))*100))</f>
        <v>110</v>
      </c>
      <c r="BD12" s="103">
        <f>ROUNDDOWN(IF(BC12="N/A",0,IF(BC12&gt;110,AY12*110/100,AY12*BC12/100)),2)</f>
        <v>6.6</v>
      </c>
    </row>
    <row r="13" spans="1:56" s="12" customFormat="1" ht="16.5">
      <c r="B13" s="170"/>
      <c r="C13" s="91"/>
      <c r="D13" s="52" t="str">
        <f>T.TOLIS!B11</f>
        <v>b. SAIFI (sesuai kewenangan)</v>
      </c>
      <c r="E13" s="364" t="str">
        <f>T.TOLIS!C11</f>
        <v>ò</v>
      </c>
      <c r="F13" s="61" t="str">
        <f>T.TOLIS!D11</f>
        <v>kali/plg</v>
      </c>
      <c r="G13" s="53">
        <v>6</v>
      </c>
      <c r="H13" s="90">
        <f>T.TOLIS!H11</f>
        <v>3.53</v>
      </c>
      <c r="I13" s="90">
        <f>VLOOKUP(D13,T.TOLIS!$B$4:$T$55,MATCH(ULP!$A$1,T.TOLIS!$B$5:$T$5,0),FALSE)</f>
        <v>2.35</v>
      </c>
      <c r="J13" s="90">
        <f>VLOOKUP(D13,'R.TOLIS'!$B$4:$T$64,MATCH(ULP!$A$1,'R.TOLIS'!$B$5:$T$5,0),FALSE)</f>
        <v>1.9942460902921215</v>
      </c>
      <c r="K13" s="157">
        <f>IF(OR(I13="N/A",J13="N/A"),"N/A",IF((2-(J13/I13))*100&gt;=110,110,(2-(J13/I13))*100))</f>
        <v>110</v>
      </c>
      <c r="L13" s="103">
        <f>ROUNDDOWN(IF(K13="N/A",0,IF(K13&gt;110,G13*110/100,G13*K13/100)),2)</f>
        <v>6.6</v>
      </c>
      <c r="M13" s="150"/>
      <c r="N13" s="91"/>
      <c r="O13" s="52" t="str">
        <f>T.LEOK!B11</f>
        <v>b. SAIFI (sesuai kewenangan)</v>
      </c>
      <c r="P13" s="364" t="str">
        <f>T.LEOK!C11</f>
        <v>ò</v>
      </c>
      <c r="Q13" s="61" t="str">
        <f>T.LEOK!D11</f>
        <v>Kali/plg</v>
      </c>
      <c r="R13" s="53">
        <v>6</v>
      </c>
      <c r="S13" s="90">
        <f>T.LEOK!T11</f>
        <v>3.2</v>
      </c>
      <c r="T13" s="90">
        <f>VLOOKUP(O13,T.LEOK!$B$4:$T$55,MATCH(ULP!$A$1,T.LEOK!$B$5:$T$5,0),FALSE)</f>
        <v>2.13</v>
      </c>
      <c r="U13" s="90">
        <f>VLOOKUP(O13,'R.LEOK'!$B$4:$T$63,MATCH(ULP!$A$1,'R.LEOK'!$B$5:$T$5,0),FALSE)</f>
        <v>1.6472135459477231</v>
      </c>
      <c r="V13" s="157">
        <f>IF(OR(T13="N/A",U13="N/A"),"N/A",IF((2-(U13/T13))*100&gt;=110,110,(2-(U13/T13))*100))</f>
        <v>110</v>
      </c>
      <c r="W13" s="103">
        <f>ROUNDDOWN(IF(V13="N/A",0,IF(V13&gt;110,R13*110/100,R13*V13/100)),2)</f>
        <v>6.6</v>
      </c>
      <c r="Y13" s="91"/>
      <c r="Z13" s="52" t="str">
        <f>T.BANGKIR!B11</f>
        <v>b. SAIFI (sesuai kewenangan)</v>
      </c>
      <c r="AA13" s="364" t="str">
        <f>T.BANGKIR!C11</f>
        <v>ò</v>
      </c>
      <c r="AB13" s="61" t="str">
        <f>T.BANGKIR!D11</f>
        <v>Kali/plg</v>
      </c>
      <c r="AC13" s="53">
        <v>6</v>
      </c>
      <c r="AD13" s="90">
        <f>T.BANGKIR!T11</f>
        <v>2.81</v>
      </c>
      <c r="AE13" s="90">
        <f>VLOOKUP(Z13,T.BANGKIR!$B$4:$T$55,MATCH(ULP!$A$1,T.BANGKIR!$B$5:$T$5,0),FALSE)</f>
        <v>1.87</v>
      </c>
      <c r="AF13" s="90">
        <f>VLOOKUP(Z13,'R.BANGKIR'!$B$4:$T$63,MATCH(ULP!$A$1,'R.BANGKIR'!$B$5:$T$5,0),FALSE)</f>
        <v>1.4216544901756138</v>
      </c>
      <c r="AG13" s="157">
        <f>IF(OR(AE13="N/A",AF13="N/A"),"N/A",IF((2-(AF13/AE13))*100&gt;=110,110,(2-(AF13/AE13))*100))</f>
        <v>110</v>
      </c>
      <c r="AH13" s="103">
        <f>ROUNDDOWN(IF(AG13="N/A",0,IF(AG13&gt;110,AC13*110/100,AC13*AG13/100)),2)</f>
        <v>6.6</v>
      </c>
      <c r="AJ13" s="91"/>
      <c r="AK13" s="52" t="str">
        <f>T.MOUTONG!B11</f>
        <v>b. SAIFI (sesuai kewenangan)</v>
      </c>
      <c r="AL13" s="364" t="str">
        <f>T.MOUTONG!C11</f>
        <v>ò</v>
      </c>
      <c r="AM13" s="61" t="str">
        <f>T.MOUTONG!D11</f>
        <v>Kali/plg</v>
      </c>
      <c r="AN13" s="53">
        <v>6</v>
      </c>
      <c r="AO13" s="90">
        <f>T.MOUTONG!T11</f>
        <v>2.0499999999999998</v>
      </c>
      <c r="AP13" s="90">
        <f>VLOOKUP(AK13,T.MOUTONG!$B$4:$T$55,MATCH(ULP!$A$1,T.MOUTONG!$B$5:$T$5,0),FALSE)</f>
        <v>1.37</v>
      </c>
      <c r="AQ13" s="90">
        <f>VLOOKUP(AK13,'R.MOUTONG'!$B$4:$T$63,MATCH(ULP!$A$1,'R.MOUTONG'!$B$5:$T$5,0),FALSE)</f>
        <v>1.0083669311137122</v>
      </c>
      <c r="AR13" s="157">
        <f>IF(OR(AP13="N/A",AQ13="N/A"),"N/A",IF((2-(AQ13/AP13))*100&gt;=110,110,(2-(AQ13/AP13))*100))</f>
        <v>110</v>
      </c>
      <c r="AS13" s="103">
        <f>ROUNDDOWN(IF(AR13="N/A",0,IF(AR13&gt;110,AN13*110/100,AN13*AR13/100)),2)</f>
        <v>6.6</v>
      </c>
      <c r="AU13" s="91"/>
      <c r="AV13" s="52" t="str">
        <f>T.KOTARAYA!B11</f>
        <v>b. SAIFI (sesuai kewenangan)</v>
      </c>
      <c r="AW13" s="364" t="str">
        <f>T.KOTARAYA!C11</f>
        <v>ò</v>
      </c>
      <c r="AX13" s="259" t="str">
        <f>T.KOTARAYA!D11</f>
        <v>Kali/plg</v>
      </c>
      <c r="AY13" s="53">
        <v>6</v>
      </c>
      <c r="AZ13" s="90">
        <f>T.KOTARAYA!T11</f>
        <v>2.62</v>
      </c>
      <c r="BA13" s="90">
        <f>VLOOKUP(AV13,T.KOTARAYA!$B$4:$T$55,MATCH(ULP!$A$1,T.KOTARAYA!$B$5:$T$5,0),FALSE)</f>
        <v>1.75</v>
      </c>
      <c r="BB13" s="90">
        <f>VLOOKUP(AV13,'R.KOTARAYA'!$B$4:$T$63,MATCH(ULP!$A$1,'R.KOTARAYA'!$B$5:$T$5,0),FALSE)</f>
        <v>1.4534783758762069</v>
      </c>
      <c r="BC13" s="157">
        <f>IF(OR(BA13="N/A",BB13="N/A"),"N/A",IF((2-(BB13/BA13))*100&gt;=110,110,(2-(BB13/BA13))*100))</f>
        <v>110</v>
      </c>
      <c r="BD13" s="103">
        <f>ROUNDDOWN(IF(BC13="N/A",0,IF(BC13&gt;110,AY13*110/100,AY13*BC13/100)),2)</f>
        <v>6.6</v>
      </c>
    </row>
    <row r="14" spans="1:56" s="12" customFormat="1" ht="16.5">
      <c r="B14" s="170"/>
      <c r="C14" s="91"/>
      <c r="D14" s="52" t="str">
        <f>T.TOLIS!B12</f>
        <v>c. ENS (sesuai kewenangan)</v>
      </c>
      <c r="E14" s="364" t="str">
        <f>T.TOLIS!C12</f>
        <v>ò</v>
      </c>
      <c r="F14" s="61" t="str">
        <f>T.TOLIS!D12</f>
        <v>MWh</v>
      </c>
      <c r="G14" s="53">
        <v>2</v>
      </c>
      <c r="H14" s="90">
        <f>T.TOLIS!H12</f>
        <v>48.47</v>
      </c>
      <c r="I14" s="90">
        <f>VLOOKUP(D14,T.TOLIS!$B$4:$T$55,MATCH(ULP!$A$1,T.TOLIS!$B$5:$T$5,0),FALSE)</f>
        <v>32.31</v>
      </c>
      <c r="J14" s="90">
        <f>VLOOKUP(D14,'R.TOLIS'!$B$4:$T$64,MATCH(ULP!$A$1,'R.TOLIS'!$B$5:$T$5,0),FALSE)</f>
        <v>20.253</v>
      </c>
      <c r="K14" s="157">
        <f>IF(I14=0,0,IF(((I14-(J14-I14))/I14)*100&lt;=0,0,IF(((I14-(J14-I14))/I14)*100&gt;=110,110,((I14-(J14-I14))/I14)*100)))</f>
        <v>110</v>
      </c>
      <c r="L14" s="103">
        <f>ROUNDDOWN(IF(K14="N/A",0,IF(K14&gt;110,G14*110/100,G14*K14/100)),2)</f>
        <v>2.2000000000000002</v>
      </c>
      <c r="M14" s="150"/>
      <c r="N14" s="91"/>
      <c r="O14" s="52" t="str">
        <f>T.LEOK!B12</f>
        <v>c. ENS (sesuai kewenangan)</v>
      </c>
      <c r="P14" s="364" t="str">
        <f>T.LEOK!C12</f>
        <v>ò</v>
      </c>
      <c r="Q14" s="61" t="str">
        <f>T.LEOK!D12</f>
        <v>MWh</v>
      </c>
      <c r="R14" s="53">
        <v>2</v>
      </c>
      <c r="S14" s="90">
        <f>T.LEOK!T12</f>
        <v>29.39</v>
      </c>
      <c r="T14" s="90">
        <f>VLOOKUP(O14,T.LEOK!$B$4:$T$55,MATCH(ULP!$A$1,T.LEOK!$B$5:$T$5,0),FALSE)</f>
        <v>19.59</v>
      </c>
      <c r="U14" s="90">
        <f>VLOOKUP(O14,'R.LEOK'!$B$4:$T$63,MATCH(ULP!$A$1,'R.LEOK'!$B$5:$T$5,0),FALSE)</f>
        <v>12.686000000000002</v>
      </c>
      <c r="V14" s="157">
        <f>IF(T14=0,0,IF(((T14-(U14-T14))/T14)*100&lt;=0,0,IF(((T14-(U14-T14))/T14)*100&gt;=110,110,((T14-(U14-T14))/T14)*100)))</f>
        <v>110</v>
      </c>
      <c r="W14" s="103">
        <f>ROUNDDOWN(IF(V14="N/A",0,IF(V14&gt;110,R14*110/100,R14*V14/100)),2)</f>
        <v>2.2000000000000002</v>
      </c>
      <c r="Y14" s="91"/>
      <c r="Z14" s="52" t="str">
        <f>T.BANGKIR!B12</f>
        <v>c. ENS (sesuai kewenangan)</v>
      </c>
      <c r="AA14" s="364" t="str">
        <f>T.BANGKIR!C12</f>
        <v>ò</v>
      </c>
      <c r="AB14" s="61" t="str">
        <f>T.BANGKIR!D12</f>
        <v>MWh</v>
      </c>
      <c r="AC14" s="53">
        <v>2</v>
      </c>
      <c r="AD14" s="90">
        <f>T.BANGKIR!T12</f>
        <v>7.08</v>
      </c>
      <c r="AE14" s="90">
        <f>VLOOKUP(Z14,T.BANGKIR!$B$4:$T$55,MATCH(ULP!$A$1,T.BANGKIR!$B$5:$T$5,0),FALSE)</f>
        <v>4.72</v>
      </c>
      <c r="AF14" s="90">
        <f>VLOOKUP(Z14,'R.BANGKIR'!$B$4:$T$63,MATCH(ULP!$A$1,'R.BANGKIR'!$B$5:$T$5,0),FALSE)</f>
        <v>3.6660000000000004</v>
      </c>
      <c r="AG14" s="157">
        <f>IF(AE14=0,0,IF(((AE14-(AF14-AE14))/AE14)*100&lt;=0,0,IF(((AE14-(AF14-AE14))/AE14)*100&gt;=110,110,((AE14-(AF14-AE14))/AE14)*100)))</f>
        <v>110</v>
      </c>
      <c r="AH14" s="103">
        <f>ROUNDDOWN(IF(AG14="N/A",0,IF(AG14&gt;110,AC14*110/100,AC14*AG14/100)),2)</f>
        <v>2.2000000000000002</v>
      </c>
      <c r="AJ14" s="91"/>
      <c r="AK14" s="52" t="str">
        <f>T.MOUTONG!B12</f>
        <v>c. ENS (sesuai kewenangan)</v>
      </c>
      <c r="AL14" s="364" t="str">
        <f>T.MOUTONG!C12</f>
        <v>ò</v>
      </c>
      <c r="AM14" s="61" t="str">
        <f>T.MOUTONG!D12</f>
        <v>MWh</v>
      </c>
      <c r="AN14" s="53">
        <v>2</v>
      </c>
      <c r="AO14" s="90">
        <f>T.MOUTONG!T12</f>
        <v>10.34</v>
      </c>
      <c r="AP14" s="90">
        <f>VLOOKUP(AK14,T.MOUTONG!$B$4:$T$55,MATCH(ULP!$A$1,T.MOUTONG!$B$5:$T$5,0),FALSE)</f>
        <v>6.89</v>
      </c>
      <c r="AQ14" s="90">
        <f>VLOOKUP(AK14,'R.MOUTONG'!$B$4:$T$63,MATCH(ULP!$A$1,'R.MOUTONG'!$B$5:$T$5,0),FALSE)</f>
        <v>5.0020000000000007</v>
      </c>
      <c r="AR14" s="157">
        <f>IF(AP14=0,0,IF(((AP14-(AQ14-AP14))/AP14)*100&lt;=0,0,IF(((AP14-(AQ14-AP14))/AP14)*100&gt;=110,110,((AP14-(AQ14-AP14))/AP14)*100)))</f>
        <v>110</v>
      </c>
      <c r="AS14" s="103">
        <f>ROUNDDOWN(IF(AR14="N/A",0,IF(AR14&gt;110,AN14*110/100,AN14*AR14/100)),2)</f>
        <v>2.2000000000000002</v>
      </c>
      <c r="AU14" s="91"/>
      <c r="AV14" s="52" t="str">
        <f>T.KOTARAYA!B12</f>
        <v>c. ENS (sesuai kewenangan)</v>
      </c>
      <c r="AW14" s="364" t="str">
        <f>T.KOTARAYA!C12</f>
        <v>ò</v>
      </c>
      <c r="AX14" s="259" t="str">
        <f>T.KOTARAYA!D12</f>
        <v>MWh</v>
      </c>
      <c r="AY14" s="53">
        <v>2</v>
      </c>
      <c r="AZ14" s="90">
        <f>T.KOTARAYA!T12</f>
        <v>12.6</v>
      </c>
      <c r="BA14" s="90">
        <f>VLOOKUP(AV14,T.KOTARAYA!$B$4:$T$55,MATCH(ULP!$A$1,T.KOTARAYA!$B$5:$T$5,0),FALSE)</f>
        <v>8.4</v>
      </c>
      <c r="BB14" s="90">
        <f>VLOOKUP(AV14,'R.KOTARAYA'!$B$4:$T$63,MATCH(ULP!$A$1,'R.KOTARAYA'!$B$5:$T$5,0),FALSE)</f>
        <v>4.7990000000000004</v>
      </c>
      <c r="BC14" s="157">
        <f>IF(BA14=0,0,IF(((BA14-(BB14-BA14))/BA14)*100&lt;=0,0,IF(((BA14-(BB14-BA14))/BA14)*100&gt;=110,110,((BA14-(BB14-BA14))/BA14)*100)))</f>
        <v>110</v>
      </c>
      <c r="BD14" s="103">
        <f>ROUNDDOWN(IF(BC14="N/A",0,IF(BC14&gt;110,AY14*110/100,AY14*BC14/100)),2)</f>
        <v>2.2000000000000002</v>
      </c>
    </row>
    <row r="15" spans="1:56" s="12" customFormat="1" ht="16.5">
      <c r="B15" s="170"/>
      <c r="C15" s="91">
        <f>T.TOLIS!A13</f>
        <v>3</v>
      </c>
      <c r="D15" s="267" t="str">
        <f>T.TOLIS!B13</f>
        <v>Efisiensi Jaringan Distribusi</v>
      </c>
      <c r="E15" s="364"/>
      <c r="F15" s="61"/>
      <c r="G15" s="53">
        <f>IF(J15="N/A",0,T.TOLIS!F13)</f>
        <v>12</v>
      </c>
      <c r="H15" s="90"/>
      <c r="I15" s="90"/>
      <c r="J15" s="257"/>
      <c r="K15" s="258">
        <f>AVERAGE(K16:K18)</f>
        <v>109.50289722476366</v>
      </c>
      <c r="L15" s="103">
        <f>ROUNDDOWN(IF(K15="N/A",0,IF(K15&gt;110,G15*110/100,G15*K15/100)),2)</f>
        <v>13.14</v>
      </c>
      <c r="M15" s="150"/>
      <c r="N15" s="91">
        <f>T.LEOK!A13</f>
        <v>3</v>
      </c>
      <c r="O15" s="267" t="str">
        <f>T.LEOK!B13</f>
        <v>Efisiensi Jaringan Distribusi</v>
      </c>
      <c r="P15" s="364"/>
      <c r="Q15" s="61"/>
      <c r="R15" s="53">
        <f>IF(U15="N/A",0,T.LEOK!F13)</f>
        <v>12</v>
      </c>
      <c r="S15" s="90"/>
      <c r="T15" s="90"/>
      <c r="U15" s="257"/>
      <c r="V15" s="157">
        <f>AVERAGE(V16:V18)</f>
        <v>97.463872587654535</v>
      </c>
      <c r="W15" s="103">
        <f>ROUNDDOWN(IF(V15="N/A",0,IF(V15&gt;110,R15*110/100,R15*V15/100)),2)</f>
        <v>11.69</v>
      </c>
      <c r="Y15" s="91">
        <f>T.BANGKIR!A13</f>
        <v>3</v>
      </c>
      <c r="Z15" s="267" t="str">
        <f>T.BANGKIR!B13</f>
        <v>Efisiensi Jaringan Distribusi</v>
      </c>
      <c r="AA15" s="364"/>
      <c r="AB15" s="61"/>
      <c r="AC15" s="53">
        <f>IF(AF15="N/A",0,T.BANGKIR!F13)</f>
        <v>12</v>
      </c>
      <c r="AD15" s="90"/>
      <c r="AE15" s="90"/>
      <c r="AF15" s="257"/>
      <c r="AG15" s="258">
        <f>AVERAGE(AG16:AG18)</f>
        <v>110</v>
      </c>
      <c r="AH15" s="103">
        <f>ROUNDDOWN(IF(AG15="N/A",0,IF(AG15&gt;110,AC15*110/100,AC15*AG15/100)),2)</f>
        <v>13.2</v>
      </c>
      <c r="AJ15" s="91">
        <f>T.MOUTONG!A13</f>
        <v>3</v>
      </c>
      <c r="AK15" s="267" t="str">
        <f>T.MOUTONG!B13</f>
        <v>Efisiensi Jaringan Distribusi</v>
      </c>
      <c r="AL15" s="364"/>
      <c r="AM15" s="61"/>
      <c r="AN15" s="53">
        <f>IF(AQ15="N/A",0,T.MOUTONG!F13)</f>
        <v>12</v>
      </c>
      <c r="AO15" s="90"/>
      <c r="AP15" s="90"/>
      <c r="AQ15" s="257"/>
      <c r="AR15" s="258">
        <f>AVERAGE(AR16:AR18)</f>
        <v>106.55095822268562</v>
      </c>
      <c r="AS15" s="103">
        <f>ROUNDDOWN(IF(AR15="N/A",0,IF(AR15&gt;110,AN15*110/100,AN15*AR15/100)),2)</f>
        <v>12.78</v>
      </c>
      <c r="AU15" s="91">
        <f>T.KOTARAYA!A13</f>
        <v>3</v>
      </c>
      <c r="AV15" s="267" t="str">
        <f>T.KOTARAYA!B13</f>
        <v>Efisiensi Jaringan Distribusi</v>
      </c>
      <c r="AW15" s="364"/>
      <c r="AX15" s="259"/>
      <c r="AY15" s="53">
        <f>IF(BB15="N/A",0,T.KOTARAYA!F13)</f>
        <v>12</v>
      </c>
      <c r="AZ15" s="90"/>
      <c r="BA15" s="90"/>
      <c r="BB15" s="257"/>
      <c r="BC15" s="258">
        <f>AVERAGE(BC16:BC18)</f>
        <v>110</v>
      </c>
      <c r="BD15" s="103">
        <f>ROUNDDOWN(IF(BC15="N/A",0,IF(BC15&gt;110,AY15*110/100,AY15*BC15/100)),2)</f>
        <v>13.2</v>
      </c>
    </row>
    <row r="16" spans="1:56" s="12" customFormat="1" ht="16.5">
      <c r="B16" s="170"/>
      <c r="C16" s="91"/>
      <c r="D16" s="52" t="str">
        <f>T.TOLIS!B14</f>
        <v>a. Susut Distribusi Tanpa E-min (sesuai kewenangan)</v>
      </c>
      <c r="E16" s="364" t="str">
        <f>T.TOLIS!C14</f>
        <v>ò</v>
      </c>
      <c r="F16" s="61" t="str">
        <f>T.TOLIS!D14</f>
        <v>%</v>
      </c>
      <c r="G16" s="53"/>
      <c r="H16" s="90">
        <f>T.TOLIS!H14</f>
        <v>9.3699999999999992</v>
      </c>
      <c r="I16" s="90">
        <f>VLOOKUP(D16,T.TOLIS!$B$4:$T$55,MATCH(ULP!$A$1,T.TOLIS!$B$5:$T$5,0),FALSE)</f>
        <v>9.65</v>
      </c>
      <c r="J16" s="257">
        <f>VLOOKUP(D16,'R.TOLIS'!$B$4:$T$64,MATCH(ULP!$A$1,'R.TOLIS'!$B$5:$T$5,0),FALSE)</f>
        <v>7.8288026195481271</v>
      </c>
      <c r="K16" s="258">
        <f>IF(I16=0,0,IF(((I16-(J16-I16))/I16)*100&lt;=0,0,IF(((I16-(J16-I16))/I16)*100&gt;=110,110,((I16-(J16-I16))/I16)*100)))</f>
        <v>110</v>
      </c>
      <c r="L16" s="103"/>
      <c r="M16" s="150"/>
      <c r="N16" s="91"/>
      <c r="O16" s="52" t="str">
        <f>T.LEOK!B14</f>
        <v>a. Susut Distribusi Tanpa E-min (sesuai kewenangan)</v>
      </c>
      <c r="P16" s="364" t="str">
        <f>T.LEOK!C14</f>
        <v>ò</v>
      </c>
      <c r="Q16" s="61" t="str">
        <f>T.LEOK!D14</f>
        <v>%</v>
      </c>
      <c r="R16" s="53"/>
      <c r="S16" s="90">
        <f>T.LEOK!T14</f>
        <v>10.35</v>
      </c>
      <c r="T16" s="90">
        <f>VLOOKUP(O16,T.LEOK!$B$4:$T$55,MATCH(ULP!$A$1,T.LEOK!$B$5:$T$5,0),FALSE)</f>
        <v>10.66</v>
      </c>
      <c r="U16" s="257">
        <f>VLOOKUP(O16,'R.LEOK'!$B$4:$T$63,MATCH(ULP!$A$1,'R.LEOK'!$B$5:$T$5,0),FALSE)</f>
        <v>10.794904975039504</v>
      </c>
      <c r="V16" s="258">
        <f>IF(T16=0,0,IF(((T16-(U16-T16))/T16)*100&lt;=0,0,IF(((T16-(U16-T16))/T16)*100&gt;=110,110,((T16-(U16-T16))/T16)*100)))</f>
        <v>98.73447490582079</v>
      </c>
      <c r="W16" s="103"/>
      <c r="Y16" s="91"/>
      <c r="Z16" s="52" t="str">
        <f>T.BANGKIR!B14</f>
        <v>a. Susut Distribusi Tanpa E-min (sesuai kewenangan)</v>
      </c>
      <c r="AA16" s="364" t="str">
        <f>T.BANGKIR!C14</f>
        <v>ò</v>
      </c>
      <c r="AB16" s="61" t="str">
        <f>T.BANGKIR!D14</f>
        <v>%</v>
      </c>
      <c r="AC16" s="53"/>
      <c r="AD16" s="90">
        <f>T.BANGKIR!T14</f>
        <v>7.8</v>
      </c>
      <c r="AE16" s="90">
        <f>VLOOKUP(Z16,T.BANGKIR!$B$4:$T$55,MATCH(ULP!$A$1,T.BANGKIR!$B$5:$T$5,0),FALSE)</f>
        <v>8.0399999999999991</v>
      </c>
      <c r="AF16" s="257">
        <f>VLOOKUP(Z16,'R.BANGKIR'!$B$4:$T$63,MATCH(ULP!$A$1,'R.BANGKIR'!$B$5:$T$5,0),FALSE)</f>
        <v>2.4114935378769062</v>
      </c>
      <c r="AG16" s="258">
        <f>IF(AE16=0,0,IF(((AE16-(AF16-AE16))/AE16)*100&lt;=0,0,IF(((AE16-(AF16-AE16))/AE16)*100&gt;=110,110,((AE16-(AF16-AE16))/AE16)*100)))</f>
        <v>110</v>
      </c>
      <c r="AH16" s="103"/>
      <c r="AJ16" s="91"/>
      <c r="AK16" s="52" t="str">
        <f>T.MOUTONG!B14</f>
        <v>a. Susut Distribusi Tanpa E-min (sesuai kewenangan)</v>
      </c>
      <c r="AL16" s="364" t="str">
        <f>T.MOUTONG!C14</f>
        <v>ò</v>
      </c>
      <c r="AM16" s="61" t="str">
        <f>T.MOUTONG!D14</f>
        <v>%</v>
      </c>
      <c r="AN16" s="53"/>
      <c r="AO16" s="90">
        <f>T.MOUTONG!T14</f>
        <v>9.6</v>
      </c>
      <c r="AP16" s="90">
        <f>VLOOKUP(AK16,T.MOUTONG!$B$4:$T$55,MATCH(ULP!$A$1,T.MOUTONG!$B$5:$T$5,0),FALSE)</f>
        <v>9.89</v>
      </c>
      <c r="AQ16" s="257">
        <f>VLOOKUP(AK16,'R.MOUTONG'!$B$4:$T$63,MATCH(ULP!$A$1,'R.MOUTONG'!$B$5:$T$5,0),FALSE)</f>
        <v>9.7770328229887475</v>
      </c>
      <c r="AR16" s="258">
        <f>IF(AP16=0,0,IF(((AP16-(AQ16-AP16))/AP16)*100&lt;=0,0,IF(((AP16-(AQ16-AP16))/AP16)*100&gt;=110,110,((AP16-(AQ16-AP16))/AP16)*100)))</f>
        <v>101.14223637018456</v>
      </c>
      <c r="AS16" s="103"/>
      <c r="AU16" s="91"/>
      <c r="AV16" s="52" t="str">
        <f>T.KOTARAYA!B14</f>
        <v>a. Susut Distribusi Tanpa E-min (sesuai kewenangan)</v>
      </c>
      <c r="AW16" s="364" t="str">
        <f>T.KOTARAYA!C14</f>
        <v>ò</v>
      </c>
      <c r="AX16" s="259" t="str">
        <f>T.KOTARAYA!D14</f>
        <v>%</v>
      </c>
      <c r="AY16" s="53"/>
      <c r="AZ16" s="90">
        <f>T.KOTARAYA!T14</f>
        <v>6.25</v>
      </c>
      <c r="BA16" s="90">
        <f>VLOOKUP(AV16,T.KOTARAYA!$B$4:$T$55,MATCH(ULP!$A$1,T.KOTARAYA!$B$5:$T$5,0),FALSE)</f>
        <v>6.44</v>
      </c>
      <c r="BB16" s="257">
        <f>VLOOKUP(AV16,'R.KOTARAYA'!$B$4:$T$63,MATCH(ULP!$A$1,'R.KOTARAYA'!$B$5:$T$5,0),FALSE)</f>
        <v>-5.423386120709992</v>
      </c>
      <c r="BC16" s="258">
        <f>IF(BA16=0,0,IF(((BA16-(BB16-BA16))/BA16)*100&lt;=0,0,IF(((BA16-(BB16-BA16))/BA16)*100&gt;=110,110,((BA16-(BB16-BA16))/BA16)*100)))</f>
        <v>110</v>
      </c>
      <c r="BD16" s="103"/>
    </row>
    <row r="17" spans="2:56" s="12" customFormat="1" ht="16.5">
      <c r="B17" s="170"/>
      <c r="C17" s="91"/>
      <c r="D17" s="52" t="str">
        <f>T.TOLIS!B15</f>
        <v>b. Penyelesaian Temuan P2TL</v>
      </c>
      <c r="E17" s="364" t="str">
        <f>T.TOLIS!C15</f>
        <v>ñ</v>
      </c>
      <c r="F17" s="61" t="str">
        <f>T.TOLIS!D15</f>
        <v>%</v>
      </c>
      <c r="G17" s="53"/>
      <c r="H17" s="90">
        <f>T.TOLIS!H15</f>
        <v>100</v>
      </c>
      <c r="I17" s="90">
        <f>VLOOKUP(D17,T.TOLIS!$B$4:$T$55,MATCH(ULP!$A$1,T.TOLIS!$B$5:$T$5,0),FALSE)</f>
        <v>65.040091638029779</v>
      </c>
      <c r="J17" s="257">
        <f>VLOOKUP(D17,'R.TOLIS'!$B$4:$T$64,MATCH(ULP!$A$1,'R.TOLIS'!$B$5:$T$5,0),FALSE)</f>
        <v>88.92110091743119</v>
      </c>
      <c r="K17" s="258">
        <f>IF(OR(I17="N/A",J17="N/A"),"N/A",IF((J17/I17*100)&gt;=110,110,(J17/I17*100)))</f>
        <v>110</v>
      </c>
      <c r="L17" s="103"/>
      <c r="M17" s="150"/>
      <c r="N17" s="91"/>
      <c r="O17" s="52" t="str">
        <f>T.LEOK!B15</f>
        <v>b. Penyelesaian Temuan P2TL</v>
      </c>
      <c r="P17" s="364" t="str">
        <f>T.LEOK!C15</f>
        <v>ñ</v>
      </c>
      <c r="Q17" s="61" t="str">
        <f>T.LEOK!D15</f>
        <v>%</v>
      </c>
      <c r="R17" s="53"/>
      <c r="S17" s="90">
        <f>T.LEOK!T15</f>
        <v>100</v>
      </c>
      <c r="T17" s="90">
        <f>VLOOKUP(O17,T.LEOK!$B$4:$T$55,MATCH(ULP!$A$1,T.LEOK!$B$5:$T$5,0),FALSE)</f>
        <v>60</v>
      </c>
      <c r="U17" s="257">
        <f>VLOOKUP(O17,'R.LEOK'!$B$4:$T$63,MATCH(ULP!$A$1,'R.LEOK'!$B$5:$T$5,0),FALSE)</f>
        <v>66.910799999999995</v>
      </c>
      <c r="V17" s="258">
        <f>IF(OR(T17="N/A",U17="N/A"),"N/A",IF((U17/T17*100)&gt;=110,110,(U17/T17*100)))</f>
        <v>110</v>
      </c>
      <c r="W17" s="103"/>
      <c r="Y17" s="91"/>
      <c r="Z17" s="52" t="str">
        <f>T.BANGKIR!B15</f>
        <v>b. Penyelesaian Temuan P2TL</v>
      </c>
      <c r="AA17" s="364" t="str">
        <f>T.BANGKIR!C15</f>
        <v>ñ</v>
      </c>
      <c r="AB17" s="61" t="str">
        <f>T.BANGKIR!D15</f>
        <v>%</v>
      </c>
      <c r="AC17" s="53"/>
      <c r="AD17" s="90">
        <f>T.BANGKIR!T15</f>
        <v>100</v>
      </c>
      <c r="AE17" s="90">
        <f>VLOOKUP(Z17,T.BANGKIR!$B$4:$T$55,MATCH(ULP!$A$1,T.BANGKIR!$B$5:$T$5,0),FALSE)</f>
        <v>60</v>
      </c>
      <c r="AF17" s="257">
        <f>VLOOKUP(Z17,'R.BANGKIR'!$B$4:$T$63,MATCH(ULP!$A$1,'R.BANGKIR'!$B$5:$T$5,0),FALSE)</f>
        <v>155.3065</v>
      </c>
      <c r="AG17" s="258">
        <f>IF(OR(AE17="N/A",AF17="N/A"),"N/A",IF((AF17/AE17*100)&gt;=110,110,(AF17/AE17*100)))</f>
        <v>110</v>
      </c>
      <c r="AH17" s="103"/>
      <c r="AJ17" s="91"/>
      <c r="AK17" s="52" t="str">
        <f>T.MOUTONG!B15</f>
        <v>b. Penyelesaian Temuan P2TL</v>
      </c>
      <c r="AL17" s="364" t="str">
        <f>T.MOUTONG!C15</f>
        <v>ñ</v>
      </c>
      <c r="AM17" s="61" t="str">
        <f>T.MOUTONG!D15</f>
        <v>%</v>
      </c>
      <c r="AN17" s="53"/>
      <c r="AO17" s="90">
        <f>T.MOUTONG!T15</f>
        <v>100</v>
      </c>
      <c r="AP17" s="90">
        <f>VLOOKUP(AK17,T.MOUTONG!$B$4:$T$55,MATCH(ULP!$A$1,T.MOUTONG!$B$5:$T$5,0),FALSE)</f>
        <v>50</v>
      </c>
      <c r="AQ17" s="257">
        <f>VLOOKUP(AK17,'R.MOUTONG'!$B$4:$T$63,MATCH(ULP!$A$1,'R.MOUTONG'!$B$5:$T$5,0),FALSE)</f>
        <v>87.801500000000004</v>
      </c>
      <c r="AR17" s="258">
        <f>IF(OR(AP17="N/A",AQ17="N/A"),"N/A",IF((AQ17/AP17*100)&gt;=110,110,(AQ17/AP17*100)))</f>
        <v>110</v>
      </c>
      <c r="AS17" s="103"/>
      <c r="AU17" s="91"/>
      <c r="AV17" s="52" t="str">
        <f>T.KOTARAYA!B15</f>
        <v>b. Penyelesaian Temuan P2TL</v>
      </c>
      <c r="AW17" s="364" t="str">
        <f>T.KOTARAYA!C15</f>
        <v>ñ</v>
      </c>
      <c r="AX17" s="259" t="str">
        <f>T.KOTARAYA!D15</f>
        <v>%</v>
      </c>
      <c r="AY17" s="53"/>
      <c r="AZ17" s="90">
        <f>T.KOTARAYA!T15</f>
        <v>100</v>
      </c>
      <c r="BA17" s="90">
        <f>VLOOKUP(AV17,T.KOTARAYA!$B$4:$T$55,MATCH(ULP!$A$1,T.KOTARAYA!$B$5:$T$5,0),FALSE)</f>
        <v>47.368421052631575</v>
      </c>
      <c r="BB17" s="257">
        <f>VLOOKUP(AV17,'R.KOTARAYA'!$B$4:$T$63,MATCH(ULP!$A$1,'R.KOTARAYA'!$B$5:$T$5,0),FALSE)</f>
        <v>117.32444444444444</v>
      </c>
      <c r="BC17" s="258">
        <f>IF(OR(BA17="N/A",BB17="N/A"),"N/A",IF((BB17/BA17*100)&gt;=110,110,(BB17/BA17*100)))</f>
        <v>110</v>
      </c>
      <c r="BD17" s="103"/>
    </row>
    <row r="18" spans="2:56" s="12" customFormat="1" ht="16.5">
      <c r="B18" s="170"/>
      <c r="C18" s="91"/>
      <c r="D18" s="52" t="str">
        <f>T.TOLIS!B16</f>
        <v>c. Penyelesaian Ganti Meter</v>
      </c>
      <c r="E18" s="364" t="str">
        <f>T.TOLIS!C16</f>
        <v>ñ</v>
      </c>
      <c r="F18" s="61" t="str">
        <f>T.TOLIS!D16</f>
        <v>Unit</v>
      </c>
      <c r="G18" s="53"/>
      <c r="H18" s="90">
        <f>T.TOLIS!H16</f>
        <v>1457</v>
      </c>
      <c r="I18" s="90">
        <f>VLOOKUP(D18,T.TOLIS!$B$4:$T$55,MATCH(ULP!$A$1,T.TOLIS!$B$5:$T$5,0),FALSE)</f>
        <v>1093</v>
      </c>
      <c r="J18" s="257">
        <f>VLOOKUP(D18,'R.TOLIS'!$B$4:$T$64,MATCH(ULP!$A$1,'R.TOLIS'!$B$5:$T$5,0),FALSE)</f>
        <v>1186</v>
      </c>
      <c r="K18" s="258">
        <f>IF(OR(I18="N/A",J18="N/A"),"N/A",IF((J18/I18*100)&gt;=110,110,(J18/I18*100)))</f>
        <v>108.50869167429093</v>
      </c>
      <c r="L18" s="103"/>
      <c r="M18" s="150"/>
      <c r="N18" s="91"/>
      <c r="O18" s="52" t="str">
        <f>T.LEOK!B16</f>
        <v>c. Penyelesaian Ganti Meter</v>
      </c>
      <c r="P18" s="364" t="str">
        <f>T.LEOK!C16</f>
        <v>ñ</v>
      </c>
      <c r="Q18" s="61" t="str">
        <f>T.LEOK!D16</f>
        <v>Unit</v>
      </c>
      <c r="R18" s="53"/>
      <c r="S18" s="90">
        <f>T.LEOK!T16</f>
        <v>1091</v>
      </c>
      <c r="T18" s="90">
        <f>VLOOKUP(O18,T.LEOK!$B$4:$T$55,MATCH(ULP!$A$1,T.LEOK!$B$5:$T$5,0),FALSE)</f>
        <v>875</v>
      </c>
      <c r="U18" s="90">
        <f>VLOOKUP(O18,'R.LEOK'!$B$4:$T$63,MATCH(ULP!$A$1,'R.LEOK'!$B$5:$T$5,0),FALSE)</f>
        <v>732</v>
      </c>
      <c r="V18" s="157">
        <f>IF(OR(T18="N/A",U18="N/A"),"N/A",IF((U18/T18*100)&gt;=110,110,(U18/T18*100)))</f>
        <v>83.657142857142858</v>
      </c>
      <c r="W18" s="103"/>
      <c r="Y18" s="91"/>
      <c r="Z18" s="52" t="str">
        <f>T.BANGKIR!B16</f>
        <v>c. Penyelesaian Ganti Meter</v>
      </c>
      <c r="AA18" s="364" t="str">
        <f>T.BANGKIR!C16</f>
        <v>ñ</v>
      </c>
      <c r="AB18" s="61" t="str">
        <f>T.BANGKIR!D16</f>
        <v>Unit</v>
      </c>
      <c r="AC18" s="53"/>
      <c r="AD18" s="90">
        <f>T.BANGKIR!T16</f>
        <v>793</v>
      </c>
      <c r="AE18" s="90">
        <f>VLOOKUP(Z18,T.BANGKIR!$B$4:$T$55,MATCH(ULP!$A$1,T.BANGKIR!$B$5:$T$5,0),FALSE)</f>
        <v>530</v>
      </c>
      <c r="AF18" s="90">
        <f>VLOOKUP(Z18,'R.BANGKIR'!$B$4:$T$63,MATCH(ULP!$A$1,'R.BANGKIR'!$B$5:$T$5,0),FALSE)</f>
        <v>711</v>
      </c>
      <c r="AG18" s="157">
        <f>IF(OR(AE18="N/A",AF18="N/A"),"N/A",IF((AF18/AE18*100)&gt;=110,110,(AF18/AE18*100)))</f>
        <v>110</v>
      </c>
      <c r="AH18" s="103"/>
      <c r="AJ18" s="91"/>
      <c r="AK18" s="52" t="str">
        <f>T.MOUTONG!B16</f>
        <v>c. Penyelesaian Ganti Meter</v>
      </c>
      <c r="AL18" s="364" t="str">
        <f>T.MOUTONG!C16</f>
        <v>ñ</v>
      </c>
      <c r="AM18" s="61" t="str">
        <f>T.MOUTONG!D16</f>
        <v>Unit</v>
      </c>
      <c r="AN18" s="53"/>
      <c r="AO18" s="90">
        <f>T.MOUTONG!T16</f>
        <v>698</v>
      </c>
      <c r="AP18" s="90">
        <f>VLOOKUP(AK18,T.MOUTONG!$B$4:$T$55,MATCH(ULP!$A$1,T.MOUTONG!$B$5:$T$5,0),FALSE)</f>
        <v>470</v>
      </c>
      <c r="AQ18" s="90">
        <f>VLOOKUP(AK18,'R.MOUTONG'!$B$4:$T$63,MATCH(ULP!$A$1,'R.MOUTONG'!$B$5:$T$5,0),FALSE)</f>
        <v>510</v>
      </c>
      <c r="AR18" s="157">
        <f>IF(OR(AP18="N/A",AQ18="N/A"),"N/A",IF((AQ18/AP18*100)&gt;=110,110,(AQ18/AP18*100)))</f>
        <v>108.51063829787233</v>
      </c>
      <c r="AS18" s="103"/>
      <c r="AU18" s="91"/>
      <c r="AV18" s="52" t="str">
        <f>T.KOTARAYA!B16</f>
        <v>d. Penyelesaian Ganti Meter</v>
      </c>
      <c r="AW18" s="364" t="str">
        <f>T.KOTARAYA!C16</f>
        <v>ñ</v>
      </c>
      <c r="AX18" s="259" t="str">
        <f>T.KOTARAYA!D16</f>
        <v>Unit</v>
      </c>
      <c r="AY18" s="53">
        <f>IF(BB18="N/A",0,T.KOTARAYA!F16)</f>
        <v>0</v>
      </c>
      <c r="AZ18" s="90">
        <f>T.KOTARAYA!T16</f>
        <v>688</v>
      </c>
      <c r="BA18" s="90">
        <f>VLOOKUP(AV18,T.KOTARAYA!$B$4:$T$55,MATCH(ULP!$A$1,T.KOTARAYA!$B$5:$T$5,0),FALSE)</f>
        <v>476</v>
      </c>
      <c r="BB18" s="90">
        <f>VLOOKUP(AV18,'R.KOTARAYA'!$B$4:$T$63,MATCH(ULP!$A$1,'R.KOTARAYA'!$B$5:$T$5,0),FALSE)</f>
        <v>560</v>
      </c>
      <c r="BC18" s="157">
        <f>IF(OR(BA18="N/A",BB18="N/A"),"N/A",IF((BB18/BA18*100)&gt;=110,110,(BB18/BA18*100)))</f>
        <v>110</v>
      </c>
      <c r="BD18" s="103"/>
    </row>
    <row r="19" spans="2:56" s="12" customFormat="1" ht="16.5">
      <c r="B19" s="170"/>
      <c r="C19" s="54" t="str">
        <f>T.TOLIS!A17</f>
        <v>II</v>
      </c>
      <c r="D19" s="55" t="str">
        <f>T.TOLIS!B17</f>
        <v>Perfomance Indicators</v>
      </c>
      <c r="E19" s="365"/>
      <c r="F19" s="129"/>
      <c r="G19" s="139">
        <f>SUM(G20:G56)</f>
        <v>60</v>
      </c>
      <c r="H19" s="139"/>
      <c r="I19" s="139"/>
      <c r="J19" s="139"/>
      <c r="K19" s="139"/>
      <c r="L19" s="163">
        <f>SUM(L20,L24,L29,L32,L35,L40,L43,L46,L47)</f>
        <v>57.249999999999993</v>
      </c>
      <c r="M19" s="1"/>
      <c r="N19" s="54" t="str">
        <f>$C$19</f>
        <v>II</v>
      </c>
      <c r="O19" s="55" t="str">
        <f>$D$19</f>
        <v>Perfomance Indicators</v>
      </c>
      <c r="P19" s="365"/>
      <c r="Q19" s="129"/>
      <c r="R19" s="139">
        <f>SUM(R20:R56)</f>
        <v>60</v>
      </c>
      <c r="S19" s="139"/>
      <c r="T19" s="139"/>
      <c r="U19" s="139"/>
      <c r="V19" s="139"/>
      <c r="W19" s="163">
        <f>SUM(W20,W24,W29,W32,W35,W40,W43,W46,W47)</f>
        <v>58.690000000000005</v>
      </c>
      <c r="X19" s="1"/>
      <c r="Y19" s="54" t="str">
        <f>$C$19</f>
        <v>II</v>
      </c>
      <c r="Z19" s="55" t="str">
        <f>$D$19</f>
        <v>Perfomance Indicators</v>
      </c>
      <c r="AA19" s="365"/>
      <c r="AB19" s="129"/>
      <c r="AC19" s="139">
        <f>SUM(AC20:AC56)</f>
        <v>60</v>
      </c>
      <c r="AD19" s="139"/>
      <c r="AE19" s="139"/>
      <c r="AF19" s="139"/>
      <c r="AG19" s="139"/>
      <c r="AH19" s="163">
        <f>SUM(AH20,AH24,AH29,AH32,AH35,AH40,AH43,AH46,AH47)</f>
        <v>62.860000000000007</v>
      </c>
      <c r="AI19" s="1"/>
      <c r="AJ19" s="54" t="str">
        <f>$C$19</f>
        <v>II</v>
      </c>
      <c r="AK19" s="55" t="str">
        <f>$D$19</f>
        <v>Perfomance Indicators</v>
      </c>
      <c r="AL19" s="365"/>
      <c r="AM19" s="129"/>
      <c r="AN19" s="139">
        <f>SUM(AN20:AN56)</f>
        <v>60</v>
      </c>
      <c r="AO19" s="139"/>
      <c r="AP19" s="139"/>
      <c r="AQ19" s="139"/>
      <c r="AR19" s="139"/>
      <c r="AS19" s="163">
        <f>SUM(AS20,AS24,AS29,AS32,AS35,AS40,AS43,AS46,AS47)</f>
        <v>58.220000000000006</v>
      </c>
      <c r="AT19" s="1"/>
      <c r="AU19" s="54" t="str">
        <f>$C$19</f>
        <v>II</v>
      </c>
      <c r="AV19" s="55" t="str">
        <f>$D$19</f>
        <v>Perfomance Indicators</v>
      </c>
      <c r="AW19" s="365"/>
      <c r="AX19" s="129"/>
      <c r="AY19" s="139">
        <f>SUM(AY20:AY56)</f>
        <v>60</v>
      </c>
      <c r="AZ19" s="139"/>
      <c r="BA19" s="139"/>
      <c r="BB19" s="139"/>
      <c r="BC19" s="139"/>
      <c r="BD19" s="163">
        <f>SUM(BD20,BD24,BD29,BD32,BD35,BD40,BD43,BD46,BD47)</f>
        <v>60.540000000000006</v>
      </c>
    </row>
    <row r="20" spans="2:56" ht="16.5">
      <c r="C20" s="51">
        <f>T.TOLIS!A18</f>
        <v>4</v>
      </c>
      <c r="D20" s="267" t="str">
        <f>T.TOLIS!B18</f>
        <v>Keandalan Jaringan Distribusi</v>
      </c>
      <c r="E20" s="364"/>
      <c r="F20" s="61"/>
      <c r="G20" s="53">
        <f>IF(J20="N/A",0,T.TOLIS!F18)</f>
        <v>9</v>
      </c>
      <c r="H20" s="90"/>
      <c r="I20" s="90"/>
      <c r="J20" s="90"/>
      <c r="K20" s="157">
        <f>AVERAGE(K21:K23)</f>
        <v>90</v>
      </c>
      <c r="L20" s="103">
        <f>ROUNDDOWN(IF(OR(K20="N/A",K20&lt;0),0,IF(K20&gt;110,G20*110/100,G20*K20/100)),2)</f>
        <v>8.1</v>
      </c>
      <c r="N20" s="91">
        <f>T.LEOK!A18</f>
        <v>4</v>
      </c>
      <c r="O20" s="267" t="str">
        <f>T.LEOK!B18</f>
        <v>Keandalan Jaringan Distribusi</v>
      </c>
      <c r="P20" s="364"/>
      <c r="Q20" s="61"/>
      <c r="R20" s="53">
        <f>IF(U20="N/A",0,T.LEOK!F18)</f>
        <v>9</v>
      </c>
      <c r="S20" s="91"/>
      <c r="T20" s="90"/>
      <c r="U20" s="90"/>
      <c r="V20" s="157">
        <f>AVERAGE(V21:V23)</f>
        <v>110</v>
      </c>
      <c r="W20" s="103">
        <f>ROUNDDOWN(IF(OR(V20="N/A",V20&lt;0),0,IF(V20&gt;110,R20*110/100,R20*V20/100)),2)</f>
        <v>9.9</v>
      </c>
      <c r="Y20" s="91">
        <f>T.BANGKIR!A18</f>
        <v>4</v>
      </c>
      <c r="Z20" s="267" t="str">
        <f>T.BANGKIR!B18</f>
        <v>Keandalan Jaringan Distribusi</v>
      </c>
      <c r="AA20" s="364"/>
      <c r="AB20" s="61"/>
      <c r="AC20" s="53">
        <f>IF(AF20="N/A",0,T.BANGKIR!F18)</f>
        <v>9</v>
      </c>
      <c r="AD20" s="91"/>
      <c r="AE20" s="91"/>
      <c r="AF20" s="90"/>
      <c r="AG20" s="157">
        <f>AVERAGE(AG21:AG23)</f>
        <v>110</v>
      </c>
      <c r="AH20" s="103">
        <f>ROUNDDOWN(IF(OR(AG20="N/A",AG20&lt;0),0,IF(AG20&gt;110,AC20*110/100,AC20*AG20/100)),2)</f>
        <v>9.9</v>
      </c>
      <c r="AJ20" s="91">
        <f>T.MOUTONG!A18</f>
        <v>4</v>
      </c>
      <c r="AK20" s="267" t="str">
        <f>T.MOUTONG!B18</f>
        <v>Keandalan Jaringan Distribusi</v>
      </c>
      <c r="AL20" s="364"/>
      <c r="AM20" s="61"/>
      <c r="AN20" s="53">
        <f>IF(AQ20="N/A",0,T.MOUTONG!F18)</f>
        <v>9</v>
      </c>
      <c r="AO20" s="91"/>
      <c r="AP20" s="91"/>
      <c r="AQ20" s="90"/>
      <c r="AR20" s="157">
        <f>AVERAGE(AR21:AR23)</f>
        <v>110</v>
      </c>
      <c r="AS20" s="103">
        <f>ROUNDDOWN(IF(OR(AR20="N/A",AR20&lt;0),0,IF(AR20&gt;110,AN20*110/100,AN20*AR20/100)),2)</f>
        <v>9.9</v>
      </c>
      <c r="AU20" s="91">
        <f>T.KOTARAYA!A18</f>
        <v>4</v>
      </c>
      <c r="AV20" s="267" t="str">
        <f>T.KOTARAYA!B18</f>
        <v>Keandalan Jaringan Distribusi</v>
      </c>
      <c r="AW20" s="364"/>
      <c r="AX20" s="259"/>
      <c r="AY20" s="53">
        <f>IF(BB20="N/A",0,T.KOTARAYA!F18)</f>
        <v>9</v>
      </c>
      <c r="AZ20" s="91"/>
      <c r="BA20" s="91"/>
      <c r="BB20" s="90"/>
      <c r="BC20" s="157">
        <f>AVERAGE(BC21:BC23)</f>
        <v>110</v>
      </c>
      <c r="BD20" s="103">
        <f>ROUNDDOWN(IF(OR(BC20="N/A",BC20&lt;0),0,IF(BC20&gt;110,AY20*110/100,AY20*BC20/100)),2)</f>
        <v>9.9</v>
      </c>
    </row>
    <row r="21" spans="2:56" ht="16.5">
      <c r="D21" s="52" t="str">
        <f>T.TOLIS!B19</f>
        <v>a. Gangguan TM &gt; 5 Menit</v>
      </c>
      <c r="E21" s="364" t="str">
        <f>T.TOLIS!C19</f>
        <v>ò</v>
      </c>
      <c r="F21" s="61" t="str">
        <f>T.TOLIS!D19</f>
        <v>Kali</v>
      </c>
      <c r="G21" s="53"/>
      <c r="H21" s="90">
        <f>T.TOLIS!H19</f>
        <v>62</v>
      </c>
      <c r="I21" s="90">
        <f>VLOOKUP(D21,T.TOLIS!$B$4:$T$55,MATCH(ULP!$A$1,T.TOLIS!$B$5:$T$5,0),FALSE)</f>
        <v>44</v>
      </c>
      <c r="J21" s="90">
        <f>VLOOKUP(D21,'R.TOLIS'!$B$4:$T$64,MATCH(ULP!$A$1,'R.TOLIS'!$B$5:$T$5,0),FALSE)</f>
        <v>38</v>
      </c>
      <c r="K21" s="157">
        <f>IF(OR(I21="N/A",J21="N/A"),"N/A",IF((2-(J21/I21))*100&gt;=110,110,(2-(J21/I21))*100))</f>
        <v>110</v>
      </c>
      <c r="L21" s="103"/>
      <c r="N21" s="91"/>
      <c r="O21" s="52" t="str">
        <f>T.LEOK!B19</f>
        <v>a. Gangguan TM &gt; 5 Menit</v>
      </c>
      <c r="P21" s="364" t="str">
        <f>T.LEOK!C19</f>
        <v>ò</v>
      </c>
      <c r="Q21" s="61" t="str">
        <f>T.LEOK!D19</f>
        <v>Kali</v>
      </c>
      <c r="R21" s="53"/>
      <c r="S21" s="90">
        <f>T.LEOK!S19</f>
        <v>29</v>
      </c>
      <c r="T21" s="90">
        <f>VLOOKUP(O21,T.LEOK!$B$4:$T$55,MATCH(ULP!$A$1,T.LEOK!$B$5:$T$5,0),FALSE)</f>
        <v>21</v>
      </c>
      <c r="U21" s="90">
        <f>VLOOKUP(O21,'R.LEOK'!$B$4:$T$63,MATCH(ULP!$A$1,'R.LEOK'!$B$5:$T$5,0),FALSE)</f>
        <v>15</v>
      </c>
      <c r="V21" s="157">
        <f>IF(OR(T21="N/A",U21="N/A"),"N/A",IF((2-(U21/T21))*100&gt;=110,110,(2-(U21/T21))*100))</f>
        <v>110</v>
      </c>
      <c r="W21" s="103"/>
      <c r="Y21" s="91"/>
      <c r="Z21" s="52" t="str">
        <f>T.BANGKIR!B19</f>
        <v>a. Gangguan TM &gt; 5 Menit</v>
      </c>
      <c r="AA21" s="364" t="str">
        <f>T.BANGKIR!C19</f>
        <v>ò</v>
      </c>
      <c r="AB21" s="61" t="str">
        <f>T.BANGKIR!D19</f>
        <v>Kali</v>
      </c>
      <c r="AC21" s="53"/>
      <c r="AD21" s="90">
        <f>T.BANGKIR!T19</f>
        <v>36</v>
      </c>
      <c r="AE21" s="90">
        <f>VLOOKUP(Z21,T.BANGKIR!$B$4:$T$55,MATCH(ULP!$A$1,T.BANGKIR!$B$5:$T$5,0),FALSE)</f>
        <v>26</v>
      </c>
      <c r="AF21" s="90">
        <f>VLOOKUP(Z21,'R.BANGKIR'!$B$4:$T$63,MATCH(ULP!$A$1,'R.BANGKIR'!$B$5:$T$5,0),FALSE)</f>
        <v>16</v>
      </c>
      <c r="AG21" s="157">
        <f>IF(OR(AE21="N/A",AF21="N/A"),"N/A",IF((2-(AF21/AE21))*100&gt;=110,110,(2-(AF21/AE21))*100))</f>
        <v>110</v>
      </c>
      <c r="AH21" s="103"/>
      <c r="AI21" s="245"/>
      <c r="AJ21" s="91"/>
      <c r="AK21" s="52" t="str">
        <f>T.MOUTONG!B19</f>
        <v>a. Gangguan TM &gt; 5 Menit</v>
      </c>
      <c r="AL21" s="364" t="str">
        <f>T.MOUTONG!C19</f>
        <v>ò</v>
      </c>
      <c r="AM21" s="61" t="str">
        <f>T.MOUTONG!D19</f>
        <v>Kali</v>
      </c>
      <c r="AN21" s="53"/>
      <c r="AO21" s="90">
        <f>T.MOUTONG!T19</f>
        <v>12</v>
      </c>
      <c r="AP21" s="90">
        <f>VLOOKUP(AK21,T.MOUTONG!$B$4:$T$55,MATCH(ULP!$A$1,T.MOUTONG!$B$5:$T$5,0),FALSE)</f>
        <v>9</v>
      </c>
      <c r="AQ21" s="90">
        <f>VLOOKUP(AK21,'R.MOUTONG'!$B$4:$T$63,MATCH(ULP!$A$1,'R.MOUTONG'!$B$5:$T$5,0),FALSE)</f>
        <v>7</v>
      </c>
      <c r="AR21" s="157">
        <f>IF(OR(AP21="N/A",AQ21="N/A"),"N/A",IF((2-(AQ21/AP21))*100&gt;=110,110,(2-(AQ21/AP21))*100))</f>
        <v>110</v>
      </c>
      <c r="AS21" s="103"/>
      <c r="AU21" s="91"/>
      <c r="AV21" s="52" t="str">
        <f>T.KOTARAYA!B19</f>
        <v>a. Gangguan TM &gt; 5 Menit</v>
      </c>
      <c r="AW21" s="364" t="str">
        <f>T.KOTARAYA!C19</f>
        <v>ò</v>
      </c>
      <c r="AX21" s="259" t="str">
        <f>T.KOTARAYA!D19</f>
        <v>Kali</v>
      </c>
      <c r="AY21" s="53"/>
      <c r="AZ21" s="90">
        <f>T.KOTARAYA!T19</f>
        <v>26</v>
      </c>
      <c r="BA21" s="90">
        <f>VLOOKUP(AV21,T.KOTARAYA!$B$4:$T$55,MATCH(ULP!$A$1,T.KOTARAYA!$B$5:$T$5,0),FALSE)</f>
        <v>19</v>
      </c>
      <c r="BB21" s="90">
        <f>VLOOKUP(AV21,'R.KOTARAYA'!$B$4:$T$63,MATCH(ULP!$A$1,'R.KOTARAYA'!$B$5:$T$5,0),FALSE)</f>
        <v>11</v>
      </c>
      <c r="BC21" s="157">
        <f>IF(OR(BA21="N/A",BB21="N/A"),"N/A",IF((2-(BB21/BA21))*100&gt;=110,110,(2-(BB21/BA21))*100))</f>
        <v>110</v>
      </c>
      <c r="BD21" s="103"/>
    </row>
    <row r="22" spans="2:56" ht="16.5">
      <c r="C22" s="51"/>
      <c r="D22" s="52" t="str">
        <f>T.TOLIS!B20</f>
        <v>b. Gangguan TM ≤ 5 Menit</v>
      </c>
      <c r="E22" s="364" t="str">
        <f>T.TOLIS!C20</f>
        <v>ò</v>
      </c>
      <c r="F22" s="61" t="str">
        <f>T.TOLIS!D20</f>
        <v>Kali</v>
      </c>
      <c r="G22" s="53"/>
      <c r="H22" s="90">
        <f>T.TOLIS!H20</f>
        <v>86</v>
      </c>
      <c r="I22" s="90">
        <f>VLOOKUP(D22,T.TOLIS!$B$4:$T$55,MATCH(ULP!$A$1,T.TOLIS!$B$5:$T$5,0),FALSE)</f>
        <v>57</v>
      </c>
      <c r="J22" s="90">
        <f>VLOOKUP(D22,'R.TOLIS'!$B$4:$T$64,MATCH(ULP!$A$1,'R.TOLIS'!$B$5:$T$5,0),FALSE)</f>
        <v>44</v>
      </c>
      <c r="K22" s="157">
        <f>IF(OR(I22="N/A",J22="N/A"),"N/A",IF((2-(J22/I22))*100&gt;=110,110,(2-(J22/I22))*100))</f>
        <v>110</v>
      </c>
      <c r="L22" s="103"/>
      <c r="N22" s="91"/>
      <c r="O22" s="52" t="str">
        <f>T.LEOK!B20</f>
        <v>b. Gangguan TM ≤ 5 Menit</v>
      </c>
      <c r="P22" s="364" t="str">
        <f>T.LEOK!C20</f>
        <v>ò</v>
      </c>
      <c r="Q22" s="61" t="str">
        <f>T.LEOK!D20</f>
        <v>Kali</v>
      </c>
      <c r="R22" s="53"/>
      <c r="S22" s="90">
        <f>T.LEOK!S20</f>
        <v>40</v>
      </c>
      <c r="T22" s="90">
        <f>VLOOKUP(O22,T.LEOK!$B$4:$T$55,MATCH(ULP!$A$1,T.LEOK!$B$5:$T$5,0),FALSE)</f>
        <v>29</v>
      </c>
      <c r="U22" s="90">
        <f>VLOOKUP(O22,'R.LEOK'!$B$4:$T$63,MATCH(ULP!$A$1,'R.LEOK'!$B$5:$T$5,0),FALSE)</f>
        <v>20</v>
      </c>
      <c r="V22" s="157">
        <f>IF(OR(T22="N/A",U22="N/A"),"N/A",IF((2-(U22/T22))*100&gt;=110,110,(2-(U22/T22))*100))</f>
        <v>110</v>
      </c>
      <c r="W22" s="103"/>
      <c r="Y22" s="91"/>
      <c r="Z22" s="52" t="str">
        <f>T.BANGKIR!B20</f>
        <v>b. Gangguan TM ≤ 5 Menit</v>
      </c>
      <c r="AA22" s="364" t="str">
        <f>T.BANGKIR!C20</f>
        <v>ò</v>
      </c>
      <c r="AB22" s="61" t="str">
        <f>T.BANGKIR!D20</f>
        <v>Kali</v>
      </c>
      <c r="AC22" s="53"/>
      <c r="AD22" s="90">
        <f>T.BANGKIR!T20</f>
        <v>21</v>
      </c>
      <c r="AE22" s="90">
        <f>VLOOKUP(Z22,T.BANGKIR!$B$4:$T$55,MATCH(ULP!$A$1,T.BANGKIR!$B$5:$T$5,0),FALSE)</f>
        <v>14</v>
      </c>
      <c r="AF22" s="90">
        <f>VLOOKUP(Z22,'R.BANGKIR'!$B$4:$T$63,MATCH(ULP!$A$1,'R.BANGKIR'!$B$5:$T$5,0),FALSE)</f>
        <v>11</v>
      </c>
      <c r="AG22" s="157">
        <f>IF(OR(AE22="N/A",AF22="N/A"),"N/A",IF((2-(AF22/AE22))*100&gt;=110,110,(2-(AF22/AE22))*100))</f>
        <v>110</v>
      </c>
      <c r="AH22" s="103"/>
      <c r="AJ22" s="91"/>
      <c r="AK22" s="52" t="str">
        <f>T.MOUTONG!B20</f>
        <v>b. Gangguan TM ≤ 5 Menit</v>
      </c>
      <c r="AL22" s="364" t="str">
        <f>T.MOUTONG!C20</f>
        <v>ò</v>
      </c>
      <c r="AM22" s="61" t="str">
        <f>T.MOUTONG!D20</f>
        <v>Kali</v>
      </c>
      <c r="AN22" s="53"/>
      <c r="AO22" s="90">
        <f>T.MOUTONG!T20</f>
        <v>20</v>
      </c>
      <c r="AP22" s="90">
        <f>VLOOKUP(AK22,T.MOUTONG!$B$4:$T$55,MATCH(ULP!$A$1,T.MOUTONG!$B$5:$T$5,0),FALSE)</f>
        <v>14</v>
      </c>
      <c r="AQ22" s="90">
        <f>VLOOKUP(AK22,'R.MOUTONG'!$B$4:$T$63,MATCH(ULP!$A$1,'R.MOUTONG'!$B$5:$T$5,0),FALSE)</f>
        <v>0</v>
      </c>
      <c r="AR22" s="157">
        <f>IF(OR(AP22="N/A",AQ22="N/A"),"N/A",IF((2-(AQ22/AP22))*100&gt;=110,110,(2-(AQ22/AP22))*100))</f>
        <v>110</v>
      </c>
      <c r="AS22" s="103"/>
      <c r="AU22" s="91"/>
      <c r="AV22" s="52" t="str">
        <f>T.KOTARAYA!B20</f>
        <v>b. Gangguan TM ≤ 5 Menit</v>
      </c>
      <c r="AW22" s="364" t="str">
        <f>T.KOTARAYA!C20</f>
        <v>ò</v>
      </c>
      <c r="AX22" s="259" t="str">
        <f>T.KOTARAYA!D20</f>
        <v>Kali</v>
      </c>
      <c r="AY22" s="53"/>
      <c r="AZ22" s="90">
        <f>T.KOTARAYA!T20</f>
        <v>20</v>
      </c>
      <c r="BA22" s="90">
        <f>VLOOKUP(AV22,T.KOTARAYA!$B$4:$T$55,MATCH(ULP!$A$1,T.KOTARAYA!$B$5:$T$5,0),FALSE)</f>
        <v>14</v>
      </c>
      <c r="BB22" s="90">
        <f>VLOOKUP(AV22,'R.KOTARAYA'!$B$4:$T$63,MATCH(ULP!$A$1,'R.KOTARAYA'!$B$5:$T$5,0),FALSE)</f>
        <v>10</v>
      </c>
      <c r="BC22" s="157">
        <f>IF(OR(BA22="N/A",BB22="N/A"),"N/A",IF((2-(BB22/BA22))*100&gt;=110,110,(2-(BB22/BA22))*100))</f>
        <v>110</v>
      </c>
      <c r="BD22" s="103"/>
    </row>
    <row r="23" spans="2:56" ht="33">
      <c r="C23" s="51"/>
      <c r="D23" s="52" t="str">
        <f>T.TOLIS!B21</f>
        <v>c. Kerusakan Peralatan Distribusi (PHB TM dan Trafo) Sesuai Kewenangan</v>
      </c>
      <c r="E23" s="364" t="str">
        <f>T.TOLIS!C21</f>
        <v>ò</v>
      </c>
      <c r="F23" s="61" t="str">
        <f>T.TOLIS!D21</f>
        <v>Unit</v>
      </c>
      <c r="G23" s="53"/>
      <c r="H23" s="90">
        <f>T.TOLIS!H21</f>
        <v>2</v>
      </c>
      <c r="I23" s="90">
        <f>VLOOKUP(D23,T.TOLIS!$B$4:$T$55,MATCH(ULP!$A$1,T.TOLIS!$B$5:$T$5,0),FALSE)</f>
        <v>2</v>
      </c>
      <c r="J23" s="90">
        <f>VLOOKUP(D23,'R.TOLIS'!$B$4:$T$64,MATCH(ULP!$A$1,'R.TOLIS'!$B$5:$T$5,0),FALSE)</f>
        <v>3</v>
      </c>
      <c r="K23" s="157">
        <f>IF(OR(I23="N/A",J23="N/A"),"N/A",IF((2-(J23/I23))*100&lt;0,0,IF((2-(J23/I23))*100&gt;=110,110,(2-(J23/I23))*100)))</f>
        <v>50</v>
      </c>
      <c r="L23" s="103"/>
      <c r="N23" s="91"/>
      <c r="O23" s="52" t="str">
        <f>T.LEOK!B21</f>
        <v>c. Kerusakan Peralatan Distribusi (PHB TM dan Trafo) Sesuai Kewenangan</v>
      </c>
      <c r="P23" s="364" t="str">
        <f>T.LEOK!C21</f>
        <v>ò</v>
      </c>
      <c r="Q23" s="61" t="str">
        <f>T.LEOK!D21</f>
        <v>Unit</v>
      </c>
      <c r="R23" s="53"/>
      <c r="S23" s="90">
        <f>T.LEOK!S21</f>
        <v>1</v>
      </c>
      <c r="T23" s="90">
        <f>VLOOKUP(O23,T.LEOK!$B$4:$T$55,MATCH(ULP!$A$1,T.LEOK!$B$5:$T$5,0),FALSE)</f>
        <v>1</v>
      </c>
      <c r="U23" s="90">
        <f>VLOOKUP(O23,'R.LEOK'!$B$4:$T$63,MATCH(ULP!$A$1,'R.LEOK'!$B$5:$T$5,0),FALSE)</f>
        <v>0</v>
      </c>
      <c r="V23" s="157">
        <f>IF(OR(T23="N/A",U23="N/A"),"N/A",IF((2-(U23/T23))*100&gt;=110,110,(2-(U23/T23))*100))</f>
        <v>110</v>
      </c>
      <c r="W23" s="103"/>
      <c r="Y23" s="91"/>
      <c r="Z23" s="52" t="str">
        <f>T.BANGKIR!B21</f>
        <v>c. Kerusakan Peralatan Distribusi (PHB TM dan Trafo) Sesuai Kewenangan</v>
      </c>
      <c r="AA23" s="364" t="str">
        <f>T.BANGKIR!C21</f>
        <v>ò</v>
      </c>
      <c r="AB23" s="61" t="str">
        <f>T.BANGKIR!D21</f>
        <v>Unit</v>
      </c>
      <c r="AC23" s="53"/>
      <c r="AD23" s="90">
        <f>T.BANGKIR!T21</f>
        <v>1</v>
      </c>
      <c r="AE23" s="90">
        <f>VLOOKUP(Z23,T.BANGKIR!$B$4:$T$55,MATCH(ULP!$A$1,T.BANGKIR!$B$5:$T$5,0),FALSE)</f>
        <v>1</v>
      </c>
      <c r="AF23" s="90">
        <f>VLOOKUP(Z23,'R.BANGKIR'!$B$4:$T$63,MATCH(ULP!$A$1,'R.BANGKIR'!$B$5:$T$5,0),FALSE)</f>
        <v>0</v>
      </c>
      <c r="AG23" s="157">
        <f>IF(OR(AE23="N/A",AF23="N/A"),"N/A",IF((2-(AF23/AE23))*100&gt;=110,110,(2-(AF23/AE23))*100))</f>
        <v>110</v>
      </c>
      <c r="AH23" s="103"/>
      <c r="AI23" s="245"/>
      <c r="AJ23" s="91"/>
      <c r="AK23" s="52" t="str">
        <f>T.MOUTONG!B21</f>
        <v>c. Kerusakan Peralatan Distribusi (PHB TM dan Trafo) Sesuai Kewenangan</v>
      </c>
      <c r="AL23" s="364" t="str">
        <f>T.MOUTONG!C21</f>
        <v>ò</v>
      </c>
      <c r="AM23" s="61" t="str">
        <f>T.MOUTONG!D21</f>
        <v>Unit</v>
      </c>
      <c r="AN23" s="53"/>
      <c r="AO23" s="90">
        <f>T.MOUTONG!T21</f>
        <v>1</v>
      </c>
      <c r="AP23" s="90">
        <f>VLOOKUP(AK23,T.MOUTONG!$B$4:$T$55,MATCH(ULP!$A$1,T.MOUTONG!$B$5:$T$5,0),FALSE)</f>
        <v>1</v>
      </c>
      <c r="AQ23" s="90">
        <f>VLOOKUP(AK23,'R.MOUTONG'!$B$4:$T$63,MATCH(ULP!$A$1,'R.MOUTONG'!$B$5:$T$5,0),FALSE)</f>
        <v>0</v>
      </c>
      <c r="AR23" s="157">
        <f>IF(OR(AP23="N/A",AQ23="N/A"),"N/A",IF(AND(AP23=0,AQ23=0),100,IF((2-(AQ23/AP23))*100&gt;=110,110,(2-(AQ23/AP23))*100)))</f>
        <v>110</v>
      </c>
      <c r="AS23" s="103"/>
      <c r="AU23" s="91"/>
      <c r="AV23" s="52" t="str">
        <f>T.KOTARAYA!B21</f>
        <v>c. Kerusakan Peralatan Distribusi (PHB TM dan Trafo) Sesuai Kewenangan</v>
      </c>
      <c r="AW23" s="364" t="str">
        <f>T.KOTARAYA!C21</f>
        <v>ò</v>
      </c>
      <c r="AX23" s="259" t="str">
        <f>T.KOTARAYA!D21</f>
        <v>Unit</v>
      </c>
      <c r="AY23" s="53"/>
      <c r="AZ23" s="90">
        <f>T.KOTARAYA!T21</f>
        <v>1</v>
      </c>
      <c r="BA23" s="90">
        <f>VLOOKUP(AV23,T.KOTARAYA!$B$4:$T$55,MATCH(ULP!$A$1,T.KOTARAYA!$B$5:$T$5,0),FALSE)</f>
        <v>1</v>
      </c>
      <c r="BB23" s="90">
        <f>VLOOKUP(AV23,'R.KOTARAYA'!$B$4:$T$63,MATCH(ULP!$A$1,'R.KOTARAYA'!$B$5:$T$5,0),FALSE)</f>
        <v>0</v>
      </c>
      <c r="BC23" s="157">
        <f>IF(OR(BA23="N/A",BB23="N/A"),"N/A",IF(AND(BA23=0,BB23=0),100,IF((2-(BB23/BA23))*100&gt;=110,110,(2-(BB23/BA23))*100)))</f>
        <v>110</v>
      </c>
      <c r="BD23" s="103"/>
    </row>
    <row r="24" spans="2:56" ht="16.5">
      <c r="C24" s="51"/>
      <c r="D24" s="267" t="str">
        <f>T.TOLIS!B22</f>
        <v>Peningkatan Layanan</v>
      </c>
      <c r="E24" s="364"/>
      <c r="F24" s="61"/>
      <c r="G24" s="53">
        <f>IF(J24="N/A",0,T.TOLIS!F22)</f>
        <v>8</v>
      </c>
      <c r="H24" s="90"/>
      <c r="I24" s="90"/>
      <c r="J24" s="91"/>
      <c r="K24" s="157">
        <f>AVERAGE(K25:K28)</f>
        <v>107.5</v>
      </c>
      <c r="L24" s="103">
        <f>ROUNDDOWN(IF(OR(K24="N/A",K24&lt;0),0,IF(K24&gt;110,G24*110/100,G24*K24/100)),2)</f>
        <v>8.6</v>
      </c>
      <c r="N24" s="91">
        <f>T.LEOK!A22</f>
        <v>5</v>
      </c>
      <c r="O24" s="267" t="str">
        <f>T.LEOK!B22</f>
        <v>Peningkatan Layanan</v>
      </c>
      <c r="P24" s="364"/>
      <c r="Q24" s="61"/>
      <c r="R24" s="53">
        <f>IF(U24="N/A",0,T.LEOK!F22)</f>
        <v>8</v>
      </c>
      <c r="S24" s="90">
        <f>T.LEOK!S22</f>
        <v>0</v>
      </c>
      <c r="T24" s="90">
        <f>VLOOKUP(O24,T.LEOK!$B$4:$T$55,MATCH(ULP!$A$1,T.LEOK!$B$5:$T$5,0),FALSE)</f>
        <v>0</v>
      </c>
      <c r="U24" s="90">
        <f>VLOOKUP(O24,'R.LEOK'!$B$4:$T$63,MATCH(ULP!$A$1,'R.LEOK'!$B$5:$T$5,0),FALSE)</f>
        <v>0</v>
      </c>
      <c r="V24" s="157">
        <f>AVERAGE(V25:V28)</f>
        <v>107.5</v>
      </c>
      <c r="W24" s="103">
        <f>ROUNDDOWN(IF(OR(V24="N/A",V24&lt;0),0,IF(V24&gt;110,R24*110/100,R24*V24/100)),2)</f>
        <v>8.6</v>
      </c>
      <c r="Y24" s="91">
        <f>T.BANGKIR!A22</f>
        <v>5</v>
      </c>
      <c r="Z24" s="267" t="str">
        <f>T.BANGKIR!B22</f>
        <v>Peningkatan Layanan</v>
      </c>
      <c r="AA24" s="364"/>
      <c r="AB24" s="61"/>
      <c r="AC24" s="53">
        <f>IF(AF24="N/A",0,T.BANGKIR!F22)</f>
        <v>8</v>
      </c>
      <c r="AD24" s="90"/>
      <c r="AE24" s="90"/>
      <c r="AF24" s="91"/>
      <c r="AG24" s="157">
        <f>AVERAGE(AG25:AG28)</f>
        <v>107.5</v>
      </c>
      <c r="AH24" s="103">
        <f>ROUNDDOWN(IF(OR(AG24="N/A",AG24&lt;0),0,IF(AG24&gt;110,AC24*110/100,AC24*AG24/100)),2)</f>
        <v>8.6</v>
      </c>
      <c r="AI24" s="245"/>
      <c r="AJ24" s="91">
        <f>T.MOUTONG!A22</f>
        <v>5</v>
      </c>
      <c r="AK24" s="267" t="str">
        <f>T.MOUTONG!B22</f>
        <v>Peningkatan Layanan</v>
      </c>
      <c r="AL24" s="364"/>
      <c r="AM24" s="53"/>
      <c r="AN24" s="53">
        <f>IF(AQ24="N/A",0,T.MOUTONG!F22)</f>
        <v>8</v>
      </c>
      <c r="AO24" s="90"/>
      <c r="AP24" s="90"/>
      <c r="AQ24" s="91"/>
      <c r="AR24" s="157">
        <f>AVERAGE(AR25:AR28)</f>
        <v>107.5</v>
      </c>
      <c r="AS24" s="103">
        <f>ROUNDDOWN(IF(OR(AR24="N/A",AR24&lt;0),0,IF(AR24&gt;110,AN24*110/100,AN24*AR24/100)),2)</f>
        <v>8.6</v>
      </c>
      <c r="AU24" s="91">
        <f>T.KOTARAYA!A22</f>
        <v>5</v>
      </c>
      <c r="AV24" s="267" t="str">
        <f>T.KOTARAYA!B22</f>
        <v>Peningkatan Layanan</v>
      </c>
      <c r="AW24" s="364"/>
      <c r="AX24" s="259"/>
      <c r="AY24" s="53">
        <f>IF(BB24="N/A",0,T.KOTARAYA!F22)</f>
        <v>8</v>
      </c>
      <c r="AZ24" s="91"/>
      <c r="BA24" s="91"/>
      <c r="BB24" s="91"/>
      <c r="BC24" s="157">
        <f>AVERAGE(BC25:BC28)</f>
        <v>107.5</v>
      </c>
      <c r="BD24" s="103">
        <f>ROUNDDOWN(IF(OR(BC24="N/A",BC24&lt;0),0,IF(BC24&gt;110,AY24*110/100,AY24*BC24/100)),2)</f>
        <v>8.6</v>
      </c>
    </row>
    <row r="25" spans="2:56" ht="33">
      <c r="C25" s="51">
        <f>T.TOLIS!A22</f>
        <v>5</v>
      </c>
      <c r="D25" s="52" t="str">
        <f>T.TOLIS!B23</f>
        <v>a. Feedback Rating Negatif pada PLN Mobile - Gangguan</v>
      </c>
      <c r="E25" s="364" t="str">
        <f>T.TOLIS!C23</f>
        <v>ò</v>
      </c>
      <c r="F25" s="61" t="str">
        <f>T.TOLIS!D23</f>
        <v>%</v>
      </c>
      <c r="G25" s="53"/>
      <c r="H25" s="90">
        <f>T.TOLIS!H23</f>
        <v>0.09</v>
      </c>
      <c r="I25" s="90">
        <f>VLOOKUP(D25,T.TOLIS!$B$4:$T$55,MATCH(ULP!$A$1,T.TOLIS!$B$5:$T$5,0),FALSE)</f>
        <v>0.09</v>
      </c>
      <c r="J25" s="91">
        <f>VLOOKUP(D25,'R.TOLIS'!$B$4:$T$64,MATCH(ULP!$A$1,'R.TOLIS'!$B$5:$T$5,0),FALSE)</f>
        <v>0</v>
      </c>
      <c r="K25" s="157">
        <f t="shared" ref="K25:K26" si="0">IF(OR(I25="N/A",J25="N/A"),"N/A",IF((2-(J25/I25))*100&gt;=110,110,(2-(J25/I25))*100))</f>
        <v>110</v>
      </c>
      <c r="L25" s="103"/>
      <c r="N25" s="91"/>
      <c r="O25" s="52" t="str">
        <f>T.LEOK!B23</f>
        <v>a. Feedback Rating Negatif pada PLN Mobile - Gangguan</v>
      </c>
      <c r="P25" s="364" t="str">
        <f>T.LEOK!C23</f>
        <v>ò</v>
      </c>
      <c r="Q25" s="61" t="str">
        <f>T.LEOK!D23</f>
        <v>%</v>
      </c>
      <c r="R25" s="53"/>
      <c r="S25" s="90">
        <f>T.LEOK!S23</f>
        <v>0.09</v>
      </c>
      <c r="T25" s="90">
        <f>VLOOKUP(O25,T.LEOK!$B$4:$T$55,MATCH(ULP!$A$1,T.LEOK!$B$5:$T$5,0),FALSE)</f>
        <v>0.09</v>
      </c>
      <c r="U25" s="90">
        <f>VLOOKUP(O25,'R.LEOK'!$B$4:$T$63,MATCH(ULP!$A$1,'R.LEOK'!$B$5:$T$5,0),FALSE)</f>
        <v>0</v>
      </c>
      <c r="V25" s="157">
        <f t="shared" ref="V25:V26" si="1">IF(OR(T25="N/A",U25="N/A"),"N/A",IF((2-(U25/T25))*100&gt;=110,110,(2-(U25/T25))*100))</f>
        <v>110</v>
      </c>
      <c r="W25" s="103"/>
      <c r="Y25" s="91"/>
      <c r="Z25" s="52" t="str">
        <f>T.BANGKIR!B23</f>
        <v>a. Feedback Rating Negatif pada PLN Mobile - Gangguan</v>
      </c>
      <c r="AA25" s="364" t="str">
        <f>T.BANGKIR!C23</f>
        <v>ò</v>
      </c>
      <c r="AB25" s="61" t="str">
        <f>T.BANGKIR!D23</f>
        <v>%</v>
      </c>
      <c r="AC25" s="53"/>
      <c r="AD25" s="90">
        <f>T.BANGKIR!T23</f>
        <v>0.09</v>
      </c>
      <c r="AE25" s="90">
        <f>VLOOKUP(Z25,T.BANGKIR!$B$4:$T$55,MATCH(ULP!$A$1,T.BANGKIR!$B$5:$T$5,0),FALSE)</f>
        <v>0.09</v>
      </c>
      <c r="AF25" s="91">
        <f>VLOOKUP(Z25,'R.BANGKIR'!$B$4:$T$63,MATCH(ULP!$A$1,'R.BANGKIR'!$B$5:$T$5,0),FALSE)</f>
        <v>0</v>
      </c>
      <c r="AG25" s="157">
        <f t="shared" ref="AG25:AG26" si="2">IF(OR(AE25="N/A",AF25="N/A"),"N/A",IF((2-(AF25/AE25))*100&gt;=110,110,(2-(AF25/AE25))*100))</f>
        <v>110</v>
      </c>
      <c r="AH25" s="103"/>
      <c r="AI25" s="245"/>
      <c r="AJ25" s="91"/>
      <c r="AK25" s="52" t="str">
        <f>T.MOUTONG!B23</f>
        <v>a. Feedback Rating Negatif pada PLN Mobile - Gangguan</v>
      </c>
      <c r="AL25" s="364" t="str">
        <f>T.MOUTONG!C23</f>
        <v>ò</v>
      </c>
      <c r="AM25" s="53" t="str">
        <f>T.MOUTONG!D23</f>
        <v>%</v>
      </c>
      <c r="AN25" s="53"/>
      <c r="AO25" s="90">
        <f>T.MOUTONG!T23</f>
        <v>0.09</v>
      </c>
      <c r="AP25" s="90">
        <f>VLOOKUP(AK25,T.MOUTONG!$B$4:$T$55,MATCH(ULP!$A$1,T.MOUTONG!$B$5:$T$5,0),FALSE)</f>
        <v>0.09</v>
      </c>
      <c r="AQ25" s="91">
        <f>VLOOKUP(AK25,'R.MOUTONG'!$B$4:$T$63,MATCH(ULP!$A$1,'R.MOUTONG'!$B$5:$T$5,0),FALSE)</f>
        <v>0</v>
      </c>
      <c r="AR25" s="157">
        <f t="shared" ref="AR25:AR26" si="3">IF(OR(AP25="N/A",AQ25="N/A"),"N/A",IF((2-(AQ25/AP25))*100&gt;=110,110,(2-(AQ25/AP25))*100))</f>
        <v>110</v>
      </c>
      <c r="AS25" s="103"/>
      <c r="AU25" s="91"/>
      <c r="AV25" s="52" t="str">
        <f>T.KOTARAYA!B23</f>
        <v>a. Feedback Rating Negatif pada PLN Mobile - Gangguan</v>
      </c>
      <c r="AW25" s="364" t="str">
        <f>T.KOTARAYA!C23</f>
        <v>ò</v>
      </c>
      <c r="AX25" s="259" t="str">
        <f>T.KOTARAYA!D23</f>
        <v>%</v>
      </c>
      <c r="AY25" s="53"/>
      <c r="AZ25" s="90">
        <f>T.KOTARAYA!T23</f>
        <v>0.09</v>
      </c>
      <c r="BA25" s="90">
        <f>VLOOKUP(AV25,T.KOTARAYA!$B$4:$T$55,MATCH(ULP!$A$1,T.KOTARAYA!$B$5:$T$5,0),FALSE)</f>
        <v>0.09</v>
      </c>
      <c r="BB25" s="90">
        <f>VLOOKUP(AV25,'R.KOTARAYA'!$B$4:$T$63,MATCH(ULP!$A$1,'R.KOTARAYA'!$B$5:$T$5,0),FALSE)</f>
        <v>0</v>
      </c>
      <c r="BC25" s="157">
        <f t="shared" ref="BC25:BC26" si="4">IF(OR(BA25="N/A",BB25="N/A"),"N/A",IF((2-(BB25/BA25))*100&gt;=110,110,(2-(BB25/BA25))*100))</f>
        <v>110</v>
      </c>
      <c r="BD25" s="103"/>
    </row>
    <row r="26" spans="2:56" ht="16.5">
      <c r="C26" s="51"/>
      <c r="D26" s="52" t="str">
        <f>T.TOLIS!B24</f>
        <v>b. Pengaduan Gangguan Berulang pada PLN Mobile</v>
      </c>
      <c r="E26" s="364" t="str">
        <f>T.TOLIS!C24</f>
        <v>ò</v>
      </c>
      <c r="F26" s="61" t="str">
        <f>T.TOLIS!D24</f>
        <v>%</v>
      </c>
      <c r="G26" s="53"/>
      <c r="H26" s="90">
        <f>T.TOLIS!H24</f>
        <v>0.04</v>
      </c>
      <c r="I26" s="90">
        <f>VLOOKUP(D26,T.TOLIS!$B$4:$T$55,MATCH(ULP!$A$1,T.TOLIS!$B$5:$T$5,0),FALSE)</f>
        <v>0.04</v>
      </c>
      <c r="J26" s="91">
        <f>VLOOKUP(D26,'R.TOLIS'!$B$4:$T$64,MATCH(ULP!$A$1,'R.TOLIS'!$B$5:$T$5,0),FALSE)</f>
        <v>0</v>
      </c>
      <c r="K26" s="157">
        <f t="shared" si="0"/>
        <v>110</v>
      </c>
      <c r="L26" s="103"/>
      <c r="N26" s="91"/>
      <c r="O26" s="52" t="str">
        <f>T.LEOK!B24</f>
        <v>b. Pengaduan Gangguan Berulang pada PLN Mobile</v>
      </c>
      <c r="P26" s="364" t="str">
        <f>T.LEOK!C24</f>
        <v>ò</v>
      </c>
      <c r="Q26" s="61" t="str">
        <f>T.LEOK!D24</f>
        <v>%</v>
      </c>
      <c r="R26" s="53"/>
      <c r="S26" s="90">
        <f>T.LEOK!S24</f>
        <v>0.04</v>
      </c>
      <c r="T26" s="90">
        <f>VLOOKUP(O26,T.LEOK!$B$4:$T$55,MATCH(ULP!$A$1,T.LEOK!$B$5:$T$5,0),FALSE)</f>
        <v>0.04</v>
      </c>
      <c r="U26" s="90">
        <f>VLOOKUP(O26,'R.LEOK'!$B$4:$T$63,MATCH(ULP!$A$1,'R.LEOK'!$B$5:$T$5,0),FALSE)</f>
        <v>0</v>
      </c>
      <c r="V26" s="96">
        <f t="shared" si="1"/>
        <v>110</v>
      </c>
      <c r="W26" s="103"/>
      <c r="Y26" s="91"/>
      <c r="Z26" s="52" t="str">
        <f>T.BANGKIR!B24</f>
        <v>b. Pengaduan Gangguan Berulang pada PLN Mobile</v>
      </c>
      <c r="AA26" s="364" t="str">
        <f>T.BANGKIR!C24</f>
        <v>ò</v>
      </c>
      <c r="AB26" s="61" t="str">
        <f>T.BANGKIR!D24</f>
        <v>%</v>
      </c>
      <c r="AC26" s="53"/>
      <c r="AD26" s="90">
        <f>T.BANGKIR!T24</f>
        <v>0.04</v>
      </c>
      <c r="AE26" s="90">
        <f>VLOOKUP(Z26,T.BANGKIR!$B$4:$T$55,MATCH(ULP!$A$1,T.BANGKIR!$B$5:$T$5,0),FALSE)</f>
        <v>0.04</v>
      </c>
      <c r="AF26" s="91">
        <f>VLOOKUP(Z26,'R.BANGKIR'!$B$4:$T$63,MATCH(ULP!$A$1,'R.BANGKIR'!$B$5:$T$5,0),FALSE)</f>
        <v>0</v>
      </c>
      <c r="AG26" s="96">
        <f t="shared" si="2"/>
        <v>110</v>
      </c>
      <c r="AH26" s="103"/>
      <c r="AJ26" s="91"/>
      <c r="AK26" s="52" t="str">
        <f>T.MOUTONG!B24</f>
        <v>b. Pengaduan Gangguan Berulang pada PLN Mobile</v>
      </c>
      <c r="AL26" s="364" t="str">
        <f>T.MOUTONG!C24</f>
        <v>ò</v>
      </c>
      <c r="AM26" s="53" t="str">
        <f>T.MOUTONG!D24</f>
        <v>%</v>
      </c>
      <c r="AN26" s="53"/>
      <c r="AO26" s="90">
        <f>T.MOUTONG!T24</f>
        <v>0.04</v>
      </c>
      <c r="AP26" s="90">
        <f>VLOOKUP(AK26,T.MOUTONG!$B$4:$T$55,MATCH(ULP!$A$1,T.MOUTONG!$B$5:$T$5,0),FALSE)</f>
        <v>0.04</v>
      </c>
      <c r="AQ26" s="91">
        <f>VLOOKUP(AK26,'R.MOUTONG'!$B$4:$T$63,MATCH(ULP!$A$1,'R.MOUTONG'!$B$5:$T$5,0),FALSE)</f>
        <v>0</v>
      </c>
      <c r="AR26" s="96">
        <f t="shared" si="3"/>
        <v>110</v>
      </c>
      <c r="AS26" s="103"/>
      <c r="AU26" s="91"/>
      <c r="AV26" s="52" t="str">
        <f>T.KOTARAYA!B24</f>
        <v>b. Pengaduan Gangguan Berulang pada PLN Mobile</v>
      </c>
      <c r="AW26" s="364" t="str">
        <f>T.KOTARAYA!C24</f>
        <v>ò</v>
      </c>
      <c r="AX26" s="259" t="str">
        <f>T.KOTARAYA!D24</f>
        <v>%</v>
      </c>
      <c r="AY26" s="53"/>
      <c r="AZ26" s="90">
        <f>T.KOTARAYA!T24</f>
        <v>0.04</v>
      </c>
      <c r="BA26" s="90">
        <f>VLOOKUP(AV26,T.KOTARAYA!$B$4:$T$55,MATCH(ULP!$A$1,T.KOTARAYA!$B$5:$T$5,0),FALSE)</f>
        <v>0.04</v>
      </c>
      <c r="BB26" s="90">
        <f>VLOOKUP(AV26,'R.KOTARAYA'!$B$4:$T$63,MATCH(ULP!$A$1,'R.KOTARAYA'!$B$5:$T$5,0),FALSE)</f>
        <v>0</v>
      </c>
      <c r="BC26" s="96">
        <f t="shared" si="4"/>
        <v>110</v>
      </c>
      <c r="BD26" s="103"/>
    </row>
    <row r="27" spans="2:56" ht="16.5">
      <c r="C27" s="51"/>
      <c r="D27" s="52" t="str">
        <f>T.TOLIS!B25</f>
        <v>c. Rating PLN Mobile</v>
      </c>
      <c r="E27" s="364" t="str">
        <f>T.TOLIS!C25</f>
        <v>ñ</v>
      </c>
      <c r="F27" s="61" t="str">
        <f>T.TOLIS!D25</f>
        <v>Rating</v>
      </c>
      <c r="G27" s="53"/>
      <c r="H27" s="90">
        <f>T.TOLIS!H25</f>
        <v>4.9000000000000004</v>
      </c>
      <c r="I27" s="90">
        <f>VLOOKUP(D27,T.TOLIS!$B$4:$T$55,MATCH(ULP!$A$1,T.TOLIS!$B$5:$T$5,0),FALSE)</f>
        <v>4.9000000000000004</v>
      </c>
      <c r="J27" s="90">
        <f>VLOOKUP(D27,'R.TOLIS'!$B$4:$T$64,MATCH(ULP!$A$1,'R.TOLIS'!$B$5:$T$5,0),FALSE)</f>
        <v>4.9000000000000004</v>
      </c>
      <c r="K27" s="157">
        <f>IF(OR(I27="N/A",J27="N/A"),"N/A",IF((J27/I27*100)&gt;=110,110,(J27/I27*100)))</f>
        <v>100</v>
      </c>
      <c r="L27" s="103"/>
      <c r="N27" s="91"/>
      <c r="O27" s="52" t="str">
        <f>T.LEOK!B25</f>
        <v>c. Rating PLN Mobile</v>
      </c>
      <c r="P27" s="364" t="str">
        <f>T.LEOK!C25</f>
        <v>ñ</v>
      </c>
      <c r="Q27" s="61" t="str">
        <f>T.LEOK!D25</f>
        <v>Rating</v>
      </c>
      <c r="R27" s="53"/>
      <c r="S27" s="90">
        <f>T.LEOK!S25</f>
        <v>4.9000000000000004</v>
      </c>
      <c r="T27" s="90">
        <f>VLOOKUP(O27,T.LEOK!$B$4:$T$55,MATCH(ULP!$A$1,T.LEOK!$B$5:$T$5,0),FALSE)</f>
        <v>4.9000000000000004</v>
      </c>
      <c r="U27" s="90">
        <f>VLOOKUP(O27,'R.LEOK'!$B$4:$T$63,MATCH(ULP!$A$1,'R.LEOK'!$B$5:$T$5,0),FALSE)</f>
        <v>4.9000000000000004</v>
      </c>
      <c r="V27" s="157">
        <f>IF(OR(T27="N/A",U27="N/A"),"N/A",IF((U27/T27*100)&gt;=110,110,(U27/T27*100)))</f>
        <v>100</v>
      </c>
      <c r="W27" s="103"/>
      <c r="Y27" s="91"/>
      <c r="Z27" s="52" t="str">
        <f>T.BANGKIR!B25</f>
        <v>c. Rating PLN Mobile</v>
      </c>
      <c r="AA27" s="364" t="str">
        <f>T.BANGKIR!C25</f>
        <v>ñ</v>
      </c>
      <c r="AB27" s="61" t="str">
        <f>T.BANGKIR!D25</f>
        <v>Rating</v>
      </c>
      <c r="AC27" s="53"/>
      <c r="AD27" s="90">
        <f>T.BANGKIR!T25</f>
        <v>4.9000000000000004</v>
      </c>
      <c r="AE27" s="90">
        <f>VLOOKUP(Z27,T.BANGKIR!$B$4:$T$55,MATCH(ULP!$A$1,T.BANGKIR!$B$5:$T$5,0),FALSE)</f>
        <v>4.9000000000000004</v>
      </c>
      <c r="AF27" s="90">
        <f>VLOOKUP(Z27,'R.BANGKIR'!$B$4:$T$63,MATCH(ULP!$A$1,'R.BANGKIR'!$B$5:$T$5,0),FALSE)</f>
        <v>4.9000000000000004</v>
      </c>
      <c r="AG27" s="157">
        <f>IF(OR(AE27="N/A",AF27="N/A"),"N/A",IF((AF27/AE27*100)&gt;=110,110,(AF27/AE27*100)))</f>
        <v>100</v>
      </c>
      <c r="AH27" s="103"/>
      <c r="AJ27" s="91"/>
      <c r="AK27" s="52" t="str">
        <f>T.MOUTONG!B25</f>
        <v>c. Rating PLN Mobile</v>
      </c>
      <c r="AL27" s="364" t="str">
        <f>T.MOUTONG!C25</f>
        <v>ñ</v>
      </c>
      <c r="AM27" s="61" t="str">
        <f>T.MOUTONG!D25</f>
        <v>Rating</v>
      </c>
      <c r="AN27" s="53"/>
      <c r="AO27" s="90">
        <f>T.MOUTONG!T25</f>
        <v>4.9000000000000004</v>
      </c>
      <c r="AP27" s="90">
        <f>VLOOKUP(AK27,T.MOUTONG!$B$4:$T$55,MATCH(ULP!$A$1,T.MOUTONG!$B$5:$T$5,0),FALSE)</f>
        <v>4.9000000000000004</v>
      </c>
      <c r="AQ27" s="90">
        <f>VLOOKUP(AK27,'R.MOUTONG'!$B$4:$T$63,MATCH(ULP!$A$1,'R.MOUTONG'!$B$5:$T$5,0),FALSE)</f>
        <v>4.9000000000000004</v>
      </c>
      <c r="AR27" s="157">
        <f>IF(OR(AP27="N/A",AQ27="N/A"),"N/A",IF((AQ27/AP27*100)&gt;=110,110,(AQ27/AP27*100)))</f>
        <v>100</v>
      </c>
      <c r="AS27" s="103"/>
      <c r="AU27" s="91"/>
      <c r="AV27" s="52" t="str">
        <f>T.KOTARAYA!B25</f>
        <v>c. Rating PLN Mobile</v>
      </c>
      <c r="AW27" s="364" t="str">
        <f>T.KOTARAYA!C25</f>
        <v>ñ</v>
      </c>
      <c r="AX27" s="259" t="str">
        <f>T.KOTARAYA!D25</f>
        <v>Rating</v>
      </c>
      <c r="AY27" s="53"/>
      <c r="AZ27" s="90">
        <f>T.KOTARAYA!T25</f>
        <v>4.9000000000000004</v>
      </c>
      <c r="BA27" s="90">
        <f>VLOOKUP(AV27,T.KOTARAYA!$B$4:$T$55,MATCH(ULP!$A$1,T.KOTARAYA!$B$5:$T$5,0),FALSE)</f>
        <v>4.9000000000000004</v>
      </c>
      <c r="BB27" s="90">
        <f>VLOOKUP(AV27,'R.KOTARAYA'!$B$4:$T$63,MATCH(ULP!$A$1,'R.KOTARAYA'!$B$5:$T$5,0),FALSE)</f>
        <v>4.9000000000000004</v>
      </c>
      <c r="BC27" s="157">
        <f>IF(OR(BA27="N/A",BB27="N/A"),"N/A",IF((BB27/BA27*100)&gt;=110,110,(BB27/BA27*100)))</f>
        <v>100</v>
      </c>
      <c r="BD27" s="103"/>
    </row>
    <row r="28" spans="2:56" ht="16.5">
      <c r="C28" s="51"/>
      <c r="D28" s="52" t="str">
        <f>T.TOLIS!B26</f>
        <v>d. Jumlah Kali Transaksi Keuangan melalui PLN Mobile</v>
      </c>
      <c r="E28" s="364" t="str">
        <f>T.TOLIS!C26</f>
        <v>ñ</v>
      </c>
      <c r="F28" s="61" t="str">
        <f>T.TOLIS!D26</f>
        <v>Kali Transaksi</v>
      </c>
      <c r="G28" s="53"/>
      <c r="H28" s="90">
        <f>T.TOLIS!H26</f>
        <v>15555</v>
      </c>
      <c r="I28" s="90">
        <f>VLOOKUP(D28,T.TOLIS!$B$4:$T$55,MATCH(ULP!$A$1,T.TOLIS!$B$5:$T$5,0),FALSE)</f>
        <v>11430</v>
      </c>
      <c r="J28" s="90">
        <f>VLOOKUP(D28,'R.TOLIS'!$B$4:$T$64,MATCH(ULP!$A$1,'R.TOLIS'!$B$5:$T$5,0),FALSE)</f>
        <v>14211</v>
      </c>
      <c r="K28" s="157">
        <f>IF(OR(I28="N/A",J28="N/A"),"N/A",IF((J28/I28*100)&gt;=110,110,(J28/I28*100)))</f>
        <v>110</v>
      </c>
      <c r="L28" s="103"/>
      <c r="N28" s="91"/>
      <c r="O28" s="52" t="str">
        <f>T.LEOK!B26</f>
        <v>d. Jumlah Kali Transaksi Keuangan melalui PLN Mobile</v>
      </c>
      <c r="P28" s="364" t="str">
        <f>T.LEOK!C26</f>
        <v>ñ</v>
      </c>
      <c r="Q28" s="61" t="str">
        <f>T.LEOK!D26</f>
        <v>Kali Transaksi</v>
      </c>
      <c r="R28" s="53"/>
      <c r="S28" s="90">
        <f>T.LEOK!S26</f>
        <v>16576</v>
      </c>
      <c r="T28" s="90">
        <f>VLOOKUP(O28,T.LEOK!$B$4:$T$55,MATCH(ULP!$A$1,T.LEOK!$B$5:$T$5,0),FALSE)</f>
        <v>13060</v>
      </c>
      <c r="U28" s="90">
        <f>VLOOKUP(O28,'R.LEOK'!$B$4:$T$63,MATCH(ULP!$A$1,'R.LEOK'!$B$5:$T$5,0),FALSE)</f>
        <v>16938</v>
      </c>
      <c r="V28" s="157">
        <f>IF(OR(T28="N/A",U28="N/A"),"N/A",IF((U28/T28*100)&gt;=110,110,(U28/T28*100)))</f>
        <v>110</v>
      </c>
      <c r="W28" s="103"/>
      <c r="Y28" s="91"/>
      <c r="Z28" s="52" t="str">
        <f>T.BANGKIR!B26</f>
        <v>d. Jumlah Kali Transaksi Keuangan melalui PLN Mobile</v>
      </c>
      <c r="AA28" s="364" t="str">
        <f>T.BANGKIR!C26</f>
        <v>ñ</v>
      </c>
      <c r="AB28" s="61" t="str">
        <f>T.BANGKIR!D26</f>
        <v>Kali Transaksi</v>
      </c>
      <c r="AC28" s="53"/>
      <c r="AD28" s="90">
        <f>T.BANGKIR!T26</f>
        <v>9824</v>
      </c>
      <c r="AE28" s="90">
        <f>VLOOKUP(Z28,T.BANGKIR!$B$4:$T$55,MATCH(ULP!$A$1,T.BANGKIR!$B$5:$T$5,0),FALSE)</f>
        <v>6567</v>
      </c>
      <c r="AF28" s="90">
        <f>VLOOKUP(Z28,'R.BANGKIR'!$B$4:$T$63,MATCH(ULP!$A$1,'R.BANGKIR'!$B$5:$T$5,0),FALSE)</f>
        <v>8114</v>
      </c>
      <c r="AG28" s="157">
        <f>IF(OR(AE28="N/A",AF28="N/A"),"N/A",IF((AF28/AE28*100)&gt;=110,110,(AF28/AE28*100)))</f>
        <v>110</v>
      </c>
      <c r="AH28" s="103"/>
      <c r="AJ28" s="91"/>
      <c r="AK28" s="52" t="str">
        <f>T.MOUTONG!B26</f>
        <v>d. Jumlah Kali Transaksi Keuangan melalui PLN Mobile</v>
      </c>
      <c r="AL28" s="364" t="str">
        <f>T.MOUTONG!C26</f>
        <v>ñ</v>
      </c>
      <c r="AM28" s="61" t="str">
        <f>T.MOUTONG!D26</f>
        <v>Kali Transaksi</v>
      </c>
      <c r="AN28" s="53"/>
      <c r="AO28" s="90">
        <f>T.MOUTONG!T26</f>
        <v>9603</v>
      </c>
      <c r="AP28" s="90">
        <f>VLOOKUP(AK28,T.MOUTONG!$B$4:$T$55,MATCH(ULP!$A$1,T.MOUTONG!$B$5:$T$5,0),FALSE)</f>
        <v>7056</v>
      </c>
      <c r="AQ28" s="90">
        <f>VLOOKUP(AK28,'R.MOUTONG'!$B$4:$T$63,MATCH(ULP!$A$1,'R.MOUTONG'!$B$5:$T$5,0),FALSE)</f>
        <v>12244</v>
      </c>
      <c r="AR28" s="157">
        <f>IF(OR(AP28="N/A",AQ28="N/A"),"N/A",IF((AQ28/AP28*100)&gt;=110,110,(AQ28/AP28*100)))</f>
        <v>110</v>
      </c>
      <c r="AS28" s="103"/>
      <c r="AU28" s="91"/>
      <c r="AV28" s="52" t="str">
        <f>T.KOTARAYA!B26</f>
        <v>d. Jumlah Kali Transaksi Keuangan melalui PLN Mobile</v>
      </c>
      <c r="AW28" s="364" t="str">
        <f>T.KOTARAYA!C26</f>
        <v>ñ</v>
      </c>
      <c r="AX28" s="259" t="str">
        <f>T.KOTARAYA!D26</f>
        <v>Kali Transaksi</v>
      </c>
      <c r="AY28" s="53"/>
      <c r="AZ28" s="90">
        <f>T.KOTARAYA!T26</f>
        <v>10152</v>
      </c>
      <c r="BA28" s="90">
        <f>VLOOKUP(AV28,T.KOTARAYA!$B$4:$T$55,MATCH(ULP!$A$1,T.KOTARAYA!$B$5:$T$5,0),FALSE)</f>
        <v>7459</v>
      </c>
      <c r="BB28" s="90">
        <f>VLOOKUP(AV28,'R.KOTARAYA'!$B$4:$T$63,MATCH(ULP!$A$1,'R.KOTARAYA'!$B$5:$T$5,0),FALSE)</f>
        <v>9165</v>
      </c>
      <c r="BC28" s="157">
        <f>IF(OR(BA28="N/A",BB28="N/A"),"N/A",IF((BB28/BA28*100)&gt;=110,110,(BB28/BA28*100)))</f>
        <v>110</v>
      </c>
      <c r="BD28" s="103"/>
    </row>
    <row r="29" spans="2:56" ht="16.5">
      <c r="C29" s="51"/>
      <c r="D29" s="267" t="str">
        <f>T.TOLIS!B27</f>
        <v>Dispatch Respon Time</v>
      </c>
      <c r="E29" s="364"/>
      <c r="F29" s="61"/>
      <c r="G29" s="53">
        <f>IF(J29="N/A",0,T.TOLIS!F27)</f>
        <v>3</v>
      </c>
      <c r="H29" s="90"/>
      <c r="I29" s="90"/>
      <c r="J29" s="90"/>
      <c r="K29" s="157">
        <f>AVERAGE(K30:K31)</f>
        <v>105</v>
      </c>
      <c r="L29" s="103">
        <f>ROUNDDOWN(IF(OR(K29="N/A",K29&lt;0),0,IF(K29&gt;110,G29*110/100,G29*K29/100)),2)</f>
        <v>3.15</v>
      </c>
      <c r="N29" s="91">
        <f>T.LEOK!A27</f>
        <v>6</v>
      </c>
      <c r="O29" s="267" t="str">
        <f>T.LEOK!B27</f>
        <v>Dispatch Respon Time</v>
      </c>
      <c r="P29" s="364"/>
      <c r="Q29" s="61"/>
      <c r="R29" s="53">
        <f>IF(U29="N/A",0,T.LEOK!F27)</f>
        <v>3</v>
      </c>
      <c r="S29" s="90"/>
      <c r="T29" s="90"/>
      <c r="U29" s="90"/>
      <c r="V29" s="157">
        <f>AVERAGE(V30)</f>
        <v>110</v>
      </c>
      <c r="W29" s="103">
        <f>ROUNDDOWN(IF(OR(V29="N/A",V29&lt;0),0,IF(V29&gt;110,R29*110/100,R29*V29/100)),2)</f>
        <v>3.3</v>
      </c>
      <c r="Y29" s="91">
        <f>T.BANGKIR!A27</f>
        <v>6</v>
      </c>
      <c r="Z29" s="267" t="str">
        <f>T.BANGKIR!B27</f>
        <v>Dispatch Respon Time</v>
      </c>
      <c r="AA29" s="364"/>
      <c r="AB29" s="61"/>
      <c r="AC29" s="53">
        <f>IF(AF29="N/A",0,T.BANGKIR!F27)</f>
        <v>3</v>
      </c>
      <c r="AD29" s="90"/>
      <c r="AE29" s="90"/>
      <c r="AF29" s="90"/>
      <c r="AG29" s="157">
        <f>AVERAGE(AG30)</f>
        <v>110</v>
      </c>
      <c r="AH29" s="103">
        <f>ROUNDDOWN(IF(OR(AG29="N/A",AG29&lt;0),0,IF(AG29&gt;110,AC29*110/100,AC29*AG29/100)),2)</f>
        <v>3.3</v>
      </c>
      <c r="AJ29" s="91">
        <f>T.MOUTONG!A27</f>
        <v>6</v>
      </c>
      <c r="AK29" s="267" t="str">
        <f>T.MOUTONG!B27</f>
        <v>Dispatch Respon Time</v>
      </c>
      <c r="AL29" s="364"/>
      <c r="AM29" s="61"/>
      <c r="AN29" s="53">
        <f>IF(AQ29="N/A",0,T.MOUTONG!F27)</f>
        <v>3</v>
      </c>
      <c r="AO29" s="90"/>
      <c r="AP29" s="90"/>
      <c r="AQ29" s="90"/>
      <c r="AR29" s="157">
        <f>AVERAGE(AR30)</f>
        <v>110</v>
      </c>
      <c r="AS29" s="103">
        <f>ROUNDDOWN(IF(OR(AR29="N/A",AR29&lt;0),0,IF(AR29&gt;110,AN29*110/100,AN29*AR29/100)),2)</f>
        <v>3.3</v>
      </c>
      <c r="AU29" s="91">
        <f>T.KOTARAYA!A27</f>
        <v>6</v>
      </c>
      <c r="AV29" s="267" t="str">
        <f>T.KOTARAYA!B27</f>
        <v>Dispatch Respon Time</v>
      </c>
      <c r="AW29" s="364"/>
      <c r="AX29" s="259"/>
      <c r="AY29" s="53">
        <f>IF(BB29="N/A",0,T.KOTARAYA!F27)</f>
        <v>3</v>
      </c>
      <c r="AZ29" s="90"/>
      <c r="BA29" s="90"/>
      <c r="BB29" s="90"/>
      <c r="BC29" s="157">
        <f>AVERAGE(BC30)</f>
        <v>110</v>
      </c>
      <c r="BD29" s="103">
        <f>ROUNDDOWN(IF(OR(BC29="N/A",BC29&lt;0),0,IF(BC29&gt;110,AY29*110/100,AY29*BC29/100)),2)</f>
        <v>3.3</v>
      </c>
    </row>
    <row r="30" spans="2:56" ht="33">
      <c r="C30" s="51">
        <f>T.TOLIS!A27</f>
        <v>6</v>
      </c>
      <c r="D30" s="52" t="str">
        <f>T.TOLIS!B28</f>
        <v>a. Response Time atas Gangguan (diluar Clear Tamper)</v>
      </c>
      <c r="E30" s="364" t="str">
        <f>T.TOLIS!C28</f>
        <v>ò</v>
      </c>
      <c r="F30" s="61" t="str">
        <f>T.TOLIS!D28</f>
        <v>Menit</v>
      </c>
      <c r="G30" s="53"/>
      <c r="H30" s="90">
        <f>T.TOLIS!H28</f>
        <v>30</v>
      </c>
      <c r="I30" s="90">
        <f>VLOOKUP(D30,T.TOLIS!$B$4:$T$55,MATCH(ULP!$A$1,T.TOLIS!$B$5:$T$5,0),FALSE)</f>
        <v>30</v>
      </c>
      <c r="J30" s="90">
        <f>VLOOKUP(D30,'R.TOLIS'!$B$4:$T$64,MATCH(ULP!$A$1,'R.TOLIS'!$B$5:$T$5,0),FALSE)</f>
        <v>12.640341240959323</v>
      </c>
      <c r="K30" s="157">
        <f>IF(OR(I30="N/A",J30="N/A"),"N/A",IF((2-(J30/I30))*100&lt;0,0,IF((2-(J30/I30))*100&gt;=110,110,(2-(J30/I30))*100)))</f>
        <v>110</v>
      </c>
      <c r="L30" s="103"/>
      <c r="N30" s="91"/>
      <c r="O30" s="52" t="str">
        <f>T.LEOK!B28</f>
        <v>a. Response Time atas Gangguan (diluar Clear Tamper)</v>
      </c>
      <c r="P30" s="364" t="str">
        <f>T.LEOK!C28</f>
        <v>ò</v>
      </c>
      <c r="Q30" s="61" t="str">
        <f>T.LEOK!D28</f>
        <v>Menit</v>
      </c>
      <c r="R30" s="53"/>
      <c r="S30" s="90">
        <f>T.LEOK!S28</f>
        <v>30</v>
      </c>
      <c r="T30" s="90">
        <f>VLOOKUP(O30,T.LEOK!$B$4:$T$55,MATCH(ULP!$A$1,T.LEOK!$B$5:$T$5,0),FALSE)</f>
        <v>30</v>
      </c>
      <c r="U30" s="90">
        <f>VLOOKUP(O30,'R.LEOK'!$B$4:$T$63,MATCH(ULP!$A$1,'R.LEOK'!$B$5:$T$5,0),FALSE)</f>
        <v>8.3654567384501846</v>
      </c>
      <c r="V30" s="157">
        <f>IF(OR(T30="N/A",U30="N/A"),"N/A",IF((2-(U30/T30))*100&lt;0,0,IF((2-(U30/T30))*100&gt;=110,110,(2-(U30/T30))*100)))</f>
        <v>110</v>
      </c>
      <c r="W30" s="103"/>
      <c r="Y30" s="91"/>
      <c r="Z30" s="52" t="str">
        <f>T.BANGKIR!B28</f>
        <v>a. Response Time atas Gangguan (diluar Clear Tamper)</v>
      </c>
      <c r="AA30" s="364" t="str">
        <f>T.BANGKIR!C28</f>
        <v>ò</v>
      </c>
      <c r="AB30" s="61" t="str">
        <f>T.BANGKIR!D28</f>
        <v>Menit</v>
      </c>
      <c r="AC30" s="53"/>
      <c r="AD30" s="90">
        <f>T.LEOK!AD28</f>
        <v>8.973954579907625</v>
      </c>
      <c r="AE30" s="90">
        <f>VLOOKUP(Z30,T.LEOK!$B$4:$T$55,MATCH(ULP!$A$1,T.LEOK!$B$5:$T$5,0),FALSE)</f>
        <v>30</v>
      </c>
      <c r="AF30" s="90">
        <f>VLOOKUP(Z30,'R.BANGKIR'!$B$4:$T$63,MATCH(ULP!$A$1,'R.LEOK'!$B$5:$T$5,0),FALSE)</f>
        <v>7.9087392340137761</v>
      </c>
      <c r="AG30" s="157">
        <f>IF(OR(AE30="N/A",AF30="N/A"),"N/A",IF((2-(AF30/AE30))*100&lt;0,0,IF((2-(AF30/AE30))*100&gt;=110,110,(2-(AF30/AE30))*100)))</f>
        <v>110</v>
      </c>
      <c r="AH30" s="103"/>
      <c r="AJ30" s="91"/>
      <c r="AK30" s="52" t="str">
        <f>T.MOUTONG!B28</f>
        <v>a. Response Time atas Gangguan (diluar Clear Tamper)</v>
      </c>
      <c r="AL30" s="364" t="str">
        <f>T.MOUTONG!C28</f>
        <v>ò</v>
      </c>
      <c r="AM30" s="61" t="str">
        <f>T.MOUTONG!D28</f>
        <v>Menit</v>
      </c>
      <c r="AN30" s="53"/>
      <c r="AO30" s="90">
        <f>T.LEOK!CW28</f>
        <v>0</v>
      </c>
      <c r="AP30" s="90">
        <f>VLOOKUP(AK30,T.LEOK!$B$4:$T$55,MATCH(ULP!$A$1,T.LEOK!$B$5:$T$5,0),FALSE)</f>
        <v>30</v>
      </c>
      <c r="AQ30" s="90">
        <f>VLOOKUP(AK30,'R.MOUTONG'!$B$4:$T$63,MATCH(ULP!$A$1,'R.LEOK'!$B$5:$T$5,0),FALSE)</f>
        <v>9.1740044587045002</v>
      </c>
      <c r="AR30" s="157">
        <f>IF(OR(AP30="N/A",AQ30="N/A"),"N/A",IF((2-(AQ30/AP30))*100&lt;0,0,IF((2-(AQ30/AP30))*100&gt;=110,110,(2-(AQ30/AP30))*100)))</f>
        <v>110</v>
      </c>
      <c r="AS30" s="103"/>
      <c r="AU30" s="91"/>
      <c r="AV30" s="52" t="str">
        <f>T.KOTARAYA!B28</f>
        <v>a. Response Time atas Gangguan (diluar Clear Tamper)</v>
      </c>
      <c r="AW30" s="364" t="str">
        <f>T.KOTARAYA!C28</f>
        <v>ò</v>
      </c>
      <c r="AX30" s="259" t="str">
        <f>T.KOTARAYA!D28</f>
        <v>Menit</v>
      </c>
      <c r="AY30" s="53"/>
      <c r="AZ30" s="90">
        <f>T.LEOK!CD28</f>
        <v>1.65</v>
      </c>
      <c r="BA30" s="90">
        <f>VLOOKUP(AV30,T.LEOK!$B$4:$T$55,MATCH(ULP!$A$1,T.LEOK!$B$5:$T$5,0),FALSE)</f>
        <v>30</v>
      </c>
      <c r="BB30" s="90">
        <f>VLOOKUP(AV30,'R.KOTARAYA'!$B$4:$T$63,MATCH(ULP!$A$1,'R.LEOK'!$B$5:$T$5,0),FALSE)</f>
        <v>11.043343816369179</v>
      </c>
      <c r="BC30" s="157">
        <f>IF(OR(BA30="N/A",BB30="N/A"),"N/A",IF((2-(BB30/BA30))*100&lt;0,0,IF((2-(BB30/BA30))*100&gt;=110,110,(2-(BB30/BA30))*100)))</f>
        <v>110</v>
      </c>
      <c r="BD30" s="103"/>
    </row>
    <row r="31" spans="2:56" ht="33">
      <c r="C31" s="51"/>
      <c r="D31" s="52" t="str">
        <f>T.TOLIS!B29</f>
        <v>b. Success Rate Auto Dispatch Gangguan Individual (diluar Clear Tamper)</v>
      </c>
      <c r="E31" s="364" t="str">
        <f>T.TOLIS!C29</f>
        <v>ñ</v>
      </c>
      <c r="F31" s="61" t="str">
        <f>T.TOLIS!D29</f>
        <v>%</v>
      </c>
      <c r="G31" s="53"/>
      <c r="H31" s="90">
        <f>T.TOLIS!H29</f>
        <v>0</v>
      </c>
      <c r="I31" s="90">
        <f>VLOOKUP(D31,T.TOLIS!$B$4:$T$55,MATCH(ULP!$A$1,T.TOLIS!$B$5:$T$5,0),FALSE)</f>
        <v>0</v>
      </c>
      <c r="J31" s="90">
        <f>VLOOKUP(D31,'R.TOLIS'!$B$4:$T$64,MATCH(ULP!$A$1,'R.TOLIS'!$B$5:$T$5,0),FALSE)</f>
        <v>0</v>
      </c>
      <c r="K31" s="157">
        <f>IF(I31=0,100,(IF((J31/I31*100)&gt;110,110,(J31/I31*100))))</f>
        <v>100</v>
      </c>
      <c r="L31" s="103"/>
      <c r="N31" s="91"/>
      <c r="O31" s="52" t="str">
        <f>T.LEOK!B29</f>
        <v>b. Success Rate Auto Dispatch Gangguan Individual (diluar Clear Tamper)</v>
      </c>
      <c r="P31" s="364" t="str">
        <f>T.LEOK!C29</f>
        <v>ñ</v>
      </c>
      <c r="Q31" s="61" t="str">
        <f>T.LEOK!D29</f>
        <v>%</v>
      </c>
      <c r="R31" s="53"/>
      <c r="S31" s="90">
        <f>T.LEOK!S29</f>
        <v>0</v>
      </c>
      <c r="T31" s="90">
        <f>VLOOKUP(O31,T.LEOK!$B$4:$T$55,MATCH(ULP!$A$1,T.LEOK!$B$5:$T$5,0),FALSE)</f>
        <v>0</v>
      </c>
      <c r="U31" s="90">
        <f>VLOOKUP(O31,'R.LEOK'!$B$4:$T$63,MATCH(ULP!$A$1,'R.LEOK'!$B$5:$T$5,0),FALSE)</f>
        <v>0</v>
      </c>
      <c r="V31" s="157">
        <f>IF(T31=0,100,(IF((U31/T31*100)&gt;110,110,(U31/T31*100))))</f>
        <v>100</v>
      </c>
      <c r="W31" s="103"/>
      <c r="Y31" s="91"/>
      <c r="Z31" s="52" t="str">
        <f>T.BANGKIR!B29</f>
        <v>b. Success Rate Auto Dispatch Gangguan Individual (diluar Clear Tamper)</v>
      </c>
      <c r="AA31" s="364" t="str">
        <f>T.BANGKIR!C29</f>
        <v>ñ</v>
      </c>
      <c r="AB31" s="61" t="str">
        <f>T.BANGKIR!D29</f>
        <v>%</v>
      </c>
      <c r="AC31" s="53"/>
      <c r="AD31" s="90">
        <f>T.LEOK!AD29</f>
        <v>0</v>
      </c>
      <c r="AE31" s="90">
        <f>VLOOKUP(Z31,T.LEOK!$B$4:$T$55,MATCH(ULP!$A$1,T.LEOK!$B$5:$T$5,0),FALSE)</f>
        <v>0</v>
      </c>
      <c r="AF31" s="90">
        <f>VLOOKUP(Z31,'R.BANGKIR'!$B$4:$T$63,MATCH(ULP!$A$1,'R.LEOK'!$B$5:$T$5,0),FALSE)</f>
        <v>0</v>
      </c>
      <c r="AG31" s="157">
        <f>IF(AE31=0,100,(IF((AF31/AE31*100)&gt;110,110,(AF31/AE31*100))))</f>
        <v>100</v>
      </c>
      <c r="AH31" s="103"/>
      <c r="AJ31" s="91"/>
      <c r="AK31" s="52" t="str">
        <f>T.MOUTONG!B29</f>
        <v>b. Success Rate Auto Dispatch Gangguan Individual (diluar Clear Tamper)</v>
      </c>
      <c r="AL31" s="364" t="str">
        <f>T.MOUTONG!C29</f>
        <v>ñ</v>
      </c>
      <c r="AM31" s="61" t="str">
        <f>T.MOUTONG!D29</f>
        <v>%</v>
      </c>
      <c r="AN31" s="53"/>
      <c r="AO31" s="90">
        <f>T.LEOK!CW29</f>
        <v>0</v>
      </c>
      <c r="AP31" s="90">
        <f>VLOOKUP(AK31,T.LEOK!$B$4:$T$55,MATCH(ULP!$A$1,T.LEOK!$B$5:$T$5,0),FALSE)</f>
        <v>0</v>
      </c>
      <c r="AQ31" s="90">
        <f>VLOOKUP(AK31,'R.LEOK'!$B$4:$T$63,MATCH(ULP!$A$1,'R.LEOK'!$B$5:$T$5,0),FALSE)</f>
        <v>0</v>
      </c>
      <c r="AR31" s="157">
        <f>IF(AP31=0,100,(IF((AQ31/AP31*100)&gt;110,110,(AQ31/AP31*100))))</f>
        <v>100</v>
      </c>
      <c r="AS31" s="103"/>
      <c r="AU31" s="91"/>
      <c r="AV31" s="52" t="str">
        <f>T.KOTARAYA!B29</f>
        <v>b. Success Rate Auto Dispatch Gangguan Individual (diluar Clear Tamper)</v>
      </c>
      <c r="AW31" s="364" t="str">
        <f>T.KOTARAYA!C29</f>
        <v>ñ</v>
      </c>
      <c r="AX31" s="259" t="str">
        <f>T.KOTARAYA!D29</f>
        <v>%</v>
      </c>
      <c r="AY31" s="53"/>
      <c r="AZ31" s="90">
        <f>T.LEOK!CD29</f>
        <v>1.5</v>
      </c>
      <c r="BA31" s="90">
        <f>VLOOKUP(AV31,T.LEOK!$B$4:$T$55,MATCH(ULP!$A$1,T.LEOK!$B$5:$T$5,0),FALSE)</f>
        <v>0</v>
      </c>
      <c r="BB31" s="90">
        <f>VLOOKUP(AV31,'R.LEOK'!$B$4:$T$63,MATCH(ULP!$A$1,'R.LEOK'!$B$5:$T$5,0),FALSE)</f>
        <v>0</v>
      </c>
      <c r="BC31" s="157">
        <f>IF(BA31=0,100,(IF((BB31/BA31*100)&gt;110,110,(BB31/BA31*100))))</f>
        <v>100</v>
      </c>
      <c r="BD31" s="103"/>
    </row>
    <row r="32" spans="2:56" ht="16.5">
      <c r="C32" s="51"/>
      <c r="D32" s="267" t="str">
        <f>T.TOLIS!B30</f>
        <v>Sistem Recovery :</v>
      </c>
      <c r="E32" s="364"/>
      <c r="F32" s="61"/>
      <c r="G32" s="53">
        <f>IF(J32="N/A",0,T.TOLIS!F30)</f>
        <v>6</v>
      </c>
      <c r="H32" s="90"/>
      <c r="I32" s="90"/>
      <c r="J32" s="90"/>
      <c r="K32" s="157">
        <f>AVERAGE(K33:K34)</f>
        <v>110</v>
      </c>
      <c r="L32" s="103">
        <f>ROUNDDOWN(IF(OR(K32="N/A",K32&lt;0),0,IF(K32&gt;110,G32*110/100,G32*K32/100)),2)</f>
        <v>6.6</v>
      </c>
      <c r="N32" s="91">
        <f>T.LEOK!A30</f>
        <v>7</v>
      </c>
      <c r="O32" s="267" t="str">
        <f>T.LEOK!B30</f>
        <v>Sistem Recovery :</v>
      </c>
      <c r="P32" s="364"/>
      <c r="Q32" s="61"/>
      <c r="R32" s="53">
        <f>IF(U32="N/A",0,T.LEOK!F30)</f>
        <v>6</v>
      </c>
      <c r="S32" s="90"/>
      <c r="T32" s="90"/>
      <c r="U32" s="90"/>
      <c r="V32" s="157">
        <f>AVERAGE(V33:V34)</f>
        <v>110</v>
      </c>
      <c r="W32" s="103">
        <f>ROUNDDOWN(IF(OR(V32="N/A",V32&lt;0),0,IF(V32&gt;110,R32*110/100,R32*V32/100)),2)</f>
        <v>6.6</v>
      </c>
      <c r="Y32" s="91">
        <f>T.BANGKIR!A30</f>
        <v>7</v>
      </c>
      <c r="Z32" s="267" t="str">
        <f>T.BANGKIR!B30</f>
        <v>Sistem Recovery :</v>
      </c>
      <c r="AA32" s="364"/>
      <c r="AB32" s="61"/>
      <c r="AC32" s="53">
        <f>IF(AF32="N/A",0,T.BANGKIR!F30)</f>
        <v>6</v>
      </c>
      <c r="AD32" s="90"/>
      <c r="AE32" s="90"/>
      <c r="AF32" s="90"/>
      <c r="AG32" s="157">
        <f>AVERAGE(AG33:AG34)</f>
        <v>110</v>
      </c>
      <c r="AH32" s="103">
        <f>ROUNDDOWN(IF(OR(AG32="N/A",AG32&lt;0),0,IF(AG32&gt;110,AC32*110/100,AC32*AG32/100)),2)</f>
        <v>6.6</v>
      </c>
      <c r="AJ32" s="91">
        <f>T.MOUTONG!A30</f>
        <v>7</v>
      </c>
      <c r="AK32" s="267" t="str">
        <f>T.MOUTONG!B30</f>
        <v>Sistem Recovery :</v>
      </c>
      <c r="AL32" s="364"/>
      <c r="AM32" s="61"/>
      <c r="AN32" s="53">
        <f>IF(AQ32="N/A",0,T.MOUTONG!F30)</f>
        <v>6</v>
      </c>
      <c r="AO32" s="90"/>
      <c r="AP32" s="90"/>
      <c r="AQ32" s="90"/>
      <c r="AR32" s="157">
        <f>AVERAGE(AR33:AR34)</f>
        <v>110</v>
      </c>
      <c r="AS32" s="103">
        <f>ROUNDDOWN(IF(OR(AR32="N/A",AR32&lt;0),0,IF(AR32&gt;110,AN32*110/100,AN32*AR32/100)),2)</f>
        <v>6.6</v>
      </c>
      <c r="AU32" s="91">
        <f>T.KOTARAYA!A30</f>
        <v>7</v>
      </c>
      <c r="AV32" s="267" t="str">
        <f>T.KOTARAYA!B30</f>
        <v>Sistem Recovery :</v>
      </c>
      <c r="AW32" s="364"/>
      <c r="AX32" s="259"/>
      <c r="AY32" s="53">
        <f>IF(BB32="N/A",0,T.KOTARAYA!F30)</f>
        <v>6</v>
      </c>
      <c r="AZ32" s="90"/>
      <c r="BA32" s="90"/>
      <c r="BB32" s="90"/>
      <c r="BC32" s="157">
        <f>AVERAGE(BC33:BC34)</f>
        <v>110</v>
      </c>
      <c r="BD32" s="103">
        <f>ROUNDDOWN(IF(OR(BC32="N/A",BC32&lt;0),0,IF(BC32&gt;110,AY32*110/100,AY32*BC32/100)),2)</f>
        <v>6.6</v>
      </c>
    </row>
    <row r="33" spans="3:56" ht="16.5">
      <c r="C33" s="51">
        <f>T.TOLIS!A30</f>
        <v>7</v>
      </c>
      <c r="D33" s="52" t="str">
        <f>T.TOLIS!B31</f>
        <v>a. Recovery Time Gangguan Meluas TM</v>
      </c>
      <c r="E33" s="364" t="str">
        <f>T.TOLIS!C31</f>
        <v>ñ</v>
      </c>
      <c r="F33" s="61" t="str">
        <f>T.TOLIS!D31</f>
        <v>%</v>
      </c>
      <c r="G33" s="53"/>
      <c r="H33" s="90">
        <f>T.TOLIS!H31</f>
        <v>100</v>
      </c>
      <c r="I33" s="90">
        <f>VLOOKUP(D33,T.TOLIS!$B$4:$T$55,MATCH(ULP!$A$1,T.TOLIS!$B$5:$T$5,0),FALSE)</f>
        <v>100</v>
      </c>
      <c r="J33" s="90">
        <f>VLOOKUP(D33,'R.TOLIS'!$B$4:$T$64,MATCH(ULP!$A$1,'R.TOLIS'!$B$5:$T$5,0),FALSE)</f>
        <v>110</v>
      </c>
      <c r="K33" s="157">
        <f>IF(OR(I33="N/A",J33="N/A"),"N/A",IF((J33/I33*100)&gt;=110,110,(J33/I33*100)))</f>
        <v>110</v>
      </c>
      <c r="L33" s="103"/>
      <c r="N33" s="91"/>
      <c r="O33" s="52" t="str">
        <f>T.LEOK!B31</f>
        <v>a. Recovery Time Gangguan Meluas TM</v>
      </c>
      <c r="P33" s="364" t="str">
        <f>T.LEOK!C31</f>
        <v>ñ</v>
      </c>
      <c r="Q33" s="61" t="str">
        <f>T.LEOK!D31</f>
        <v>%</v>
      </c>
      <c r="R33" s="53"/>
      <c r="S33" s="90">
        <f>T.LEOK!S31</f>
        <v>100</v>
      </c>
      <c r="T33" s="90">
        <f>VLOOKUP(O33,T.LEOK!$B$4:$T$55,MATCH(ULP!$A$1,T.LEOK!$B$5:$T$5,0),FALSE)</f>
        <v>100</v>
      </c>
      <c r="U33" s="90">
        <f>VLOOKUP(O33,'R.LEOK'!$B$4:$T$63,MATCH(ULP!$A$1,'R.LEOK'!$B$5:$T$5,0),FALSE)</f>
        <v>110</v>
      </c>
      <c r="V33" s="157">
        <f>IF(OR(T33="N/A",U33="N/A"),"N/A",IF((U33/T33*100)&gt;=110,110,(U33/T33*100)))</f>
        <v>110</v>
      </c>
      <c r="W33" s="103"/>
      <c r="Y33" s="91"/>
      <c r="Z33" s="52" t="str">
        <f>T.BANGKIR!B31</f>
        <v>a. Recovery Time Gangguan Meluas TM</v>
      </c>
      <c r="AA33" s="364" t="str">
        <f>T.BANGKIR!C31</f>
        <v>ñ</v>
      </c>
      <c r="AB33" s="61" t="str">
        <f>T.BANGKIR!D31</f>
        <v>%</v>
      </c>
      <c r="AC33" s="53"/>
      <c r="AD33" s="90">
        <f>T.BANGKIR!T32</f>
        <v>100</v>
      </c>
      <c r="AE33" s="90">
        <f>VLOOKUP(Z33,T.BANGKIR!$B$4:$T$55,MATCH(ULP!$A$1,T.BANGKIR!$B$5:$T$5,0),FALSE)</f>
        <v>100</v>
      </c>
      <c r="AF33" s="90">
        <f>VLOOKUP(Z33,'R.BANGKIR'!$B$4:$T$63,MATCH(ULP!$A$1,'R.BANGKIR'!$B$5:$T$5,0),FALSE)</f>
        <v>110</v>
      </c>
      <c r="AG33" s="157">
        <f>IF(OR(AE33="N/A",AF33="N/A"),"N/A",IF((AF33/AE33*100)&gt;=110,110,(AF33/AE33*100)))</f>
        <v>110</v>
      </c>
      <c r="AH33" s="103"/>
      <c r="AJ33" s="91"/>
      <c r="AK33" s="52" t="str">
        <f>T.MOUTONG!B31</f>
        <v>a. Recovery Time Gangguan Meluas TM</v>
      </c>
      <c r="AL33" s="364" t="str">
        <f>T.MOUTONG!C31</f>
        <v>ñ</v>
      </c>
      <c r="AM33" s="61" t="str">
        <f>T.MOUTONG!D31</f>
        <v>%</v>
      </c>
      <c r="AN33" s="53"/>
      <c r="AO33" s="90">
        <f>T.MOUTONG!T32</f>
        <v>100</v>
      </c>
      <c r="AP33" s="90">
        <f>VLOOKUP(AK33,T.MOUTONG!$B$4:$T$55,MATCH(ULP!$A$1,T.MOUTONG!$B$5:$T$5,0),FALSE)</f>
        <v>100</v>
      </c>
      <c r="AQ33" s="90">
        <f>VLOOKUP(AK33,'R.MOUTONG'!$B$4:$T$63,MATCH(ULP!$A$1,'R.MOUTONG'!$B$5:$T$5,0),FALSE)</f>
        <v>110</v>
      </c>
      <c r="AR33" s="157">
        <f>IF(OR(AP33="N/A",AQ33="N/A"),"N/A",IF((AQ33/AP33*100)&gt;=110,110,(AQ33/AP33*100)))</f>
        <v>110</v>
      </c>
      <c r="AS33" s="103"/>
      <c r="AU33" s="91"/>
      <c r="AV33" s="52" t="str">
        <f>T.KOTARAYA!B31</f>
        <v>a. Recovery Time Gangguan Meluas TM</v>
      </c>
      <c r="AW33" s="364" t="str">
        <f>T.KOTARAYA!C31</f>
        <v>ñ</v>
      </c>
      <c r="AX33" s="259" t="str">
        <f>T.KOTARAYA!D31</f>
        <v>%</v>
      </c>
      <c r="AY33" s="53"/>
      <c r="AZ33" s="90">
        <f>T.KOTARAYA!T32</f>
        <v>100</v>
      </c>
      <c r="BA33" s="90">
        <f>VLOOKUP(AV33,T.KOTARAYA!$B$4:$T$55,MATCH(ULP!$A$1,T.KOTARAYA!$B$5:$T$5,0),FALSE)</f>
        <v>100</v>
      </c>
      <c r="BB33" s="90">
        <f>VLOOKUP(AV33,'R.KOTARAYA'!$B$4:$T$63,MATCH(ULP!$A$1,'R.KOTARAYA'!$B$5:$T$5,0),FALSE)</f>
        <v>110</v>
      </c>
      <c r="BC33" s="157">
        <f>IF(OR(BA33="N/A",BB33="N/A"),"N/A",IF((BB33/BA33*100)&gt;=110,110,(BB33/BA33*100)))</f>
        <v>110</v>
      </c>
      <c r="BD33" s="103"/>
    </row>
    <row r="34" spans="3:56" ht="16.5">
      <c r="C34" s="51"/>
      <c r="D34" s="52" t="str">
        <f>T.TOLIS!B32</f>
        <v>b. Penormalan Siaga 1 Gangguan TM</v>
      </c>
      <c r="E34" s="364" t="str">
        <f>T.TOLIS!C32</f>
        <v>ñ</v>
      </c>
      <c r="F34" s="61" t="str">
        <f>T.TOLIS!D32</f>
        <v>%</v>
      </c>
      <c r="G34" s="53"/>
      <c r="H34" s="90">
        <f>T.TOLIS!H32</f>
        <v>100</v>
      </c>
      <c r="I34" s="90">
        <f>VLOOKUP(D34,T.TOLIS!$B$4:$T$55,MATCH(ULP!$A$1,T.TOLIS!$B$5:$T$5,0),FALSE)</f>
        <v>100</v>
      </c>
      <c r="J34" s="90">
        <f>VLOOKUP(D34,'R.TOLIS'!$B$4:$T$64,MATCH(ULP!$A$1,'R.TOLIS'!$B$5:$T$5,0),FALSE)</f>
        <v>110</v>
      </c>
      <c r="K34" s="157">
        <f>IF(OR(I34="N/A",J34="N/A"),"N/A",IF((J34/I34*100)&gt;=110,110,(J34/I34*100)))</f>
        <v>110</v>
      </c>
      <c r="L34" s="103"/>
      <c r="N34" s="91"/>
      <c r="O34" s="52" t="str">
        <f>T.LEOK!B32</f>
        <v>b. Penormalan Siaga 1 Gangguan TM</v>
      </c>
      <c r="P34" s="364" t="str">
        <f>T.LEOK!C32</f>
        <v>ñ</v>
      </c>
      <c r="Q34" s="61" t="str">
        <f>T.LEOK!D32</f>
        <v>%</v>
      </c>
      <c r="R34" s="53"/>
      <c r="S34" s="90">
        <f>T.LEOK!S32</f>
        <v>100</v>
      </c>
      <c r="T34" s="90">
        <f>VLOOKUP(O34,T.LEOK!$B$4:$T$55,MATCH(ULP!$A$1,T.LEOK!$B$5:$T$5,0),FALSE)</f>
        <v>100</v>
      </c>
      <c r="U34" s="90">
        <f>VLOOKUP(O34,'R.LEOK'!$B$4:$T$63,MATCH(ULP!$A$1,'R.LEOK'!$B$5:$T$5,0),FALSE)</f>
        <v>110</v>
      </c>
      <c r="V34" s="157">
        <f>IF(OR(T34="N/A",U34="N/A"),"N/A",IF((U34/T34*100)&gt;=110,110,(U34/T34*100)))</f>
        <v>110</v>
      </c>
      <c r="W34" s="103"/>
      <c r="Y34" s="91"/>
      <c r="Z34" s="52" t="str">
        <f>T.BANGKIR!B32</f>
        <v>b. Penormalan Siaga 1 Gangguan TM</v>
      </c>
      <c r="AA34" s="364" t="str">
        <f>T.BANGKIR!C32</f>
        <v>ñ</v>
      </c>
      <c r="AB34" s="61" t="str">
        <f>T.BANGKIR!D32</f>
        <v>%</v>
      </c>
      <c r="AC34" s="53"/>
      <c r="AD34" s="90">
        <f>T.BANGKIR!T33</f>
        <v>0</v>
      </c>
      <c r="AE34" s="90">
        <f>VLOOKUP(Z34,T.BANGKIR!$B$4:$T$55,MATCH(ULP!$A$1,T.BANGKIR!$B$5:$T$5,0),FALSE)</f>
        <v>100</v>
      </c>
      <c r="AF34" s="90">
        <f>VLOOKUP(Z34,'R.BANGKIR'!$B$4:$T$63,MATCH(ULP!$A$1,'R.BANGKIR'!$B$5:$T$5,0),FALSE)</f>
        <v>110</v>
      </c>
      <c r="AG34" s="157">
        <f>IF(OR(AE34="N/A",AF34="N/A"),"N/A",IF((AF34/AE34*100)&gt;=110,110,(AF34/AE34*100)))</f>
        <v>110</v>
      </c>
      <c r="AH34" s="103"/>
      <c r="AJ34" s="91"/>
      <c r="AK34" s="52" t="str">
        <f>T.MOUTONG!B32</f>
        <v>b. Penormalan Siaga 1 Gangguan TM</v>
      </c>
      <c r="AL34" s="364" t="str">
        <f>T.MOUTONG!C32</f>
        <v>ñ</v>
      </c>
      <c r="AM34" s="61" t="str">
        <f>T.MOUTONG!D32</f>
        <v>%</v>
      </c>
      <c r="AN34" s="53"/>
      <c r="AO34" s="90">
        <f>T.MOUTONG!T33</f>
        <v>0</v>
      </c>
      <c r="AP34" s="90">
        <f>VLOOKUP(AK34,T.MOUTONG!$B$4:$T$55,MATCH(ULP!$A$1,T.MOUTONG!$B$5:$T$5,0),FALSE)</f>
        <v>100</v>
      </c>
      <c r="AQ34" s="90">
        <f>VLOOKUP(AK34,'R.MOUTONG'!$B$4:$T$63,MATCH(ULP!$A$1,'R.MOUTONG'!$B$5:$T$5,0),FALSE)</f>
        <v>110</v>
      </c>
      <c r="AR34" s="157">
        <f>IF(OR(AP34="N/A",AQ34="N/A"),"N/A",IF((AQ34/AP34*100)&gt;=110,110,(AQ34/AP34*100)))</f>
        <v>110</v>
      </c>
      <c r="AS34" s="103"/>
      <c r="AU34" s="91"/>
      <c r="AV34" s="52" t="str">
        <f>T.KOTARAYA!B32</f>
        <v>b. Penormalan Siaga 1 Gangguan TM</v>
      </c>
      <c r="AW34" s="364" t="str">
        <f>T.KOTARAYA!C32</f>
        <v>ñ</v>
      </c>
      <c r="AX34" s="259" t="str">
        <f>T.KOTARAYA!D32</f>
        <v>%</v>
      </c>
      <c r="AY34" s="53"/>
      <c r="AZ34" s="90">
        <f>T.KOTARAYA!T33</f>
        <v>0</v>
      </c>
      <c r="BA34" s="90">
        <f>VLOOKUP(AV34,T.KOTARAYA!$B$4:$T$55,MATCH(ULP!$A$1,T.KOTARAYA!$B$5:$T$5,0),FALSE)</f>
        <v>100</v>
      </c>
      <c r="BB34" s="90">
        <f>VLOOKUP(AV34,'R.KOTARAYA'!$B$4:$T$63,MATCH(ULP!$A$1,'R.KOTARAYA'!$B$5:$T$5,0),FALSE)</f>
        <v>110</v>
      </c>
      <c r="BC34" s="157">
        <f>IF(OR(BA34="N/A",BB34="N/A"),"N/A",IF((BB34/BA34*100)&gt;=110,110,(BB34/BA34*100)))</f>
        <v>110</v>
      </c>
      <c r="BD34" s="103"/>
    </row>
    <row r="35" spans="3:56" ht="16.5">
      <c r="C35" s="51"/>
      <c r="D35" s="267" t="str">
        <f>T.TOLIS!B33</f>
        <v>Percepatan Penyambungan Pelanggan</v>
      </c>
      <c r="E35" s="364"/>
      <c r="F35" s="61"/>
      <c r="G35" s="53"/>
      <c r="H35" s="90"/>
      <c r="I35" s="90"/>
      <c r="J35" s="90"/>
      <c r="K35" s="157">
        <f>AVERAGE(K36:K39)</f>
        <v>74.707159517751123</v>
      </c>
      <c r="L35" s="103">
        <f>SUM(L36:L39)</f>
        <v>6.7600000000000007</v>
      </c>
      <c r="N35" s="91">
        <f>T.LEOK!A33</f>
        <v>8</v>
      </c>
      <c r="O35" s="267" t="str">
        <f>T.LEOK!B33</f>
        <v>Percepatan Penyambungan Pelanggan</v>
      </c>
      <c r="P35" s="364"/>
      <c r="Q35" s="61"/>
      <c r="R35" s="53"/>
      <c r="S35" s="90"/>
      <c r="T35" s="90"/>
      <c r="U35" s="90"/>
      <c r="V35" s="157">
        <f>AVERAGE(V36:V39)</f>
        <v>68.961292427591374</v>
      </c>
      <c r="W35" s="103">
        <f>SUM(W36:W39)</f>
        <v>6.5</v>
      </c>
      <c r="Y35" s="91">
        <f>T.BANGKIR!A33</f>
        <v>8</v>
      </c>
      <c r="Z35" s="267" t="str">
        <f>T.BANGKIR!B33</f>
        <v>Percepatan Penyambungan Pelanggan</v>
      </c>
      <c r="AA35" s="364"/>
      <c r="AB35" s="61"/>
      <c r="AC35" s="53"/>
      <c r="AD35" s="90"/>
      <c r="AE35" s="90"/>
      <c r="AF35" s="90"/>
      <c r="AG35" s="157">
        <f>AVERAGE(AG36:AG39)</f>
        <v>89.740168539325836</v>
      </c>
      <c r="AH35" s="103">
        <f>SUM(AH36:AH39)</f>
        <v>8.66</v>
      </c>
      <c r="AJ35" s="91">
        <f>T.MOUTONG!A33</f>
        <v>8</v>
      </c>
      <c r="AK35" s="267" t="str">
        <f>T.MOUTONG!B33</f>
        <v>Percepatan Penyambungan Pelanggan</v>
      </c>
      <c r="AL35" s="364"/>
      <c r="AM35" s="61"/>
      <c r="AN35" s="53"/>
      <c r="AO35" s="90"/>
      <c r="AP35" s="90"/>
      <c r="AQ35" s="90"/>
      <c r="AR35" s="157">
        <f>AVERAGE(AR36:AR39)</f>
        <v>65.591937028275311</v>
      </c>
      <c r="AS35" s="103">
        <f>SUM(AS36:AS39)</f>
        <v>6.24</v>
      </c>
      <c r="AU35" s="91">
        <f>T.KOTARAYA!A33</f>
        <v>8</v>
      </c>
      <c r="AV35" s="267" t="str">
        <f>T.KOTARAYA!B33</f>
        <v>Percepatan Penyambungan Pelanggan</v>
      </c>
      <c r="AW35" s="364"/>
      <c r="AX35" s="259"/>
      <c r="AY35" s="53"/>
      <c r="AZ35" s="90"/>
      <c r="BA35" s="90"/>
      <c r="BB35" s="90"/>
      <c r="BC35" s="157">
        <f>AVERAGE(BC36:BC39)</f>
        <v>87.187602738170924</v>
      </c>
      <c r="BD35" s="103">
        <f>SUM(BD36:BD39)</f>
        <v>8.3500000000000014</v>
      </c>
    </row>
    <row r="36" spans="3:56" ht="16.5">
      <c r="C36" s="51">
        <f>T.TOLIS!A33</f>
        <v>8</v>
      </c>
      <c r="D36" s="52" t="str">
        <f>T.TOLIS!B34</f>
        <v>a. Penambahan Daya Tersambung</v>
      </c>
      <c r="E36" s="364" t="str">
        <f>T.TOLIS!C34</f>
        <v>ñ</v>
      </c>
      <c r="F36" s="61" t="str">
        <f>T.TOLIS!D34</f>
        <v>MVA</v>
      </c>
      <c r="G36" s="53">
        <v>3</v>
      </c>
      <c r="H36" s="90">
        <f>T.TOLIS!H34</f>
        <v>4.59</v>
      </c>
      <c r="I36" s="90">
        <f>VLOOKUP(D36,T.TOLIS!$B$4:$T$55,MATCH(ULP!$A$1,T.TOLIS!$B$5:$T$5,0),FALSE)</f>
        <v>2.62</v>
      </c>
      <c r="J36" s="90">
        <f>VLOOKUP(D36,'R.TOLIS'!$B$4:$T$64,MATCH(ULP!$A$1,'R.TOLIS'!$B$5:$T$5,0),FALSE)</f>
        <v>0.76944999999999997</v>
      </c>
      <c r="K36" s="157">
        <f>IF(OR(I36="N/A",J36="N/A"),"N/A",IF((J36/I36*100)&gt;=110,110,(J36/I36*100)))</f>
        <v>29.368320610687022</v>
      </c>
      <c r="L36" s="103">
        <f>ROUNDDOWN(IF(OR(K36="N/A",K36&lt;0),0,IF(K36&gt;110,G36*110/100,G36*K36/100)),2)</f>
        <v>0.88</v>
      </c>
      <c r="N36" s="91"/>
      <c r="O36" s="52" t="str">
        <f>T.LEOK!B34</f>
        <v>a. Penambahan Daya Tersambung</v>
      </c>
      <c r="P36" s="364" t="str">
        <f>T.LEOK!C34</f>
        <v>ñ</v>
      </c>
      <c r="Q36" s="61" t="str">
        <f>T.LEOK!D34</f>
        <v>MVA</v>
      </c>
      <c r="R36" s="53">
        <v>3</v>
      </c>
      <c r="S36" s="90">
        <f>T.LEOK!S34</f>
        <v>2.88</v>
      </c>
      <c r="T36" s="90">
        <f>VLOOKUP(O36,T.LEOK!$B$4:$T$55,MATCH(ULP!$A$1,T.LEOK!$B$5:$T$5,0),FALSE)</f>
        <v>1.99</v>
      </c>
      <c r="U36" s="90">
        <f>VLOOKUP(O36,'R.LEOK'!$B$4:$T$63,MATCH(ULP!$A$1,'R.LEOK'!$B$5:$T$5,0),FALSE)</f>
        <v>1.0222333333333333</v>
      </c>
      <c r="V36" s="157">
        <f>IF(OR(T36="N/A",U36="N/A"),"N/A",IF((U36/T36*100)&gt;=110,110,(U36/T36*100)))</f>
        <v>51.368509212730316</v>
      </c>
      <c r="W36" s="103">
        <f>ROUNDDOWN(IF(OR(V36="N/A",V36&lt;0),0,IF(V36&gt;110,R36*110/100,R36*V36/100)),2)</f>
        <v>1.54</v>
      </c>
      <c r="Y36" s="91"/>
      <c r="Z36" s="52" t="str">
        <f>T.BANGKIR!B34</f>
        <v>a. Penambahan Daya Tersambung</v>
      </c>
      <c r="AA36" s="364" t="str">
        <f>T.BANGKIR!C34</f>
        <v>ñ</v>
      </c>
      <c r="AB36" s="61" t="str">
        <f>T.BANGKIR!D34</f>
        <v>MVA</v>
      </c>
      <c r="AC36" s="53">
        <v>3</v>
      </c>
      <c r="AD36" s="90">
        <f>T.BANGKIR!T34</f>
        <v>1.57</v>
      </c>
      <c r="AE36" s="90">
        <f>VLOOKUP(Z36,T.BANGKIR!$B$4:$T$55,MATCH(ULP!$A$1,T.BANGKIR!$B$5:$T$5,0),FALSE)</f>
        <v>0.89</v>
      </c>
      <c r="AF36" s="90">
        <f>VLOOKUP(Z36,'R.BANGKIR'!$B$4:$T$63,MATCH(ULP!$A$1,'R.BANGKIR'!$B$5:$T$5,0),FALSE)</f>
        <v>0.76949999999999996</v>
      </c>
      <c r="AG36" s="157">
        <f>IF(OR(AE36="N/A",AF36="N/A"),"N/A",IF((AF36/AE36*100)&gt;=110,110,(AF36/AE36*100)))</f>
        <v>86.460674157303359</v>
      </c>
      <c r="AH36" s="103">
        <f>ROUNDDOWN(IF(OR(AG36="N/A",AG36&lt;0),0,IF(AG36&gt;110,AC36*110/100,AC36*AG36/100)),2)</f>
        <v>2.59</v>
      </c>
      <c r="AJ36" s="91"/>
      <c r="AK36" s="52" t="str">
        <f>T.MOUTONG!B34</f>
        <v>a. Penambahan Daya Tersambung</v>
      </c>
      <c r="AL36" s="364" t="str">
        <f>T.MOUTONG!C34</f>
        <v>ñ</v>
      </c>
      <c r="AM36" s="61" t="str">
        <f>T.MOUTONG!D34</f>
        <v>MVA</v>
      </c>
      <c r="AN36" s="53">
        <v>3</v>
      </c>
      <c r="AO36" s="90">
        <f>T.MOUTONG!T34</f>
        <v>1.26</v>
      </c>
      <c r="AP36" s="90">
        <f>VLOOKUP(AK36,T.MOUTONG!$B$4:$T$55,MATCH(ULP!$A$1,T.MOUTONG!$B$5:$T$5,0),FALSE)</f>
        <v>0.72</v>
      </c>
      <c r="AQ36" s="90">
        <f>VLOOKUP(AK36,'R.MOUTONG'!$B$4:$T$63,MATCH(ULP!$A$1,'R.MOUTONG'!$B$5:$T$5,0),FALSE)</f>
        <v>0.4476</v>
      </c>
      <c r="AR36" s="157">
        <f>IF(OR(AP36="N/A",AQ36="N/A"),"N/A",IF((AQ36/AP36*100)&gt;=110,110,(AQ36/AP36*100)))</f>
        <v>62.166666666666671</v>
      </c>
      <c r="AS36" s="103">
        <f>ROUNDDOWN(IF(OR(AR36="N/A",AR36&lt;0),0,IF(AR36&gt;110,AN36*110/100,AN36*AR36/100)),2)</f>
        <v>1.86</v>
      </c>
      <c r="AU36" s="91"/>
      <c r="AV36" s="52" t="str">
        <f>T.KOTARAYA!B34</f>
        <v>a. Penambahan Daya Tersambung</v>
      </c>
      <c r="AW36" s="364" t="str">
        <f>T.KOTARAYA!C34</f>
        <v>ñ</v>
      </c>
      <c r="AX36" s="259" t="str">
        <f>T.KOTARAYA!D34</f>
        <v>MVA</v>
      </c>
      <c r="AY36" s="53">
        <v>3</v>
      </c>
      <c r="AZ36" s="90">
        <f>T.KOTARAYA!T34</f>
        <v>2.46</v>
      </c>
      <c r="BA36" s="90">
        <f>VLOOKUP(AV36,T.KOTARAYA!$B$4:$T$55,MATCH(ULP!$A$1,T.KOTARAYA!$B$5:$T$5,0),FALSE)</f>
        <v>1.4</v>
      </c>
      <c r="BB36" s="90">
        <f>VLOOKUP(AV36,'R.KOTARAYA'!$B$4:$T$63,MATCH(ULP!$A$1,'R.KOTARAYA'!$B$5:$T$5,0),FALSE)</f>
        <v>1.2073500000000001</v>
      </c>
      <c r="BC36" s="157">
        <f>IF(OR(BA36="N/A",BB36="N/A"),"N/A",IF((BB36/BA36*100)&gt;=110,110,(BB36/BA36*100)))</f>
        <v>86.239285714285728</v>
      </c>
      <c r="BD36" s="103">
        <f>ROUNDDOWN(IF(OR(BC36="N/A",BC36&lt;0),0,IF(BC36&gt;110,AY36*110/100,AY36*BC36/100)),2)</f>
        <v>2.58</v>
      </c>
    </row>
    <row r="37" spans="3:56" ht="16.5">
      <c r="C37" s="51"/>
      <c r="D37" s="52" t="str">
        <f>T.TOLIS!B35</f>
        <v>b. Penambahan Jumlah Pelanggan</v>
      </c>
      <c r="E37" s="364" t="str">
        <f>T.TOLIS!C35</f>
        <v>ñ</v>
      </c>
      <c r="F37" s="61" t="str">
        <f>T.TOLIS!D35</f>
        <v>Pelanggan</v>
      </c>
      <c r="G37" s="53">
        <v>3</v>
      </c>
      <c r="H37" s="91">
        <f>T.TOLIS!H35</f>
        <v>2521</v>
      </c>
      <c r="I37" s="91">
        <f>VLOOKUP(D37,T.TOLIS!$B$4:$T$55,MATCH(ULP!$A$1,T.TOLIS!$B$5:$T$5,0),FALSE)</f>
        <v>1575</v>
      </c>
      <c r="J37" s="91">
        <f>VLOOKUP(D37,'R.TOLIS'!$B$4:$T$64,MATCH(ULP!$A$1,'R.TOLIS'!$B$5:$T$5,0),FALSE)</f>
        <v>779</v>
      </c>
      <c r="K37" s="157">
        <f>IF(OR(I37="N/A",J37="N/A"),"N/A",IF((J37/I37*100)&gt;=110,110,(J37/I37*100)))</f>
        <v>49.460317460317462</v>
      </c>
      <c r="L37" s="103">
        <f t="shared" ref="L37:L40" si="5">ROUNDDOWN(IF(OR(K37="N/A",K37&lt;0),0,IF(K37&gt;110,G37*110/100,G37*K37/100)),2)</f>
        <v>1.48</v>
      </c>
      <c r="N37" s="91"/>
      <c r="O37" s="52" t="str">
        <f>T.LEOK!B35</f>
        <v>b. Penambahan Jumlah Pelanggan</v>
      </c>
      <c r="P37" s="364" t="str">
        <f>T.LEOK!C35</f>
        <v>ñ</v>
      </c>
      <c r="Q37" s="61" t="str">
        <f>T.LEOK!D35</f>
        <v>Pelanggan</v>
      </c>
      <c r="R37" s="53">
        <v>3</v>
      </c>
      <c r="S37" s="91">
        <f>T.LEOK!S35</f>
        <v>2346</v>
      </c>
      <c r="T37" s="91">
        <f>VLOOKUP(O37,T.LEOK!$B$4:$T$55,MATCH(ULP!$A$1,T.LEOK!$B$5:$T$5,0),FALSE)</f>
        <v>1621</v>
      </c>
      <c r="U37" s="91">
        <f>VLOOKUP(O37,'R.LEOK'!$B$4:$T$63,MATCH(ULP!$A$1,'R.LEOK'!$B$5:$T$5,0),FALSE)</f>
        <v>775</v>
      </c>
      <c r="V37" s="157">
        <f>IF(OR(T37="N/A",U37="N/A"),"N/A",IF((U37/T37*100)&gt;=110,110,(U37/T37*100)))</f>
        <v>47.809993830968537</v>
      </c>
      <c r="W37" s="103">
        <f t="shared" ref="W37:W40" si="6">ROUNDDOWN(IF(OR(V37="N/A",V37&lt;0),0,IF(V37&gt;110,R37*110/100,R37*V37/100)),2)</f>
        <v>1.43</v>
      </c>
      <c r="Y37" s="91"/>
      <c r="Z37" s="52" t="str">
        <f>T.BANGKIR!B35</f>
        <v>b. Penambahan Jumlah Pelanggan</v>
      </c>
      <c r="AA37" s="364" t="str">
        <f>T.BANGKIR!C35</f>
        <v>ñ</v>
      </c>
      <c r="AB37" s="61" t="str">
        <f>T.BANGKIR!D35</f>
        <v>Pelanggan</v>
      </c>
      <c r="AC37" s="53">
        <v>3</v>
      </c>
      <c r="AD37" s="91">
        <f>T.BANGKIR!T35</f>
        <v>1280</v>
      </c>
      <c r="AE37" s="91">
        <f>VLOOKUP(Z37,T.BANGKIR!$B$4:$T$55,MATCH(ULP!$A$1,T.BANGKIR!$B$5:$T$5,0),FALSE)</f>
        <v>800</v>
      </c>
      <c r="AF37" s="91">
        <f>VLOOKUP(Z37,'R.BANGKIR'!$B$4:$T$63,MATCH(ULP!$A$1,'R.BANGKIR'!$B$5:$T$5,0),FALSE)</f>
        <v>500</v>
      </c>
      <c r="AG37" s="157">
        <f>IF(OR(AE37="N/A",AF37="N/A"),"N/A",IF((AF37/AE37*100)&gt;=110,110,(AF37/AE37*100)))</f>
        <v>62.5</v>
      </c>
      <c r="AH37" s="103">
        <f t="shared" ref="AH37:AH40" si="7">ROUNDDOWN(IF(OR(AG37="N/A",AG37&lt;0),0,IF(AG37&gt;110,AC37*110/100,AC37*AG37/100)),2)</f>
        <v>1.87</v>
      </c>
      <c r="AJ37" s="91"/>
      <c r="AK37" s="52" t="str">
        <f>T.MOUTONG!B35</f>
        <v>b. Penambahan Jumlah Pelanggan</v>
      </c>
      <c r="AL37" s="364" t="str">
        <f>T.MOUTONG!C35</f>
        <v>ñ</v>
      </c>
      <c r="AM37" s="61" t="str">
        <f>T.MOUTONG!D35</f>
        <v>Pelanggan</v>
      </c>
      <c r="AN37" s="53">
        <v>3</v>
      </c>
      <c r="AO37" s="91">
        <f>T.MOUTONG!T35</f>
        <v>1721</v>
      </c>
      <c r="AP37" s="91">
        <f>VLOOKUP(AK37,T.MOUTONG!$B$4:$T$55,MATCH(ULP!$A$1,T.MOUTONG!$B$5:$T$5,0),FALSE)</f>
        <v>1076</v>
      </c>
      <c r="AQ37" s="91">
        <f>VLOOKUP(AK37,'R.MOUTONG'!$B$4:$T$63,MATCH(ULP!$A$1,'R.MOUTONG'!$B$5:$T$5,0),FALSE)</f>
        <v>413</v>
      </c>
      <c r="AR37" s="319">
        <f>IF(OR(AP37="N/A",AQ37="N/A"),"N/A",IF((AQ37/AP37*100)&gt;=110,110,(AQ37/AP37*100)))</f>
        <v>38.382899628252787</v>
      </c>
      <c r="AS37" s="103">
        <f t="shared" ref="AS37:AS39" si="8">ROUNDDOWN(IF(OR(AR37="N/A",AR37&lt;0),0,IF(AR37&gt;110,AN37*110/100,AN37*AR37/100)),2)</f>
        <v>1.1499999999999999</v>
      </c>
      <c r="AU37" s="91"/>
      <c r="AV37" s="52" t="str">
        <f>T.KOTARAYA!B35</f>
        <v>b. Penambahan Jumlah Pelanggan</v>
      </c>
      <c r="AW37" s="364" t="str">
        <f>T.KOTARAYA!C35</f>
        <v>ñ</v>
      </c>
      <c r="AX37" s="259" t="str">
        <f>T.KOTARAYA!D35</f>
        <v>Pelanggan</v>
      </c>
      <c r="AY37" s="53">
        <v>3</v>
      </c>
      <c r="AZ37" s="91">
        <f>T.KOTARAYA!T35</f>
        <v>2517</v>
      </c>
      <c r="BA37" s="91">
        <f>VLOOKUP(AV37,T.KOTARAYA!$B$4:$T$55,MATCH(ULP!$A$1,T.KOTARAYA!$B$5:$T$5,0),FALSE)</f>
        <v>1573</v>
      </c>
      <c r="BB37" s="91">
        <f>VLOOKUP(AV37,'R.KOTARAYA'!$B$4:$T$63,MATCH(ULP!$A$1,'R.KOTARAYA'!$B$5:$T$5,0),FALSE)</f>
        <v>826</v>
      </c>
      <c r="BC37" s="319">
        <f>IF(OR(BA37="N/A",BB37="N/A"),"N/A",IF((BB37/BA37*100)&gt;=110,110,(BB37/BA37*100)))</f>
        <v>52.511125238397973</v>
      </c>
      <c r="BD37" s="103">
        <f t="shared" ref="BD37:BD39" si="9">ROUNDDOWN(IF(OR(BC37="N/A",BC37&lt;0),0,IF(BC37&gt;110,AY37*110/100,AY37*BC37/100)),2)</f>
        <v>1.57</v>
      </c>
    </row>
    <row r="38" spans="3:56" ht="16.5">
      <c r="C38" s="51"/>
      <c r="D38" s="52" t="str">
        <f>T.TOLIS!B36</f>
        <v>c. Jumlah Penambahan Pelanggan Produk Tematik</v>
      </c>
      <c r="E38" s="364" t="str">
        <f>T.TOLIS!C36</f>
        <v>ñ</v>
      </c>
      <c r="F38" s="61" t="str">
        <f>T.TOLIS!D36</f>
        <v>Pelanggan</v>
      </c>
      <c r="G38" s="53">
        <v>2</v>
      </c>
      <c r="H38" s="90">
        <f>T.TOLIS!H36</f>
        <v>276</v>
      </c>
      <c r="I38" s="90">
        <f>VLOOKUP(D38,T.TOLIS!$B$4:$T$55,MATCH(ULP!$A$1,T.TOLIS!$B$5:$T$5,0),FALSE)</f>
        <v>204</v>
      </c>
      <c r="J38" s="90">
        <f>VLOOKUP(D38,'R.TOLIS'!$B$4:$T$64,MATCH(ULP!$A$1,'R.TOLIS'!$B$5:$T$5,0),FALSE)</f>
        <v>260</v>
      </c>
      <c r="K38" s="157">
        <f>IF(OR(I38="N/A",J38="N/A"),"N/A",IF((J38/I38*100)&gt;=110,110,(J38/I38*100)))</f>
        <v>110</v>
      </c>
      <c r="L38" s="103">
        <f t="shared" si="5"/>
        <v>2.2000000000000002</v>
      </c>
      <c r="N38" s="91"/>
      <c r="O38" s="52" t="str">
        <f>T.LEOK!B36</f>
        <v>c. Jumlah Penambahan Pelanggan Produk Tematik</v>
      </c>
      <c r="P38" s="364" t="str">
        <f>T.LEOK!C36</f>
        <v>ñ</v>
      </c>
      <c r="Q38" s="61" t="str">
        <f>T.LEOK!D36</f>
        <v>Pelanggan</v>
      </c>
      <c r="R38" s="53">
        <v>2</v>
      </c>
      <c r="S38" s="90">
        <f>T.LEOK!S36</f>
        <v>207</v>
      </c>
      <c r="T38" s="90">
        <f>VLOOKUP(O38,T.LEOK!$B$4:$T$55,MATCH(ULP!$A$1,T.LEOK!$B$5:$T$5,0),FALSE)</f>
        <v>162</v>
      </c>
      <c r="U38" s="90">
        <f>VLOOKUP(O38,'R.LEOK'!$B$4:$T$63,MATCH(ULP!$A$1,'R.LEOK'!$B$5:$T$5,0),FALSE)</f>
        <v>108</v>
      </c>
      <c r="V38" s="157">
        <f>IF(OR(T38="N/A",U38="N/A"),"N/A",IF((U38/T38*100)&gt;=110,110,(U38/T38*100)))</f>
        <v>66.666666666666657</v>
      </c>
      <c r="W38" s="103">
        <f t="shared" si="6"/>
        <v>1.33</v>
      </c>
      <c r="Y38" s="91"/>
      <c r="Z38" s="52" t="str">
        <f>T.BANGKIR!B36</f>
        <v>c. Jumlah Penambahan Pelanggan Produk Tematik</v>
      </c>
      <c r="AA38" s="364" t="str">
        <f>T.BANGKIR!C36</f>
        <v>ñ</v>
      </c>
      <c r="AB38" s="61" t="str">
        <f>T.BANGKIR!D36</f>
        <v>Pelanggan</v>
      </c>
      <c r="AC38" s="53">
        <v>2</v>
      </c>
      <c r="AD38" s="90">
        <f>T.BANGKIR!T36</f>
        <v>150</v>
      </c>
      <c r="AE38" s="90">
        <f>VLOOKUP(Z38,T.BANGKIR!$B$4:$T$55,MATCH(ULP!$A$1,T.BANGKIR!$B$5:$T$5,0),FALSE)</f>
        <v>110</v>
      </c>
      <c r="AF38" s="90">
        <f>VLOOKUP(Z38,'R.BANGKIR'!$B$4:$T$63,MATCH(ULP!$A$1,'R.BANGKIR'!$B$5:$T$5,0),FALSE)</f>
        <v>133</v>
      </c>
      <c r="AG38" s="157">
        <f>IF(OR(AE38="N/A",AF38="N/A"),"N/A",IF((AF38/AE38*100)&gt;=110,110,(AF38/AE38*100)))</f>
        <v>110</v>
      </c>
      <c r="AH38" s="103">
        <f t="shared" si="7"/>
        <v>2.2000000000000002</v>
      </c>
      <c r="AJ38" s="91"/>
      <c r="AK38" s="52" t="str">
        <f>T.MOUTONG!B36</f>
        <v>c. Jumlah Penambahan Pelanggan Produk Tematik</v>
      </c>
      <c r="AL38" s="364" t="str">
        <f>T.MOUTONG!C36</f>
        <v>ñ</v>
      </c>
      <c r="AM38" s="61" t="str">
        <f>T.MOUTONG!D36</f>
        <v>Pelanggan</v>
      </c>
      <c r="AN38" s="53">
        <v>2</v>
      </c>
      <c r="AO38" s="90">
        <f>T.MOUTONG!T36</f>
        <v>150</v>
      </c>
      <c r="AP38" s="90">
        <f>VLOOKUP(AK38,T.MOUTONG!$B$4:$T$55,MATCH(ULP!$A$1,T.MOUTONG!$B$5:$T$5,0),FALSE)</f>
        <v>110</v>
      </c>
      <c r="AQ38" s="90">
        <f>VLOOKUP(AK38,'R.MOUTONG'!$B$4:$T$63,MATCH(ULP!$A$1,'R.MOUTONG'!$B$5:$T$5,0),FALSE)</f>
        <v>68</v>
      </c>
      <c r="AR38" s="157">
        <f>IF(OR(AP38="N/A",AQ38="N/A"),"N/A",IF((AQ38/AP38*100)&gt;=110,110,(AQ38/AP38*100)))</f>
        <v>61.818181818181813</v>
      </c>
      <c r="AS38" s="103">
        <f t="shared" si="8"/>
        <v>1.23</v>
      </c>
      <c r="AU38" s="91"/>
      <c r="AV38" s="52" t="str">
        <f>T.KOTARAYA!B36</f>
        <v>c. Jumlah Penambahan Pelanggan Produk Tematik</v>
      </c>
      <c r="AW38" s="364" t="str">
        <f>T.KOTARAYA!C36</f>
        <v>ñ</v>
      </c>
      <c r="AX38" s="259" t="str">
        <f>T.KOTARAYA!D36</f>
        <v>Pelanggan</v>
      </c>
      <c r="AY38" s="53">
        <v>2</v>
      </c>
      <c r="AZ38" s="90">
        <f>T.KOTARAYA!T36</f>
        <v>198</v>
      </c>
      <c r="BA38" s="90">
        <f>VLOOKUP(AV38,T.KOTARAYA!$B$4:$T$55,MATCH(ULP!$A$1,T.KOTARAYA!$B$5:$T$5,0),FALSE)</f>
        <v>146</v>
      </c>
      <c r="BB38" s="90">
        <f>VLOOKUP(AV38,'R.KOTARAYA'!$B$4:$T$63,MATCH(ULP!$A$1,'R.KOTARAYA'!$B$5:$T$5,0),FALSE)</f>
        <v>175</v>
      </c>
      <c r="BC38" s="157">
        <f>IF(OR(BA38="N/A",BB38="N/A"),"N/A",IF((BB38/BA38*100)&gt;=110,110,(BB38/BA38*100)))</f>
        <v>110</v>
      </c>
      <c r="BD38" s="103">
        <f t="shared" si="9"/>
        <v>2.2000000000000002</v>
      </c>
    </row>
    <row r="39" spans="3:56" ht="33">
      <c r="C39" s="51"/>
      <c r="D39" s="52" t="str">
        <f>T.TOLIS!B37</f>
        <v>d. Implementasi Kesesuaian Sektor Bisnis sesuai KBLI 2020</v>
      </c>
      <c r="E39" s="364" t="str">
        <f>T.TOLIS!C37</f>
        <v>ñ</v>
      </c>
      <c r="F39" s="61" t="str">
        <f>T.TOLIS!D37</f>
        <v>Pelanggan</v>
      </c>
      <c r="G39" s="53">
        <v>2</v>
      </c>
      <c r="H39" s="90">
        <f>T.TOLIS!H37</f>
        <v>5</v>
      </c>
      <c r="I39" s="90">
        <f>VLOOKUP(D39,T.TOLIS!$B$4:$T$55,MATCH(ULP!$A$1,T.TOLIS!$B$5:$T$5,0),FALSE)</f>
        <v>5</v>
      </c>
      <c r="J39" s="90">
        <f>VLOOKUP(D39,'R.TOLIS'!$B$4:$T$64,MATCH(ULP!$A$1,'R.TOLIS'!$B$5:$T$5,0),FALSE)</f>
        <v>6</v>
      </c>
      <c r="K39" s="157">
        <f>IF(OR(I39="N/A",J39="N/A"),"N/A",IF((J39/I39*100)&gt;=110,110,(J39/I39*100)))</f>
        <v>110</v>
      </c>
      <c r="L39" s="103">
        <f t="shared" si="5"/>
        <v>2.2000000000000002</v>
      </c>
      <c r="N39" s="91"/>
      <c r="O39" s="52" t="str">
        <f>T.LEOK!B37</f>
        <v>d. Implementasi Kesesuaian Sektor Bisnis sesuai KBLI 2020</v>
      </c>
      <c r="P39" s="364" t="str">
        <f>T.LEOK!C37</f>
        <v>ñ</v>
      </c>
      <c r="Q39" s="61" t="str">
        <f>T.LEOK!D37</f>
        <v>Pelanggan</v>
      </c>
      <c r="R39" s="53">
        <v>2</v>
      </c>
      <c r="S39" s="90">
        <f>T.LEOK!S37</f>
        <v>0</v>
      </c>
      <c r="T39" s="90">
        <f>VLOOKUP(O39,T.LEOK!$B$4:$T$55,MATCH(ULP!$A$1,T.LEOK!$B$5:$T$5,0),FALSE)</f>
        <v>0</v>
      </c>
      <c r="U39" s="90">
        <f>VLOOKUP(O39,'R.LEOK'!$B$4:$T$63,MATCH(ULP!$A$1,'R.LEOK'!$B$5:$T$5,0),FALSE)</f>
        <v>133</v>
      </c>
      <c r="V39" s="157">
        <f t="shared" ref="V39" si="10">IF(T39=0,110,(IF((U39/T39*100)&gt;110,110,(U39/T39*100))))</f>
        <v>110</v>
      </c>
      <c r="W39" s="103">
        <f t="shared" si="6"/>
        <v>2.2000000000000002</v>
      </c>
      <c r="Y39" s="91"/>
      <c r="Z39" s="52" t="str">
        <f>T.BANGKIR!B37</f>
        <v>d. Implementasi Kesesuaian Sektor Bisnis sesuai KBLI 2020</v>
      </c>
      <c r="AA39" s="364" t="str">
        <f>T.BANGKIR!C37</f>
        <v>ñ</v>
      </c>
      <c r="AB39" s="61" t="str">
        <f>T.BANGKIR!D37</f>
        <v>Pelanggan</v>
      </c>
      <c r="AC39" s="53">
        <v>2</v>
      </c>
      <c r="AD39" s="90">
        <f>T.BANGKIR!T37</f>
        <v>0</v>
      </c>
      <c r="AE39" s="90">
        <f>VLOOKUP(Z39,T.BANGKIR!$B$4:$T$55,MATCH(ULP!$A$1,T.BANGKIR!$B$5:$T$5,0),FALSE)</f>
        <v>0</v>
      </c>
      <c r="AF39" s="90">
        <f>VLOOKUP(Z39,'R.BANGKIR'!$B$4:$T$63,MATCH(ULP!$A$1,'R.BANGKIR'!$B$5:$T$5,0),FALSE)</f>
        <v>0</v>
      </c>
      <c r="AG39" s="157">
        <f>IF(AE39=0,100,(IF((AF39/AE39*100)&gt;110,110,(AF39/AE39*100))))</f>
        <v>100</v>
      </c>
      <c r="AH39" s="103">
        <f t="shared" si="7"/>
        <v>2</v>
      </c>
      <c r="AJ39" s="91"/>
      <c r="AK39" s="52" t="str">
        <f>T.MOUTONG!B37</f>
        <v>d. Implementasi Kesesuaian Sektor Bisnis sesuai KBLI 2020</v>
      </c>
      <c r="AL39" s="364" t="str">
        <f>T.MOUTONG!C37</f>
        <v>ñ</v>
      </c>
      <c r="AM39" s="61" t="str">
        <f>T.MOUTONG!D37</f>
        <v>Pelanggan</v>
      </c>
      <c r="AN39" s="53">
        <v>2</v>
      </c>
      <c r="AO39" s="90">
        <f>T.MOUTONG!T37</f>
        <v>2</v>
      </c>
      <c r="AP39" s="90">
        <f>VLOOKUP(AK39,T.MOUTONG!$B$4:$T$55,MATCH(ULP!$A$1,T.MOUTONG!$B$5:$T$5,0),FALSE)</f>
        <v>2</v>
      </c>
      <c r="AQ39" s="90">
        <f>VLOOKUP(AK39,'R.MOUTONG'!$B$4:$T$63,MATCH(ULP!$A$1,'R.MOUTONG'!$B$5:$T$5,0),FALSE)</f>
        <v>2</v>
      </c>
      <c r="AR39" s="157">
        <f>IF(AP39=0,100,(IF((AQ39/AP39*100)&gt;110,110,(AQ39/AP39*100))))</f>
        <v>100</v>
      </c>
      <c r="AS39" s="103">
        <f t="shared" si="8"/>
        <v>2</v>
      </c>
      <c r="AU39" s="91"/>
      <c r="AV39" s="52" t="str">
        <f>T.KOTARAYA!B37</f>
        <v>d. Implementasi Kesesuaian Sektor Bisnis sesuai KBLI 2020</v>
      </c>
      <c r="AW39" s="364" t="str">
        <f>T.KOTARAYA!C37</f>
        <v>ñ</v>
      </c>
      <c r="AX39" s="259" t="str">
        <f>T.KOTARAYA!D37</f>
        <v>Pelanggan</v>
      </c>
      <c r="AY39" s="53">
        <v>2</v>
      </c>
      <c r="AZ39" s="90">
        <f>T.KOTARAYA!T37</f>
        <v>0</v>
      </c>
      <c r="BA39" s="90">
        <f>VLOOKUP(AV39,T.KOTARAYA!$B$4:$T$55,MATCH(ULP!$A$1,T.KOTARAYA!$B$5:$T$5,0),FALSE)</f>
        <v>0</v>
      </c>
      <c r="BB39" s="90">
        <f>VLOOKUP(AV39,'R.KOTARAYA'!$B$4:$T$63,MATCH(ULP!$A$1,'R.KOTARAYA'!$B$5:$T$5,0),FALSE)</f>
        <v>0</v>
      </c>
      <c r="BC39" s="157">
        <f>IF(BA39=0,100,(IF((BB39/BA39*100)&gt;110,110,(BB39/BA39*100))))</f>
        <v>100</v>
      </c>
      <c r="BD39" s="103">
        <f t="shared" si="9"/>
        <v>2</v>
      </c>
    </row>
    <row r="40" spans="3:56" ht="16.5">
      <c r="C40" s="51"/>
      <c r="D40" s="267" t="str">
        <f>T.TOLIS!B38</f>
        <v>Percepatan Penyambungan Pelanggan Lisdes</v>
      </c>
      <c r="E40" s="364"/>
      <c r="F40" s="61"/>
      <c r="G40" s="53">
        <f>IF(J40="N/A",0,T.TOLIS!F38)</f>
        <v>4</v>
      </c>
      <c r="H40" s="90"/>
      <c r="I40" s="90"/>
      <c r="J40" s="90"/>
      <c r="K40" s="157">
        <f>AVERAGE(K41:K42)</f>
        <v>81.19047619047619</v>
      </c>
      <c r="L40" s="103">
        <f t="shared" si="5"/>
        <v>3.24</v>
      </c>
      <c r="N40" s="91">
        <f>T.LEOK!A38</f>
        <v>9</v>
      </c>
      <c r="O40" s="267" t="str">
        <f>T.LEOK!B38</f>
        <v>Percepatan Penyambungan Pelanggan Lisdes</v>
      </c>
      <c r="P40" s="364"/>
      <c r="Q40" s="61"/>
      <c r="R40" s="53">
        <v>4</v>
      </c>
      <c r="S40" s="90"/>
      <c r="T40" s="90"/>
      <c r="U40" s="90"/>
      <c r="V40" s="157">
        <f>AVERAGE(V41:V42)</f>
        <v>59.960133744855966</v>
      </c>
      <c r="W40" s="103">
        <f t="shared" si="6"/>
        <v>2.39</v>
      </c>
      <c r="Y40" s="91">
        <f>T.BANGKIR!A38</f>
        <v>9</v>
      </c>
      <c r="Z40" s="267" t="str">
        <f>T.BANGKIR!B38</f>
        <v>Percepatan Penyambungan Pelanggan Lisdes</v>
      </c>
      <c r="AA40" s="364"/>
      <c r="AB40" s="61"/>
      <c r="AC40" s="53">
        <v>4</v>
      </c>
      <c r="AD40" s="90"/>
      <c r="AE40" s="90"/>
      <c r="AF40" s="90"/>
      <c r="AG40" s="157">
        <f>AVERAGE(AG41:AG42)</f>
        <v>110</v>
      </c>
      <c r="AH40" s="103">
        <f t="shared" si="7"/>
        <v>4.4000000000000004</v>
      </c>
      <c r="AJ40" s="91">
        <f>T.MOUTONG!A38</f>
        <v>9</v>
      </c>
      <c r="AK40" s="267" t="str">
        <f>T.MOUTONG!B38</f>
        <v>Percepatan Penyambungan Pelanggan Lisdes</v>
      </c>
      <c r="AL40" s="364"/>
      <c r="AM40" s="61"/>
      <c r="AN40" s="53">
        <f>IF(AQ40="N/A",0,T.MOUTONG!F38)</f>
        <v>4</v>
      </c>
      <c r="AO40" s="90"/>
      <c r="AP40" s="90"/>
      <c r="AQ40" s="90"/>
      <c r="AR40" s="157">
        <f>AVERAGE(AR41:AR42)</f>
        <v>110</v>
      </c>
      <c r="AS40" s="103">
        <f>ROUNDDOWN(IF(OR(AR40="N/A",AR40&lt;0),0,IF(AR40&gt;110,AN40*110/100,AN40*AR40/100)),2)</f>
        <v>4.4000000000000004</v>
      </c>
      <c r="AU40" s="91">
        <f>T.KOTARAYA!A38</f>
        <v>9</v>
      </c>
      <c r="AV40" s="267" t="str">
        <f>T.KOTARAYA!B38</f>
        <v>Percepatan Penyambungan Pelanggan Lisdes</v>
      </c>
      <c r="AW40" s="364"/>
      <c r="AX40" s="259"/>
      <c r="AY40" s="53">
        <f>IF(BB40="N/A",0,T.KOTARAYA!F38)</f>
        <v>4</v>
      </c>
      <c r="AZ40" s="90"/>
      <c r="BA40" s="90"/>
      <c r="BB40" s="90"/>
      <c r="BC40" s="157">
        <f>AVERAGE(BC41:BC42)</f>
        <v>110</v>
      </c>
      <c r="BD40" s="103">
        <f>ROUNDDOWN(IF(OR(BC40="N/A",BC40&lt;0),0,IF(BC40&gt;110,AY40*110/100,AY40*BC40/100)),2)</f>
        <v>4.4000000000000004</v>
      </c>
    </row>
    <row r="41" spans="3:56" ht="33">
      <c r="C41" s="51">
        <f>T.TOLIS!A38</f>
        <v>9</v>
      </c>
      <c r="D41" s="52" t="str">
        <f>T.TOLIS!B39</f>
        <v>a. Penambahan Jumlah Pelanggan Rumah Tangga Lisdes</v>
      </c>
      <c r="E41" s="364" t="str">
        <f>T.TOLIS!C39</f>
        <v>ñ</v>
      </c>
      <c r="F41" s="61" t="str">
        <f>T.TOLIS!D39</f>
        <v>Pelanggan</v>
      </c>
      <c r="G41" s="53"/>
      <c r="H41" s="90">
        <f>T.TOLIS!H39</f>
        <v>157</v>
      </c>
      <c r="I41" s="90">
        <f>VLOOKUP(D41,T.TOLIS!$B$4:$T$55,MATCH(ULP!$A$1,T.TOLIS!$B$5:$T$5,0),FALSE)</f>
        <v>21</v>
      </c>
      <c r="J41" s="90">
        <f>VLOOKUP(D41,'R.TOLIS'!$B$4:$T$64,MATCH(ULP!$A$1,'R.TOLIS'!$B$5:$T$5,0),FALSE)</f>
        <v>11</v>
      </c>
      <c r="K41" s="157">
        <f>IF(OR(I41="N/A",J41="N/A"),"N/A",IF(AND(I41=0,J41=0),100,J41/I41*100))</f>
        <v>52.380952380952387</v>
      </c>
      <c r="L41" s="103"/>
      <c r="N41" s="91"/>
      <c r="O41" s="52" t="str">
        <f>T.LEOK!B39</f>
        <v>a. Penambahan Jumlah Pelanggan Rumah Tangga Lisdes</v>
      </c>
      <c r="P41" s="364" t="str">
        <f>T.LEOK!C39</f>
        <v>ñ</v>
      </c>
      <c r="Q41" s="61" t="str">
        <f>T.LEOK!D39</f>
        <v>Pelanggan</v>
      </c>
      <c r="R41" s="53"/>
      <c r="S41" s="90">
        <f>T.LEOK!S39</f>
        <v>36</v>
      </c>
      <c r="T41" s="305">
        <f>VLOOKUP(O41,T.LEOK!$B$4:$T$55,MATCH(ULP!$A$1,T.LEOK!$B$5:$T$5,0),FALSE)</f>
        <v>30</v>
      </c>
      <c r="U41" s="90">
        <f>VLOOKUP(O41,'R.LEOK'!$B$4:$T$63,MATCH(ULP!$A$1,'R.LEOK'!$B$5:$T$5,0),FALSE)</f>
        <v>14</v>
      </c>
      <c r="V41" s="157">
        <f>IF(OR(T41="N/A",U41="N/A"),"N/A",IF(AND(T41=0,U41=0),100,U41/T41*100))</f>
        <v>46.666666666666664</v>
      </c>
      <c r="W41" s="103"/>
      <c r="Y41" s="91"/>
      <c r="Z41" s="52" t="str">
        <f>T.BANGKIR!B39</f>
        <v>a. Penambahan Jumlah Pelanggan Rumah Tangga Lisdes</v>
      </c>
      <c r="AA41" s="364" t="str">
        <f>T.BANGKIR!C39</f>
        <v>ñ</v>
      </c>
      <c r="AB41" s="61" t="str">
        <f>T.BANGKIR!D39</f>
        <v>Pelanggan</v>
      </c>
      <c r="AC41" s="53"/>
      <c r="AD41" s="90">
        <f>T.BANGKIR!T39</f>
        <v>128</v>
      </c>
      <c r="AE41" s="90">
        <f>VLOOKUP(Z41,T.BANGKIR!$B$4:$T$55,MATCH(ULP!$A$1,T.BANGKIR!$B$5:$T$5,0),FALSE)</f>
        <v>18</v>
      </c>
      <c r="AF41" s="90">
        <f>VLOOKUP(Z41,'R.BANGKIR'!$B$4:$T$63,MATCH(ULP!$A$1,'R.BANGKIR'!$B$5:$T$5,0),FALSE)</f>
        <v>54</v>
      </c>
      <c r="AG41" s="157">
        <f>IF(OR(AE41="N/A",AF41="N/A"),"N/A",IF((AF41/AE41*100)&gt;=110,110,(AF41/AE41*100)))</f>
        <v>110</v>
      </c>
      <c r="AH41" s="103"/>
      <c r="AJ41" s="91"/>
      <c r="AK41" s="52" t="str">
        <f>T.MOUTONG!B39</f>
        <v>a. Penambahan Jumlah Pelanggan Rumah Tangga Lisdes</v>
      </c>
      <c r="AL41" s="364" t="str">
        <f>T.MOUTONG!C39</f>
        <v>ñ</v>
      </c>
      <c r="AM41" s="61" t="str">
        <f>T.MOUTONG!D39</f>
        <v>Pelanggan</v>
      </c>
      <c r="AN41" s="53"/>
      <c r="AO41" s="90">
        <v>1</v>
      </c>
      <c r="AP41" s="90">
        <f>VLOOKUP(AK41,T.MOUTONG!$B$4:$T$55,MATCH(ULP!$A$1,T.MOUTONG!$B$5:$T$5,0),FALSE)</f>
        <v>0</v>
      </c>
      <c r="AQ41" s="90">
        <f>VLOOKUP(AK41,'R.MOUTONG'!$B$4:$T$63,MATCH(ULP!$A$1,'R.MOUTONG'!$B$5:$T$5,0),FALSE)</f>
        <v>5</v>
      </c>
      <c r="AR41" s="157">
        <f>IF(AP41=0,110,(IF((AQ41/AP41*100)&gt;110,110,(AQ41/AP41*100))))</f>
        <v>110</v>
      </c>
      <c r="AS41" s="103"/>
      <c r="AU41" s="91"/>
      <c r="AV41" s="52" t="str">
        <f>T.KOTARAYA!B39</f>
        <v>a. Penambahan Jumlah Pelanggan Rumah Tangga Lisdes</v>
      </c>
      <c r="AW41" s="364" t="str">
        <f>T.KOTARAYA!C39</f>
        <v>ñ</v>
      </c>
      <c r="AX41" s="259" t="str">
        <f>T.KOTARAYA!D39</f>
        <v>Pelanggan</v>
      </c>
      <c r="AY41" s="53"/>
      <c r="AZ41" s="90">
        <f>T.KOTARAYA!T39</f>
        <v>123</v>
      </c>
      <c r="BA41" s="90">
        <f>VLOOKUP(AV41,T.KOTARAYA!$B$4:$T$55,MATCH(ULP!$A$1,T.KOTARAYA!$B$5:$T$5,0),FALSE)</f>
        <v>17</v>
      </c>
      <c r="BB41" s="90">
        <f>VLOOKUP(AV41,'R.KOTARAYA'!$B$4:$T$63,MATCH(ULP!$A$1,'R.KOTARAYA'!$B$5:$T$5,0),FALSE)</f>
        <v>75</v>
      </c>
      <c r="BC41" s="157">
        <f>IF(BA41=0,110,(IF((BB41/BA41*100)&gt;110,110,(BB41/BA41*100))))</f>
        <v>110</v>
      </c>
      <c r="BD41" s="103"/>
    </row>
    <row r="42" spans="3:56" ht="33">
      <c r="C42" s="51"/>
      <c r="D42" s="52" t="str">
        <f>T.TOLIS!B40</f>
        <v>b. Peningkatan kWh Penjualan dari Pelanggan Rumah Tangga Lisdes</v>
      </c>
      <c r="E42" s="364" t="str">
        <f>T.TOLIS!C40</f>
        <v>ñ</v>
      </c>
      <c r="F42" s="61" t="str">
        <f>T.TOLIS!D40</f>
        <v>kWh</v>
      </c>
      <c r="G42" s="53"/>
      <c r="H42" s="90">
        <f>T.TOLIS!H40</f>
        <v>20987.087</v>
      </c>
      <c r="I42" s="90">
        <f>VLOOKUP(D42,T.TOLIS!$B$4:$T$55,MATCH(ULP!$A$1,T.TOLIS!$B$5:$T$5,0),FALSE)</f>
        <v>2807.19</v>
      </c>
      <c r="J42" s="90">
        <f>VLOOKUP(D42,'R.TOLIS'!$B$4:$T$64,MATCH(ULP!$A$1,'R.TOLIS'!$B$5:$T$5,0),FALSE)</f>
        <v>3567.8</v>
      </c>
      <c r="K42" s="157">
        <f>IF(OR(I42="N/A",J42="N/A"),"N/A",IF((J42/I42*100)&gt;=110,110,(J42/I42*100)))</f>
        <v>110</v>
      </c>
      <c r="L42" s="103"/>
      <c r="N42" s="91"/>
      <c r="O42" s="52" t="str">
        <f>T.LEOK!B40</f>
        <v>b. Peningkatan kWh Penjualan dari Pelanggan Rumah Tangga Lisdes</v>
      </c>
      <c r="P42" s="364" t="str">
        <f>T.LEOK!C40</f>
        <v>ñ</v>
      </c>
      <c r="Q42" s="61" t="str">
        <f>T.LEOK!D40</f>
        <v>kWh</v>
      </c>
      <c r="R42" s="53"/>
      <c r="S42" s="90">
        <f>T.LEOK!S40</f>
        <v>4665.6000000000004</v>
      </c>
      <c r="T42" s="90">
        <f>VLOOKUP(O42,T.LEOK!$B$4:$T$55,MATCH(ULP!$A$1,T.LEOK!$B$5:$T$5,0),FALSE)</f>
        <v>3888</v>
      </c>
      <c r="U42" s="90">
        <f>VLOOKUP(O42,'R.LEOK'!$B$4:$T$63,MATCH(ULP!$A$1,'R.LEOK'!$B$5:$T$5,0),FALSE)</f>
        <v>2848.1000000000004</v>
      </c>
      <c r="V42" s="157">
        <f>IF(OR(T42="N/A",U42="N/A"),"N/A",IF(AND(T42=0,U42=0),100,U42/T42*100))</f>
        <v>73.253600823045275</v>
      </c>
      <c r="W42" s="103"/>
      <c r="Y42" s="91"/>
      <c r="Z42" s="52" t="str">
        <f>T.BANGKIR!B40</f>
        <v>b. Peningkatan kWh Penjualan dari Pelanggan Rumah Tangga Lisdes</v>
      </c>
      <c r="AA42" s="364" t="str">
        <f>T.BANGKIR!C40</f>
        <v>ñ</v>
      </c>
      <c r="AB42" s="61" t="str">
        <f>T.BANGKIR!D40</f>
        <v>kWh</v>
      </c>
      <c r="AC42" s="53"/>
      <c r="AD42" s="90">
        <f>T.BANGKIR!T40</f>
        <v>17110.491000000002</v>
      </c>
      <c r="AE42" s="90">
        <f>VLOOKUP(Z42,T.BANGKIR!$B$4:$T$55,MATCH(ULP!$A$1,T.BANGKIR!$B$5:$T$5,0),FALSE)</f>
        <v>2406.163</v>
      </c>
      <c r="AF42" s="90">
        <f>VLOOKUP(Z42,'R.BANGKIR'!$B$4:$T$63,MATCH(ULP!$A$1,'R.BANGKIR'!$B$5:$T$5,0),FALSE)</f>
        <v>22466.2</v>
      </c>
      <c r="AG42" s="157">
        <f>IF(OR(AE42="N/A",AF42="N/A"),"N/A",IF((AF42/AE42*100)&gt;=110,110,(AF42/AE42*100)))</f>
        <v>110</v>
      </c>
      <c r="AH42" s="103"/>
      <c r="AJ42" s="91"/>
      <c r="AK42" s="52" t="str">
        <f>T.MOUTONG!B40</f>
        <v>b. Peningkatan kWh Penjualan dari Pelanggan Rumah Tangga Lisdes</v>
      </c>
      <c r="AL42" s="364" t="str">
        <f>T.MOUTONG!C40</f>
        <v>ñ</v>
      </c>
      <c r="AM42" s="61" t="str">
        <f>T.MOUTONG!D40</f>
        <v>kWh</v>
      </c>
      <c r="AN42" s="53"/>
      <c r="AO42" s="90">
        <f>T.MOUTONG!T40</f>
        <v>0</v>
      </c>
      <c r="AP42" s="90">
        <f>VLOOKUP(AK42,T.MOUTONG!$B$4:$T$55,MATCH(ULP!$A$1,T.MOUTONG!$B$5:$T$5,0),FALSE)</f>
        <v>0</v>
      </c>
      <c r="AQ42" s="90">
        <f>VLOOKUP(AK42,'R.MOUTONG'!$B$4:$T$63,MATCH(ULP!$A$1,'R.MOUTONG'!$B$5:$T$5,0),FALSE)</f>
        <v>2098.6</v>
      </c>
      <c r="AR42" s="157">
        <f>IF(AP42=0,110,(IF((AQ42/AP42*100)&gt;110,110,(AQ42/AP42*100))))</f>
        <v>110</v>
      </c>
      <c r="AS42" s="103"/>
      <c r="AU42" s="91"/>
      <c r="AV42" s="52" t="str">
        <f>T.KOTARAYA!B40</f>
        <v>b. Peningkatan kWh Penjualan dari Pelanggan Rumah Tangga Lisdes</v>
      </c>
      <c r="AW42" s="364" t="str">
        <f>T.KOTARAYA!C40</f>
        <v>ñ</v>
      </c>
      <c r="AX42" s="259" t="str">
        <f>T.KOTARAYA!D40</f>
        <v>kWh</v>
      </c>
      <c r="AY42" s="53"/>
      <c r="AZ42" s="90">
        <f>T.KOTARAYA!T40</f>
        <v>16442.113000000001</v>
      </c>
      <c r="BA42" s="90">
        <f>VLOOKUP(AV42,T.KOTARAYA!$B$4:$T$55,MATCH(ULP!$A$1,T.KOTARAYA!$B$5:$T$5,0),FALSE)</f>
        <v>2272.4870000000001</v>
      </c>
      <c r="BB42" s="90">
        <f>VLOOKUP(AV42,'R.KOTARAYA'!$B$4:$T$63,MATCH(ULP!$A$1,'R.KOTARAYA'!$B$5:$T$5,0),FALSE)</f>
        <v>25685.599999999999</v>
      </c>
      <c r="BC42" s="157">
        <f>IF(BA42=0,110,(IF((BB42/BA42*100)&gt;110,110,(BB42/BA42*100))))</f>
        <v>110</v>
      </c>
      <c r="BD42" s="103"/>
    </row>
    <row r="43" spans="3:56" ht="16.5">
      <c r="C43" s="51">
        <f>T.TOLIS!A41</f>
        <v>10</v>
      </c>
      <c r="D43" s="267" t="str">
        <f>T.TOLIS!B41</f>
        <v>Pengelolaan Pembacaan Meter</v>
      </c>
      <c r="E43" s="364"/>
      <c r="F43" s="61"/>
      <c r="G43" s="53">
        <f>IF(J43="N/A",0,T.TOLIS!F41)</f>
        <v>8</v>
      </c>
      <c r="H43" s="90"/>
      <c r="I43" s="90"/>
      <c r="J43" s="90"/>
      <c r="K43" s="157">
        <f>AVERAGE(K44:K45)</f>
        <v>105</v>
      </c>
      <c r="L43" s="103">
        <f>ROUNDDOWN(IF(OR(K43="N/A",K43&lt;0),0,IF(K43&gt;110,G43*110/100,G43*K43/100)),2)</f>
        <v>8.4</v>
      </c>
      <c r="N43" s="91">
        <f>T.LEOK!A41</f>
        <v>10</v>
      </c>
      <c r="O43" s="267" t="str">
        <f>T.LEOK!B41</f>
        <v>Pengelolaan Pembacaan Meter</v>
      </c>
      <c r="P43" s="364"/>
      <c r="Q43" s="61"/>
      <c r="R43" s="53">
        <f>IF(U43="N/A",0,T.LEOK!F41)</f>
        <v>8</v>
      </c>
      <c r="S43" s="90"/>
      <c r="T43" s="90"/>
      <c r="U43" s="90"/>
      <c r="V43" s="157">
        <f>AVERAGE(V44)</f>
        <v>110</v>
      </c>
      <c r="W43" s="103">
        <f>ROUNDDOWN(IF(OR(V43="N/A",V43&lt;0),0,IF(V43&gt;110,R43*110/100,R43*V43/100)),2)</f>
        <v>8.8000000000000007</v>
      </c>
      <c r="Y43" s="91">
        <f>T.BANGKIR!A41</f>
        <v>10</v>
      </c>
      <c r="Z43" s="267" t="str">
        <f>T.BANGKIR!B41</f>
        <v>Pengelolaan Pembacaan Meter</v>
      </c>
      <c r="AA43" s="364"/>
      <c r="AB43" s="61"/>
      <c r="AC43" s="53">
        <f>IF(AF43="N/A",0,T.BANGKIR!F41)</f>
        <v>8</v>
      </c>
      <c r="AD43" s="90"/>
      <c r="AE43" s="90"/>
      <c r="AF43" s="90"/>
      <c r="AG43" s="157">
        <f>AVERAGE(AG44)</f>
        <v>110</v>
      </c>
      <c r="AH43" s="103">
        <f>ROUNDDOWN(IF(OR(AG43="N/A",AG43&lt;0),0,IF(AG43&gt;110,AC43*110/100,AC43*AG43/100)),2)</f>
        <v>8.8000000000000007</v>
      </c>
      <c r="AJ43" s="91">
        <f>T.MOUTONG!A41</f>
        <v>10</v>
      </c>
      <c r="AK43" s="267" t="str">
        <f>T.MOUTONG!B41</f>
        <v>Pengelolaan Pembacaan Meter</v>
      </c>
      <c r="AL43" s="364"/>
      <c r="AM43" s="61"/>
      <c r="AN43" s="53">
        <f>IF(AQ43="N/A",0,T.MOUTONG!F41)</f>
        <v>8</v>
      </c>
      <c r="AO43" s="90"/>
      <c r="AP43" s="90"/>
      <c r="AQ43" s="90"/>
      <c r="AR43" s="157">
        <f>AVERAGE(AR44)</f>
        <v>110</v>
      </c>
      <c r="AS43" s="103">
        <f>ROUNDDOWN(IF(OR(AR43="N/A",AR43&lt;0),0,IF(AR43&gt;110,AN43*110/100,AN43*AR43/100)),2)</f>
        <v>8.8000000000000007</v>
      </c>
      <c r="AU43" s="91">
        <f>T.KOTARAYA!A41</f>
        <v>10</v>
      </c>
      <c r="AV43" s="267" t="str">
        <f>T.KOTARAYA!B41</f>
        <v>Pengelolaan Pembacaan Meter</v>
      </c>
      <c r="AW43" s="364"/>
      <c r="AX43" s="259"/>
      <c r="AY43" s="53">
        <f>IF(BB43="N/A",0,T.KOTARAYA!F41)</f>
        <v>8</v>
      </c>
      <c r="AZ43" s="90"/>
      <c r="BA43" s="90"/>
      <c r="BB43" s="90"/>
      <c r="BC43" s="157">
        <f>AVERAGE(BC44)</f>
        <v>110</v>
      </c>
      <c r="BD43" s="103">
        <f>ROUNDDOWN(IF(OR(BC43="N/A",BC43&lt;0),0,IF(BC43&gt;110,AY43*110/100,AY43*BC43/100)),2)</f>
        <v>8.8000000000000007</v>
      </c>
    </row>
    <row r="44" spans="3:56" ht="16.5">
      <c r="C44" s="51"/>
      <c r="D44" s="52" t="str">
        <f>T.TOLIS!B42</f>
        <v>a. Jumlah Pengguna Swa Cam</v>
      </c>
      <c r="E44" s="364" t="str">
        <f>T.TOLIS!C42</f>
        <v>ñ</v>
      </c>
      <c r="F44" s="61" t="str">
        <f>T.TOLIS!D42</f>
        <v>Pelanggan</v>
      </c>
      <c r="G44" s="53"/>
      <c r="H44" s="90">
        <f>T.TOLIS!H42</f>
        <v>2110</v>
      </c>
      <c r="I44" s="90">
        <f>VLOOKUP(D44,T.TOLIS!$B$4:$T$55,MATCH(ULP!$A$1,T.TOLIS!$B$5:$T$5,0),FALSE)</f>
        <v>2110</v>
      </c>
      <c r="J44" s="90">
        <f>VLOOKUP(D44,'R.TOLIS'!$B$4:$T$64,MATCH(ULP!$A$1,'R.TOLIS'!$B$5:$T$5,0),FALSE)</f>
        <v>3052.125</v>
      </c>
      <c r="K44" s="157">
        <f>IF(OR(I44="N/A",J44="N/A"),"N/A",IF((J44/I44*100)&gt;=110,110,(J44/I44*100)))</f>
        <v>110</v>
      </c>
      <c r="L44" s="103"/>
      <c r="N44" s="91"/>
      <c r="O44" s="52" t="str">
        <f>T.LEOK!B42</f>
        <v>a. Jumlah Pengguna Swa Cam</v>
      </c>
      <c r="P44" s="364" t="str">
        <f>T.LEOK!C42</f>
        <v>ñ</v>
      </c>
      <c r="Q44" s="61" t="str">
        <f>T.LEOK!D42</f>
        <v>Pelanggan</v>
      </c>
      <c r="R44" s="53"/>
      <c r="S44" s="90">
        <f>T.LEOK!S42</f>
        <v>1449</v>
      </c>
      <c r="T44" s="90">
        <f>VLOOKUP(O44,T.LEOK!$B$4:$T$55,MATCH(ULP!$A$1,T.LEOK!$B$5:$T$5,0),FALSE)</f>
        <v>1449</v>
      </c>
      <c r="U44" s="90">
        <f>VLOOKUP(O44,'R.LEOK'!$B$4:$T$63,MATCH(ULP!$A$1,'R.LEOK'!$B$5:$T$5,0),FALSE)</f>
        <v>1822.5</v>
      </c>
      <c r="V44" s="157">
        <f>IF(OR(T44="N/A",U44="N/A"),"N/A",IF((U44/T44*100)&gt;=110,110,(U44/T44*100)))</f>
        <v>110</v>
      </c>
      <c r="W44" s="103"/>
      <c r="Y44" s="91"/>
      <c r="Z44" s="52" t="str">
        <f>T.BANGKIR!B42</f>
        <v>a. Jumlah Pengguna Swa Cam</v>
      </c>
      <c r="AA44" s="364" t="str">
        <f>T.BANGKIR!C42</f>
        <v>ñ</v>
      </c>
      <c r="AB44" s="61" t="str">
        <f>T.BANGKIR!D42</f>
        <v>Pelanggan</v>
      </c>
      <c r="AC44" s="53"/>
      <c r="AD44" s="90">
        <f>T.BANGKIR!T42</f>
        <v>12</v>
      </c>
      <c r="AE44" s="90">
        <f>VLOOKUP(Z44,T.BANGKIR!$B$4:$T$55,MATCH(ULP!$A$1,T.BANGKIR!$B$5:$T$5,0),FALSE)</f>
        <v>12</v>
      </c>
      <c r="AF44" s="90">
        <f>VLOOKUP(Z44,'R.BANGKIR'!$B$4:$T$63,MATCH(ULP!$A$1,'R.BANGKIR'!$B$5:$T$5,0),FALSE)</f>
        <v>32.25</v>
      </c>
      <c r="AG44" s="157">
        <f>IF(OR(AE44="N/A",AF44="N/A"),"N/A",IF((AF44/AE44*100)&gt;=110,110,(AF44/AE44*100)))</f>
        <v>110</v>
      </c>
      <c r="AH44" s="103"/>
      <c r="AJ44" s="91"/>
      <c r="AK44" s="52" t="str">
        <f>T.MOUTONG!B42</f>
        <v>a. Jumlah Pengguna Swa Cam</v>
      </c>
      <c r="AL44" s="364" t="str">
        <f>T.MOUTONG!C42</f>
        <v>ñ</v>
      </c>
      <c r="AM44" s="61" t="str">
        <f>T.MOUTONG!D42</f>
        <v>Pelanggan</v>
      </c>
      <c r="AN44" s="53"/>
      <c r="AO44" s="90">
        <f>T.MOUTONG!T42</f>
        <v>414</v>
      </c>
      <c r="AP44" s="90">
        <f>VLOOKUP(AK44,T.MOUTONG!$B$4:$T$55,MATCH(ULP!$A$1,T.MOUTONG!$B$5:$T$5,0),FALSE)</f>
        <v>414</v>
      </c>
      <c r="AQ44" s="90">
        <f>VLOOKUP(AK44,'R.MOUTONG'!$B$4:$T$63,MATCH(ULP!$A$1,'R.MOUTONG'!$B$5:$T$5,0),FALSE)</f>
        <v>606.75</v>
      </c>
      <c r="AR44" s="157">
        <f>IF(OR(AP44="N/A",AQ44="N/A"),"N/A",IF((AQ44/AP44*100)&gt;=110,110,(AQ44/AP44*100)))</f>
        <v>110</v>
      </c>
      <c r="AS44" s="103"/>
      <c r="AU44" s="91"/>
      <c r="AV44" s="52" t="str">
        <f>T.KOTARAYA!B42</f>
        <v>a. Jumlah Pengguna Swa Cam</v>
      </c>
      <c r="AW44" s="364" t="str">
        <f>T.KOTARAYA!C42</f>
        <v>ñ</v>
      </c>
      <c r="AX44" s="259" t="str">
        <f>T.KOTARAYA!D42</f>
        <v>Pelanggan</v>
      </c>
      <c r="AY44" s="53"/>
      <c r="AZ44" s="90">
        <f>T.KOTARAYA!T42</f>
        <v>743</v>
      </c>
      <c r="BA44" s="90">
        <f>VLOOKUP(AV44,T.KOTARAYA!$B$4:$T$55,MATCH(ULP!$A$1,T.KOTARAYA!$B$5:$T$5,0),FALSE)</f>
        <v>743</v>
      </c>
      <c r="BB44" s="90">
        <f>VLOOKUP(AV44,'R.KOTARAYA'!$B$4:$T$63,MATCH(ULP!$A$1,'R.KOTARAYA'!$B$5:$T$5,0),FALSE)</f>
        <v>1347.125</v>
      </c>
      <c r="BC44" s="157">
        <f>IF(OR(BA44="N/A",BB44="N/A"),"N/A",IF((BB44/BA44*100)&gt;=110,110,(BB44/BA44*100)))</f>
        <v>110</v>
      </c>
      <c r="BD44" s="103"/>
    </row>
    <row r="45" spans="3:56" ht="33">
      <c r="C45" s="51"/>
      <c r="D45" s="52" t="str">
        <f>T.TOLIS!B43</f>
        <v>b. Tindak Lanjut LBKB (Laporan Bulanan Kelainan Baca Meter)</v>
      </c>
      <c r="E45" s="364" t="str">
        <f>T.TOLIS!C43</f>
        <v>ò</v>
      </c>
      <c r="F45" s="61" t="str">
        <f>T.TOLIS!D43</f>
        <v>Pelanggan</v>
      </c>
      <c r="G45" s="53"/>
      <c r="H45" s="90">
        <f>T.TOLIS!H43</f>
        <v>0</v>
      </c>
      <c r="I45" s="90">
        <f>VLOOKUP(D45,T.TOLIS!$B$4:$T$55,MATCH(ULP!$A$1,T.TOLIS!$B$5:$T$5,0),FALSE)</f>
        <v>0</v>
      </c>
      <c r="J45" s="90">
        <f>VLOOKUP(D45,'R.TOLIS'!$B$4:$T$64,MATCH(ULP!$A$1,'R.TOLIS'!$B$5:$T$5,0),FALSE)</f>
        <v>0</v>
      </c>
      <c r="K45" s="157">
        <f>IF(I45=0,100,(IF((J45/I45*100)&gt;110,110,(J45/I45*100))))</f>
        <v>100</v>
      </c>
      <c r="L45" s="103"/>
      <c r="N45" s="91"/>
      <c r="O45" s="52" t="str">
        <f>T.LEOK!B43</f>
        <v>b. Tindak Lanjut LBKB (Laporan Bulanan Kelainan Baca Meter)</v>
      </c>
      <c r="P45" s="364" t="str">
        <f>T.LEOK!C43</f>
        <v>ò</v>
      </c>
      <c r="Q45" s="61" t="str">
        <f>T.LEOK!D43</f>
        <v>Pelanggan</v>
      </c>
      <c r="R45" s="53"/>
      <c r="S45" s="90">
        <f>T.LEOK!S43</f>
        <v>0</v>
      </c>
      <c r="T45" s="90">
        <f>VLOOKUP(O45,T.LEOK!$B$4:$T$55,MATCH(ULP!$A$1,T.LEOK!$B$5:$T$5,0),FALSE)</f>
        <v>0</v>
      </c>
      <c r="U45" s="90">
        <f>VLOOKUP(O45,'R.LEOK'!$B$4:$T$63,MATCH(ULP!$A$1,'R.LEOK'!$B$5:$T$5,0),FALSE)</f>
        <v>0</v>
      </c>
      <c r="V45" s="157">
        <f>IF(T45=0,100,(IF((U45/T45*100)&gt;110,110,(U45/T45*100))))</f>
        <v>100</v>
      </c>
      <c r="W45" s="103"/>
      <c r="Y45" s="91"/>
      <c r="Z45" s="52" t="str">
        <f>T.BANGKIR!B43</f>
        <v>b. Tindak Lanjut LBKB (Laporan Bulanan Kelainan Baca Meter)</v>
      </c>
      <c r="AA45" s="364" t="str">
        <f>T.BANGKIR!C43</f>
        <v>ò</v>
      </c>
      <c r="AB45" s="61" t="str">
        <f>T.BANGKIR!D43</f>
        <v>Pelanggan</v>
      </c>
      <c r="AC45" s="53"/>
      <c r="AD45" s="90">
        <f>T.BANGKIR!T43</f>
        <v>0</v>
      </c>
      <c r="AE45" s="90">
        <f>VLOOKUP(Z45,T.BANGKIR!$B$4:$T$55,MATCH(ULP!$A$1,T.BANGKIR!$B$5:$T$5,0),FALSE)</f>
        <v>0</v>
      </c>
      <c r="AF45" s="90">
        <f>VLOOKUP(Z45,'R.BANGKIR'!$B$4:$T$63,MATCH(ULP!$A$1,'R.BANGKIR'!$B$5:$T$5,0),FALSE)</f>
        <v>0</v>
      </c>
      <c r="AG45" s="157">
        <f>IF(AE45=0,100,(IF((AF45/AE45*100)&gt;110,110,(AF45/AE45*100))))</f>
        <v>100</v>
      </c>
      <c r="AH45" s="103"/>
      <c r="AJ45" s="91"/>
      <c r="AK45" s="52" t="str">
        <f>T.MOUTONG!B43</f>
        <v>b. Tindak Lanjut LBKB (Laporan Bulanan Kelainan Baca Meter)</v>
      </c>
      <c r="AL45" s="364" t="str">
        <f>T.MOUTONG!C43</f>
        <v>ò</v>
      </c>
      <c r="AM45" s="61" t="str">
        <f>T.MOUTONG!D43</f>
        <v>Pelanggan</v>
      </c>
      <c r="AN45" s="53"/>
      <c r="AO45" s="90">
        <f>T.MOUTONG!T43</f>
        <v>0</v>
      </c>
      <c r="AP45" s="90">
        <f>VLOOKUP(AK45,T.MOUTONG!$B$4:$T$55,MATCH(ULP!$A$1,T.MOUTONG!$B$5:$T$5,0),FALSE)</f>
        <v>0</v>
      </c>
      <c r="AQ45" s="90">
        <f>VLOOKUP(AK45,'R.MOUTONG'!$B$4:$T$63,MATCH(ULP!$A$1,'R.MOUTONG'!$B$5:$T$5,0),FALSE)</f>
        <v>0</v>
      </c>
      <c r="AR45" s="157">
        <f>IF(AP45=0,100,(IF((AQ45/AP45*100)&gt;110,110,(AQ45/AP45*100))))</f>
        <v>100</v>
      </c>
      <c r="AS45" s="103"/>
      <c r="AU45" s="91"/>
      <c r="AV45" s="52" t="str">
        <f>T.KOTARAYA!B43</f>
        <v>b. Tindak Lanjut LBKB (Laporan Bulanan Kelainan Baca Meter)</v>
      </c>
      <c r="AW45" s="364" t="str">
        <f>T.KOTARAYA!C43</f>
        <v>ò</v>
      </c>
      <c r="AX45" s="259" t="str">
        <f>T.KOTARAYA!D43</f>
        <v>Pelanggan</v>
      </c>
      <c r="AY45" s="53"/>
      <c r="AZ45" s="90">
        <f>T.KOTARAYA!T43</f>
        <v>0</v>
      </c>
      <c r="BA45" s="90">
        <f>VLOOKUP(AV45,T.KOTARAYA!$B$4:$T$55,MATCH(ULP!$A$1,T.KOTARAYA!$B$5:$T$5,0),FALSE)</f>
        <v>0</v>
      </c>
      <c r="BB45" s="90">
        <f>VLOOKUP(AV45,'R.KOTARAYA'!$B$4:$T$63,MATCH(ULP!$A$1,'R.KOTARAYA'!$B$5:$T$5,0),FALSE)</f>
        <v>0</v>
      </c>
      <c r="BC45" s="157">
        <f>IF(BA45=0,100,(IF((BB45/BA45*100)&gt;110,110,(BB45/BA45*100))))</f>
        <v>100</v>
      </c>
      <c r="BD45" s="103"/>
    </row>
    <row r="46" spans="3:56" ht="16.5">
      <c r="C46" s="51">
        <f>T.TOLIS!A44</f>
        <v>11</v>
      </c>
      <c r="D46" s="267" t="str">
        <f>T.TOLIS!B44</f>
        <v>Sisa Stand Bongkar Migrasi</v>
      </c>
      <c r="E46" s="364" t="str">
        <f>T.TOLIS!C44</f>
        <v>ñ</v>
      </c>
      <c r="F46" s="61" t="str">
        <f>T.TOLIS!D44</f>
        <v>%</v>
      </c>
      <c r="G46" s="53">
        <f>IF(J46="N/A",0,T.TOLIS!F44)</f>
        <v>3</v>
      </c>
      <c r="H46" s="90">
        <f>T.TOLIS!H44</f>
        <v>100</v>
      </c>
      <c r="I46" s="90">
        <f>VLOOKUP(D46,T.TOLIS!$B$4:$T$55,MATCH(ULP!$A$1,T.TOLIS!$B$5:$T$5,0),FALSE)</f>
        <v>100</v>
      </c>
      <c r="J46" s="90">
        <f>VLOOKUP(D46,'R.TOLIS'!$B$4:$T$64,MATCH(ULP!$A$1,'R.TOLIS'!$B$5:$T$5,0),FALSE)</f>
        <v>100</v>
      </c>
      <c r="K46" s="157">
        <f>IF(I46=0,110,(IF((J46/I46*100)&gt;110,110,(J46/I46*100))))</f>
        <v>100</v>
      </c>
      <c r="L46" s="103">
        <f>ROUNDDOWN(IF(OR(K46="N/A",K46&lt;0),0,IF(K46&gt;110,G46*110/100,G46*K46/100)),2)</f>
        <v>3</v>
      </c>
      <c r="N46" s="91">
        <f>T.LEOK!A44</f>
        <v>11</v>
      </c>
      <c r="O46" s="267" t="str">
        <f>T.LEOK!B44</f>
        <v>Sisa Stand Bongkar Migrasi</v>
      </c>
      <c r="P46" s="364" t="str">
        <f>T.LEOK!C44</f>
        <v>ñ</v>
      </c>
      <c r="Q46" s="61" t="str">
        <f>T.LEOK!D44</f>
        <v>%</v>
      </c>
      <c r="R46" s="53">
        <f>IF(U46="N/A",0,T.LEOK!F44)</f>
        <v>3</v>
      </c>
      <c r="S46" s="90">
        <f>T.LEOK!S44</f>
        <v>100</v>
      </c>
      <c r="T46" s="90">
        <f>VLOOKUP(O46,T.LEOK!$B$4:$T$55,MATCH(ULP!$A$1,T.LEOK!$B$5:$T$5,0),FALSE)</f>
        <v>100</v>
      </c>
      <c r="U46" s="90">
        <f>VLOOKUP(O46,'R.LEOK'!$B$4:$T$63,MATCH(ULP!$A$1,'R.LEOK'!$B$5:$T$5,0),FALSE)</f>
        <v>100</v>
      </c>
      <c r="V46" s="157">
        <f>IF(T46=0,110,(IF((U46/T46*100)&gt;110,110,(U46/T46*100))))</f>
        <v>100</v>
      </c>
      <c r="W46" s="103">
        <f>ROUNDDOWN(IF(OR(V46="N/A",V46&lt;0),0,IF(V46&gt;110,R46*110/100,R46*V46/100)),2)</f>
        <v>3</v>
      </c>
      <c r="Y46" s="91">
        <f>T.BANGKIR!A44</f>
        <v>11</v>
      </c>
      <c r="Z46" s="267" t="str">
        <f>T.BANGKIR!B44</f>
        <v>Sisa Stand Bongkar Migrasi</v>
      </c>
      <c r="AA46" s="364" t="str">
        <f>T.BANGKIR!C44</f>
        <v>ñ</v>
      </c>
      <c r="AB46" s="61" t="str">
        <f>T.BANGKIR!D44</f>
        <v>%</v>
      </c>
      <c r="AC46" s="53">
        <f>IF(AF46="N/A",0,T.BANGKIR!F44)</f>
        <v>3</v>
      </c>
      <c r="AD46" s="90">
        <f>T.BANGKIR!T44</f>
        <v>100</v>
      </c>
      <c r="AE46" s="91">
        <f>VLOOKUP(Z46,T.BANGKIR!$B$4:$T$55,MATCH(ULP!$A$1,T.BANGKIR!$B$5:$T$5,0),FALSE)</f>
        <v>100</v>
      </c>
      <c r="AF46" s="90">
        <f>VLOOKUP(Z46,'R.BANGKIR'!$B$4:$T$63,MATCH(ULP!$A$1,'R.BANGKIR'!$B$5:$T$5,0),FALSE)</f>
        <v>100</v>
      </c>
      <c r="AG46" s="157">
        <f>IF(AE46=0,110,(IF((AF46/AE46*100)&gt;110,110,(AF46/AE46*100))))</f>
        <v>100</v>
      </c>
      <c r="AH46" s="103">
        <f>ROUNDDOWN(IF(OR(AG46="N/A",AG46&lt;0),0,IF(AG46&gt;110,AC46*110/100,AC46*AG46/100)),2)</f>
        <v>3</v>
      </c>
      <c r="AJ46" s="91">
        <f>T.MOUTONG!A44</f>
        <v>11</v>
      </c>
      <c r="AK46" s="267" t="str">
        <f>T.MOUTONG!B44</f>
        <v>Sisa Stand Bongkar Migrasi</v>
      </c>
      <c r="AL46" s="364" t="str">
        <f>T.MOUTONG!C44</f>
        <v>ñ</v>
      </c>
      <c r="AM46" s="61" t="str">
        <f>T.MOUTONG!D44</f>
        <v>%</v>
      </c>
      <c r="AN46" s="53">
        <f>IF(AQ46="N/A",0,T.MOUTONG!F44)</f>
        <v>3</v>
      </c>
      <c r="AO46" s="90">
        <f>T.MOUTONG!T44</f>
        <v>100</v>
      </c>
      <c r="AP46" s="90">
        <f>VLOOKUP(AK46,T.MOUTONG!$B$4:$T$55,MATCH(ULP!$A$1,T.MOUTONG!$B$5:$T$5,0),FALSE)</f>
        <v>100</v>
      </c>
      <c r="AQ46" s="90">
        <f>VLOOKUP(AK46,'R.MOUTONG'!$B$4:$T$63,MATCH(ULP!$A$1,'R.MOUTONG'!$B$5:$T$5,0),FALSE)</f>
        <v>100</v>
      </c>
      <c r="AR46" s="157">
        <f>IF(AP46=0,110,(IF((AQ46/AP46*100)&gt;110,110,(AQ46/AP46*100))))</f>
        <v>100</v>
      </c>
      <c r="AS46" s="103">
        <f>ROUNDDOWN(IF(OR(AR46="N/A",AR46&lt;0),0,IF(AR46&gt;110,AN46*110/100,AN46*AR46/100)),2)</f>
        <v>3</v>
      </c>
      <c r="AU46" s="91">
        <f>T.KOTARAYA!A44</f>
        <v>11</v>
      </c>
      <c r="AV46" s="267" t="str">
        <f>T.KOTARAYA!B44</f>
        <v>Sisa Stand Bongkar Migrasi</v>
      </c>
      <c r="AW46" s="364" t="str">
        <f>T.KOTARAYA!C44</f>
        <v>ñ</v>
      </c>
      <c r="AX46" s="259" t="str">
        <f>T.KOTARAYA!D44</f>
        <v>%</v>
      </c>
      <c r="AY46" s="53">
        <f>IF(BB46="N/A",0,T.KOTARAYA!F44)</f>
        <v>3</v>
      </c>
      <c r="AZ46" s="91">
        <f>T.KOTARAYA!T44</f>
        <v>100</v>
      </c>
      <c r="BA46" s="91">
        <f>VLOOKUP(AV46,T.KOTARAYA!$B$4:$T$55,MATCH(ULP!$A$1,T.KOTARAYA!$B$5:$T$5,0),FALSE)</f>
        <v>100</v>
      </c>
      <c r="BB46" s="90">
        <f>VLOOKUP(AV46,'R.KOTARAYA'!$B$4:$T$63,MATCH(ULP!$A$1,'R.KOTARAYA'!$B$5:$T$5,0),FALSE)</f>
        <v>100</v>
      </c>
      <c r="BC46" s="157">
        <f>IF(BA46=0,110,(IF((BB46/BA46*100)&gt;110,110,(BB46/BA46*100))))</f>
        <v>100</v>
      </c>
      <c r="BD46" s="103">
        <f>ROUNDDOWN(IF(OR(BC46="N/A",BC46&lt;0),0,IF(BC46&gt;110,AY46*110/100,AY46*BC46/100)),2)</f>
        <v>3</v>
      </c>
    </row>
    <row r="47" spans="3:56" ht="16.5">
      <c r="C47" s="51">
        <f>T.TOLIS!A45</f>
        <v>12</v>
      </c>
      <c r="D47" s="267" t="str">
        <f>T.TOLIS!B45</f>
        <v>Percepatan Cash In</v>
      </c>
      <c r="E47" s="364"/>
      <c r="F47" s="61"/>
      <c r="G47" s="53">
        <f>IF(J47="N/A",0,T.TOLIS!F45)</f>
        <v>9</v>
      </c>
      <c r="H47" s="90"/>
      <c r="I47" s="90"/>
      <c r="J47" s="90"/>
      <c r="K47" s="157">
        <f>AVERAGE(K48:K50)</f>
        <v>104.49087713336354</v>
      </c>
      <c r="L47" s="103">
        <f>ROUNDDOWN(IF(OR(K47="N/A",K47&lt;0),0,IF(K47&gt;110,G47*110/100,G47*K47/100)),2)</f>
        <v>9.4</v>
      </c>
      <c r="N47" s="91">
        <f>T.LEOK!A45</f>
        <v>12</v>
      </c>
      <c r="O47" s="267" t="str">
        <f>T.LEOK!B45</f>
        <v>Percepatan Cash In</v>
      </c>
      <c r="P47" s="364"/>
      <c r="Q47" s="61" t="str">
        <f>T.LEOK!D45</f>
        <v>%</v>
      </c>
      <c r="R47" s="53">
        <f>IF(U47="N/A",0,T.LEOK!F45)</f>
        <v>9</v>
      </c>
      <c r="S47" s="90"/>
      <c r="T47" s="90"/>
      <c r="U47" s="90"/>
      <c r="V47" s="157">
        <f>AVERAGE(V48:V50)</f>
        <v>106.66666666666667</v>
      </c>
      <c r="W47" s="103">
        <f>ROUNDDOWN(IF(OR(V47="N/A",V47&lt;0),0,IF(V47&gt;110,R47*110/100,R47*V47/100)),2)</f>
        <v>9.6</v>
      </c>
      <c r="Y47" s="91">
        <f>T.BANGKIR!A45</f>
        <v>12</v>
      </c>
      <c r="Z47" s="267" t="str">
        <f>T.BANGKIR!B45</f>
        <v>Percepatan Cash In</v>
      </c>
      <c r="AA47" s="364"/>
      <c r="AB47" s="61" t="str">
        <f>T.BANGKIR!D45</f>
        <v>%</v>
      </c>
      <c r="AC47" s="53">
        <f>IF(AF47="N/A",0,T.BANGKIR!F45)</f>
        <v>9</v>
      </c>
      <c r="AD47" s="90"/>
      <c r="AE47" s="91"/>
      <c r="AF47" s="90"/>
      <c r="AG47" s="157">
        <f>AVERAGE(AG48:AG50)</f>
        <v>106.66666666666667</v>
      </c>
      <c r="AH47" s="103">
        <f>ROUNDDOWN(IF(OR(AG47="N/A",AG47&lt;0),0,IF(AG47&gt;110,AC47*110/100,AC47*AG47/100)),2)</f>
        <v>9.6</v>
      </c>
      <c r="AJ47" s="91">
        <f>T.MOUTONG!A45</f>
        <v>12</v>
      </c>
      <c r="AK47" s="267" t="str">
        <f>T.MOUTONG!B45</f>
        <v>Percepatan Cash In</v>
      </c>
      <c r="AL47" s="364"/>
      <c r="AM47" s="61" t="str">
        <f>T.MOUTONG!D45</f>
        <v>%</v>
      </c>
      <c r="AN47" s="53">
        <f>IF(AQ47="N/A",0,T.MOUTONG!F45)</f>
        <v>9</v>
      </c>
      <c r="AO47" s="90"/>
      <c r="AP47" s="90"/>
      <c r="AQ47" s="90"/>
      <c r="AR47" s="157">
        <f>AVERAGE(AR48:AR50)</f>
        <v>82.072346929803032</v>
      </c>
      <c r="AS47" s="103">
        <f>ROUNDDOWN(IF(OR(AR47="N/A",AR47&lt;0),0,IF(AR47&gt;110,AN47*110/100,AN47*AR47/100)),2)</f>
        <v>7.38</v>
      </c>
      <c r="AU47" s="91">
        <f>T.KOTARAYA!A45</f>
        <v>12</v>
      </c>
      <c r="AV47" s="267" t="str">
        <f>T.KOTARAYA!B45</f>
        <v>Percepatan Cash In</v>
      </c>
      <c r="AW47" s="364"/>
      <c r="AX47" s="259" t="str">
        <f>T.KOTARAYA!D45</f>
        <v>%</v>
      </c>
      <c r="AY47" s="53">
        <f>IF(BB47="N/A",0,T.KOTARAYA!F45)</f>
        <v>9</v>
      </c>
      <c r="AZ47" s="91"/>
      <c r="BA47" s="91"/>
      <c r="BB47" s="90"/>
      <c r="BC47" s="157">
        <f>AVERAGE(BC48:BC50)</f>
        <v>84.344701865216663</v>
      </c>
      <c r="BD47" s="103">
        <f>ROUNDDOWN(IF(OR(BC47="N/A",BC47&lt;0),0,IF(BC47&gt;110,AY47*110/100,AY47*BC47/100)),2)</f>
        <v>7.59</v>
      </c>
    </row>
    <row r="48" spans="3:56" ht="33">
      <c r="C48" s="51"/>
      <c r="D48" s="52" t="str">
        <f>T.TOLIS!B46</f>
        <v>a. Persentase Rata-Rata Saldo Tanggal 20 Non Kogol 1 dan Non Kogol 2</v>
      </c>
      <c r="E48" s="364" t="str">
        <f>T.TOLIS!C46</f>
        <v>ò</v>
      </c>
      <c r="F48" s="61" t="str">
        <f>T.TOLIS!D46</f>
        <v>Rp. Juta</v>
      </c>
      <c r="G48" s="53"/>
      <c r="H48" s="90">
        <f>T.TOLIS!H46</f>
        <v>303</v>
      </c>
      <c r="I48" s="90">
        <f>VLOOKUP(D48,T.TOLIS!$B$4:$T$55,MATCH(ULP!$A$1,T.TOLIS!$B$5:$T$5,0),FALSE)</f>
        <v>303</v>
      </c>
      <c r="J48" s="90">
        <f>VLOOKUP(D48,'R.TOLIS'!$B$4:$T$64,MATCH(ULP!$A$1,'R.TOLIS'!$B$5:$T$5,0),FALSE)</f>
        <v>223.46695562500003</v>
      </c>
      <c r="K48" s="157">
        <f>IF(OR(I48="N/A",J48="N/A"),"N/A",IF((2-(J48/I48))*100&gt;=110,110,(2-(J48/I48))*100))</f>
        <v>110</v>
      </c>
      <c r="L48" s="103"/>
      <c r="N48" s="91"/>
      <c r="O48" s="52" t="str">
        <f>T.LEOK!B46</f>
        <v>a. Persentase Rata-Rata Saldo Tanggal 20 Non Kogol 1 dan Non Kogol 2</v>
      </c>
      <c r="P48" s="364" t="str">
        <f>T.LEOK!C46</f>
        <v>ò</v>
      </c>
      <c r="Q48" s="61" t="str">
        <f>T.LEOK!D46</f>
        <v>Rp. Juta</v>
      </c>
      <c r="R48" s="53"/>
      <c r="S48" s="90">
        <f>T.LEOK!S46</f>
        <v>354</v>
      </c>
      <c r="T48" s="90">
        <f>VLOOKUP(O48,T.LEOK!$B$4:$T$55,MATCH(ULP!$A$1,T.LEOK!$B$5:$T$5,0),FALSE)</f>
        <v>354</v>
      </c>
      <c r="U48" s="90">
        <f>VLOOKUP(O48,'R.LEOK'!$B$4:$T$63,MATCH(ULP!$A$1,'R.LEOK'!$B$5:$T$5,0),FALSE)</f>
        <v>212.62195174999999</v>
      </c>
      <c r="V48" s="157">
        <f>IF(OR(T48="N/A",U48="N/A"),"N/A",IF((2-(U48/T48))*100&gt;=110,110,(2-(U48/T48))*100))</f>
        <v>110</v>
      </c>
      <c r="W48" s="103"/>
      <c r="Y48" s="91"/>
      <c r="Z48" s="52" t="str">
        <f>T.BANGKIR!B46</f>
        <v>a. Persentase Rata-Rata Saldo Tanggal 20 Non Kogol 1 dan Non Kogol 2</v>
      </c>
      <c r="AA48" s="364" t="str">
        <f>T.BANGKIR!C46</f>
        <v>ò</v>
      </c>
      <c r="AB48" s="61" t="str">
        <f>T.BANGKIR!D46</f>
        <v>Rp. Juta</v>
      </c>
      <c r="AC48" s="53"/>
      <c r="AD48" s="90">
        <f>T.BANGKIR!T49</f>
        <v>0</v>
      </c>
      <c r="AE48" s="90">
        <f>VLOOKUP(Z48,T.BANGKIR!$B$4:$T$55,MATCH(ULP!$A$1,T.BANGKIR!$B$5:$T$5,0),FALSE)</f>
        <v>16</v>
      </c>
      <c r="AF48" s="90">
        <f>VLOOKUP(Z48,'R.BANGKIR'!$B$4:$T$63,MATCH(ULP!$A$1,'R.BANGKIR'!$B$5:$T$5,0),FALSE)</f>
        <v>0.50218562500000008</v>
      </c>
      <c r="AG48" s="157">
        <f>IF(OR(AE48="N/A",AF48="N/A"),"N/A",IF((2-(AF48/AE48))*100&gt;=110,110,(2-(AF48/AE48))*100))</f>
        <v>110</v>
      </c>
      <c r="AH48" s="103"/>
      <c r="AJ48" s="91"/>
      <c r="AK48" s="52" t="str">
        <f>T.MOUTONG!B46</f>
        <v>a. Persentase Rata-Rata Saldo Tanggal 20 Non Kogol 1 dan Non Kogol 2</v>
      </c>
      <c r="AL48" s="364" t="str">
        <f>T.MOUTONG!C46</f>
        <v>ò</v>
      </c>
      <c r="AM48" s="61" t="str">
        <f>T.MOUTONG!D46</f>
        <v>Rp. Juta</v>
      </c>
      <c r="AN48" s="53"/>
      <c r="AO48" s="90">
        <f>T.MOUTONG!T49</f>
        <v>0</v>
      </c>
      <c r="AP48" s="90">
        <f>VLOOKUP(AK48,T.MOUTONG!$B$4:$T$55,MATCH(ULP!$A$1,T.MOUTONG!$B$5:$T$5,0),FALSE)</f>
        <v>213</v>
      </c>
      <c r="AQ48" s="90">
        <f>VLOOKUP(AK48,'R.MOUTONG'!$B$4:$T$63,MATCH(ULP!$A$1,'R.MOUTONG'!$B$5:$T$5,0),FALSE)</f>
        <v>258.82594562500003</v>
      </c>
      <c r="AR48" s="157">
        <f>IF(OR(AP48="N/A",AQ48="N/A"),"N/A",IF((2-(AQ48/AP48))*100&gt;=110,110,(2-(AQ48/AP48))*100))</f>
        <v>78.485471537558666</v>
      </c>
      <c r="AS48" s="103"/>
      <c r="AU48" s="91"/>
      <c r="AV48" s="52" t="str">
        <f>T.KOTARAYA!B46</f>
        <v>a. Persentase Rata-Rata Saldo Tanggal 20 Non Kogol 1 dan Non Kogol 2</v>
      </c>
      <c r="AW48" s="364" t="str">
        <f>T.KOTARAYA!C46</f>
        <v>ò</v>
      </c>
      <c r="AX48" s="259" t="str">
        <f>T.KOTARAYA!D46</f>
        <v>Rp. Juta</v>
      </c>
      <c r="AY48" s="53"/>
      <c r="AZ48" s="90">
        <f>T.KOTARAYA!T49</f>
        <v>0</v>
      </c>
      <c r="BA48" s="90">
        <f>VLOOKUP(AV48,T.KOTARAYA!$B$4:$T$55,MATCH(ULP!$A$1,T.KOTARAYA!$B$5:$T$5,0),FALSE)</f>
        <v>289</v>
      </c>
      <c r="BB48" s="90">
        <f>VLOOKUP(AV48,'R.KOTARAYA'!$B$4:$T$63,MATCH(ULP!$A$1,'R.KOTARAYA'!$B$5:$T$5,0),FALSE)</f>
        <v>333.715638625</v>
      </c>
      <c r="BC48" s="157">
        <f>IF(OR(BA48="N/A",BB48="N/A"),"N/A",IF((2-(BB48/BA48))*100&gt;=110,110,(2-(BB48/BA48))*100))</f>
        <v>84.527460683391013</v>
      </c>
      <c r="BD48" s="103"/>
    </row>
    <row r="49" spans="2:56" ht="33">
      <c r="C49" s="51"/>
      <c r="D49" s="52" t="str">
        <f>T.TOLIS!B47</f>
        <v>b. Pencapaian Saldo Rata-Rata Akhir Bulan Non Kogol 1 dan Non Kogol 2</v>
      </c>
      <c r="E49" s="364" t="str">
        <f>T.TOLIS!C47</f>
        <v>ò</v>
      </c>
      <c r="F49" s="61" t="str">
        <f>T.TOLIS!D47</f>
        <v>Rp. Juta</v>
      </c>
      <c r="G49" s="53"/>
      <c r="H49" s="90">
        <f>T.TOLIS!H47</f>
        <v>22.07</v>
      </c>
      <c r="I49" s="90">
        <f>VLOOKUP(D49,T.TOLIS!$B$4:$T$55,MATCH(ULP!$A$1,T.TOLIS!$B$5:$T$5,0),FALSE)</f>
        <v>22.07</v>
      </c>
      <c r="J49" s="90">
        <f>VLOOKUP(D49,'R.TOLIS'!$B$4:$T$64,MATCH(ULP!$A$1,'R.TOLIS'!$B$5:$T$5,0),FALSE)</f>
        <v>23.51059025</v>
      </c>
      <c r="K49" s="157">
        <f>IF(OR(I49="N/A",J49="N/A"),"N/A",IF((2-(J49/I49))*100&gt;=110,110,(2-(J49/I49))*100))</f>
        <v>93.472631400090634</v>
      </c>
      <c r="L49" s="103"/>
      <c r="M49" s="150"/>
      <c r="N49" s="91"/>
      <c r="O49" s="52" t="str">
        <f>T.LEOK!B47</f>
        <v>b. Pencapaian Saldo Rata-Rata Akhir Bulan Non Kogol 1 dan Non Kogol 2</v>
      </c>
      <c r="P49" s="364" t="str">
        <f>T.LEOK!C47</f>
        <v>ò</v>
      </c>
      <c r="Q49" s="61" t="str">
        <f>T.LEOK!D47</f>
        <v>Rp. Juta</v>
      </c>
      <c r="R49" s="53"/>
      <c r="S49" s="90">
        <f>T.LEOK!S47</f>
        <v>4.17</v>
      </c>
      <c r="T49" s="90">
        <f>VLOOKUP(O49,T.LEOK!$B$4:$T$55,MATCH(ULP!$A$1,T.LEOK!$B$5:$T$5,0),FALSE)</f>
        <v>4.17</v>
      </c>
      <c r="U49" s="90">
        <f>VLOOKUP(O49,'R.LEOK'!$B$4:$T$63,MATCH(ULP!$A$1,'R.LEOK'!$B$5:$T$5,0),FALSE)</f>
        <v>2.6505557500000001</v>
      </c>
      <c r="V49" s="157">
        <f>IF(OR(T49="N/A",U49="N/A"),"N/A",IF((2-(U49/T49))*100&gt;=110,110,(2-(U49/T49))*100))</f>
        <v>110</v>
      </c>
      <c r="W49" s="103"/>
      <c r="X49" s="12"/>
      <c r="Y49" s="91"/>
      <c r="Z49" s="52" t="str">
        <f>T.BANGKIR!B47</f>
        <v>b. Pencapaian Saldo Rata-Rata Akhir Bulan Non Kogol 1 dan Non Kogol 2</v>
      </c>
      <c r="AA49" s="364" t="str">
        <f>T.BANGKIR!C47</f>
        <v>ò</v>
      </c>
      <c r="AB49" s="61" t="str">
        <f>T.BANGKIR!D47</f>
        <v>Rp. Juta</v>
      </c>
      <c r="AC49" s="53"/>
      <c r="AD49" s="90">
        <f>T.BANGKIR!T50</f>
        <v>0</v>
      </c>
      <c r="AE49" s="90">
        <f>VLOOKUP(Z49,T.BANGKIR!$B$4:$T$55,MATCH(ULP!$A$1,T.BANGKIR!$B$5:$T$5,0),FALSE)</f>
        <v>2.72</v>
      </c>
      <c r="AF49" s="90">
        <f>VLOOKUP(Z49,'R.BANGKIR'!$B$4:$T$63,MATCH(ULP!$A$1,'R.BANGKIR'!$B$5:$T$5,0),FALSE)</f>
        <v>0.25514187500000002</v>
      </c>
      <c r="AG49" s="157">
        <f>IF(OR(AE49="N/A",AF49="N/A"),"N/A",IF((2-(AF49/AE49))*100&gt;=110,110,(2-(AF49/AE49))*100))</f>
        <v>110</v>
      </c>
      <c r="AH49" s="103"/>
      <c r="AI49" s="12"/>
      <c r="AJ49" s="91"/>
      <c r="AK49" s="52" t="str">
        <f>T.MOUTONG!B47</f>
        <v>b. Pencapaian Saldo Rata-Rata Akhir Bulan Non Kogol 1 dan Non Kogol 2</v>
      </c>
      <c r="AL49" s="364" t="str">
        <f>T.MOUTONG!C47</f>
        <v>ò</v>
      </c>
      <c r="AM49" s="61" t="str">
        <f>T.MOUTONG!D47</f>
        <v>Rp. Juta</v>
      </c>
      <c r="AN49" s="53"/>
      <c r="AO49" s="90">
        <f>T.MOUTONG!T50</f>
        <v>0</v>
      </c>
      <c r="AP49" s="90">
        <f>VLOOKUP(AK49,T.MOUTONG!$B$4:$T$55,MATCH(ULP!$A$1,T.MOUTONG!$B$5:$T$5,0),FALSE)</f>
        <v>96.04</v>
      </c>
      <c r="AQ49" s="90">
        <f>VLOOKUP(AK49,'R.MOUTONG'!$B$4:$T$63,MATCH(ULP!$A$1,'R.MOUTONG'!$B$5:$T$5,0),FALSE)</f>
        <v>118.46785025</v>
      </c>
      <c r="AR49" s="157">
        <f>IF(OR(AP49="N/A",AQ49="N/A"),"N/A",IF((2-(AQ49/AP49))*100&gt;=110,110,IF((2-(AQ49/AP49))*100&lt;0,0,(2-(AQ49/AP49))*100)))</f>
        <v>76.647386245314465</v>
      </c>
      <c r="AS49" s="103"/>
      <c r="AT49" s="12"/>
      <c r="AU49" s="91"/>
      <c r="AV49" s="52" t="str">
        <f>T.KOTARAYA!B47</f>
        <v>b. Pencapaian Saldo Rata-Rata Akhir Bulan Non Kogol 1 dan Non Kogol 2</v>
      </c>
      <c r="AW49" s="364" t="str">
        <f>T.KOTARAYA!C47</f>
        <v>ò</v>
      </c>
      <c r="AX49" s="259" t="str">
        <f>T.KOTARAYA!D47</f>
        <v>Rp. Juta</v>
      </c>
      <c r="AY49" s="53"/>
      <c r="AZ49" s="90">
        <f>T.KOTARAYA!T50</f>
        <v>0</v>
      </c>
      <c r="BA49" s="90">
        <f>VLOOKUP(AV49,T.KOTARAYA!$B$4:$T$55,MATCH(ULP!$A$1,T.KOTARAYA!$B$5:$T$5,0),FALSE)</f>
        <v>161.27000000000001</v>
      </c>
      <c r="BB49" s="90">
        <f>VLOOKUP(AV49,'R.KOTARAYA'!$B$4:$T$63,MATCH(ULP!$A$1,'R.KOTARAYA'!$B$5:$T$5,0),FALSE)</f>
        <v>212.05933375000001</v>
      </c>
      <c r="BC49" s="157">
        <f>IF(OR(BA49="N/A",BB49="N/A"),"N/A",IF((2-(BB49/BA49))*100&gt;=110,110,IF((2-(BB49/BA49))*100&lt;0,0,(2-(BB49/BA49))*100)))</f>
        <v>68.506644912258949</v>
      </c>
      <c r="BD49" s="103"/>
    </row>
    <row r="50" spans="2:56" s="12" customFormat="1" ht="16.5">
      <c r="B50" s="170"/>
      <c r="C50" s="51"/>
      <c r="D50" s="52" t="str">
        <f>T.TOLIS!B48</f>
        <v>c. Pencapaian Pelunasan PRR</v>
      </c>
      <c r="E50" s="364" t="str">
        <f>T.TOLIS!C48</f>
        <v>ñ</v>
      </c>
      <c r="F50" s="61" t="str">
        <f>T.TOLIS!D48</f>
        <v>Rp. Juta</v>
      </c>
      <c r="G50" s="53"/>
      <c r="H50" s="90">
        <f>T.TOLIS!H48</f>
        <v>4.21</v>
      </c>
      <c r="I50" s="90">
        <f>VLOOKUP(D50,T.TOLIS!$B$4:$T$55,MATCH(ULP!$A$1,T.TOLIS!$B$5:$T$5,0),FALSE)</f>
        <v>2.5299999999999998</v>
      </c>
      <c r="J50" s="90">
        <f>VLOOKUP(D50,'R.TOLIS'!$B$4:$T$64,MATCH(ULP!$A$1,'R.TOLIS'!$B$5:$T$5,0),FALSE)</f>
        <v>8.7684359999999995</v>
      </c>
      <c r="K50" s="157">
        <f>IF(OR(I50="N/A",J50="N/A"),"N/A",IF((J50/I50*100)&gt;=110,110,(J50/I50*100)))</f>
        <v>110</v>
      </c>
      <c r="L50" s="103"/>
      <c r="M50" s="150"/>
      <c r="N50" s="91"/>
      <c r="O50" s="52" t="str">
        <f>T.LEOK!B48</f>
        <v>c. Pencapaian Pelunasan PRR</v>
      </c>
      <c r="P50" s="364" t="str">
        <f>T.LEOK!C48</f>
        <v>ñ</v>
      </c>
      <c r="Q50" s="61" t="str">
        <f>T.LEOK!D48</f>
        <v>Rp. Juta</v>
      </c>
      <c r="R50" s="53"/>
      <c r="S50" s="90">
        <f>T.LEOK!S48</f>
        <v>0</v>
      </c>
      <c r="T50" s="90">
        <f>VLOOKUP(O50,T.LEOK!$B$4:$T$55,MATCH(ULP!$A$1,T.LEOK!$B$5:$T$5,0),FALSE)</f>
        <v>0</v>
      </c>
      <c r="U50" s="90">
        <f>VLOOKUP(O50,'R.LEOK'!$B$4:$T$63,MATCH(ULP!$A$1,'R.LEOK'!$B$5:$T$5,0),FALSE)</f>
        <v>0</v>
      </c>
      <c r="V50" s="157">
        <f>IF(OR(T50="N/A",U50="N/A"),"N/A",IF(AND(T50=0,U50=0),100,U50/T50*100))</f>
        <v>100</v>
      </c>
      <c r="W50" s="103"/>
      <c r="Y50" s="91"/>
      <c r="Z50" s="52" t="str">
        <f>T.BANGKIR!B48</f>
        <v>c. Pencapaian Pelunasan PRR</v>
      </c>
      <c r="AA50" s="364" t="str">
        <f>T.BANGKIR!C48</f>
        <v>ñ</v>
      </c>
      <c r="AB50" s="61" t="str">
        <f>T.BANGKIR!D48</f>
        <v>Rp. Juta</v>
      </c>
      <c r="AC50" s="53"/>
      <c r="AD50" s="90">
        <f>T.BANGKIR!T51</f>
        <v>0</v>
      </c>
      <c r="AE50" s="90">
        <f>VLOOKUP(Z50,T.BANGKIR!$B$4:$T$55,MATCH(ULP!$A$1,T.BANGKIR!$B$5:$T$5,0),FALSE)</f>
        <v>0</v>
      </c>
      <c r="AF50" s="90">
        <f>VLOOKUP(Z50,'R.BANGKIR'!$B$4:$T$63,MATCH(ULP!$A$1,'R.BANGKIR'!$B$5:$T$5,0),FALSE)</f>
        <v>0</v>
      </c>
      <c r="AG50" s="157">
        <f>IF(OR(AE50="N/A",AF50="N/A"),"N/A",IF(AND(AE50=0,AF50=0),100,AF50/AE50*100))</f>
        <v>100</v>
      </c>
      <c r="AH50" s="103"/>
      <c r="AJ50" s="91"/>
      <c r="AK50" s="52" t="str">
        <f>T.MOUTONG!B48</f>
        <v>c. Pencapaian Pelunasan PRR</v>
      </c>
      <c r="AL50" s="364" t="str">
        <f>T.MOUTONG!C48</f>
        <v>ñ</v>
      </c>
      <c r="AM50" s="61" t="str">
        <f>T.MOUTONG!D48</f>
        <v>Rp. Juta</v>
      </c>
      <c r="AN50" s="53"/>
      <c r="AO50" s="90">
        <f>T.MOUTONG!T51</f>
        <v>0</v>
      </c>
      <c r="AP50" s="90">
        <f>VLOOKUP(AK50,T.MOUTONG!$B$4:$T$55,MATCH(ULP!$A$1,T.MOUTONG!$B$5:$T$5,0),FALSE)</f>
        <v>3.06</v>
      </c>
      <c r="AQ50" s="90">
        <f>VLOOKUP(AK50,'R.MOUTONG'!$B$4:$T$63,MATCH(ULP!$A$1,'R.MOUTONG'!$B$5:$T$5,0),FALSE)</f>
        <v>2.7871760000000001</v>
      </c>
      <c r="AR50" s="157">
        <f>IF(OR(AP50="N/A",AQ50="N/A"),"N/A",IF((AQ50/AP50*100)&gt;=110,110,(AQ50/AP50*100)))</f>
        <v>91.084183006535952</v>
      </c>
      <c r="AS50" s="103"/>
      <c r="AU50" s="91"/>
      <c r="AV50" s="52" t="str">
        <f>T.KOTARAYA!B48</f>
        <v>c. Pencapaian Pelunasan PRR</v>
      </c>
      <c r="AW50" s="364" t="str">
        <f>T.KOTARAYA!C48</f>
        <v>ñ</v>
      </c>
      <c r="AX50" s="259" t="str">
        <f>T.KOTARAYA!D48</f>
        <v>Rp. Juta</v>
      </c>
      <c r="AY50" s="53"/>
      <c r="AZ50" s="90">
        <f>T.KOTARAYA!T51</f>
        <v>0</v>
      </c>
      <c r="BA50" s="90">
        <f>VLOOKUP(AV50,T.KOTARAYA!$B$4:$T$55,MATCH(ULP!$A$1,T.KOTARAYA!$B$5:$T$5,0),FALSE)</f>
        <v>0</v>
      </c>
      <c r="BB50" s="90">
        <f>VLOOKUP(AV50,'R.KOTARAYA'!$B$4:$T$63,MATCH(ULP!$A$1,'R.KOTARAYA'!$B$5:$T$5,0),FALSE)</f>
        <v>0</v>
      </c>
      <c r="BC50" s="157">
        <f>IF(OR(BA50="N/A",BB50="N/A"),"N/A",IF(AND(BA50=0,BB50=0),100,BB50/BA50*100))</f>
        <v>100</v>
      </c>
      <c r="BD50" s="103"/>
    </row>
    <row r="51" spans="2:56" s="12" customFormat="1" ht="16.5">
      <c r="B51" s="170"/>
      <c r="C51" s="286">
        <f>T.TOLIS!A49</f>
        <v>13</v>
      </c>
      <c r="D51" s="267" t="str">
        <f>T.TOLIS!B49</f>
        <v>Kepatuhan :</v>
      </c>
      <c r="E51" s="364"/>
      <c r="F51" s="61"/>
      <c r="G51" s="53"/>
      <c r="H51" s="90"/>
      <c r="I51" s="90"/>
      <c r="J51" s="90"/>
      <c r="K51" s="157"/>
      <c r="L51" s="103"/>
      <c r="M51" s="150"/>
      <c r="N51" s="91">
        <f>T.LEOK!A49</f>
        <v>13</v>
      </c>
      <c r="O51" s="267" t="str">
        <f>T.LEOK!B49</f>
        <v>Kepatuhan :</v>
      </c>
      <c r="P51" s="364"/>
      <c r="Q51" s="61"/>
      <c r="R51" s="53"/>
      <c r="S51" s="90"/>
      <c r="T51" s="90"/>
      <c r="U51" s="90"/>
      <c r="V51" s="157"/>
      <c r="W51" s="103"/>
      <c r="Y51" s="91">
        <f>T.BANGKIR!A49</f>
        <v>13</v>
      </c>
      <c r="Z51" s="267" t="str">
        <f>T.BANGKIR!B49</f>
        <v>Kepatuhan :</v>
      </c>
      <c r="AA51" s="364"/>
      <c r="AB51" s="61"/>
      <c r="AC51" s="53"/>
      <c r="AD51" s="90"/>
      <c r="AE51" s="90"/>
      <c r="AF51" s="90"/>
      <c r="AG51" s="157"/>
      <c r="AH51" s="103"/>
      <c r="AJ51" s="91">
        <f>T.MOUTONG!A49</f>
        <v>13</v>
      </c>
      <c r="AK51" s="267" t="str">
        <f>T.MOUTONG!B49</f>
        <v>Kepatuhan :</v>
      </c>
      <c r="AL51" s="364"/>
      <c r="AM51" s="61"/>
      <c r="AN51" s="53"/>
      <c r="AO51" s="90"/>
      <c r="AP51" s="90"/>
      <c r="AQ51" s="90"/>
      <c r="AR51" s="157"/>
      <c r="AS51" s="103"/>
      <c r="AU51" s="91">
        <f>T.KOTARAYA!A49</f>
        <v>13</v>
      </c>
      <c r="AV51" s="267" t="str">
        <f>T.KOTARAYA!B49</f>
        <v>Kepatuhan :</v>
      </c>
      <c r="AW51" s="364"/>
      <c r="AX51" s="259"/>
      <c r="AY51" s="53"/>
      <c r="AZ51" s="90"/>
      <c r="BA51" s="90"/>
      <c r="BB51" s="90"/>
      <c r="BC51" s="157"/>
      <c r="BD51" s="103"/>
    </row>
    <row r="52" spans="2:56" s="12" customFormat="1" ht="16.5">
      <c r="B52" s="170"/>
      <c r="C52" s="462"/>
      <c r="D52" s="52" t="str">
        <f>T.TOLIS!B50</f>
        <v>a. Pengelolaan K3, Keamanan dan Lingkungan Hidup</v>
      </c>
      <c r="E52" s="364"/>
      <c r="F52" s="61"/>
      <c r="G52" s="53" t="str">
        <f>IF(J52="N/A",0,T.TOLIS!F50)</f>
        <v>Max-8</v>
      </c>
      <c r="H52" s="90"/>
      <c r="I52" s="90"/>
      <c r="J52" s="90"/>
      <c r="K52" s="157"/>
      <c r="L52" s="103"/>
      <c r="M52" s="150"/>
      <c r="N52" s="91"/>
      <c r="O52" s="52" t="str">
        <f>T.LEOK!B50</f>
        <v>a. Pengelolaan K3, Keamanan dan Lingkungan Hidup</v>
      </c>
      <c r="P52" s="364"/>
      <c r="Q52" s="61"/>
      <c r="R52" s="53" t="str">
        <f>IF(U52="N/A",0,T.LEOK!F50)</f>
        <v>Max-8</v>
      </c>
      <c r="S52" s="90"/>
      <c r="T52" s="90"/>
      <c r="U52" s="90"/>
      <c r="V52" s="157"/>
      <c r="W52" s="103"/>
      <c r="Y52" s="91"/>
      <c r="Z52" s="267" t="str">
        <f>T.BANGKIR!B50</f>
        <v>a. Pengelolaan K3, Keamanan dan Lingkungan Hidup</v>
      </c>
      <c r="AA52" s="364"/>
      <c r="AB52" s="61"/>
      <c r="AC52" s="53" t="str">
        <f>IF(AF52="N/A",0,T.BANGKIR!F50)</f>
        <v>Max-8</v>
      </c>
      <c r="AD52" s="90"/>
      <c r="AE52" s="90"/>
      <c r="AF52" s="90"/>
      <c r="AG52" s="157"/>
      <c r="AH52" s="103"/>
      <c r="AJ52" s="91"/>
      <c r="AK52" s="52" t="str">
        <f>T.MOUTONG!B50</f>
        <v>a. Pengelolaan K3, Keamanan dan Lingkungan Hidup</v>
      </c>
      <c r="AL52" s="364"/>
      <c r="AM52" s="61"/>
      <c r="AN52" s="53" t="str">
        <f>IF(AQ52="N/A",0,T.MOUTONG!F50)</f>
        <v>Max-8</v>
      </c>
      <c r="AO52" s="90"/>
      <c r="AP52" s="90"/>
      <c r="AQ52" s="90"/>
      <c r="AR52" s="157"/>
      <c r="AS52" s="103"/>
      <c r="AU52" s="91"/>
      <c r="AV52" s="52" t="str">
        <f>T.KOTARAYA!B50</f>
        <v>a. Pengelolaan K3, Keamanan dan Lingkungan Hidup</v>
      </c>
      <c r="AW52" s="364"/>
      <c r="AX52" s="259"/>
      <c r="AY52" s="53" t="str">
        <f>IF(BB52="N/A",0,T.KOTARAYA!F50)</f>
        <v>Max-8</v>
      </c>
      <c r="AZ52" s="90"/>
      <c r="BA52" s="90"/>
      <c r="BB52" s="90"/>
      <c r="BC52" s="157"/>
      <c r="BD52" s="103"/>
    </row>
    <row r="53" spans="2:56" s="12" customFormat="1" ht="33">
      <c r="B53" s="170"/>
      <c r="C53" s="461"/>
      <c r="D53" s="52" t="str">
        <f>T.TOLIS!B51</f>
        <v>b. Maturity Level Implementasi Sistem Manajemen Anti Penyuapan (SMAP)</v>
      </c>
      <c r="E53" s="364"/>
      <c r="F53" s="61"/>
      <c r="G53" s="53" t="str">
        <f>IF(J53="N/A",0,T.TOLIS!F51)</f>
        <v>Max-4</v>
      </c>
      <c r="H53" s="90"/>
      <c r="I53" s="90"/>
      <c r="J53" s="90"/>
      <c r="K53" s="157"/>
      <c r="L53" s="103"/>
      <c r="M53" s="150"/>
      <c r="N53" s="91"/>
      <c r="O53" s="52" t="str">
        <f>T.LEOK!B51</f>
        <v>b. Maturity Level Implementasi Sistem Manajemen Anti Penyuapan (SMAP)</v>
      </c>
      <c r="P53" s="364"/>
      <c r="Q53" s="61"/>
      <c r="R53" s="53" t="str">
        <f>IF(U53="N/A",0,T.LEOK!F51)</f>
        <v>Max-4</v>
      </c>
      <c r="S53" s="90"/>
      <c r="T53" s="90"/>
      <c r="U53" s="90"/>
      <c r="V53" s="157"/>
      <c r="W53" s="103"/>
      <c r="Y53" s="91"/>
      <c r="Z53" s="52" t="str">
        <f>T.BANGKIR!B51</f>
        <v>b. Maturity Level Implementasi Sistem Manajemen Anti Penyuapan (SMAP)</v>
      </c>
      <c r="AA53" s="364"/>
      <c r="AB53" s="61"/>
      <c r="AC53" s="53" t="str">
        <f>IF(AF53="N/A",0,T.BANGKIR!F51)</f>
        <v>Max-4</v>
      </c>
      <c r="AD53" s="90"/>
      <c r="AE53" s="90"/>
      <c r="AF53" s="90"/>
      <c r="AG53" s="157"/>
      <c r="AH53" s="103"/>
      <c r="AI53" s="245"/>
      <c r="AJ53" s="91"/>
      <c r="AK53" s="52" t="str">
        <f>T.MOUTONG!B51</f>
        <v>b. Maturity Level Implementasi Sistem Manajemen Anti Penyuapan (SMAP)</v>
      </c>
      <c r="AL53" s="364"/>
      <c r="AM53" s="61"/>
      <c r="AN53" s="53" t="str">
        <f>IF(AQ53="N/A",0,T.MOUTONG!F51)</f>
        <v>Max-4</v>
      </c>
      <c r="AO53" s="90"/>
      <c r="AP53" s="90"/>
      <c r="AQ53" s="90"/>
      <c r="AR53" s="157"/>
      <c r="AS53" s="103"/>
      <c r="AU53" s="91"/>
      <c r="AV53" s="52" t="str">
        <f>T.KOTARAYA!B51</f>
        <v>b. Maturity Level Implementasi Sistem Manajemen Anti Penyuapan (SMAP)</v>
      </c>
      <c r="AW53" s="364"/>
      <c r="AX53" s="259"/>
      <c r="AY53" s="53" t="str">
        <f>IF(BB53="N/A",0,T.KOTARAYA!F51)</f>
        <v>Max-4</v>
      </c>
      <c r="AZ53" s="90"/>
      <c r="BA53" s="90"/>
      <c r="BB53" s="90"/>
      <c r="BC53" s="157"/>
      <c r="BD53" s="103"/>
    </row>
    <row r="54" spans="2:56" s="12" customFormat="1" ht="33">
      <c r="B54" s="170"/>
      <c r="C54" s="51"/>
      <c r="D54" s="52" t="str">
        <f>T.TOLIS!B52</f>
        <v>c. Ketepatan penyampaian pelaporan dan Akurasi Data Kinerja</v>
      </c>
      <c r="E54" s="364"/>
      <c r="F54" s="61"/>
      <c r="G54" s="53" t="str">
        <f>IF(J54="N/A",0,T.TOLIS!F52)</f>
        <v>Max-10</v>
      </c>
      <c r="H54" s="90"/>
      <c r="I54" s="90"/>
      <c r="J54" s="90"/>
      <c r="K54" s="157"/>
      <c r="L54" s="103"/>
      <c r="M54" s="150"/>
      <c r="N54" s="91"/>
      <c r="O54" s="52" t="str">
        <f>T.LEOK!B52</f>
        <v>c. Ketepatan penyampaian pelaporan dan
Akurasi Data Kinerja</v>
      </c>
      <c r="P54" s="364"/>
      <c r="Q54" s="61"/>
      <c r="R54" s="53" t="str">
        <f>IF(U54="N/A",0,T.LEOK!F52)</f>
        <v>Max-10</v>
      </c>
      <c r="S54" s="90"/>
      <c r="T54" s="90"/>
      <c r="U54" s="90"/>
      <c r="V54" s="157"/>
      <c r="W54" s="103"/>
      <c r="Y54" s="91"/>
      <c r="Z54" s="52" t="str">
        <f>T.BANGKIR!B52</f>
        <v>c. Ketepatan penyampaian pelaporan dan
Akurasi Data Kinerja</v>
      </c>
      <c r="AA54" s="364"/>
      <c r="AB54" s="61"/>
      <c r="AC54" s="53" t="str">
        <f>IF(AF54="N/A",0,T.BANGKIR!F52)</f>
        <v>Max-10</v>
      </c>
      <c r="AD54" s="90"/>
      <c r="AE54" s="90"/>
      <c r="AF54" s="90"/>
      <c r="AG54" s="157"/>
      <c r="AH54" s="103"/>
      <c r="AI54" s="245"/>
      <c r="AJ54" s="91"/>
      <c r="AK54" s="52" t="str">
        <f>T.MOUTONG!B52</f>
        <v>c. Ketepatan penyampaian pelaporan dan
Akurasi Data Kinerja</v>
      </c>
      <c r="AL54" s="364"/>
      <c r="AM54" s="61"/>
      <c r="AN54" s="53" t="str">
        <f>IF(AQ54="N/A",0,T.MOUTONG!F52)</f>
        <v>Max-10</v>
      </c>
      <c r="AO54" s="90"/>
      <c r="AP54" s="90"/>
      <c r="AQ54" s="90"/>
      <c r="AR54" s="157"/>
      <c r="AS54" s="103"/>
      <c r="AU54" s="91"/>
      <c r="AV54" s="52" t="str">
        <f>T.KOTARAYA!B52</f>
        <v>c. Ketepatan penyampaian pelaporan dan Akurasi Data Kinerja</v>
      </c>
      <c r="AW54" s="364"/>
      <c r="AX54" s="259"/>
      <c r="AY54" s="53" t="str">
        <f>IF(BB54="N/A",0,T.KOTARAYA!F52)</f>
        <v>Max-10</v>
      </c>
      <c r="AZ54" s="90"/>
      <c r="BA54" s="90"/>
      <c r="BB54" s="90"/>
      <c r="BC54" s="157"/>
      <c r="BD54" s="103"/>
    </row>
    <row r="55" spans="2:56" s="12" customFormat="1" ht="16.5">
      <c r="B55" s="170"/>
      <c r="C55" s="51"/>
      <c r="D55" s="52" t="str">
        <f>T.TOLIS!B53</f>
        <v>d. Tindak Lanjut Temuan Auditor</v>
      </c>
      <c r="E55" s="364"/>
      <c r="F55" s="61"/>
      <c r="G55" s="53" t="str">
        <f>IF(J55="N/A",0,T.TOLIS!F53)</f>
        <v>Max-5</v>
      </c>
      <c r="H55" s="90"/>
      <c r="I55" s="90"/>
      <c r="J55" s="90"/>
      <c r="K55" s="157"/>
      <c r="L55" s="103"/>
      <c r="M55" s="150"/>
      <c r="N55" s="91"/>
      <c r="O55" s="52" t="str">
        <f>T.LEOK!B53</f>
        <v>d. Tindak Lanjut Temuan Auditor</v>
      </c>
      <c r="P55" s="364"/>
      <c r="Q55" s="61"/>
      <c r="R55" s="53" t="str">
        <f>IF(U55="N/A",0,T.LEOK!F53)</f>
        <v>Max-5</v>
      </c>
      <c r="S55" s="90"/>
      <c r="T55" s="90"/>
      <c r="U55" s="90"/>
      <c r="V55" s="157"/>
      <c r="W55" s="103"/>
      <c r="Y55" s="91"/>
      <c r="Z55" s="52" t="str">
        <f>T.BANGKIR!B53</f>
        <v>d. Tindak Lanjut Temuan Auditor</v>
      </c>
      <c r="AA55" s="364"/>
      <c r="AB55" s="61"/>
      <c r="AC55" s="53" t="str">
        <f>IF(AF55="N/A",0,T.BANGKIR!F53)</f>
        <v>Max-5</v>
      </c>
      <c r="AD55" s="90"/>
      <c r="AE55" s="90"/>
      <c r="AF55" s="90"/>
      <c r="AG55" s="157"/>
      <c r="AH55" s="103"/>
      <c r="AI55" s="245"/>
      <c r="AJ55" s="91"/>
      <c r="AK55" s="52" t="str">
        <f>T.MOUTONG!B53</f>
        <v>d. Tindak Lanjut Temuan Auditor</v>
      </c>
      <c r="AL55" s="364"/>
      <c r="AM55" s="61"/>
      <c r="AN55" s="53" t="str">
        <f>IF(AQ55="N/A",0,T.MOUTONG!F53)</f>
        <v>Max-5</v>
      </c>
      <c r="AO55" s="90"/>
      <c r="AP55" s="90"/>
      <c r="AQ55" s="90"/>
      <c r="AR55" s="157"/>
      <c r="AS55" s="103"/>
      <c r="AU55" s="91"/>
      <c r="AV55" s="52" t="str">
        <f>T.KOTARAYA!B53</f>
        <v>d. Tindak Lanjut Temuan Auditor</v>
      </c>
      <c r="AW55" s="364"/>
      <c r="AX55" s="259"/>
      <c r="AY55" s="53" t="str">
        <f>IF(BB55="N/A",0,T.KOTARAYA!F53)</f>
        <v>Max-5</v>
      </c>
      <c r="AZ55" s="90"/>
      <c r="BA55" s="90"/>
      <c r="BB55" s="90"/>
      <c r="BC55" s="157"/>
      <c r="BD55" s="103"/>
    </row>
    <row r="56" spans="2:56" s="12" customFormat="1" ht="33">
      <c r="B56" s="170"/>
      <c r="C56" s="51"/>
      <c r="D56" s="52" t="str">
        <f>T.TOLIS!B54</f>
        <v>e. Pencapaian Beyond RKAP</v>
      </c>
      <c r="E56" s="364"/>
      <c r="F56" s="61"/>
      <c r="G56" s="53" t="str">
        <f>IF(J56="N/A",0,T.TOLIS!F54)</f>
        <v>Max-2
Max+2</v>
      </c>
      <c r="H56" s="90"/>
      <c r="I56" s="90"/>
      <c r="J56" s="90"/>
      <c r="K56" s="96"/>
      <c r="L56" s="103"/>
      <c r="M56" s="152"/>
      <c r="N56" s="91"/>
      <c r="O56" s="52" t="str">
        <f>T.LEOK!B54</f>
        <v>e. Pencapaian Beyond RKAP</v>
      </c>
      <c r="P56" s="364"/>
      <c r="Q56" s="61"/>
      <c r="R56" s="53" t="str">
        <f>IF(U56="N/A",0,T.LEOK!F54)</f>
        <v>Max-2
Max+2</v>
      </c>
      <c r="S56" s="90"/>
      <c r="T56" s="90"/>
      <c r="U56" s="90"/>
      <c r="V56" s="96"/>
      <c r="W56" s="103"/>
      <c r="Y56" s="91"/>
      <c r="Z56" s="52" t="str">
        <f>T.BANGKIR!B54</f>
        <v>e. Pencapaian Beyond RKAP</v>
      </c>
      <c r="AA56" s="364"/>
      <c r="AB56" s="61"/>
      <c r="AC56" s="53" t="str">
        <f>IF(AF56="N/A",0,T.BANGKIR!F54)</f>
        <v>Max-2
Max+2</v>
      </c>
      <c r="AD56" s="91"/>
      <c r="AE56" s="91"/>
      <c r="AF56" s="90"/>
      <c r="AG56" s="96"/>
      <c r="AH56" s="103"/>
      <c r="AJ56" s="91"/>
      <c r="AK56" s="52" t="str">
        <f>T.MOUTONG!B54</f>
        <v>e. Pencapaian Beyond RKAP</v>
      </c>
      <c r="AL56" s="364"/>
      <c r="AM56" s="61"/>
      <c r="AN56" s="53" t="str">
        <f>IF(AQ56="N/A",0,T.MOUTONG!F54)</f>
        <v>Max-2
Max+2</v>
      </c>
      <c r="AO56" s="91"/>
      <c r="AP56" s="91"/>
      <c r="AQ56" s="90"/>
      <c r="AR56" s="96"/>
      <c r="AS56" s="103"/>
      <c r="AU56" s="91"/>
      <c r="AV56" s="52" t="str">
        <f>T.KOTARAYA!B54</f>
        <v>e. Pencapaian Beyond RKAP</v>
      </c>
      <c r="AW56" s="364"/>
      <c r="AX56" s="259"/>
      <c r="AY56" s="53" t="str">
        <f>IF(BB56="N/A",0,T.KOTARAYA!F54)</f>
        <v>Max-2
Max+2</v>
      </c>
      <c r="AZ56" s="91"/>
      <c r="BA56" s="91"/>
      <c r="BB56" s="90"/>
      <c r="BC56" s="96"/>
      <c r="BD56" s="103"/>
    </row>
    <row r="57" spans="2:56" s="12" customFormat="1" ht="24.6" customHeight="1">
      <c r="B57" s="170"/>
      <c r="C57" s="54"/>
      <c r="D57" s="56" t="s">
        <v>104</v>
      </c>
      <c r="E57" s="386"/>
      <c r="F57" s="129"/>
      <c r="G57" s="57">
        <f>G9+G19</f>
        <v>100</v>
      </c>
      <c r="H57" s="57"/>
      <c r="I57" s="57"/>
      <c r="J57" s="57"/>
      <c r="K57" s="57"/>
      <c r="L57" s="130">
        <f>L9+L19</f>
        <v>98.94</v>
      </c>
      <c r="M57" s="14"/>
      <c r="N57" s="54"/>
      <c r="O57" s="56" t="s">
        <v>104</v>
      </c>
      <c r="P57" s="386"/>
      <c r="Q57" s="129"/>
      <c r="R57" s="57">
        <f>R9+R19</f>
        <v>100</v>
      </c>
      <c r="S57" s="57"/>
      <c r="T57" s="57"/>
      <c r="U57" s="57"/>
      <c r="V57" s="57"/>
      <c r="W57" s="130">
        <f>W9+W19</f>
        <v>99.73</v>
      </c>
      <c r="X57" s="14"/>
      <c r="Y57" s="54"/>
      <c r="Z57" s="56" t="s">
        <v>104</v>
      </c>
      <c r="AA57" s="386"/>
      <c r="AB57" s="129"/>
      <c r="AC57" s="57">
        <f>AC9+AC19</f>
        <v>100</v>
      </c>
      <c r="AD57" s="57"/>
      <c r="AE57" s="57"/>
      <c r="AF57" s="57"/>
      <c r="AG57" s="57"/>
      <c r="AH57" s="130">
        <f>AH9+AH19</f>
        <v>105.5</v>
      </c>
      <c r="AI57" s="1"/>
      <c r="AJ57" s="54"/>
      <c r="AK57" s="56" t="s">
        <v>104</v>
      </c>
      <c r="AL57" s="386"/>
      <c r="AM57" s="129"/>
      <c r="AN57" s="57">
        <f>AN9+AN19</f>
        <v>100</v>
      </c>
      <c r="AO57" s="57"/>
      <c r="AP57" s="57"/>
      <c r="AQ57" s="57"/>
      <c r="AR57" s="57"/>
      <c r="AS57" s="130">
        <f>AS9+AS19</f>
        <v>99.85</v>
      </c>
      <c r="AT57" s="1"/>
      <c r="AU57" s="54"/>
      <c r="AV57" s="56" t="s">
        <v>104</v>
      </c>
      <c r="AW57" s="386"/>
      <c r="AX57" s="129"/>
      <c r="AY57" s="57">
        <f>AY9+AY19</f>
        <v>100</v>
      </c>
      <c r="AZ57" s="57"/>
      <c r="BA57" s="57"/>
      <c r="BB57" s="57"/>
      <c r="BC57" s="57"/>
      <c r="BD57" s="130">
        <f>BD9+BD19</f>
        <v>103.42</v>
      </c>
    </row>
    <row r="58" spans="2:56" ht="16.5">
      <c r="C58" s="58"/>
      <c r="D58" s="59" t="s">
        <v>268</v>
      </c>
      <c r="E58" s="387"/>
      <c r="F58" s="147"/>
      <c r="G58" s="60">
        <v>100</v>
      </c>
      <c r="H58" s="60"/>
      <c r="I58" s="60"/>
      <c r="J58" s="60"/>
      <c r="K58" s="60"/>
      <c r="L58" s="148">
        <f>G58/G57*L57</f>
        <v>98.94</v>
      </c>
      <c r="M58" s="14"/>
      <c r="N58" s="58"/>
      <c r="O58" s="59" t="s">
        <v>268</v>
      </c>
      <c r="P58" s="387"/>
      <c r="Q58" s="147"/>
      <c r="R58" s="60">
        <v>100</v>
      </c>
      <c r="S58" s="60"/>
      <c r="T58" s="60"/>
      <c r="U58" s="60"/>
      <c r="V58" s="60"/>
      <c r="W58" s="148">
        <f>R58/R57*W57</f>
        <v>99.73</v>
      </c>
      <c r="X58" s="14"/>
      <c r="Y58" s="58"/>
      <c r="Z58" s="59" t="s">
        <v>268</v>
      </c>
      <c r="AA58" s="387"/>
      <c r="AB58" s="147"/>
      <c r="AC58" s="60">
        <v>100</v>
      </c>
      <c r="AD58" s="60"/>
      <c r="AE58" s="60"/>
      <c r="AF58" s="60"/>
      <c r="AG58" s="60"/>
      <c r="AH58" s="148">
        <f>AC58/AC57*AH57</f>
        <v>105.5</v>
      </c>
      <c r="AJ58" s="58"/>
      <c r="AK58" s="59" t="s">
        <v>268</v>
      </c>
      <c r="AL58" s="387"/>
      <c r="AM58" s="147"/>
      <c r="AN58" s="60">
        <v>100</v>
      </c>
      <c r="AO58" s="60"/>
      <c r="AP58" s="60"/>
      <c r="AQ58" s="60"/>
      <c r="AR58" s="60"/>
      <c r="AS58" s="148">
        <f>AN58/AN57*AS57</f>
        <v>99.85</v>
      </c>
      <c r="AU58" s="58"/>
      <c r="AV58" s="59" t="s">
        <v>268</v>
      </c>
      <c r="AW58" s="387"/>
      <c r="AX58" s="147"/>
      <c r="AY58" s="60">
        <v>100</v>
      </c>
      <c r="AZ58" s="60"/>
      <c r="BA58" s="60"/>
      <c r="BB58" s="60"/>
      <c r="BC58" s="60"/>
      <c r="BD58" s="148">
        <f>AY58/AY57*BD57</f>
        <v>103.42</v>
      </c>
    </row>
    <row r="59" spans="2:56">
      <c r="D59" s="7"/>
      <c r="E59" s="382"/>
      <c r="L59" s="151"/>
      <c r="M59" s="15"/>
      <c r="O59" s="7"/>
      <c r="P59" s="382"/>
      <c r="W59" s="151"/>
      <c r="X59" s="15"/>
      <c r="Y59" s="7"/>
      <c r="Z59" s="7"/>
      <c r="AA59" s="382"/>
      <c r="AB59" s="7"/>
      <c r="AC59" s="7"/>
      <c r="AD59" s="7"/>
      <c r="AE59" s="7"/>
      <c r="AF59" s="7"/>
      <c r="AG59" s="7"/>
      <c r="AH59" s="151"/>
      <c r="AJ59" s="7"/>
      <c r="AK59" s="7"/>
      <c r="AL59" s="382"/>
      <c r="AM59" s="7"/>
      <c r="AN59" s="7"/>
      <c r="AO59" s="7"/>
      <c r="AP59" s="7"/>
      <c r="AQ59" s="7"/>
      <c r="AS59" s="151"/>
      <c r="BD59" s="151"/>
    </row>
    <row r="60" spans="2:56">
      <c r="D60" s="105"/>
      <c r="E60" s="105"/>
      <c r="F60" s="105"/>
      <c r="G60" s="105"/>
      <c r="H60" s="105"/>
      <c r="I60" s="105"/>
      <c r="J60" s="105"/>
      <c r="K60" s="105"/>
      <c r="L60" s="105"/>
      <c r="M60" s="15"/>
      <c r="N60" s="742"/>
      <c r="O60" s="742"/>
      <c r="P60" s="742"/>
      <c r="Q60" s="742"/>
      <c r="R60" s="742"/>
      <c r="S60" s="742"/>
      <c r="T60" s="742"/>
      <c r="U60" s="742"/>
      <c r="V60" s="742"/>
      <c r="W60" s="742"/>
      <c r="X60" s="15"/>
      <c r="Y60" s="742"/>
      <c r="Z60" s="742"/>
      <c r="AA60" s="742"/>
      <c r="AB60" s="742"/>
      <c r="AC60" s="742"/>
      <c r="AD60" s="742"/>
      <c r="AE60" s="742"/>
      <c r="AF60" s="742"/>
      <c r="AG60" s="742"/>
      <c r="AH60" s="742"/>
      <c r="AJ60" s="742"/>
      <c r="AK60" s="742"/>
      <c r="AL60" s="742"/>
      <c r="AM60" s="742"/>
      <c r="AN60" s="742"/>
      <c r="AO60" s="742"/>
      <c r="AP60" s="742"/>
      <c r="AQ60" s="742"/>
      <c r="AR60" s="742"/>
      <c r="AS60" s="742"/>
      <c r="AU60" s="742"/>
      <c r="AV60" s="742"/>
      <c r="AW60" s="742"/>
      <c r="AX60" s="742"/>
      <c r="AY60" s="742"/>
      <c r="AZ60" s="742"/>
      <c r="BA60" s="742"/>
      <c r="BB60" s="742"/>
      <c r="BC60" s="742"/>
      <c r="BD60" s="742"/>
    </row>
    <row r="61" spans="2:56">
      <c r="C61" s="105"/>
      <c r="D61" s="7"/>
      <c r="E61" s="382"/>
      <c r="M61" s="15"/>
      <c r="O61" s="7"/>
      <c r="P61" s="382"/>
      <c r="X61" s="15"/>
      <c r="Y61" s="7"/>
      <c r="Z61" s="7"/>
      <c r="AA61" s="382"/>
      <c r="AB61" s="7"/>
      <c r="AC61" s="7"/>
      <c r="AD61" s="7"/>
      <c r="AE61" s="7"/>
      <c r="AF61" s="7"/>
      <c r="AG61" s="7"/>
      <c r="AH61" s="7"/>
      <c r="AJ61" s="7"/>
      <c r="AK61" s="7"/>
      <c r="AL61" s="382"/>
      <c r="AM61" s="7"/>
      <c r="AN61" s="7"/>
      <c r="AO61" s="7"/>
      <c r="AP61" s="7"/>
      <c r="AQ61" s="7"/>
      <c r="AS61" s="7"/>
    </row>
    <row r="62" spans="2:56">
      <c r="D62" s="7"/>
      <c r="E62" s="382"/>
      <c r="M62" s="15"/>
      <c r="O62" s="7"/>
      <c r="P62" s="382"/>
      <c r="X62" s="15"/>
      <c r="Y62" s="7"/>
      <c r="Z62" s="7"/>
      <c r="AA62" s="382"/>
      <c r="AB62" s="7"/>
      <c r="AC62" s="7"/>
      <c r="AD62" s="7"/>
      <c r="AE62" s="7"/>
      <c r="AF62" s="7"/>
      <c r="AG62" s="7"/>
      <c r="AH62" s="7"/>
      <c r="AJ62" s="7"/>
      <c r="AK62" s="7"/>
      <c r="AL62" s="382"/>
      <c r="AM62" s="7"/>
      <c r="AN62" s="7"/>
      <c r="AO62" s="7"/>
      <c r="AP62" s="7"/>
      <c r="AQ62" s="7"/>
      <c r="AS62" s="7"/>
    </row>
    <row r="63" spans="2:56">
      <c r="D63" s="7"/>
      <c r="E63" s="382"/>
      <c r="K63" s="240"/>
      <c r="M63" s="15"/>
      <c r="O63" s="7"/>
      <c r="P63" s="382"/>
      <c r="X63" s="15"/>
      <c r="Y63" s="7"/>
      <c r="Z63" s="7"/>
      <c r="AA63" s="382"/>
      <c r="AB63" s="7"/>
      <c r="AC63" s="7"/>
      <c r="AD63" s="7"/>
      <c r="AE63" s="7"/>
      <c r="AF63" s="7"/>
      <c r="AG63" s="7"/>
      <c r="AH63" s="7"/>
      <c r="AJ63" s="7"/>
      <c r="AK63" s="7"/>
      <c r="AL63" s="382"/>
      <c r="AM63" s="7"/>
      <c r="AN63" s="7"/>
      <c r="AO63" s="7"/>
      <c r="AP63" s="7"/>
      <c r="AQ63" s="7"/>
      <c r="AS63" s="7"/>
    </row>
    <row r="64" spans="2:56">
      <c r="D64" s="7"/>
      <c r="E64" s="382"/>
      <c r="M64" s="15"/>
      <c r="O64" s="7"/>
      <c r="P64" s="382"/>
      <c r="X64" s="15"/>
      <c r="Y64" s="7"/>
      <c r="Z64" s="7"/>
      <c r="AA64" s="382"/>
      <c r="AB64" s="7"/>
      <c r="AC64" s="7"/>
      <c r="AD64" s="7"/>
      <c r="AE64" s="7"/>
      <c r="AF64" s="7"/>
      <c r="AG64" s="7"/>
      <c r="AH64" s="7"/>
      <c r="AJ64" s="7"/>
      <c r="AK64" s="7"/>
      <c r="AL64" s="382"/>
      <c r="AM64" s="7"/>
      <c r="AN64" s="7"/>
      <c r="AO64" s="7"/>
      <c r="AP64" s="7"/>
      <c r="AQ64" s="7"/>
      <c r="AS64" s="7"/>
    </row>
    <row r="65" spans="1:45">
      <c r="D65" s="7"/>
      <c r="E65" s="382"/>
      <c r="M65" s="15"/>
      <c r="O65" s="7"/>
      <c r="P65" s="382"/>
      <c r="X65" s="15"/>
      <c r="Y65" s="7"/>
      <c r="Z65" s="7"/>
      <c r="AA65" s="382"/>
      <c r="AB65" s="7"/>
      <c r="AC65" s="7"/>
      <c r="AD65" s="7"/>
      <c r="AE65" s="7"/>
      <c r="AF65" s="7"/>
      <c r="AG65" s="7"/>
      <c r="AH65" s="7"/>
      <c r="AJ65" s="7"/>
      <c r="AK65" s="7"/>
      <c r="AL65" s="382"/>
      <c r="AM65" s="7"/>
      <c r="AN65" s="7"/>
      <c r="AO65" s="7"/>
      <c r="AP65" s="7"/>
      <c r="AQ65" s="7"/>
      <c r="AS65" s="7"/>
    </row>
    <row r="66" spans="1:45">
      <c r="D66" s="7"/>
      <c r="E66" s="382"/>
      <c r="M66" s="15"/>
      <c r="O66" s="7"/>
      <c r="P66" s="382"/>
      <c r="X66" s="15"/>
      <c r="Y66" s="7"/>
      <c r="Z66" s="7"/>
      <c r="AA66" s="382"/>
      <c r="AB66" s="7"/>
      <c r="AC66" s="7"/>
      <c r="AD66" s="7"/>
      <c r="AE66" s="7"/>
      <c r="AF66" s="7"/>
      <c r="AG66" s="7"/>
      <c r="AH66" s="7"/>
      <c r="AJ66" s="7"/>
      <c r="AK66" s="7"/>
      <c r="AL66" s="382"/>
      <c r="AM66" s="7"/>
      <c r="AN66" s="7"/>
      <c r="AO66" s="7"/>
      <c r="AP66" s="7"/>
      <c r="AQ66" s="7"/>
      <c r="AS66" s="7"/>
    </row>
    <row r="67" spans="1:45">
      <c r="D67" s="7"/>
      <c r="E67" s="382"/>
      <c r="M67" s="15"/>
      <c r="O67" s="7"/>
      <c r="P67" s="382"/>
      <c r="X67" s="15"/>
      <c r="Y67" s="7"/>
      <c r="Z67" s="7"/>
      <c r="AA67" s="382"/>
      <c r="AB67" s="7"/>
      <c r="AC67" s="7"/>
      <c r="AD67" s="7"/>
      <c r="AE67" s="7"/>
      <c r="AF67" s="7"/>
      <c r="AG67" s="7"/>
      <c r="AH67" s="7"/>
      <c r="AJ67" s="7"/>
      <c r="AK67" s="7"/>
      <c r="AL67" s="382"/>
      <c r="AM67" s="7"/>
      <c r="AN67" s="7"/>
      <c r="AO67" s="7"/>
      <c r="AP67" s="7"/>
      <c r="AQ67" s="7"/>
      <c r="AS67" s="7"/>
    </row>
    <row r="68" spans="1:45">
      <c r="D68" s="7"/>
      <c r="E68" s="382"/>
      <c r="M68" s="15"/>
      <c r="O68" s="7"/>
      <c r="P68" s="382"/>
      <c r="X68" s="15"/>
      <c r="Y68" s="7"/>
      <c r="Z68" s="7"/>
      <c r="AA68" s="382"/>
      <c r="AB68" s="7"/>
      <c r="AC68" s="7"/>
      <c r="AD68" s="7"/>
      <c r="AE68" s="7"/>
      <c r="AF68" s="7"/>
      <c r="AG68" s="7"/>
      <c r="AH68" s="7"/>
      <c r="AJ68" s="7"/>
      <c r="AK68" s="7"/>
      <c r="AL68" s="382"/>
      <c r="AM68" s="7"/>
      <c r="AN68" s="7"/>
      <c r="AO68" s="7"/>
      <c r="AP68" s="7"/>
      <c r="AQ68" s="7"/>
      <c r="AS68" s="7"/>
    </row>
    <row r="69" spans="1:45">
      <c r="D69" s="7"/>
      <c r="E69" s="382"/>
      <c r="M69" s="15"/>
      <c r="O69" s="7"/>
      <c r="P69" s="382"/>
      <c r="X69" s="15"/>
      <c r="Y69" s="7"/>
      <c r="Z69" s="7"/>
      <c r="AA69" s="382"/>
      <c r="AB69" s="7"/>
      <c r="AC69" s="7"/>
      <c r="AD69" s="7"/>
      <c r="AE69" s="7"/>
      <c r="AF69" s="7"/>
      <c r="AG69" s="7"/>
      <c r="AH69" s="7"/>
      <c r="AJ69" s="7"/>
      <c r="AK69" s="7"/>
      <c r="AL69" s="382"/>
      <c r="AM69" s="7"/>
      <c r="AN69" s="7"/>
      <c r="AO69" s="7"/>
      <c r="AP69" s="7"/>
      <c r="AQ69" s="7"/>
      <c r="AS69" s="7"/>
    </row>
    <row r="70" spans="1:45">
      <c r="D70" s="7"/>
      <c r="E70" s="382"/>
      <c r="M70" s="15"/>
      <c r="O70" s="7"/>
      <c r="P70" s="382"/>
      <c r="X70" s="15"/>
      <c r="Y70" s="7"/>
      <c r="Z70" s="7"/>
      <c r="AA70" s="382"/>
      <c r="AB70" s="7"/>
      <c r="AC70" s="7"/>
      <c r="AD70" s="7"/>
      <c r="AE70" s="7"/>
      <c r="AF70" s="7"/>
      <c r="AG70" s="7"/>
      <c r="AH70" s="7"/>
      <c r="AJ70" s="7"/>
      <c r="AK70" s="7"/>
      <c r="AL70" s="382"/>
      <c r="AM70" s="7"/>
      <c r="AN70" s="7"/>
      <c r="AO70" s="7"/>
      <c r="AP70" s="7"/>
      <c r="AQ70" s="7"/>
      <c r="AS70" s="7"/>
    </row>
    <row r="71" spans="1:45">
      <c r="D71" s="7"/>
      <c r="E71" s="382"/>
      <c r="M71" s="15"/>
      <c r="O71" s="7"/>
      <c r="P71" s="382"/>
      <c r="X71" s="15"/>
      <c r="Y71" s="7"/>
      <c r="Z71" s="7"/>
      <c r="AA71" s="382"/>
      <c r="AB71" s="7"/>
      <c r="AC71" s="7"/>
      <c r="AD71" s="7"/>
      <c r="AE71" s="7"/>
      <c r="AF71" s="7"/>
      <c r="AG71" s="7"/>
      <c r="AH71" s="7"/>
      <c r="AJ71" s="7"/>
      <c r="AK71" s="7"/>
      <c r="AL71" s="382"/>
      <c r="AM71" s="7"/>
      <c r="AN71" s="7"/>
      <c r="AO71" s="7"/>
      <c r="AP71" s="7"/>
      <c r="AQ71" s="7"/>
      <c r="AS71" s="7"/>
    </row>
    <row r="72" spans="1:45">
      <c r="D72" s="7"/>
      <c r="E72" s="382"/>
      <c r="M72" s="15"/>
      <c r="O72" s="7"/>
      <c r="P72" s="382"/>
      <c r="X72" s="15"/>
      <c r="Y72" s="7"/>
      <c r="Z72" s="7"/>
      <c r="AA72" s="382"/>
      <c r="AB72" s="7"/>
      <c r="AC72" s="7"/>
      <c r="AD72" s="7"/>
      <c r="AE72" s="7"/>
      <c r="AF72" s="7"/>
      <c r="AG72" s="7"/>
      <c r="AH72" s="7"/>
      <c r="AJ72" s="7"/>
      <c r="AK72" s="7"/>
      <c r="AL72" s="382"/>
      <c r="AM72" s="7"/>
      <c r="AN72" s="7"/>
      <c r="AO72" s="7"/>
      <c r="AP72" s="7"/>
      <c r="AQ72" s="7"/>
      <c r="AS72" s="7"/>
    </row>
    <row r="73" spans="1:45" ht="16.5">
      <c r="K73" s="87"/>
      <c r="L73" s="87"/>
      <c r="M73" s="13"/>
      <c r="U73" s="13"/>
      <c r="V73" s="1"/>
      <c r="W73" s="1"/>
      <c r="AO73" s="7"/>
      <c r="AR73" s="1"/>
    </row>
    <row r="74" spans="1:45">
      <c r="A74" s="1" t="s">
        <v>269</v>
      </c>
      <c r="K74" s="426" t="s">
        <v>94</v>
      </c>
      <c r="L74" s="16" t="s">
        <v>156</v>
      </c>
      <c r="M74" s="15"/>
      <c r="U74" s="15"/>
      <c r="V74" s="1"/>
      <c r="W74" s="1"/>
      <c r="AO74" s="7"/>
      <c r="AR74" s="1"/>
    </row>
    <row r="75" spans="1:45">
      <c r="K75" s="426" t="s">
        <v>95</v>
      </c>
      <c r="L75" s="16" t="s">
        <v>158</v>
      </c>
      <c r="M75" s="13"/>
      <c r="U75" s="13"/>
      <c r="V75" s="1"/>
      <c r="W75" s="1"/>
      <c r="AO75" s="7"/>
      <c r="AR75" s="1"/>
    </row>
    <row r="76" spans="1:45">
      <c r="K76" s="426" t="s">
        <v>96</v>
      </c>
      <c r="L76" s="16" t="s">
        <v>159</v>
      </c>
      <c r="M76" s="13"/>
      <c r="U76" s="13"/>
      <c r="V76" s="1"/>
      <c r="W76" s="1"/>
      <c r="AO76" s="7"/>
      <c r="AR76" s="1"/>
    </row>
    <row r="77" spans="1:45">
      <c r="K77" s="426" t="s">
        <v>97</v>
      </c>
      <c r="L77" s="16" t="s">
        <v>160</v>
      </c>
      <c r="M77" s="13"/>
      <c r="U77" s="13"/>
      <c r="V77" s="1"/>
      <c r="W77" s="1"/>
      <c r="AO77" s="7"/>
      <c r="AR77" s="1"/>
    </row>
    <row r="78" spans="1:45">
      <c r="K78" s="426" t="s">
        <v>98</v>
      </c>
      <c r="L78" s="16" t="s">
        <v>161</v>
      </c>
      <c r="U78" s="1"/>
      <c r="V78" s="1"/>
      <c r="W78" s="1"/>
      <c r="AO78" s="7"/>
      <c r="AR78" s="1"/>
    </row>
    <row r="79" spans="1:45">
      <c r="K79" s="426" t="s">
        <v>153</v>
      </c>
      <c r="L79" s="16" t="s">
        <v>162</v>
      </c>
      <c r="U79" s="1"/>
      <c r="V79" s="1"/>
      <c r="W79" s="1"/>
      <c r="AO79" s="7"/>
      <c r="AR79" s="1"/>
    </row>
    <row r="80" spans="1:45">
      <c r="K80" s="426" t="s">
        <v>163</v>
      </c>
      <c r="L80" s="16" t="s">
        <v>164</v>
      </c>
      <c r="U80" s="1"/>
      <c r="V80" s="1"/>
      <c r="W80" s="1"/>
      <c r="AO80" s="7"/>
      <c r="AR80" s="1"/>
    </row>
    <row r="81" spans="11:44">
      <c r="K81" s="426" t="s">
        <v>165</v>
      </c>
      <c r="L81" s="16" t="s">
        <v>166</v>
      </c>
      <c r="U81" s="1"/>
      <c r="V81" s="1"/>
      <c r="W81" s="1"/>
      <c r="AO81" s="7"/>
      <c r="AR81" s="1"/>
    </row>
    <row r="82" spans="11:44">
      <c r="K82" s="426" t="s">
        <v>167</v>
      </c>
      <c r="L82" s="16" t="s">
        <v>168</v>
      </c>
      <c r="U82" s="1"/>
      <c r="V82" s="1"/>
      <c r="W82" s="1"/>
      <c r="AO82" s="7"/>
      <c r="AR82" s="1"/>
    </row>
    <row r="83" spans="11:44">
      <c r="K83" s="426" t="s">
        <v>169</v>
      </c>
      <c r="L83" s="16" t="s">
        <v>170</v>
      </c>
      <c r="U83" s="1"/>
      <c r="V83" s="1"/>
      <c r="W83" s="1"/>
      <c r="AO83" s="7"/>
      <c r="AR83" s="1"/>
    </row>
    <row r="84" spans="11:44">
      <c r="K84" s="426" t="s">
        <v>171</v>
      </c>
      <c r="L84" s="16" t="s">
        <v>172</v>
      </c>
      <c r="U84" s="1"/>
      <c r="V84" s="1"/>
      <c r="W84" s="1"/>
      <c r="AO84" s="7"/>
      <c r="AR84" s="1"/>
    </row>
    <row r="85" spans="11:44">
      <c r="K85" s="426" t="s">
        <v>174</v>
      </c>
      <c r="L85" s="16" t="s">
        <v>175</v>
      </c>
      <c r="U85" s="1"/>
      <c r="V85" s="1"/>
      <c r="W85" s="1"/>
      <c r="AO85" s="7"/>
      <c r="AR85" s="1"/>
    </row>
    <row r="86" spans="11:44">
      <c r="K86" s="13"/>
      <c r="L86" s="13"/>
      <c r="U86" s="1"/>
      <c r="V86" s="1"/>
      <c r="W86" s="1"/>
      <c r="AO86" s="7"/>
      <c r="AR86" s="1"/>
    </row>
    <row r="87" spans="11:44">
      <c r="U87" s="1"/>
      <c r="V87" s="1"/>
      <c r="W87" s="1"/>
      <c r="AO87" s="7"/>
      <c r="AR87" s="1"/>
    </row>
    <row r="88" spans="11:44">
      <c r="U88" s="1"/>
      <c r="V88" s="1"/>
      <c r="W88" s="1"/>
      <c r="AO88" s="7"/>
      <c r="AR88" s="1"/>
    </row>
    <row r="89" spans="11:44">
      <c r="U89" s="1"/>
      <c r="V89" s="1"/>
      <c r="W89" s="1"/>
      <c r="AO89" s="7"/>
      <c r="AR89" s="1"/>
    </row>
    <row r="90" spans="11:44">
      <c r="K90" s="27"/>
      <c r="U90" s="1"/>
      <c r="V90" s="1"/>
      <c r="W90" s="1"/>
      <c r="AO90" s="7"/>
      <c r="AR90" s="1"/>
    </row>
  </sheetData>
  <sheetProtection autoFilter="0"/>
  <mergeCells count="34">
    <mergeCell ref="AK6:AK7"/>
    <mergeCell ref="AV6:AV7"/>
    <mergeCell ref="AY6:AY7"/>
    <mergeCell ref="AZ6:AZ7"/>
    <mergeCell ref="AX6:AX7"/>
    <mergeCell ref="AM6:AM7"/>
    <mergeCell ref="AN6:AN7"/>
    <mergeCell ref="AB6:AB7"/>
    <mergeCell ref="AC6:AC7"/>
    <mergeCell ref="AD6:AD7"/>
    <mergeCell ref="AE6:AH6"/>
    <mergeCell ref="AJ6:AJ7"/>
    <mergeCell ref="I6:L6"/>
    <mergeCell ref="C6:C7"/>
    <mergeCell ref="D6:D7"/>
    <mergeCell ref="F6:F7"/>
    <mergeCell ref="G6:G7"/>
    <mergeCell ref="H6:H7"/>
    <mergeCell ref="N60:W60"/>
    <mergeCell ref="Y60:AH60"/>
    <mergeCell ref="AJ60:AS60"/>
    <mergeCell ref="AU60:BD60"/>
    <mergeCell ref="AO6:AO7"/>
    <mergeCell ref="AU6:AU7"/>
    <mergeCell ref="T6:W6"/>
    <mergeCell ref="N6:N7"/>
    <mergeCell ref="O6:O7"/>
    <mergeCell ref="Q6:Q7"/>
    <mergeCell ref="R6:R7"/>
    <mergeCell ref="S6:S7"/>
    <mergeCell ref="BA6:BD6"/>
    <mergeCell ref="AP6:AS6"/>
    <mergeCell ref="Y6:Y7"/>
    <mergeCell ref="Z6:Z7"/>
  </mergeCells>
  <conditionalFormatting sqref="E10:E18">
    <cfRule type="iconSet" priority="48226">
      <iconSet iconSet="3ArrowsGray" showValue="0">
        <cfvo type="percent" val="0"/>
        <cfvo type="num" val="2"/>
        <cfvo type="num" val="3"/>
      </iconSet>
    </cfRule>
  </conditionalFormatting>
  <conditionalFormatting sqref="E20:E56">
    <cfRule type="iconSet" priority="48189">
      <iconSet iconSet="3ArrowsGray" showValue="0">
        <cfvo type="percent" val="0"/>
        <cfvo type="num" val="2"/>
        <cfvo type="num" val="3"/>
      </iconSet>
    </cfRule>
  </conditionalFormatting>
  <conditionalFormatting sqref="E57">
    <cfRule type="iconSet" priority="16829">
      <iconSet iconSet="3ArrowsGray" showValue="0">
        <cfvo type="percent" val="0"/>
        <cfvo type="num" val="2"/>
        <cfvo type="num" val="3"/>
      </iconSet>
    </cfRule>
  </conditionalFormatting>
  <conditionalFormatting sqref="E58">
    <cfRule type="iconSet" priority="15677">
      <iconSet iconSet="3ArrowsGray" showValue="0">
        <cfvo type="percent" val="0"/>
        <cfvo type="num" val="2"/>
        <cfvo type="num" val="3"/>
      </iconSet>
    </cfRule>
  </conditionalFormatting>
  <conditionalFormatting sqref="F10:F18">
    <cfRule type="iconSet" priority="48228">
      <iconSet iconSet="3ArrowsGray" showValue="0">
        <cfvo type="percent" val="0"/>
        <cfvo type="num" val="2"/>
        <cfvo type="num" val="3"/>
      </iconSet>
    </cfRule>
  </conditionalFormatting>
  <conditionalFormatting sqref="F20:F56">
    <cfRule type="iconSet" priority="48190">
      <iconSet iconSet="3ArrowsGray" showValue="0">
        <cfvo type="percent" val="0"/>
        <cfvo type="num" val="2"/>
        <cfvo type="num" val="3"/>
      </iconSet>
    </cfRule>
  </conditionalFormatting>
  <conditionalFormatting sqref="F57">
    <cfRule type="iconSet" priority="16830">
      <iconSet iconSet="3ArrowsGray" showValue="0">
        <cfvo type="percent" val="0"/>
        <cfvo type="num" val="2"/>
        <cfvo type="num" val="3"/>
      </iconSet>
    </cfRule>
  </conditionalFormatting>
  <conditionalFormatting sqref="F58">
    <cfRule type="iconSet" priority="15678">
      <iconSet iconSet="3ArrowsGray" showValue="0">
        <cfvo type="percent" val="0"/>
        <cfvo type="num" val="2"/>
        <cfvo type="num" val="3"/>
      </iconSet>
    </cfRule>
  </conditionalFormatting>
  <conditionalFormatting sqref="K10">
    <cfRule type="iconSet" priority="7019">
      <iconSet>
        <cfvo type="percent" val="0"/>
        <cfvo type="num" val="70"/>
        <cfvo type="num" val="90"/>
      </iconSet>
    </cfRule>
    <cfRule type="iconSet" priority="7015">
      <iconSet>
        <cfvo type="percent" val="0"/>
        <cfvo type="num" val="95"/>
        <cfvo type="num" val="100"/>
      </iconSet>
    </cfRule>
    <cfRule type="iconSet" priority="7016">
      <iconSet>
        <cfvo type="percent" val="0"/>
        <cfvo type="num" val="95"/>
        <cfvo type="num" val="100"/>
      </iconSet>
    </cfRule>
    <cfRule type="iconSet" priority="7017">
      <iconSet>
        <cfvo type="percent" val="0"/>
        <cfvo type="num" val="95"/>
        <cfvo type="num" val="100"/>
      </iconSet>
    </cfRule>
    <cfRule type="iconSet" priority="7018">
      <iconSet>
        <cfvo type="percent" val="0"/>
        <cfvo type="num" val="70"/>
        <cfvo type="num" val="90"/>
      </iconSet>
    </cfRule>
    <cfRule type="iconSet" priority="7020">
      <iconSet>
        <cfvo type="percent" val="0"/>
        <cfvo type="num" val="95"/>
        <cfvo type="num" val="100"/>
      </iconSet>
    </cfRule>
    <cfRule type="iconSet" priority="7014">
      <iconSet>
        <cfvo type="percent" val="0"/>
        <cfvo type="num" val="70"/>
        <cfvo type="num" val="90"/>
      </iconSet>
    </cfRule>
    <cfRule type="iconSet" priority="7013">
      <iconSet>
        <cfvo type="percent" val="0"/>
        <cfvo type="num" val="70"/>
        <cfvo type="num" val="90"/>
      </iconSet>
    </cfRule>
    <cfRule type="iconSet" priority="7012">
      <iconSet>
        <cfvo type="percent" val="0"/>
        <cfvo type="num" val="95"/>
        <cfvo type="num" val="100"/>
      </iconSet>
    </cfRule>
  </conditionalFormatting>
  <conditionalFormatting sqref="K11">
    <cfRule type="iconSet" priority="2594">
      <iconSet>
        <cfvo type="percent" val="0"/>
        <cfvo type="num" val="70"/>
        <cfvo type="num" val="90"/>
      </iconSet>
    </cfRule>
    <cfRule type="iconSet" priority="2595">
      <iconSet>
        <cfvo type="percent" val="0"/>
        <cfvo type="num" val="95"/>
        <cfvo type="num" val="100"/>
      </iconSet>
    </cfRule>
    <cfRule type="iconSet" priority="2592">
      <iconSet>
        <cfvo type="percent" val="0"/>
        <cfvo type="num" val="95"/>
        <cfvo type="num" val="100"/>
      </iconSet>
    </cfRule>
    <cfRule type="iconSet" priority="2596">
      <iconSet>
        <cfvo type="percent" val="0"/>
        <cfvo type="num" val="95"/>
        <cfvo type="num" val="100"/>
      </iconSet>
    </cfRule>
    <cfRule type="iconSet" priority="2599">
      <iconSet>
        <cfvo type="percent" val="0"/>
        <cfvo type="num" val="70"/>
        <cfvo type="num" val="90"/>
      </iconSet>
    </cfRule>
    <cfRule type="iconSet" priority="2600">
      <iconSet>
        <cfvo type="percent" val="0"/>
        <cfvo type="num" val="95"/>
        <cfvo type="num" val="100"/>
      </iconSet>
    </cfRule>
    <cfRule type="iconSet" priority="2593">
      <iconSet>
        <cfvo type="percent" val="0"/>
        <cfvo type="num" val="70"/>
        <cfvo type="num" val="90"/>
      </iconSet>
    </cfRule>
    <cfRule type="iconSet" priority="2598">
      <iconSet>
        <cfvo type="percent" val="0"/>
        <cfvo type="num" val="70"/>
        <cfvo type="num" val="90"/>
      </iconSet>
    </cfRule>
    <cfRule type="iconSet" priority="2597">
      <iconSet>
        <cfvo type="percent" val="0"/>
        <cfvo type="num" val="95"/>
        <cfvo type="num" val="100"/>
      </iconSet>
    </cfRule>
  </conditionalFormatting>
  <conditionalFormatting sqref="K12:K18">
    <cfRule type="iconSet" priority="48235">
      <iconSet>
        <cfvo type="percent" val="0"/>
        <cfvo type="num" val="95"/>
        <cfvo type="num" val="100"/>
      </iconSet>
    </cfRule>
    <cfRule type="iconSet" priority="48234">
      <iconSet>
        <cfvo type="percent" val="0"/>
        <cfvo type="num" val="95"/>
        <cfvo type="num" val="100"/>
      </iconSet>
    </cfRule>
    <cfRule type="iconSet" priority="48233">
      <iconSet>
        <cfvo type="percent" val="0"/>
        <cfvo type="num" val="95"/>
        <cfvo type="num" val="100"/>
      </iconSet>
    </cfRule>
    <cfRule type="iconSet" priority="48232">
      <iconSet>
        <cfvo type="percent" val="0"/>
        <cfvo type="num" val="70"/>
        <cfvo type="num" val="90"/>
      </iconSet>
    </cfRule>
    <cfRule type="iconSet" priority="48231">
      <iconSet>
        <cfvo type="percent" val="0"/>
        <cfvo type="num" val="70"/>
        <cfvo type="num" val="90"/>
      </iconSet>
    </cfRule>
    <cfRule type="iconSet" priority="48230">
      <iconSet>
        <cfvo type="percent" val="0"/>
        <cfvo type="num" val="95"/>
        <cfvo type="num" val="100"/>
      </iconSet>
    </cfRule>
    <cfRule type="iconSet" priority="48238">
      <iconSet>
        <cfvo type="percent" val="0"/>
        <cfvo type="num" val="95"/>
        <cfvo type="num" val="100"/>
      </iconSet>
    </cfRule>
    <cfRule type="iconSet" priority="48237">
      <iconSet>
        <cfvo type="percent" val="0"/>
        <cfvo type="num" val="70"/>
        <cfvo type="num" val="90"/>
      </iconSet>
    </cfRule>
    <cfRule type="iconSet" priority="48236">
      <iconSet>
        <cfvo type="percent" val="0"/>
        <cfvo type="num" val="70"/>
        <cfvo type="num" val="90"/>
      </iconSet>
    </cfRule>
  </conditionalFormatting>
  <conditionalFormatting sqref="K20">
    <cfRule type="iconSet" priority="6972">
      <iconSet>
        <cfvo type="percent" val="0"/>
        <cfvo type="num" val="95"/>
        <cfvo type="num" val="100"/>
      </iconSet>
    </cfRule>
    <cfRule type="iconSet" priority="6975">
      <iconSet>
        <cfvo type="percent" val="0"/>
        <cfvo type="num" val="95"/>
        <cfvo type="num" val="100"/>
      </iconSet>
    </cfRule>
    <cfRule type="iconSet" priority="6974">
      <iconSet>
        <cfvo type="percent" val="0"/>
        <cfvo type="num" val="70"/>
        <cfvo type="num" val="90"/>
      </iconSet>
    </cfRule>
    <cfRule type="iconSet" priority="6973">
      <iconSet>
        <cfvo type="percent" val="0"/>
        <cfvo type="num" val="70"/>
        <cfvo type="num" val="90"/>
      </iconSet>
    </cfRule>
    <cfRule type="iconSet" priority="6971">
      <iconSet>
        <cfvo type="percent" val="0"/>
        <cfvo type="num" val="95"/>
        <cfvo type="num" val="100"/>
      </iconSet>
    </cfRule>
    <cfRule type="iconSet" priority="6970">
      <iconSet>
        <cfvo type="percent" val="0"/>
        <cfvo type="num" val="95"/>
        <cfvo type="num" val="100"/>
      </iconSet>
    </cfRule>
    <cfRule type="iconSet" priority="6969">
      <iconSet>
        <cfvo type="percent" val="0"/>
        <cfvo type="num" val="70"/>
        <cfvo type="num" val="90"/>
      </iconSet>
    </cfRule>
    <cfRule type="iconSet" priority="6968">
      <iconSet>
        <cfvo type="percent" val="0"/>
        <cfvo type="num" val="70"/>
        <cfvo type="num" val="90"/>
      </iconSet>
    </cfRule>
    <cfRule type="iconSet" priority="6967">
      <iconSet>
        <cfvo type="percent" val="0"/>
        <cfvo type="num" val="95"/>
        <cfvo type="num" val="100"/>
      </iconSet>
    </cfRule>
  </conditionalFormatting>
  <conditionalFormatting sqref="K21:K23">
    <cfRule type="iconSet" priority="1064">
      <iconSet>
        <cfvo type="percent" val="0"/>
        <cfvo type="num" val="95"/>
        <cfvo type="num" val="100"/>
      </iconSet>
    </cfRule>
    <cfRule type="iconSet" priority="1065">
      <iconSet>
        <cfvo type="percent" val="0"/>
        <cfvo type="num" val="95"/>
        <cfvo type="num" val="100"/>
      </iconSet>
    </cfRule>
    <cfRule type="iconSet" priority="1069">
      <iconSet>
        <cfvo type="percent" val="0"/>
        <cfvo type="num" val="95"/>
        <cfvo type="num" val="100"/>
      </iconSet>
    </cfRule>
    <cfRule type="iconSet" priority="1067">
      <iconSet>
        <cfvo type="percent" val="0"/>
        <cfvo type="num" val="70"/>
        <cfvo type="num" val="90"/>
      </iconSet>
    </cfRule>
    <cfRule type="iconSet" priority="1068">
      <iconSet>
        <cfvo type="percent" val="0"/>
        <cfvo type="num" val="70"/>
        <cfvo type="num" val="90"/>
      </iconSet>
    </cfRule>
    <cfRule type="iconSet" priority="1066">
      <iconSet>
        <cfvo type="percent" val="0"/>
        <cfvo type="num" val="95"/>
        <cfvo type="num" val="100"/>
      </iconSet>
    </cfRule>
    <cfRule type="iconSet" priority="1061">
      <iconSet>
        <cfvo type="percent" val="0"/>
        <cfvo type="num" val="95"/>
        <cfvo type="num" val="100"/>
      </iconSet>
    </cfRule>
    <cfRule type="iconSet" priority="1062">
      <iconSet>
        <cfvo type="percent" val="0"/>
        <cfvo type="num" val="70"/>
        <cfvo type="num" val="90"/>
      </iconSet>
    </cfRule>
    <cfRule type="iconSet" priority="1063">
      <iconSet>
        <cfvo type="percent" val="0"/>
        <cfvo type="num" val="70"/>
        <cfvo type="num" val="90"/>
      </iconSet>
    </cfRule>
  </conditionalFormatting>
  <conditionalFormatting sqref="K24:K28">
    <cfRule type="iconSet" priority="1060">
      <iconSet>
        <cfvo type="percent" val="0"/>
        <cfvo type="num" val="95"/>
        <cfvo type="num" val="100"/>
      </iconSet>
    </cfRule>
    <cfRule type="iconSet" priority="1053">
      <iconSet>
        <cfvo type="percent" val="0"/>
        <cfvo type="num" val="70"/>
        <cfvo type="num" val="90"/>
      </iconSet>
    </cfRule>
    <cfRule type="iconSet" priority="1058">
      <iconSet>
        <cfvo type="percent" val="0"/>
        <cfvo type="num" val="70"/>
        <cfvo type="num" val="90"/>
      </iconSet>
    </cfRule>
    <cfRule type="iconSet" priority="1055">
      <iconSet>
        <cfvo type="percent" val="0"/>
        <cfvo type="num" val="95"/>
        <cfvo type="num" val="100"/>
      </iconSet>
    </cfRule>
    <cfRule type="iconSet" priority="1057">
      <iconSet>
        <cfvo type="percent" val="0"/>
        <cfvo type="num" val="95"/>
        <cfvo type="num" val="100"/>
      </iconSet>
    </cfRule>
    <cfRule type="iconSet" priority="1056">
      <iconSet>
        <cfvo type="percent" val="0"/>
        <cfvo type="num" val="95"/>
        <cfvo type="num" val="100"/>
      </iconSet>
    </cfRule>
    <cfRule type="iconSet" priority="1059">
      <iconSet>
        <cfvo type="percent" val="0"/>
        <cfvo type="num" val="70"/>
        <cfvo type="num" val="90"/>
      </iconSet>
    </cfRule>
    <cfRule type="iconSet" priority="1054">
      <iconSet>
        <cfvo type="percent" val="0"/>
        <cfvo type="num" val="70"/>
        <cfvo type="num" val="90"/>
      </iconSet>
    </cfRule>
    <cfRule type="iconSet" priority="1052">
      <iconSet>
        <cfvo type="percent" val="0"/>
        <cfvo type="num" val="95"/>
        <cfvo type="num" val="100"/>
      </iconSet>
    </cfRule>
  </conditionalFormatting>
  <conditionalFormatting sqref="K29:K45">
    <cfRule type="iconSet" priority="47915">
      <iconSet>
        <cfvo type="percent" val="0"/>
        <cfvo type="num" val="70"/>
        <cfvo type="num" val="90"/>
      </iconSet>
    </cfRule>
    <cfRule type="iconSet" priority="47916">
      <iconSet>
        <cfvo type="percent" val="0"/>
        <cfvo type="num" val="95"/>
        <cfvo type="num" val="100"/>
      </iconSet>
    </cfRule>
    <cfRule type="iconSet" priority="47912">
      <iconSet>
        <cfvo type="percent" val="0"/>
        <cfvo type="num" val="95"/>
        <cfvo type="num" val="100"/>
      </iconSet>
    </cfRule>
    <cfRule type="iconSet" priority="47911">
      <iconSet>
        <cfvo type="percent" val="0"/>
        <cfvo type="num" val="95"/>
        <cfvo type="num" val="100"/>
      </iconSet>
    </cfRule>
    <cfRule type="iconSet" priority="47910">
      <iconSet>
        <cfvo type="percent" val="0"/>
        <cfvo type="num" val="70"/>
        <cfvo type="num" val="90"/>
      </iconSet>
    </cfRule>
    <cfRule type="iconSet" priority="47909">
      <iconSet>
        <cfvo type="percent" val="0"/>
        <cfvo type="num" val="70"/>
        <cfvo type="num" val="90"/>
      </iconSet>
    </cfRule>
    <cfRule type="iconSet" priority="47908">
      <iconSet>
        <cfvo type="percent" val="0"/>
        <cfvo type="num" val="95"/>
        <cfvo type="num" val="100"/>
      </iconSet>
    </cfRule>
    <cfRule type="iconSet" priority="47913">
      <iconSet>
        <cfvo type="percent" val="0"/>
        <cfvo type="num" val="95"/>
        <cfvo type="num" val="100"/>
      </iconSet>
    </cfRule>
    <cfRule type="iconSet" priority="47914">
      <iconSet>
        <cfvo type="percent" val="0"/>
        <cfvo type="num" val="70"/>
        <cfvo type="num" val="90"/>
      </iconSet>
    </cfRule>
  </conditionalFormatting>
  <conditionalFormatting sqref="K46:K47">
    <cfRule type="iconSet" priority="6913">
      <iconSet>
        <cfvo type="percent" val="0"/>
        <cfvo type="num" val="95"/>
        <cfvo type="num" val="100"/>
      </iconSet>
    </cfRule>
    <cfRule type="iconSet" priority="6916">
      <iconSet>
        <cfvo type="percent" val="0"/>
        <cfvo type="num" val="95"/>
        <cfvo type="num" val="100"/>
      </iconSet>
    </cfRule>
    <cfRule type="iconSet" priority="6917">
      <iconSet>
        <cfvo type="percent" val="0"/>
        <cfvo type="num" val="95"/>
        <cfvo type="num" val="100"/>
      </iconSet>
    </cfRule>
    <cfRule type="iconSet" priority="6919">
      <iconSet>
        <cfvo type="percent" val="0"/>
        <cfvo type="num" val="70"/>
        <cfvo type="num" val="90"/>
      </iconSet>
    </cfRule>
    <cfRule type="iconSet" priority="6918">
      <iconSet>
        <cfvo type="percent" val="0"/>
        <cfvo type="num" val="95"/>
        <cfvo type="num" val="100"/>
      </iconSet>
    </cfRule>
    <cfRule type="iconSet" priority="6920">
      <iconSet>
        <cfvo type="percent" val="0"/>
        <cfvo type="num" val="70"/>
        <cfvo type="num" val="90"/>
      </iconSet>
    </cfRule>
    <cfRule type="iconSet" priority="6921">
      <iconSet>
        <cfvo type="percent" val="0"/>
        <cfvo type="num" val="95"/>
        <cfvo type="num" val="100"/>
      </iconSet>
    </cfRule>
    <cfRule type="iconSet" priority="6914">
      <iconSet>
        <cfvo type="percent" val="0"/>
        <cfvo type="num" val="70"/>
        <cfvo type="num" val="90"/>
      </iconSet>
    </cfRule>
    <cfRule type="iconSet" priority="6915">
      <iconSet>
        <cfvo type="percent" val="0"/>
        <cfvo type="num" val="70"/>
        <cfvo type="num" val="90"/>
      </iconSet>
    </cfRule>
  </conditionalFormatting>
  <conditionalFormatting sqref="K48:K50">
    <cfRule type="iconSet" priority="48015">
      <iconSet>
        <cfvo type="percent" val="0"/>
        <cfvo type="num" val="95"/>
        <cfvo type="num" val="100"/>
      </iconSet>
    </cfRule>
    <cfRule type="iconSet" priority="48016">
      <iconSet>
        <cfvo type="percent" val="0"/>
        <cfvo type="num" val="95"/>
        <cfvo type="num" val="100"/>
      </iconSet>
    </cfRule>
    <cfRule type="iconSet" priority="48014">
      <iconSet>
        <cfvo type="percent" val="0"/>
        <cfvo type="num" val="95"/>
        <cfvo type="num" val="100"/>
      </iconSet>
    </cfRule>
    <cfRule type="iconSet" priority="48019">
      <iconSet>
        <cfvo type="percent" val="0"/>
        <cfvo type="num" val="95"/>
        <cfvo type="num" val="100"/>
      </iconSet>
    </cfRule>
    <cfRule type="iconSet" priority="48013">
      <iconSet>
        <cfvo type="percent" val="0"/>
        <cfvo type="num" val="70"/>
        <cfvo type="num" val="90"/>
      </iconSet>
    </cfRule>
    <cfRule type="iconSet" priority="48018">
      <iconSet>
        <cfvo type="percent" val="0"/>
        <cfvo type="num" val="70"/>
        <cfvo type="num" val="90"/>
      </iconSet>
    </cfRule>
    <cfRule type="iconSet" priority="48011">
      <iconSet>
        <cfvo type="percent" val="0"/>
        <cfvo type="num" val="95"/>
        <cfvo type="num" val="100"/>
      </iconSet>
    </cfRule>
    <cfRule type="iconSet" priority="48012">
      <iconSet>
        <cfvo type="percent" val="0"/>
        <cfvo type="num" val="70"/>
        <cfvo type="num" val="90"/>
      </iconSet>
    </cfRule>
    <cfRule type="iconSet" priority="48017">
      <iconSet>
        <cfvo type="percent" val="0"/>
        <cfvo type="num" val="70"/>
        <cfvo type="num" val="90"/>
      </iconSet>
    </cfRule>
  </conditionalFormatting>
  <conditionalFormatting sqref="K51:K54">
    <cfRule type="iconSet" priority="48090">
      <iconSet>
        <cfvo type="percent" val="0"/>
        <cfvo type="num" val="95"/>
        <cfvo type="num" val="100"/>
      </iconSet>
    </cfRule>
    <cfRule type="iconSet" priority="48093">
      <iconSet>
        <cfvo type="percent" val="0"/>
        <cfvo type="num" val="95"/>
        <cfvo type="num" val="100"/>
      </iconSet>
    </cfRule>
    <cfRule type="iconSet" priority="48092">
      <iconSet>
        <cfvo type="percent" val="0"/>
        <cfvo type="num" val="70"/>
        <cfvo type="num" val="90"/>
      </iconSet>
    </cfRule>
    <cfRule type="iconSet" priority="48091">
      <iconSet>
        <cfvo type="percent" val="0"/>
        <cfvo type="num" val="70"/>
        <cfvo type="num" val="90"/>
      </iconSet>
    </cfRule>
    <cfRule type="iconSet" priority="48087">
      <iconSet>
        <cfvo type="percent" val="0"/>
        <cfvo type="num" val="70"/>
        <cfvo type="num" val="90"/>
      </iconSet>
    </cfRule>
    <cfRule type="iconSet" priority="48089">
      <iconSet>
        <cfvo type="percent" val="0"/>
        <cfvo type="num" val="95"/>
        <cfvo type="num" val="100"/>
      </iconSet>
    </cfRule>
    <cfRule type="iconSet" priority="48088">
      <iconSet>
        <cfvo type="percent" val="0"/>
        <cfvo type="num" val="95"/>
        <cfvo type="num" val="100"/>
      </iconSet>
    </cfRule>
    <cfRule type="iconSet" priority="48086">
      <iconSet>
        <cfvo type="percent" val="0"/>
        <cfvo type="num" val="70"/>
        <cfvo type="num" val="90"/>
      </iconSet>
    </cfRule>
    <cfRule type="iconSet" priority="48085">
      <iconSet>
        <cfvo type="percent" val="0"/>
        <cfvo type="num" val="95"/>
        <cfvo type="num" val="100"/>
      </iconSet>
    </cfRule>
  </conditionalFormatting>
  <conditionalFormatting sqref="K55">
    <cfRule type="iconSet" priority="1040">
      <iconSet>
        <cfvo type="percent" val="0"/>
        <cfvo type="num" val="70"/>
        <cfvo type="num" val="90"/>
      </iconSet>
    </cfRule>
    <cfRule type="iconSet" priority="1039">
      <iconSet>
        <cfvo type="percent" val="0"/>
        <cfvo type="num" val="95"/>
        <cfvo type="num" val="100"/>
      </iconSet>
    </cfRule>
    <cfRule type="iconSet" priority="1038">
      <iconSet>
        <cfvo type="percent" val="0"/>
        <cfvo type="num" val="95"/>
        <cfvo type="num" val="100"/>
      </iconSet>
    </cfRule>
    <cfRule type="iconSet" priority="1037">
      <iconSet>
        <cfvo type="percent" val="0"/>
        <cfvo type="num" val="95"/>
        <cfvo type="num" val="100"/>
      </iconSet>
    </cfRule>
    <cfRule type="iconSet" priority="1042">
      <iconSet>
        <cfvo type="percent" val="0"/>
        <cfvo type="num" val="95"/>
        <cfvo type="num" val="100"/>
      </iconSet>
    </cfRule>
    <cfRule type="iconSet" priority="1034">
      <iconSet>
        <cfvo type="percent" val="0"/>
        <cfvo type="num" val="95"/>
        <cfvo type="num" val="100"/>
      </iconSet>
    </cfRule>
    <cfRule type="iconSet" priority="1035">
      <iconSet>
        <cfvo type="percent" val="0"/>
        <cfvo type="num" val="70"/>
        <cfvo type="num" val="90"/>
      </iconSet>
    </cfRule>
    <cfRule type="iconSet" priority="1036">
      <iconSet>
        <cfvo type="percent" val="0"/>
        <cfvo type="num" val="70"/>
        <cfvo type="num" val="90"/>
      </iconSet>
    </cfRule>
    <cfRule type="iconSet" priority="1041">
      <iconSet>
        <cfvo type="percent" val="0"/>
        <cfvo type="num" val="70"/>
        <cfvo type="num" val="90"/>
      </iconSet>
    </cfRule>
  </conditionalFormatting>
  <conditionalFormatting sqref="K56">
    <cfRule type="iconSet" priority="14971">
      <iconSet>
        <cfvo type="percent" val="0"/>
        <cfvo type="num" val="95"/>
        <cfvo type="num" val="100"/>
      </iconSet>
    </cfRule>
    <cfRule type="iconSet" priority="14972">
      <iconSet>
        <cfvo type="percent" val="0"/>
        <cfvo type="num" val="70"/>
        <cfvo type="num" val="90"/>
      </iconSet>
    </cfRule>
    <cfRule type="iconSet" priority="14973">
      <iconSet>
        <cfvo type="percent" val="0"/>
        <cfvo type="num" val="95"/>
        <cfvo type="num" val="100"/>
      </iconSet>
    </cfRule>
    <cfRule type="iconSet" priority="12799">
      <iconSet>
        <cfvo type="percent" val="0"/>
        <cfvo type="num" val="95"/>
        <cfvo type="num" val="100"/>
      </iconSet>
    </cfRule>
    <cfRule type="iconSet" priority="12800">
      <iconSet>
        <cfvo type="percent" val="0"/>
        <cfvo type="num" val="70"/>
        <cfvo type="num" val="90"/>
      </iconSet>
    </cfRule>
    <cfRule type="iconSet" priority="12801">
      <iconSet>
        <cfvo type="percent" val="0"/>
        <cfvo type="num" val="95"/>
        <cfvo type="num" val="100"/>
      </iconSet>
    </cfRule>
    <cfRule type="iconSet" priority="12802">
      <iconSet>
        <cfvo type="percent" val="0"/>
        <cfvo type="num" val="70"/>
        <cfvo type="num" val="90"/>
      </iconSet>
    </cfRule>
    <cfRule type="iconSet" priority="12803">
      <iconSet>
        <cfvo type="percent" val="0"/>
        <cfvo type="num" val="95"/>
        <cfvo type="num" val="100"/>
      </iconSet>
    </cfRule>
    <cfRule type="iconSet" priority="12804">
      <iconSet>
        <cfvo type="percent" val="0"/>
        <cfvo type="num" val="70"/>
        <cfvo type="num" val="90"/>
      </iconSet>
    </cfRule>
    <cfRule type="iconSet" priority="12805">
      <iconSet>
        <cfvo type="percent" val="0"/>
        <cfvo type="num" val="95"/>
        <cfvo type="num" val="100"/>
      </iconSet>
    </cfRule>
    <cfRule type="iconSet" priority="12806">
      <iconSet>
        <cfvo type="percent" val="0"/>
        <cfvo type="num" val="70"/>
        <cfvo type="num" val="90"/>
      </iconSet>
    </cfRule>
    <cfRule type="iconSet" priority="12807">
      <iconSet>
        <cfvo type="percent" val="0"/>
        <cfvo type="num" val="95"/>
        <cfvo type="num" val="100"/>
      </iconSet>
    </cfRule>
    <cfRule type="iconSet" priority="15812">
      <iconSet>
        <cfvo type="percent" val="0"/>
        <cfvo type="num" val="70"/>
        <cfvo type="num" val="90"/>
      </iconSet>
    </cfRule>
    <cfRule type="iconSet" priority="15811">
      <iconSet>
        <cfvo type="percent" val="0"/>
        <cfvo type="num" val="95"/>
        <cfvo type="num" val="100"/>
      </iconSet>
    </cfRule>
    <cfRule type="iconSet" priority="15810">
      <iconSet>
        <cfvo type="percent" val="0"/>
        <cfvo type="num" val="70"/>
        <cfvo type="num" val="90"/>
      </iconSet>
    </cfRule>
    <cfRule type="iconSet" priority="15809">
      <iconSet>
        <cfvo type="percent" val="0"/>
        <cfvo type="num" val="95"/>
        <cfvo type="num" val="100"/>
      </iconSet>
    </cfRule>
    <cfRule type="iconSet" priority="15808">
      <iconSet>
        <cfvo type="percent" val="0"/>
        <cfvo type="num" val="70"/>
        <cfvo type="num" val="90"/>
      </iconSet>
    </cfRule>
    <cfRule type="iconSet" priority="15807">
      <iconSet>
        <cfvo type="percent" val="0"/>
        <cfvo type="num" val="95"/>
        <cfvo type="num" val="100"/>
      </iconSet>
    </cfRule>
    <cfRule type="iconSet" priority="12808">
      <iconSet>
        <cfvo type="percent" val="0"/>
        <cfvo type="num" val="70"/>
        <cfvo type="num" val="90"/>
      </iconSet>
    </cfRule>
    <cfRule type="iconSet" priority="14953">
      <iconSet>
        <cfvo type="percent" val="0"/>
        <cfvo type="num" val="95"/>
        <cfvo type="num" val="100"/>
      </iconSet>
    </cfRule>
    <cfRule type="iconSet" priority="14984">
      <iconSet>
        <cfvo type="percent" val="0"/>
        <cfvo type="num" val="95"/>
        <cfvo type="num" val="100"/>
      </iconSet>
    </cfRule>
    <cfRule type="iconSet" priority="14983">
      <iconSet>
        <cfvo type="percent" val="0"/>
        <cfvo type="num" val="70"/>
        <cfvo type="num" val="90"/>
      </iconSet>
    </cfRule>
    <cfRule type="iconSet" priority="12798">
      <iconSet>
        <cfvo type="percent" val="0"/>
        <cfvo type="num" val="70"/>
        <cfvo type="num" val="90"/>
      </iconSet>
    </cfRule>
    <cfRule type="iconSet" priority="12797">
      <iconSet>
        <cfvo type="percent" val="0"/>
        <cfvo type="num" val="95"/>
        <cfvo type="num" val="100"/>
      </iconSet>
    </cfRule>
    <cfRule type="iconSet" priority="12796">
      <iconSet>
        <cfvo type="percent" val="0"/>
        <cfvo type="num" val="70"/>
        <cfvo type="num" val="90"/>
      </iconSet>
    </cfRule>
    <cfRule type="iconSet" priority="12795">
      <iconSet>
        <cfvo type="percent" val="0"/>
        <cfvo type="num" val="95"/>
        <cfvo type="num" val="100"/>
      </iconSet>
    </cfRule>
    <cfRule type="iconSet" priority="12793">
      <iconSet>
        <cfvo type="percent" val="0"/>
        <cfvo type="num" val="95"/>
        <cfvo type="num" val="100"/>
      </iconSet>
    </cfRule>
    <cfRule type="iconSet" priority="12792">
      <iconSet>
        <cfvo type="percent" val="0"/>
        <cfvo type="num" val="70"/>
        <cfvo type="num" val="90"/>
      </iconSet>
    </cfRule>
    <cfRule type="iconSet" priority="12791">
      <iconSet>
        <cfvo type="percent" val="0"/>
        <cfvo type="num" val="95"/>
        <cfvo type="num" val="100"/>
      </iconSet>
    </cfRule>
    <cfRule type="iconSet" priority="12790">
      <iconSet>
        <cfvo type="percent" val="0"/>
        <cfvo type="num" val="70"/>
        <cfvo type="num" val="90"/>
      </iconSet>
    </cfRule>
    <cfRule type="iconSet" priority="12789">
      <iconSet>
        <cfvo type="percent" val="0"/>
        <cfvo type="num" val="95"/>
        <cfvo type="num" val="100"/>
      </iconSet>
    </cfRule>
    <cfRule type="iconSet" priority="12788">
      <iconSet>
        <cfvo type="percent" val="0"/>
        <cfvo type="num" val="70"/>
        <cfvo type="num" val="90"/>
      </iconSet>
    </cfRule>
    <cfRule type="iconSet" priority="12787">
      <iconSet>
        <cfvo type="percent" val="0"/>
        <cfvo type="num" val="95"/>
        <cfvo type="num" val="100"/>
      </iconSet>
    </cfRule>
    <cfRule type="iconSet" priority="12786">
      <iconSet>
        <cfvo type="percent" val="0"/>
        <cfvo type="num" val="70"/>
        <cfvo type="num" val="90"/>
      </iconSet>
    </cfRule>
    <cfRule type="iconSet" priority="12785">
      <iconSet>
        <cfvo type="percent" val="0"/>
        <cfvo type="num" val="95"/>
        <cfvo type="num" val="100"/>
      </iconSet>
    </cfRule>
    <cfRule type="iconSet" priority="12784">
      <iconSet>
        <cfvo type="percent" val="0"/>
        <cfvo type="num" val="70"/>
        <cfvo type="num" val="90"/>
      </iconSet>
    </cfRule>
    <cfRule type="iconSet" priority="12783">
      <iconSet>
        <cfvo type="percent" val="0"/>
        <cfvo type="num" val="95"/>
        <cfvo type="num" val="100"/>
      </iconSet>
    </cfRule>
    <cfRule type="iconSet" priority="12782">
      <iconSet>
        <cfvo type="percent" val="0"/>
        <cfvo type="num" val="70"/>
        <cfvo type="num" val="90"/>
      </iconSet>
    </cfRule>
    <cfRule type="iconSet" priority="12781">
      <iconSet>
        <cfvo type="percent" val="0"/>
        <cfvo type="num" val="95"/>
        <cfvo type="num" val="100"/>
      </iconSet>
    </cfRule>
    <cfRule type="iconSet" priority="12780">
      <iconSet>
        <cfvo type="percent" val="0"/>
        <cfvo type="num" val="70"/>
        <cfvo type="num" val="90"/>
      </iconSet>
    </cfRule>
    <cfRule type="iconSet" priority="12779">
      <iconSet>
        <cfvo type="percent" val="0"/>
        <cfvo type="num" val="95"/>
        <cfvo type="num" val="100"/>
      </iconSet>
    </cfRule>
    <cfRule type="iconSet" priority="8975">
      <iconSet>
        <cfvo type="percent" val="0"/>
        <cfvo type="num" val="70"/>
        <cfvo type="num" val="90"/>
      </iconSet>
    </cfRule>
    <cfRule type="iconSet" priority="14954">
      <iconSet>
        <cfvo type="percent" val="0"/>
        <cfvo type="num" val="70"/>
        <cfvo type="num" val="90"/>
      </iconSet>
    </cfRule>
    <cfRule type="iconSet" priority="8973">
      <iconSet>
        <cfvo type="percent" val="0"/>
        <cfvo type="num" val="70"/>
        <cfvo type="num" val="90"/>
      </iconSet>
    </cfRule>
    <cfRule type="iconSet" priority="8972">
      <iconSet>
        <cfvo type="percent" val="0"/>
        <cfvo type="num" val="95"/>
        <cfvo type="num" val="100"/>
      </iconSet>
    </cfRule>
    <cfRule type="iconSet" priority="8971">
      <iconSet>
        <cfvo type="percent" val="0"/>
        <cfvo type="num" val="70"/>
        <cfvo type="num" val="90"/>
      </iconSet>
    </cfRule>
    <cfRule type="iconSet" priority="8970">
      <iconSet>
        <cfvo type="percent" val="0"/>
        <cfvo type="num" val="95"/>
        <cfvo type="num" val="100"/>
      </iconSet>
    </cfRule>
    <cfRule type="iconSet" priority="14955">
      <iconSet>
        <cfvo type="percent" val="0"/>
        <cfvo type="num" val="95"/>
        <cfvo type="num" val="100"/>
      </iconSet>
    </cfRule>
    <cfRule type="iconSet" priority="14982">
      <iconSet>
        <cfvo type="percent" val="0"/>
        <cfvo type="num" val="70"/>
        <cfvo type="num" val="90"/>
      </iconSet>
    </cfRule>
    <cfRule type="iconSet" priority="14981">
      <iconSet>
        <cfvo type="percent" val="0"/>
        <cfvo type="num" val="95"/>
        <cfvo type="num" val="100"/>
      </iconSet>
    </cfRule>
    <cfRule type="iconSet" priority="14980">
      <iconSet>
        <cfvo type="percent" val="0"/>
        <cfvo type="num" val="95"/>
        <cfvo type="num" val="100"/>
      </iconSet>
    </cfRule>
    <cfRule type="iconSet" priority="14979">
      <iconSet>
        <cfvo type="percent" val="0"/>
        <cfvo type="num" val="70"/>
        <cfvo type="num" val="90"/>
      </iconSet>
    </cfRule>
    <cfRule type="iconSet" priority="14978">
      <iconSet>
        <cfvo type="percent" val="0"/>
        <cfvo type="num" val="70"/>
        <cfvo type="num" val="90"/>
      </iconSet>
    </cfRule>
    <cfRule type="iconSet" priority="14977">
      <iconSet>
        <cfvo type="percent" val="0"/>
        <cfvo type="num" val="95"/>
        <cfvo type="num" val="100"/>
      </iconSet>
    </cfRule>
    <cfRule type="iconSet" priority="14976">
      <iconSet>
        <cfvo type="percent" val="0"/>
        <cfvo type="num" val="70"/>
        <cfvo type="num" val="90"/>
      </iconSet>
    </cfRule>
    <cfRule type="iconSet" priority="14974">
      <iconSet>
        <cfvo type="percent" val="0"/>
        <cfvo type="num" val="70"/>
        <cfvo type="num" val="90"/>
      </iconSet>
    </cfRule>
    <cfRule type="iconSet" priority="14975">
      <iconSet>
        <cfvo type="percent" val="0"/>
        <cfvo type="num" val="95"/>
        <cfvo type="num" val="100"/>
      </iconSet>
    </cfRule>
    <cfRule type="iconSet" priority="12794">
      <iconSet>
        <cfvo type="percent" val="0"/>
        <cfvo type="num" val="70"/>
        <cfvo type="num" val="90"/>
      </iconSet>
    </cfRule>
    <cfRule type="iconSet" priority="14956">
      <iconSet>
        <cfvo type="percent" val="0"/>
        <cfvo type="num" val="70"/>
        <cfvo type="num" val="90"/>
      </iconSet>
    </cfRule>
    <cfRule type="iconSet" priority="14957">
      <iconSet>
        <cfvo type="percent" val="0"/>
        <cfvo type="num" val="95"/>
        <cfvo type="num" val="100"/>
      </iconSet>
    </cfRule>
    <cfRule type="iconSet" priority="14958">
      <iconSet>
        <cfvo type="percent" val="0"/>
        <cfvo type="num" val="70"/>
        <cfvo type="num" val="90"/>
      </iconSet>
    </cfRule>
    <cfRule type="iconSet" priority="14959">
      <iconSet>
        <cfvo type="percent" val="0"/>
        <cfvo type="num" val="95"/>
        <cfvo type="num" val="100"/>
      </iconSet>
    </cfRule>
    <cfRule type="iconSet" priority="14960">
      <iconSet>
        <cfvo type="percent" val="0"/>
        <cfvo type="num" val="70"/>
        <cfvo type="num" val="90"/>
      </iconSet>
    </cfRule>
    <cfRule type="iconSet" priority="14961">
      <iconSet>
        <cfvo type="percent" val="0"/>
        <cfvo type="num" val="95"/>
        <cfvo type="num" val="100"/>
      </iconSet>
    </cfRule>
    <cfRule type="iconSet" priority="14962">
      <iconSet>
        <cfvo type="percent" val="0"/>
        <cfvo type="num" val="70"/>
        <cfvo type="num" val="90"/>
      </iconSet>
    </cfRule>
    <cfRule type="iconSet" priority="14963">
      <iconSet>
        <cfvo type="percent" val="0"/>
        <cfvo type="num" val="95"/>
        <cfvo type="num" val="100"/>
      </iconSet>
    </cfRule>
    <cfRule type="iconSet" priority="14964">
      <iconSet>
        <cfvo type="percent" val="0"/>
        <cfvo type="num" val="70"/>
        <cfvo type="num" val="90"/>
      </iconSet>
    </cfRule>
    <cfRule type="iconSet" priority="14965">
      <iconSet>
        <cfvo type="percent" val="0"/>
        <cfvo type="num" val="95"/>
        <cfvo type="num" val="100"/>
      </iconSet>
    </cfRule>
    <cfRule type="iconSet" priority="8974">
      <iconSet>
        <cfvo type="percent" val="0"/>
        <cfvo type="num" val="95"/>
        <cfvo type="num" val="100"/>
      </iconSet>
    </cfRule>
    <cfRule type="iconSet" priority="14966">
      <iconSet>
        <cfvo type="percent" val="0"/>
        <cfvo type="num" val="70"/>
        <cfvo type="num" val="90"/>
      </iconSet>
    </cfRule>
    <cfRule type="iconSet" priority="14967">
      <iconSet>
        <cfvo type="percent" val="0"/>
        <cfvo type="num" val="95"/>
        <cfvo type="num" val="100"/>
      </iconSet>
    </cfRule>
    <cfRule type="iconSet" priority="14968">
      <iconSet>
        <cfvo type="percent" val="0"/>
        <cfvo type="num" val="70"/>
        <cfvo type="num" val="90"/>
      </iconSet>
    </cfRule>
    <cfRule type="iconSet" priority="14969">
      <iconSet>
        <cfvo type="percent" val="0"/>
        <cfvo type="num" val="95"/>
        <cfvo type="num" val="100"/>
      </iconSet>
    </cfRule>
    <cfRule type="iconSet" priority="14970">
      <iconSet>
        <cfvo type="percent" val="0"/>
        <cfvo type="num" val="70"/>
        <cfvo type="num" val="90"/>
      </iconSet>
    </cfRule>
  </conditionalFormatting>
  <conditionalFormatting sqref="K56:K57">
    <cfRule type="iconSet" priority="47632">
      <iconSet>
        <cfvo type="percent" val="0"/>
        <cfvo type="num" val="95"/>
        <cfvo type="num" val="100"/>
      </iconSet>
    </cfRule>
  </conditionalFormatting>
  <conditionalFormatting sqref="K58">
    <cfRule type="iconSet" priority="15676">
      <iconSet>
        <cfvo type="percent" val="0"/>
        <cfvo type="num" val="95"/>
        <cfvo type="num" val="100"/>
      </iconSet>
    </cfRule>
  </conditionalFormatting>
  <conditionalFormatting sqref="P10:P18">
    <cfRule type="iconSet" priority="48248">
      <iconSet iconSet="3ArrowsGray" showValue="0">
        <cfvo type="percent" val="0"/>
        <cfvo type="num" val="2"/>
        <cfvo type="num" val="3"/>
      </iconSet>
    </cfRule>
  </conditionalFormatting>
  <conditionalFormatting sqref="P20:P56">
    <cfRule type="iconSet" priority="48191">
      <iconSet iconSet="3ArrowsGray" showValue="0">
        <cfvo type="percent" val="0"/>
        <cfvo type="num" val="2"/>
        <cfvo type="num" val="3"/>
      </iconSet>
    </cfRule>
  </conditionalFormatting>
  <conditionalFormatting sqref="P57">
    <cfRule type="iconSet" priority="4342">
      <iconSet iconSet="3ArrowsGray" showValue="0">
        <cfvo type="percent" val="0"/>
        <cfvo type="num" val="2"/>
        <cfvo type="num" val="3"/>
      </iconSet>
    </cfRule>
  </conditionalFormatting>
  <conditionalFormatting sqref="P58">
    <cfRule type="iconSet" priority="4318">
      <iconSet iconSet="3ArrowsGray" showValue="0">
        <cfvo type="percent" val="0"/>
        <cfvo type="num" val="2"/>
        <cfvo type="num" val="3"/>
      </iconSet>
    </cfRule>
  </conditionalFormatting>
  <conditionalFormatting sqref="Q10:Q18">
    <cfRule type="iconSet" priority="48250">
      <iconSet iconSet="3ArrowsGray" showValue="0">
        <cfvo type="percent" val="0"/>
        <cfvo type="num" val="2"/>
        <cfvo type="num" val="3"/>
      </iconSet>
    </cfRule>
  </conditionalFormatting>
  <conditionalFormatting sqref="Q20:Q56">
    <cfRule type="iconSet" priority="48192">
      <iconSet iconSet="3ArrowsGray" showValue="0">
        <cfvo type="percent" val="0"/>
        <cfvo type="num" val="2"/>
        <cfvo type="num" val="3"/>
      </iconSet>
    </cfRule>
  </conditionalFormatting>
  <conditionalFormatting sqref="Q57">
    <cfRule type="iconSet" priority="4343">
      <iconSet iconSet="3ArrowsGray" showValue="0">
        <cfvo type="percent" val="0"/>
        <cfvo type="num" val="2"/>
        <cfvo type="num" val="3"/>
      </iconSet>
    </cfRule>
  </conditionalFormatting>
  <conditionalFormatting sqref="Q58">
    <cfRule type="iconSet" priority="4319">
      <iconSet iconSet="3ArrowsGray" showValue="0">
        <cfvo type="percent" val="0"/>
        <cfvo type="num" val="2"/>
        <cfvo type="num" val="3"/>
      </iconSet>
    </cfRule>
  </conditionalFormatting>
  <conditionalFormatting sqref="V10">
    <cfRule type="iconSet" priority="903">
      <iconSet>
        <cfvo type="percent" val="0"/>
        <cfvo type="num" val="95"/>
        <cfvo type="num" val="100"/>
      </iconSet>
    </cfRule>
    <cfRule type="iconSet" priority="902">
      <iconSet>
        <cfvo type="percent" val="0"/>
        <cfvo type="num" val="70"/>
        <cfvo type="num" val="90"/>
      </iconSet>
    </cfRule>
    <cfRule type="iconSet" priority="901">
      <iconSet>
        <cfvo type="percent" val="0"/>
        <cfvo type="num" val="70"/>
        <cfvo type="num" val="90"/>
      </iconSet>
    </cfRule>
    <cfRule type="iconSet" priority="900">
      <iconSet>
        <cfvo type="percent" val="0"/>
        <cfvo type="num" val="95"/>
        <cfvo type="num" val="100"/>
      </iconSet>
    </cfRule>
    <cfRule type="iconSet" priority="899">
      <iconSet>
        <cfvo type="percent" val="0"/>
        <cfvo type="num" val="95"/>
        <cfvo type="num" val="100"/>
      </iconSet>
    </cfRule>
    <cfRule type="iconSet" priority="898">
      <iconSet>
        <cfvo type="percent" val="0"/>
        <cfvo type="num" val="95"/>
        <cfvo type="num" val="100"/>
      </iconSet>
    </cfRule>
    <cfRule type="iconSet" priority="897">
      <iconSet>
        <cfvo type="percent" val="0"/>
        <cfvo type="num" val="70"/>
        <cfvo type="num" val="90"/>
      </iconSet>
    </cfRule>
    <cfRule type="iconSet" priority="896">
      <iconSet>
        <cfvo type="percent" val="0"/>
        <cfvo type="num" val="70"/>
        <cfvo type="num" val="90"/>
      </iconSet>
    </cfRule>
    <cfRule type="iconSet" priority="895">
      <iconSet>
        <cfvo type="percent" val="0"/>
        <cfvo type="num" val="95"/>
        <cfvo type="num" val="100"/>
      </iconSet>
    </cfRule>
  </conditionalFormatting>
  <conditionalFormatting sqref="V11">
    <cfRule type="iconSet" priority="867">
      <iconSet>
        <cfvo type="percent" val="0"/>
        <cfvo type="num" val="95"/>
        <cfvo type="num" val="100"/>
      </iconSet>
    </cfRule>
    <cfRule type="iconSet" priority="866">
      <iconSet>
        <cfvo type="percent" val="0"/>
        <cfvo type="num" val="70"/>
        <cfvo type="num" val="90"/>
      </iconSet>
    </cfRule>
    <cfRule type="iconSet" priority="865">
      <iconSet>
        <cfvo type="percent" val="0"/>
        <cfvo type="num" val="70"/>
        <cfvo type="num" val="90"/>
      </iconSet>
    </cfRule>
    <cfRule type="iconSet" priority="864">
      <iconSet>
        <cfvo type="percent" val="0"/>
        <cfvo type="num" val="95"/>
        <cfvo type="num" val="100"/>
      </iconSet>
    </cfRule>
    <cfRule type="iconSet" priority="863">
      <iconSet>
        <cfvo type="percent" val="0"/>
        <cfvo type="num" val="95"/>
        <cfvo type="num" val="100"/>
      </iconSet>
    </cfRule>
    <cfRule type="iconSet" priority="862">
      <iconSet>
        <cfvo type="percent" val="0"/>
        <cfvo type="num" val="95"/>
        <cfvo type="num" val="100"/>
      </iconSet>
    </cfRule>
    <cfRule type="iconSet" priority="861">
      <iconSet>
        <cfvo type="percent" val="0"/>
        <cfvo type="num" val="70"/>
        <cfvo type="num" val="90"/>
      </iconSet>
    </cfRule>
    <cfRule type="iconSet" priority="860">
      <iconSet>
        <cfvo type="percent" val="0"/>
        <cfvo type="num" val="70"/>
        <cfvo type="num" val="90"/>
      </iconSet>
    </cfRule>
    <cfRule type="iconSet" priority="859">
      <iconSet>
        <cfvo type="percent" val="0"/>
        <cfvo type="num" val="95"/>
        <cfvo type="num" val="100"/>
      </iconSet>
    </cfRule>
  </conditionalFormatting>
  <conditionalFormatting sqref="V12:V17">
    <cfRule type="iconSet" priority="48259">
      <iconSet>
        <cfvo type="percent" val="0"/>
        <cfvo type="num" val="70"/>
        <cfvo type="num" val="90"/>
      </iconSet>
    </cfRule>
    <cfRule type="iconSet" priority="48258">
      <iconSet>
        <cfvo type="percent" val="0"/>
        <cfvo type="num" val="70"/>
        <cfvo type="num" val="90"/>
      </iconSet>
    </cfRule>
    <cfRule type="iconSet" priority="48257">
      <iconSet>
        <cfvo type="percent" val="0"/>
        <cfvo type="num" val="95"/>
        <cfvo type="num" val="100"/>
      </iconSet>
    </cfRule>
    <cfRule type="iconSet" priority="48256">
      <iconSet>
        <cfvo type="percent" val="0"/>
        <cfvo type="num" val="95"/>
        <cfvo type="num" val="100"/>
      </iconSet>
    </cfRule>
    <cfRule type="iconSet" priority="48255">
      <iconSet>
        <cfvo type="percent" val="0"/>
        <cfvo type="num" val="95"/>
        <cfvo type="num" val="100"/>
      </iconSet>
    </cfRule>
    <cfRule type="iconSet" priority="48254">
      <iconSet>
        <cfvo type="percent" val="0"/>
        <cfvo type="num" val="70"/>
        <cfvo type="num" val="90"/>
      </iconSet>
    </cfRule>
    <cfRule type="iconSet" priority="48252">
      <iconSet>
        <cfvo type="percent" val="0"/>
        <cfvo type="num" val="95"/>
        <cfvo type="num" val="100"/>
      </iconSet>
    </cfRule>
    <cfRule type="iconSet" priority="48253">
      <iconSet>
        <cfvo type="percent" val="0"/>
        <cfvo type="num" val="70"/>
        <cfvo type="num" val="90"/>
      </iconSet>
    </cfRule>
    <cfRule type="iconSet" priority="48260">
      <iconSet>
        <cfvo type="percent" val="0"/>
        <cfvo type="num" val="95"/>
        <cfvo type="num" val="100"/>
      </iconSet>
    </cfRule>
  </conditionalFormatting>
  <conditionalFormatting sqref="V18">
    <cfRule type="iconSet" priority="832">
      <iconSet>
        <cfvo type="percent" val="0"/>
        <cfvo type="num" val="95"/>
        <cfvo type="num" val="100"/>
      </iconSet>
    </cfRule>
    <cfRule type="iconSet" priority="833">
      <iconSet>
        <cfvo type="percent" val="0"/>
        <cfvo type="num" val="70"/>
        <cfvo type="num" val="90"/>
      </iconSet>
    </cfRule>
    <cfRule type="iconSet" priority="834">
      <iconSet>
        <cfvo type="percent" val="0"/>
        <cfvo type="num" val="70"/>
        <cfvo type="num" val="90"/>
      </iconSet>
    </cfRule>
    <cfRule type="iconSet" priority="835">
      <iconSet>
        <cfvo type="percent" val="0"/>
        <cfvo type="num" val="95"/>
        <cfvo type="num" val="100"/>
      </iconSet>
    </cfRule>
    <cfRule type="iconSet" priority="836">
      <iconSet>
        <cfvo type="percent" val="0"/>
        <cfvo type="num" val="95"/>
        <cfvo type="num" val="100"/>
      </iconSet>
    </cfRule>
    <cfRule type="iconSet" priority="837">
      <iconSet>
        <cfvo type="percent" val="0"/>
        <cfvo type="num" val="95"/>
        <cfvo type="num" val="100"/>
      </iconSet>
    </cfRule>
    <cfRule type="iconSet" priority="838">
      <iconSet>
        <cfvo type="percent" val="0"/>
        <cfvo type="num" val="70"/>
        <cfvo type="num" val="90"/>
      </iconSet>
    </cfRule>
    <cfRule type="iconSet" priority="839">
      <iconSet>
        <cfvo type="percent" val="0"/>
        <cfvo type="num" val="70"/>
        <cfvo type="num" val="90"/>
      </iconSet>
    </cfRule>
    <cfRule type="iconSet" priority="840">
      <iconSet>
        <cfvo type="percent" val="0"/>
        <cfvo type="num" val="95"/>
        <cfvo type="num" val="100"/>
      </iconSet>
    </cfRule>
  </conditionalFormatting>
  <conditionalFormatting sqref="V20">
    <cfRule type="iconSet" priority="892">
      <iconSet>
        <cfvo type="percent" val="0"/>
        <cfvo type="num" val="70"/>
        <cfvo type="num" val="90"/>
      </iconSet>
    </cfRule>
    <cfRule type="iconSet" priority="891">
      <iconSet>
        <cfvo type="percent" val="0"/>
        <cfvo type="num" val="95"/>
        <cfvo type="num" val="100"/>
      </iconSet>
    </cfRule>
    <cfRule type="iconSet" priority="890">
      <iconSet>
        <cfvo type="percent" val="0"/>
        <cfvo type="num" val="95"/>
        <cfvo type="num" val="100"/>
      </iconSet>
    </cfRule>
    <cfRule type="iconSet" priority="889">
      <iconSet>
        <cfvo type="percent" val="0"/>
        <cfvo type="num" val="95"/>
        <cfvo type="num" val="100"/>
      </iconSet>
    </cfRule>
    <cfRule type="iconSet" priority="886">
      <iconSet>
        <cfvo type="percent" val="0"/>
        <cfvo type="num" val="95"/>
        <cfvo type="num" val="100"/>
      </iconSet>
    </cfRule>
    <cfRule type="iconSet" priority="888">
      <iconSet>
        <cfvo type="percent" val="0"/>
        <cfvo type="num" val="70"/>
        <cfvo type="num" val="90"/>
      </iconSet>
    </cfRule>
    <cfRule type="iconSet" priority="887">
      <iconSet>
        <cfvo type="percent" val="0"/>
        <cfvo type="num" val="70"/>
        <cfvo type="num" val="90"/>
      </iconSet>
    </cfRule>
    <cfRule type="iconSet" priority="894">
      <iconSet>
        <cfvo type="percent" val="0"/>
        <cfvo type="num" val="95"/>
        <cfvo type="num" val="100"/>
      </iconSet>
    </cfRule>
    <cfRule type="iconSet" priority="893">
      <iconSet>
        <cfvo type="percent" val="0"/>
        <cfvo type="num" val="70"/>
        <cfvo type="num" val="90"/>
      </iconSet>
    </cfRule>
  </conditionalFormatting>
  <conditionalFormatting sqref="V21:V23">
    <cfRule type="iconSet" priority="814">
      <iconSet>
        <cfvo type="percent" val="0"/>
        <cfvo type="num" val="95"/>
        <cfvo type="num" val="100"/>
      </iconSet>
    </cfRule>
    <cfRule type="iconSet" priority="822">
      <iconSet>
        <cfvo type="percent" val="0"/>
        <cfvo type="num" val="95"/>
        <cfvo type="num" val="100"/>
      </iconSet>
    </cfRule>
    <cfRule type="iconSet" priority="821">
      <iconSet>
        <cfvo type="percent" val="0"/>
        <cfvo type="num" val="70"/>
        <cfvo type="num" val="90"/>
      </iconSet>
    </cfRule>
    <cfRule type="iconSet" priority="820">
      <iconSet>
        <cfvo type="percent" val="0"/>
        <cfvo type="num" val="70"/>
        <cfvo type="num" val="90"/>
      </iconSet>
    </cfRule>
    <cfRule type="iconSet" priority="819">
      <iconSet>
        <cfvo type="percent" val="0"/>
        <cfvo type="num" val="95"/>
        <cfvo type="num" val="100"/>
      </iconSet>
    </cfRule>
    <cfRule type="iconSet" priority="818">
      <iconSet>
        <cfvo type="percent" val="0"/>
        <cfvo type="num" val="95"/>
        <cfvo type="num" val="100"/>
      </iconSet>
    </cfRule>
    <cfRule type="iconSet" priority="817">
      <iconSet>
        <cfvo type="percent" val="0"/>
        <cfvo type="num" val="95"/>
        <cfvo type="num" val="100"/>
      </iconSet>
    </cfRule>
    <cfRule type="iconSet" priority="816">
      <iconSet>
        <cfvo type="percent" val="0"/>
        <cfvo type="num" val="70"/>
        <cfvo type="num" val="90"/>
      </iconSet>
    </cfRule>
    <cfRule type="iconSet" priority="815">
      <iconSet>
        <cfvo type="percent" val="0"/>
        <cfvo type="num" val="70"/>
        <cfvo type="num" val="90"/>
      </iconSet>
    </cfRule>
  </conditionalFormatting>
  <conditionalFormatting sqref="V24:V25">
    <cfRule type="iconSet" priority="806">
      <iconSet>
        <cfvo type="percent" val="0"/>
        <cfvo type="num" val="70"/>
        <cfvo type="num" val="90"/>
      </iconSet>
    </cfRule>
    <cfRule type="iconSet" priority="807">
      <iconSet>
        <cfvo type="percent" val="0"/>
        <cfvo type="num" val="70"/>
        <cfvo type="num" val="90"/>
      </iconSet>
    </cfRule>
    <cfRule type="iconSet" priority="808">
      <iconSet>
        <cfvo type="percent" val="0"/>
        <cfvo type="num" val="95"/>
        <cfvo type="num" val="100"/>
      </iconSet>
    </cfRule>
    <cfRule type="iconSet" priority="809">
      <iconSet>
        <cfvo type="percent" val="0"/>
        <cfvo type="num" val="95"/>
        <cfvo type="num" val="100"/>
      </iconSet>
    </cfRule>
    <cfRule type="iconSet" priority="810">
      <iconSet>
        <cfvo type="percent" val="0"/>
        <cfvo type="num" val="95"/>
        <cfvo type="num" val="100"/>
      </iconSet>
    </cfRule>
    <cfRule type="iconSet" priority="811">
      <iconSet>
        <cfvo type="percent" val="0"/>
        <cfvo type="num" val="70"/>
        <cfvo type="num" val="90"/>
      </iconSet>
    </cfRule>
    <cfRule type="iconSet" priority="813">
      <iconSet>
        <cfvo type="percent" val="0"/>
        <cfvo type="num" val="95"/>
        <cfvo type="num" val="100"/>
      </iconSet>
    </cfRule>
    <cfRule type="iconSet" priority="812">
      <iconSet>
        <cfvo type="percent" val="0"/>
        <cfvo type="num" val="70"/>
        <cfvo type="num" val="90"/>
      </iconSet>
    </cfRule>
    <cfRule type="iconSet" priority="805">
      <iconSet>
        <cfvo type="percent" val="0"/>
        <cfvo type="num" val="95"/>
        <cfvo type="num" val="100"/>
      </iconSet>
    </cfRule>
  </conditionalFormatting>
  <conditionalFormatting sqref="V26">
    <cfRule type="iconSet" priority="985">
      <iconSet>
        <cfvo type="percent" val="0"/>
        <cfvo type="num" val="95"/>
        <cfvo type="num" val="100"/>
      </iconSet>
    </cfRule>
    <cfRule type="iconSet" priority="984">
      <iconSet>
        <cfvo type="percent" val="0"/>
        <cfvo type="num" val="70"/>
        <cfvo type="num" val="90"/>
      </iconSet>
    </cfRule>
    <cfRule type="iconSet" priority="915">
      <iconSet>
        <cfvo type="percent" val="0"/>
        <cfvo type="num" val="70"/>
        <cfvo type="num" val="90"/>
      </iconSet>
    </cfRule>
    <cfRule type="iconSet" priority="914">
      <iconSet>
        <cfvo type="percent" val="0"/>
        <cfvo type="num" val="95"/>
        <cfvo type="num" val="100"/>
      </iconSet>
    </cfRule>
    <cfRule type="iconSet" priority="912">
      <iconSet>
        <cfvo type="percent" val="0"/>
        <cfvo type="num" val="95"/>
        <cfvo type="num" val="100"/>
      </iconSet>
    </cfRule>
    <cfRule type="iconSet" priority="911">
      <iconSet>
        <cfvo type="percent" val="0"/>
        <cfvo type="num" val="70"/>
        <cfvo type="num" val="90"/>
      </iconSet>
    </cfRule>
    <cfRule type="iconSet" priority="913">
      <iconSet>
        <cfvo type="percent" val="0"/>
        <cfvo type="num" val="70"/>
        <cfvo type="num" val="90"/>
      </iconSet>
    </cfRule>
    <cfRule type="iconSet" priority="910">
      <iconSet>
        <cfvo type="percent" val="0"/>
        <cfvo type="num" val="95"/>
        <cfvo type="num" val="100"/>
      </iconSet>
    </cfRule>
  </conditionalFormatting>
  <conditionalFormatting sqref="V27:V45">
    <cfRule type="iconSet" priority="47934">
      <iconSet>
        <cfvo type="percent" val="0"/>
        <cfvo type="num" val="70"/>
        <cfvo type="num" val="90"/>
      </iconSet>
    </cfRule>
    <cfRule type="iconSet" priority="47936">
      <iconSet>
        <cfvo type="percent" val="0"/>
        <cfvo type="num" val="95"/>
        <cfvo type="num" val="100"/>
      </iconSet>
    </cfRule>
    <cfRule type="iconSet" priority="47937">
      <iconSet>
        <cfvo type="percent" val="0"/>
        <cfvo type="num" val="95"/>
        <cfvo type="num" val="100"/>
      </iconSet>
    </cfRule>
    <cfRule type="iconSet" priority="47935">
      <iconSet>
        <cfvo type="percent" val="0"/>
        <cfvo type="num" val="70"/>
        <cfvo type="num" val="90"/>
      </iconSet>
    </cfRule>
    <cfRule type="iconSet" priority="47938">
      <iconSet>
        <cfvo type="percent" val="0"/>
        <cfvo type="num" val="95"/>
        <cfvo type="num" val="100"/>
      </iconSet>
    </cfRule>
    <cfRule type="iconSet" priority="47939">
      <iconSet>
        <cfvo type="percent" val="0"/>
        <cfvo type="num" val="70"/>
        <cfvo type="num" val="90"/>
      </iconSet>
    </cfRule>
    <cfRule type="iconSet" priority="47940">
      <iconSet>
        <cfvo type="percent" val="0"/>
        <cfvo type="num" val="70"/>
        <cfvo type="num" val="90"/>
      </iconSet>
    </cfRule>
    <cfRule type="iconSet" priority="47941">
      <iconSet>
        <cfvo type="percent" val="0"/>
        <cfvo type="num" val="95"/>
        <cfvo type="num" val="100"/>
      </iconSet>
    </cfRule>
    <cfRule type="iconSet" priority="47933">
      <iconSet>
        <cfvo type="percent" val="0"/>
        <cfvo type="num" val="95"/>
        <cfvo type="num" val="100"/>
      </iconSet>
    </cfRule>
  </conditionalFormatting>
  <conditionalFormatting sqref="V46:V47">
    <cfRule type="iconSet" priority="885">
      <iconSet>
        <cfvo type="percent" val="0"/>
        <cfvo type="num" val="95"/>
        <cfvo type="num" val="100"/>
      </iconSet>
    </cfRule>
    <cfRule type="iconSet" priority="884">
      <iconSet>
        <cfvo type="percent" val="0"/>
        <cfvo type="num" val="70"/>
        <cfvo type="num" val="90"/>
      </iconSet>
    </cfRule>
    <cfRule type="iconSet" priority="883">
      <iconSet>
        <cfvo type="percent" val="0"/>
        <cfvo type="num" val="70"/>
        <cfvo type="num" val="90"/>
      </iconSet>
    </cfRule>
    <cfRule type="iconSet" priority="882">
      <iconSet>
        <cfvo type="percent" val="0"/>
        <cfvo type="num" val="95"/>
        <cfvo type="num" val="100"/>
      </iconSet>
    </cfRule>
    <cfRule type="iconSet" priority="881">
      <iconSet>
        <cfvo type="percent" val="0"/>
        <cfvo type="num" val="95"/>
        <cfvo type="num" val="100"/>
      </iconSet>
    </cfRule>
    <cfRule type="iconSet" priority="880">
      <iconSet>
        <cfvo type="percent" val="0"/>
        <cfvo type="num" val="95"/>
        <cfvo type="num" val="100"/>
      </iconSet>
    </cfRule>
    <cfRule type="iconSet" priority="879">
      <iconSet>
        <cfvo type="percent" val="0"/>
        <cfvo type="num" val="70"/>
        <cfvo type="num" val="90"/>
      </iconSet>
    </cfRule>
    <cfRule type="iconSet" priority="878">
      <iconSet>
        <cfvo type="percent" val="0"/>
        <cfvo type="num" val="70"/>
        <cfvo type="num" val="90"/>
      </iconSet>
    </cfRule>
    <cfRule type="iconSet" priority="877">
      <iconSet>
        <cfvo type="percent" val="0"/>
        <cfvo type="num" val="95"/>
        <cfvo type="num" val="100"/>
      </iconSet>
    </cfRule>
  </conditionalFormatting>
  <conditionalFormatting sqref="V48">
    <cfRule type="iconSet" priority="48023">
      <iconSet>
        <cfvo type="percent" val="0"/>
        <cfvo type="num" val="95"/>
        <cfvo type="num" val="100"/>
      </iconSet>
    </cfRule>
    <cfRule type="iconSet" priority="48024">
      <iconSet>
        <cfvo type="percent" val="0"/>
        <cfvo type="num" val="70"/>
        <cfvo type="num" val="90"/>
      </iconSet>
    </cfRule>
    <cfRule type="iconSet" priority="48031">
      <iconSet>
        <cfvo type="percent" val="0"/>
        <cfvo type="num" val="95"/>
        <cfvo type="num" val="100"/>
      </iconSet>
    </cfRule>
    <cfRule type="iconSet" priority="48030">
      <iconSet>
        <cfvo type="percent" val="0"/>
        <cfvo type="num" val="70"/>
        <cfvo type="num" val="90"/>
      </iconSet>
    </cfRule>
    <cfRule type="iconSet" priority="48029">
      <iconSet>
        <cfvo type="percent" val="0"/>
        <cfvo type="num" val="70"/>
        <cfvo type="num" val="90"/>
      </iconSet>
    </cfRule>
    <cfRule type="iconSet" priority="48028">
      <iconSet>
        <cfvo type="percent" val="0"/>
        <cfvo type="num" val="95"/>
        <cfvo type="num" val="100"/>
      </iconSet>
    </cfRule>
    <cfRule type="iconSet" priority="48027">
      <iconSet>
        <cfvo type="percent" val="0"/>
        <cfvo type="num" val="95"/>
        <cfvo type="num" val="100"/>
      </iconSet>
    </cfRule>
    <cfRule type="iconSet" priority="48026">
      <iconSet>
        <cfvo type="percent" val="0"/>
        <cfvo type="num" val="95"/>
        <cfvo type="num" val="100"/>
      </iconSet>
    </cfRule>
    <cfRule type="iconSet" priority="48025">
      <iconSet>
        <cfvo type="percent" val="0"/>
        <cfvo type="num" val="70"/>
        <cfvo type="num" val="90"/>
      </iconSet>
    </cfRule>
  </conditionalFormatting>
  <conditionalFormatting sqref="V49:V54">
    <cfRule type="iconSet" priority="48113">
      <iconSet>
        <cfvo type="percent" val="0"/>
        <cfvo type="num" val="95"/>
        <cfvo type="num" val="100"/>
      </iconSet>
    </cfRule>
    <cfRule type="iconSet" priority="48112">
      <iconSet>
        <cfvo type="percent" val="0"/>
        <cfvo type="num" val="95"/>
        <cfvo type="num" val="100"/>
      </iconSet>
    </cfRule>
    <cfRule type="iconSet" priority="48111">
      <iconSet>
        <cfvo type="percent" val="0"/>
        <cfvo type="num" val="70"/>
        <cfvo type="num" val="90"/>
      </iconSet>
    </cfRule>
    <cfRule type="iconSet" priority="48110">
      <iconSet>
        <cfvo type="percent" val="0"/>
        <cfvo type="num" val="70"/>
        <cfvo type="num" val="90"/>
      </iconSet>
    </cfRule>
    <cfRule type="iconSet" priority="48109">
      <iconSet>
        <cfvo type="percent" val="0"/>
        <cfvo type="num" val="95"/>
        <cfvo type="num" val="100"/>
      </iconSet>
    </cfRule>
    <cfRule type="iconSet" priority="48114">
      <iconSet>
        <cfvo type="percent" val="0"/>
        <cfvo type="num" val="95"/>
        <cfvo type="num" val="100"/>
      </iconSet>
    </cfRule>
    <cfRule type="iconSet" priority="48117">
      <iconSet>
        <cfvo type="percent" val="0"/>
        <cfvo type="num" val="95"/>
        <cfvo type="num" val="100"/>
      </iconSet>
    </cfRule>
    <cfRule type="iconSet" priority="48116">
      <iconSet>
        <cfvo type="percent" val="0"/>
        <cfvo type="num" val="70"/>
        <cfvo type="num" val="90"/>
      </iconSet>
    </cfRule>
    <cfRule type="iconSet" priority="48115">
      <iconSet>
        <cfvo type="percent" val="0"/>
        <cfvo type="num" val="70"/>
        <cfvo type="num" val="90"/>
      </iconSet>
    </cfRule>
  </conditionalFormatting>
  <conditionalFormatting sqref="V55">
    <cfRule type="iconSet" priority="799">
      <iconSet>
        <cfvo type="percent" val="0"/>
        <cfvo type="num" val="95"/>
        <cfvo type="num" val="100"/>
      </iconSet>
    </cfRule>
    <cfRule type="iconSet" priority="800">
      <iconSet>
        <cfvo type="percent" val="0"/>
        <cfvo type="num" val="95"/>
        <cfvo type="num" val="100"/>
      </iconSet>
    </cfRule>
    <cfRule type="iconSet" priority="796">
      <iconSet>
        <cfvo type="percent" val="0"/>
        <cfvo type="num" val="95"/>
        <cfvo type="num" val="100"/>
      </iconSet>
    </cfRule>
    <cfRule type="iconSet" priority="801">
      <iconSet>
        <cfvo type="percent" val="0"/>
        <cfvo type="num" val="95"/>
        <cfvo type="num" val="100"/>
      </iconSet>
    </cfRule>
    <cfRule type="iconSet" priority="798">
      <iconSet>
        <cfvo type="percent" val="0"/>
        <cfvo type="num" val="70"/>
        <cfvo type="num" val="90"/>
      </iconSet>
    </cfRule>
    <cfRule type="iconSet" priority="804">
      <iconSet>
        <cfvo type="percent" val="0"/>
        <cfvo type="num" val="95"/>
        <cfvo type="num" val="100"/>
      </iconSet>
    </cfRule>
    <cfRule type="iconSet" priority="802">
      <iconSet>
        <cfvo type="percent" val="0"/>
        <cfvo type="num" val="70"/>
        <cfvo type="num" val="90"/>
      </iconSet>
    </cfRule>
    <cfRule type="iconSet" priority="803">
      <iconSet>
        <cfvo type="percent" val="0"/>
        <cfvo type="num" val="70"/>
        <cfvo type="num" val="90"/>
      </iconSet>
    </cfRule>
    <cfRule type="iconSet" priority="797">
      <iconSet>
        <cfvo type="percent" val="0"/>
        <cfvo type="num" val="70"/>
        <cfvo type="num" val="90"/>
      </iconSet>
    </cfRule>
  </conditionalFormatting>
  <conditionalFormatting sqref="V56 V26">
    <cfRule type="iconSet" priority="988">
      <iconSet>
        <cfvo type="percent" val="0"/>
        <cfvo type="num" val="95"/>
        <cfvo type="num" val="100"/>
      </iconSet>
    </cfRule>
  </conditionalFormatting>
  <conditionalFormatting sqref="V56">
    <cfRule type="iconSet" priority="960">
      <iconSet>
        <cfvo type="percent" val="0"/>
        <cfvo type="num" val="95"/>
        <cfvo type="num" val="100"/>
      </iconSet>
    </cfRule>
    <cfRule type="iconSet" priority="959">
      <iconSet>
        <cfvo type="percent" val="0"/>
        <cfvo type="num" val="70"/>
        <cfvo type="num" val="90"/>
      </iconSet>
    </cfRule>
    <cfRule type="iconSet" priority="958">
      <iconSet>
        <cfvo type="percent" val="0"/>
        <cfvo type="num" val="95"/>
        <cfvo type="num" val="100"/>
      </iconSet>
    </cfRule>
    <cfRule type="iconSet" priority="957">
      <iconSet>
        <cfvo type="percent" val="0"/>
        <cfvo type="num" val="70"/>
        <cfvo type="num" val="90"/>
      </iconSet>
    </cfRule>
    <cfRule type="iconSet" priority="956">
      <iconSet>
        <cfvo type="percent" val="0"/>
        <cfvo type="num" val="95"/>
        <cfvo type="num" val="100"/>
      </iconSet>
    </cfRule>
    <cfRule type="iconSet" priority="955">
      <iconSet>
        <cfvo type="percent" val="0"/>
        <cfvo type="num" val="70"/>
        <cfvo type="num" val="90"/>
      </iconSet>
    </cfRule>
    <cfRule type="iconSet" priority="954">
      <iconSet>
        <cfvo type="percent" val="0"/>
        <cfvo type="num" val="95"/>
        <cfvo type="num" val="100"/>
      </iconSet>
    </cfRule>
    <cfRule type="iconSet" priority="953">
      <iconSet>
        <cfvo type="percent" val="0"/>
        <cfvo type="num" val="70"/>
        <cfvo type="num" val="90"/>
      </iconSet>
    </cfRule>
    <cfRule type="iconSet" priority="952">
      <iconSet>
        <cfvo type="percent" val="0"/>
        <cfvo type="num" val="95"/>
        <cfvo type="num" val="100"/>
      </iconSet>
    </cfRule>
    <cfRule type="iconSet" priority="951">
      <iconSet>
        <cfvo type="percent" val="0"/>
        <cfvo type="num" val="70"/>
        <cfvo type="num" val="90"/>
      </iconSet>
    </cfRule>
    <cfRule type="iconSet" priority="950">
      <iconSet>
        <cfvo type="percent" val="0"/>
        <cfvo type="num" val="95"/>
        <cfvo type="num" val="100"/>
      </iconSet>
    </cfRule>
    <cfRule type="iconSet" priority="949">
      <iconSet>
        <cfvo type="percent" val="0"/>
        <cfvo type="num" val="70"/>
        <cfvo type="num" val="90"/>
      </iconSet>
    </cfRule>
    <cfRule type="iconSet" priority="948">
      <iconSet>
        <cfvo type="percent" val="0"/>
        <cfvo type="num" val="95"/>
        <cfvo type="num" val="100"/>
      </iconSet>
    </cfRule>
    <cfRule type="iconSet" priority="947">
      <iconSet>
        <cfvo type="percent" val="0"/>
        <cfvo type="num" val="70"/>
        <cfvo type="num" val="90"/>
      </iconSet>
    </cfRule>
    <cfRule type="iconSet" priority="946">
      <iconSet>
        <cfvo type="percent" val="0"/>
        <cfvo type="num" val="95"/>
        <cfvo type="num" val="100"/>
      </iconSet>
    </cfRule>
    <cfRule type="iconSet" priority="945">
      <iconSet>
        <cfvo type="percent" val="0"/>
        <cfvo type="num" val="70"/>
        <cfvo type="num" val="90"/>
      </iconSet>
    </cfRule>
    <cfRule type="iconSet" priority="944">
      <iconSet>
        <cfvo type="percent" val="0"/>
        <cfvo type="num" val="95"/>
        <cfvo type="num" val="100"/>
      </iconSet>
    </cfRule>
    <cfRule type="iconSet" priority="943">
      <iconSet>
        <cfvo type="percent" val="0"/>
        <cfvo type="num" val="70"/>
        <cfvo type="num" val="90"/>
      </iconSet>
    </cfRule>
    <cfRule type="iconSet" priority="942">
      <iconSet>
        <cfvo type="percent" val="0"/>
        <cfvo type="num" val="95"/>
        <cfvo type="num" val="100"/>
      </iconSet>
    </cfRule>
    <cfRule type="iconSet" priority="941">
      <iconSet>
        <cfvo type="percent" val="0"/>
        <cfvo type="num" val="70"/>
        <cfvo type="num" val="90"/>
      </iconSet>
    </cfRule>
    <cfRule type="iconSet" priority="918">
      <iconSet>
        <cfvo type="percent" val="0"/>
        <cfvo type="num" val="95"/>
        <cfvo type="num" val="100"/>
      </iconSet>
    </cfRule>
    <cfRule type="iconSet" priority="939">
      <iconSet>
        <cfvo type="percent" val="0"/>
        <cfvo type="num" val="70"/>
        <cfvo type="num" val="90"/>
      </iconSet>
    </cfRule>
    <cfRule type="iconSet" priority="938">
      <iconSet>
        <cfvo type="percent" val="0"/>
        <cfvo type="num" val="95"/>
        <cfvo type="num" val="100"/>
      </iconSet>
    </cfRule>
    <cfRule type="iconSet" priority="937">
      <iconSet>
        <cfvo type="percent" val="0"/>
        <cfvo type="num" val="70"/>
        <cfvo type="num" val="90"/>
      </iconSet>
    </cfRule>
    <cfRule type="iconSet" priority="936">
      <iconSet>
        <cfvo type="percent" val="0"/>
        <cfvo type="num" val="95"/>
        <cfvo type="num" val="100"/>
      </iconSet>
    </cfRule>
    <cfRule type="iconSet" priority="935">
      <iconSet>
        <cfvo type="percent" val="0"/>
        <cfvo type="num" val="70"/>
        <cfvo type="num" val="90"/>
      </iconSet>
    </cfRule>
    <cfRule type="iconSet" priority="934">
      <iconSet>
        <cfvo type="percent" val="0"/>
        <cfvo type="num" val="95"/>
        <cfvo type="num" val="100"/>
      </iconSet>
    </cfRule>
    <cfRule type="iconSet" priority="933">
      <iconSet>
        <cfvo type="percent" val="0"/>
        <cfvo type="num" val="70"/>
        <cfvo type="num" val="90"/>
      </iconSet>
    </cfRule>
    <cfRule type="iconSet" priority="932">
      <iconSet>
        <cfvo type="percent" val="0"/>
        <cfvo type="num" val="95"/>
        <cfvo type="num" val="100"/>
      </iconSet>
    </cfRule>
    <cfRule type="iconSet" priority="931">
      <iconSet>
        <cfvo type="percent" val="0"/>
        <cfvo type="num" val="70"/>
        <cfvo type="num" val="90"/>
      </iconSet>
    </cfRule>
    <cfRule type="iconSet" priority="930">
      <iconSet>
        <cfvo type="percent" val="0"/>
        <cfvo type="num" val="95"/>
        <cfvo type="num" val="100"/>
      </iconSet>
    </cfRule>
    <cfRule type="iconSet" priority="929">
      <iconSet>
        <cfvo type="percent" val="0"/>
        <cfvo type="num" val="70"/>
        <cfvo type="num" val="90"/>
      </iconSet>
    </cfRule>
    <cfRule type="iconSet" priority="928">
      <iconSet>
        <cfvo type="percent" val="0"/>
        <cfvo type="num" val="95"/>
        <cfvo type="num" val="100"/>
      </iconSet>
    </cfRule>
    <cfRule type="iconSet" priority="927">
      <iconSet>
        <cfvo type="percent" val="0"/>
        <cfvo type="num" val="70"/>
        <cfvo type="num" val="90"/>
      </iconSet>
    </cfRule>
    <cfRule type="iconSet" priority="926">
      <iconSet>
        <cfvo type="percent" val="0"/>
        <cfvo type="num" val="95"/>
        <cfvo type="num" val="100"/>
      </iconSet>
    </cfRule>
    <cfRule type="iconSet" priority="925">
      <iconSet>
        <cfvo type="percent" val="0"/>
        <cfvo type="num" val="70"/>
        <cfvo type="num" val="90"/>
      </iconSet>
    </cfRule>
    <cfRule type="iconSet" priority="924">
      <iconSet>
        <cfvo type="percent" val="0"/>
        <cfvo type="num" val="95"/>
        <cfvo type="num" val="100"/>
      </iconSet>
    </cfRule>
    <cfRule type="iconSet" priority="923">
      <iconSet>
        <cfvo type="percent" val="0"/>
        <cfvo type="num" val="70"/>
        <cfvo type="num" val="90"/>
      </iconSet>
    </cfRule>
    <cfRule type="iconSet" priority="922">
      <iconSet>
        <cfvo type="percent" val="0"/>
        <cfvo type="num" val="95"/>
        <cfvo type="num" val="100"/>
      </iconSet>
    </cfRule>
    <cfRule type="iconSet" priority="921">
      <iconSet>
        <cfvo type="percent" val="0"/>
        <cfvo type="num" val="70"/>
        <cfvo type="num" val="90"/>
      </iconSet>
    </cfRule>
    <cfRule type="iconSet" priority="920">
      <iconSet>
        <cfvo type="percent" val="0"/>
        <cfvo type="num" val="95"/>
        <cfvo type="num" val="100"/>
      </iconSet>
    </cfRule>
    <cfRule type="iconSet" priority="919">
      <iconSet>
        <cfvo type="percent" val="0"/>
        <cfvo type="num" val="70"/>
        <cfvo type="num" val="90"/>
      </iconSet>
    </cfRule>
    <cfRule type="iconSet" priority="917">
      <iconSet>
        <cfvo type="percent" val="0"/>
        <cfvo type="num" val="70"/>
        <cfvo type="num" val="90"/>
      </iconSet>
    </cfRule>
    <cfRule type="iconSet" priority="916">
      <iconSet>
        <cfvo type="percent" val="0"/>
        <cfvo type="num" val="95"/>
        <cfvo type="num" val="100"/>
      </iconSet>
    </cfRule>
    <cfRule type="iconSet" priority="962">
      <iconSet>
        <cfvo type="percent" val="0"/>
        <cfvo type="num" val="95"/>
        <cfvo type="num" val="100"/>
      </iconSet>
    </cfRule>
    <cfRule type="iconSet" priority="904">
      <iconSet>
        <cfvo type="percent" val="0"/>
        <cfvo type="num" val="95"/>
        <cfvo type="num" val="100"/>
      </iconSet>
    </cfRule>
    <cfRule type="iconSet" priority="905">
      <iconSet>
        <cfvo type="percent" val="0"/>
        <cfvo type="num" val="70"/>
        <cfvo type="num" val="90"/>
      </iconSet>
    </cfRule>
    <cfRule type="iconSet" priority="906">
      <iconSet>
        <cfvo type="percent" val="0"/>
        <cfvo type="num" val="95"/>
        <cfvo type="num" val="100"/>
      </iconSet>
    </cfRule>
    <cfRule type="iconSet" priority="907">
      <iconSet>
        <cfvo type="percent" val="0"/>
        <cfvo type="num" val="70"/>
        <cfvo type="num" val="90"/>
      </iconSet>
    </cfRule>
    <cfRule type="iconSet" priority="908">
      <iconSet>
        <cfvo type="percent" val="0"/>
        <cfvo type="num" val="95"/>
        <cfvo type="num" val="100"/>
      </iconSet>
    </cfRule>
    <cfRule type="iconSet" priority="909">
      <iconSet>
        <cfvo type="percent" val="0"/>
        <cfvo type="num" val="70"/>
        <cfvo type="num" val="90"/>
      </iconSet>
    </cfRule>
    <cfRule type="iconSet" priority="978">
      <iconSet>
        <cfvo type="percent" val="0"/>
        <cfvo type="num" val="95"/>
        <cfvo type="num" val="100"/>
      </iconSet>
    </cfRule>
    <cfRule type="iconSet" priority="940">
      <iconSet>
        <cfvo type="percent" val="0"/>
        <cfvo type="num" val="95"/>
        <cfvo type="num" val="100"/>
      </iconSet>
    </cfRule>
    <cfRule type="iconSet" priority="961">
      <iconSet>
        <cfvo type="percent" val="0"/>
        <cfvo type="num" val="70"/>
        <cfvo type="num" val="90"/>
      </iconSet>
    </cfRule>
    <cfRule type="iconSet" priority="983">
      <iconSet>
        <cfvo type="percent" val="0"/>
        <cfvo type="num" val="70"/>
        <cfvo type="num" val="90"/>
      </iconSet>
    </cfRule>
    <cfRule type="iconSet" priority="982">
      <iconSet>
        <cfvo type="percent" val="0"/>
        <cfvo type="num" val="95"/>
        <cfvo type="num" val="100"/>
      </iconSet>
    </cfRule>
    <cfRule type="iconSet" priority="981">
      <iconSet>
        <cfvo type="percent" val="0"/>
        <cfvo type="num" val="70"/>
        <cfvo type="num" val="90"/>
      </iconSet>
    </cfRule>
    <cfRule type="iconSet" priority="980">
      <iconSet>
        <cfvo type="percent" val="0"/>
        <cfvo type="num" val="95"/>
        <cfvo type="num" val="100"/>
      </iconSet>
    </cfRule>
    <cfRule type="iconSet" priority="979">
      <iconSet>
        <cfvo type="percent" val="0"/>
        <cfvo type="num" val="70"/>
        <cfvo type="num" val="90"/>
      </iconSet>
    </cfRule>
    <cfRule type="iconSet" priority="963">
      <iconSet>
        <cfvo type="percent" val="0"/>
        <cfvo type="num" val="70"/>
        <cfvo type="num" val="90"/>
      </iconSet>
    </cfRule>
    <cfRule type="iconSet" priority="977">
      <iconSet>
        <cfvo type="percent" val="0"/>
        <cfvo type="num" val="95"/>
        <cfvo type="num" val="100"/>
      </iconSet>
    </cfRule>
    <cfRule type="iconSet" priority="976">
      <iconSet>
        <cfvo type="percent" val="0"/>
        <cfvo type="num" val="70"/>
        <cfvo type="num" val="90"/>
      </iconSet>
    </cfRule>
    <cfRule type="iconSet" priority="975">
      <iconSet>
        <cfvo type="percent" val="0"/>
        <cfvo type="num" val="70"/>
        <cfvo type="num" val="90"/>
      </iconSet>
    </cfRule>
    <cfRule type="iconSet" priority="974">
      <iconSet>
        <cfvo type="percent" val="0"/>
        <cfvo type="num" val="95"/>
        <cfvo type="num" val="100"/>
      </iconSet>
    </cfRule>
    <cfRule type="iconSet" priority="973">
      <iconSet>
        <cfvo type="percent" val="0"/>
        <cfvo type="num" val="95"/>
        <cfvo type="num" val="100"/>
      </iconSet>
    </cfRule>
    <cfRule type="iconSet" priority="972">
      <iconSet>
        <cfvo type="percent" val="0"/>
        <cfvo type="num" val="70"/>
        <cfvo type="num" val="90"/>
      </iconSet>
    </cfRule>
    <cfRule type="iconSet" priority="971">
      <iconSet>
        <cfvo type="percent" val="0"/>
        <cfvo type="num" val="70"/>
        <cfvo type="num" val="90"/>
      </iconSet>
    </cfRule>
    <cfRule type="iconSet" priority="970">
      <iconSet>
        <cfvo type="percent" val="0"/>
        <cfvo type="num" val="95"/>
        <cfvo type="num" val="100"/>
      </iconSet>
    </cfRule>
    <cfRule type="iconSet" priority="969">
      <iconSet>
        <cfvo type="percent" val="0"/>
        <cfvo type="num" val="70"/>
        <cfvo type="num" val="90"/>
      </iconSet>
    </cfRule>
    <cfRule type="iconSet" priority="968">
      <iconSet>
        <cfvo type="percent" val="0"/>
        <cfvo type="num" val="95"/>
        <cfvo type="num" val="100"/>
      </iconSet>
    </cfRule>
    <cfRule type="iconSet" priority="967">
      <iconSet>
        <cfvo type="percent" val="0"/>
        <cfvo type="num" val="70"/>
        <cfvo type="num" val="90"/>
      </iconSet>
    </cfRule>
    <cfRule type="iconSet" priority="966">
      <iconSet>
        <cfvo type="percent" val="0"/>
        <cfvo type="num" val="95"/>
        <cfvo type="num" val="100"/>
      </iconSet>
    </cfRule>
    <cfRule type="iconSet" priority="965">
      <iconSet>
        <cfvo type="percent" val="0"/>
        <cfvo type="num" val="70"/>
        <cfvo type="num" val="90"/>
      </iconSet>
    </cfRule>
    <cfRule type="iconSet" priority="964">
      <iconSet>
        <cfvo type="percent" val="0"/>
        <cfvo type="num" val="95"/>
        <cfvo type="num" val="100"/>
      </iconSet>
    </cfRule>
  </conditionalFormatting>
  <conditionalFormatting sqref="V57">
    <cfRule type="iconSet" priority="47646">
      <iconSet>
        <cfvo type="percent" val="0"/>
        <cfvo type="num" val="95"/>
        <cfvo type="num" val="100"/>
      </iconSet>
    </cfRule>
  </conditionalFormatting>
  <conditionalFormatting sqref="V58">
    <cfRule type="iconSet" priority="4317">
      <iconSet>
        <cfvo type="percent" val="0"/>
        <cfvo type="num" val="95"/>
        <cfvo type="num" val="100"/>
      </iconSet>
    </cfRule>
  </conditionalFormatting>
  <conditionalFormatting sqref="AA10:AA18">
    <cfRule type="iconSet" priority="48271">
      <iconSet iconSet="3ArrowsGray" showValue="0">
        <cfvo type="percent" val="0"/>
        <cfvo type="num" val="2"/>
        <cfvo type="num" val="3"/>
      </iconSet>
    </cfRule>
  </conditionalFormatting>
  <conditionalFormatting sqref="AA20:AA56">
    <cfRule type="iconSet" priority="48193">
      <iconSet iconSet="3ArrowsGray" showValue="0">
        <cfvo type="percent" val="0"/>
        <cfvo type="num" val="2"/>
        <cfvo type="num" val="3"/>
      </iconSet>
    </cfRule>
  </conditionalFormatting>
  <conditionalFormatting sqref="AA57">
    <cfRule type="iconSet" priority="3941">
      <iconSet iconSet="3ArrowsGray" showValue="0">
        <cfvo type="percent" val="0"/>
        <cfvo type="num" val="2"/>
        <cfvo type="num" val="3"/>
      </iconSet>
    </cfRule>
  </conditionalFormatting>
  <conditionalFormatting sqref="AA58">
    <cfRule type="iconSet" priority="3917">
      <iconSet iconSet="3ArrowsGray" showValue="0">
        <cfvo type="percent" val="0"/>
        <cfvo type="num" val="2"/>
        <cfvo type="num" val="3"/>
      </iconSet>
    </cfRule>
  </conditionalFormatting>
  <conditionalFormatting sqref="AB10:AB18">
    <cfRule type="iconSet" priority="48273">
      <iconSet iconSet="3ArrowsGray" showValue="0">
        <cfvo type="percent" val="0"/>
        <cfvo type="num" val="2"/>
        <cfvo type="num" val="3"/>
      </iconSet>
    </cfRule>
  </conditionalFormatting>
  <conditionalFormatting sqref="AB20:AB56">
    <cfRule type="iconSet" priority="48194">
      <iconSet iconSet="3ArrowsGray" showValue="0">
        <cfvo type="percent" val="0"/>
        <cfvo type="num" val="2"/>
        <cfvo type="num" val="3"/>
      </iconSet>
    </cfRule>
  </conditionalFormatting>
  <conditionalFormatting sqref="AB57">
    <cfRule type="iconSet" priority="3942">
      <iconSet iconSet="3ArrowsGray" showValue="0">
        <cfvo type="percent" val="0"/>
        <cfvo type="num" val="2"/>
        <cfvo type="num" val="3"/>
      </iconSet>
    </cfRule>
  </conditionalFormatting>
  <conditionalFormatting sqref="AB58">
    <cfRule type="iconSet" priority="3918">
      <iconSet iconSet="3ArrowsGray" showValue="0">
        <cfvo type="percent" val="0"/>
        <cfvo type="num" val="2"/>
        <cfvo type="num" val="3"/>
      </iconSet>
    </cfRule>
  </conditionalFormatting>
  <conditionalFormatting sqref="AG10">
    <cfRule type="iconSet" priority="671">
      <iconSet>
        <cfvo type="percent" val="0"/>
        <cfvo type="num" val="95"/>
        <cfvo type="num" val="100"/>
      </iconSet>
    </cfRule>
    <cfRule type="iconSet" priority="670">
      <iconSet>
        <cfvo type="percent" val="0"/>
        <cfvo type="num" val="95"/>
        <cfvo type="num" val="100"/>
      </iconSet>
    </cfRule>
    <cfRule type="iconSet" priority="669">
      <iconSet>
        <cfvo type="percent" val="0"/>
        <cfvo type="num" val="95"/>
        <cfvo type="num" val="100"/>
      </iconSet>
    </cfRule>
    <cfRule type="iconSet" priority="668">
      <iconSet>
        <cfvo type="percent" val="0"/>
        <cfvo type="num" val="70"/>
        <cfvo type="num" val="90"/>
      </iconSet>
    </cfRule>
    <cfRule type="iconSet" priority="667">
      <iconSet>
        <cfvo type="percent" val="0"/>
        <cfvo type="num" val="70"/>
        <cfvo type="num" val="90"/>
      </iconSet>
    </cfRule>
    <cfRule type="iconSet" priority="666">
      <iconSet>
        <cfvo type="percent" val="0"/>
        <cfvo type="num" val="95"/>
        <cfvo type="num" val="100"/>
      </iconSet>
    </cfRule>
    <cfRule type="iconSet" priority="674">
      <iconSet>
        <cfvo type="percent" val="0"/>
        <cfvo type="num" val="95"/>
        <cfvo type="num" val="100"/>
      </iconSet>
    </cfRule>
    <cfRule type="iconSet" priority="673">
      <iconSet>
        <cfvo type="percent" val="0"/>
        <cfvo type="num" val="70"/>
        <cfvo type="num" val="90"/>
      </iconSet>
    </cfRule>
    <cfRule type="iconSet" priority="672">
      <iconSet>
        <cfvo type="percent" val="0"/>
        <cfvo type="num" val="70"/>
        <cfvo type="num" val="90"/>
      </iconSet>
    </cfRule>
  </conditionalFormatting>
  <conditionalFormatting sqref="AG11">
    <cfRule type="iconSet" priority="637">
      <iconSet>
        <cfvo type="percent" val="0"/>
        <cfvo type="num" val="70"/>
        <cfvo type="num" val="90"/>
      </iconSet>
    </cfRule>
    <cfRule type="iconSet" priority="638">
      <iconSet>
        <cfvo type="percent" val="0"/>
        <cfvo type="num" val="95"/>
        <cfvo type="num" val="100"/>
      </iconSet>
    </cfRule>
    <cfRule type="iconSet" priority="631">
      <iconSet>
        <cfvo type="percent" val="0"/>
        <cfvo type="num" val="70"/>
        <cfvo type="num" val="90"/>
      </iconSet>
    </cfRule>
    <cfRule type="iconSet" priority="630">
      <iconSet>
        <cfvo type="percent" val="0"/>
        <cfvo type="num" val="95"/>
        <cfvo type="num" val="100"/>
      </iconSet>
    </cfRule>
    <cfRule type="iconSet" priority="632">
      <iconSet>
        <cfvo type="percent" val="0"/>
        <cfvo type="num" val="70"/>
        <cfvo type="num" val="90"/>
      </iconSet>
    </cfRule>
    <cfRule type="iconSet" priority="633">
      <iconSet>
        <cfvo type="percent" val="0"/>
        <cfvo type="num" val="95"/>
        <cfvo type="num" val="100"/>
      </iconSet>
    </cfRule>
    <cfRule type="iconSet" priority="634">
      <iconSet>
        <cfvo type="percent" val="0"/>
        <cfvo type="num" val="95"/>
        <cfvo type="num" val="100"/>
      </iconSet>
    </cfRule>
    <cfRule type="iconSet" priority="635">
      <iconSet>
        <cfvo type="percent" val="0"/>
        <cfvo type="num" val="95"/>
        <cfvo type="num" val="100"/>
      </iconSet>
    </cfRule>
    <cfRule type="iconSet" priority="636">
      <iconSet>
        <cfvo type="percent" val="0"/>
        <cfvo type="num" val="70"/>
        <cfvo type="num" val="90"/>
      </iconSet>
    </cfRule>
  </conditionalFormatting>
  <conditionalFormatting sqref="AG12:AG17">
    <cfRule type="iconSet" priority="48275">
      <iconSet>
        <cfvo type="percent" val="0"/>
        <cfvo type="num" val="95"/>
        <cfvo type="num" val="100"/>
      </iconSet>
    </cfRule>
    <cfRule type="iconSet" priority="48276">
      <iconSet>
        <cfvo type="percent" val="0"/>
        <cfvo type="num" val="70"/>
        <cfvo type="num" val="90"/>
      </iconSet>
    </cfRule>
    <cfRule type="iconSet" priority="48277">
      <iconSet>
        <cfvo type="percent" val="0"/>
        <cfvo type="num" val="70"/>
        <cfvo type="num" val="90"/>
      </iconSet>
    </cfRule>
    <cfRule type="iconSet" priority="48278">
      <iconSet>
        <cfvo type="percent" val="0"/>
        <cfvo type="num" val="95"/>
        <cfvo type="num" val="100"/>
      </iconSet>
    </cfRule>
    <cfRule type="iconSet" priority="48279">
      <iconSet>
        <cfvo type="percent" val="0"/>
        <cfvo type="num" val="95"/>
        <cfvo type="num" val="100"/>
      </iconSet>
    </cfRule>
    <cfRule type="iconSet" priority="48281">
      <iconSet>
        <cfvo type="percent" val="0"/>
        <cfvo type="num" val="70"/>
        <cfvo type="num" val="90"/>
      </iconSet>
    </cfRule>
    <cfRule type="iconSet" priority="48283">
      <iconSet>
        <cfvo type="percent" val="0"/>
        <cfvo type="num" val="95"/>
        <cfvo type="num" val="100"/>
      </iconSet>
    </cfRule>
    <cfRule type="iconSet" priority="48282">
      <iconSet>
        <cfvo type="percent" val="0"/>
        <cfvo type="num" val="70"/>
        <cfvo type="num" val="90"/>
      </iconSet>
    </cfRule>
    <cfRule type="iconSet" priority="48280">
      <iconSet>
        <cfvo type="percent" val="0"/>
        <cfvo type="num" val="95"/>
        <cfvo type="num" val="100"/>
      </iconSet>
    </cfRule>
  </conditionalFormatting>
  <conditionalFormatting sqref="AG18">
    <cfRule type="iconSet" priority="606">
      <iconSet>
        <cfvo type="percent" val="0"/>
        <cfvo type="num" val="95"/>
        <cfvo type="num" val="100"/>
      </iconSet>
    </cfRule>
    <cfRule type="iconSet" priority="607">
      <iconSet>
        <cfvo type="percent" val="0"/>
        <cfvo type="num" val="95"/>
        <cfvo type="num" val="100"/>
      </iconSet>
    </cfRule>
    <cfRule type="iconSet" priority="608">
      <iconSet>
        <cfvo type="percent" val="0"/>
        <cfvo type="num" val="95"/>
        <cfvo type="num" val="100"/>
      </iconSet>
    </cfRule>
    <cfRule type="iconSet" priority="609">
      <iconSet>
        <cfvo type="percent" val="0"/>
        <cfvo type="num" val="70"/>
        <cfvo type="num" val="90"/>
      </iconSet>
    </cfRule>
    <cfRule type="iconSet" priority="610">
      <iconSet>
        <cfvo type="percent" val="0"/>
        <cfvo type="num" val="70"/>
        <cfvo type="num" val="90"/>
      </iconSet>
    </cfRule>
    <cfRule type="iconSet" priority="611">
      <iconSet>
        <cfvo type="percent" val="0"/>
        <cfvo type="num" val="95"/>
        <cfvo type="num" val="100"/>
      </iconSet>
    </cfRule>
    <cfRule type="iconSet" priority="605">
      <iconSet>
        <cfvo type="percent" val="0"/>
        <cfvo type="num" val="70"/>
        <cfvo type="num" val="90"/>
      </iconSet>
    </cfRule>
    <cfRule type="iconSet" priority="603">
      <iconSet>
        <cfvo type="percent" val="0"/>
        <cfvo type="num" val="95"/>
        <cfvo type="num" val="100"/>
      </iconSet>
    </cfRule>
    <cfRule type="iconSet" priority="604">
      <iconSet>
        <cfvo type="percent" val="0"/>
        <cfvo type="num" val="70"/>
        <cfvo type="num" val="90"/>
      </iconSet>
    </cfRule>
  </conditionalFormatting>
  <conditionalFormatting sqref="AG20">
    <cfRule type="iconSet" priority="657">
      <iconSet>
        <cfvo type="percent" val="0"/>
        <cfvo type="num" val="95"/>
        <cfvo type="num" val="100"/>
      </iconSet>
    </cfRule>
    <cfRule type="iconSet" priority="658">
      <iconSet>
        <cfvo type="percent" val="0"/>
        <cfvo type="num" val="70"/>
        <cfvo type="num" val="90"/>
      </iconSet>
    </cfRule>
    <cfRule type="iconSet" priority="659">
      <iconSet>
        <cfvo type="percent" val="0"/>
        <cfvo type="num" val="70"/>
        <cfvo type="num" val="90"/>
      </iconSet>
    </cfRule>
    <cfRule type="iconSet" priority="660">
      <iconSet>
        <cfvo type="percent" val="0"/>
        <cfvo type="num" val="95"/>
        <cfvo type="num" val="100"/>
      </iconSet>
    </cfRule>
    <cfRule type="iconSet" priority="661">
      <iconSet>
        <cfvo type="percent" val="0"/>
        <cfvo type="num" val="95"/>
        <cfvo type="num" val="100"/>
      </iconSet>
    </cfRule>
    <cfRule type="iconSet" priority="662">
      <iconSet>
        <cfvo type="percent" val="0"/>
        <cfvo type="num" val="95"/>
        <cfvo type="num" val="100"/>
      </iconSet>
    </cfRule>
    <cfRule type="iconSet" priority="663">
      <iconSet>
        <cfvo type="percent" val="0"/>
        <cfvo type="num" val="70"/>
        <cfvo type="num" val="90"/>
      </iconSet>
    </cfRule>
    <cfRule type="iconSet" priority="664">
      <iconSet>
        <cfvo type="percent" val="0"/>
        <cfvo type="num" val="70"/>
        <cfvo type="num" val="90"/>
      </iconSet>
    </cfRule>
    <cfRule type="iconSet" priority="665">
      <iconSet>
        <cfvo type="percent" val="0"/>
        <cfvo type="num" val="95"/>
        <cfvo type="num" val="100"/>
      </iconSet>
    </cfRule>
  </conditionalFormatting>
  <conditionalFormatting sqref="AG21:AG23">
    <cfRule type="iconSet" priority="592">
      <iconSet>
        <cfvo type="percent" val="0"/>
        <cfvo type="num" val="70"/>
        <cfvo type="num" val="90"/>
      </iconSet>
    </cfRule>
    <cfRule type="iconSet" priority="589">
      <iconSet>
        <cfvo type="percent" val="0"/>
        <cfvo type="num" val="95"/>
        <cfvo type="num" val="100"/>
      </iconSet>
    </cfRule>
    <cfRule type="iconSet" priority="585">
      <iconSet>
        <cfvo type="percent" val="0"/>
        <cfvo type="num" val="95"/>
        <cfvo type="num" val="100"/>
      </iconSet>
    </cfRule>
    <cfRule type="iconSet" priority="586">
      <iconSet>
        <cfvo type="percent" val="0"/>
        <cfvo type="num" val="70"/>
        <cfvo type="num" val="90"/>
      </iconSet>
    </cfRule>
    <cfRule type="iconSet" priority="587">
      <iconSet>
        <cfvo type="percent" val="0"/>
        <cfvo type="num" val="70"/>
        <cfvo type="num" val="90"/>
      </iconSet>
    </cfRule>
    <cfRule type="iconSet" priority="588">
      <iconSet>
        <cfvo type="percent" val="0"/>
        <cfvo type="num" val="95"/>
        <cfvo type="num" val="100"/>
      </iconSet>
    </cfRule>
    <cfRule type="iconSet" priority="590">
      <iconSet>
        <cfvo type="percent" val="0"/>
        <cfvo type="num" val="95"/>
        <cfvo type="num" val="100"/>
      </iconSet>
    </cfRule>
    <cfRule type="iconSet" priority="591">
      <iconSet>
        <cfvo type="percent" val="0"/>
        <cfvo type="num" val="70"/>
        <cfvo type="num" val="90"/>
      </iconSet>
    </cfRule>
    <cfRule type="iconSet" priority="593">
      <iconSet>
        <cfvo type="percent" val="0"/>
        <cfvo type="num" val="95"/>
        <cfvo type="num" val="100"/>
      </iconSet>
    </cfRule>
  </conditionalFormatting>
  <conditionalFormatting sqref="AG24:AG25">
    <cfRule type="iconSet" priority="579">
      <iconSet>
        <cfvo type="percent" val="0"/>
        <cfvo type="num" val="95"/>
        <cfvo type="num" val="100"/>
      </iconSet>
    </cfRule>
    <cfRule type="iconSet" priority="578">
      <iconSet>
        <cfvo type="percent" val="0"/>
        <cfvo type="num" val="70"/>
        <cfvo type="num" val="90"/>
      </iconSet>
    </cfRule>
    <cfRule type="iconSet" priority="581">
      <iconSet>
        <cfvo type="percent" val="0"/>
        <cfvo type="num" val="95"/>
        <cfvo type="num" val="100"/>
      </iconSet>
    </cfRule>
    <cfRule type="iconSet" priority="582">
      <iconSet>
        <cfvo type="percent" val="0"/>
        <cfvo type="num" val="70"/>
        <cfvo type="num" val="90"/>
      </iconSet>
    </cfRule>
    <cfRule type="iconSet" priority="583">
      <iconSet>
        <cfvo type="percent" val="0"/>
        <cfvo type="num" val="70"/>
        <cfvo type="num" val="90"/>
      </iconSet>
    </cfRule>
    <cfRule type="iconSet" priority="584">
      <iconSet>
        <cfvo type="percent" val="0"/>
        <cfvo type="num" val="95"/>
        <cfvo type="num" val="100"/>
      </iconSet>
    </cfRule>
    <cfRule type="iconSet" priority="577">
      <iconSet>
        <cfvo type="percent" val="0"/>
        <cfvo type="num" val="70"/>
        <cfvo type="num" val="90"/>
      </iconSet>
    </cfRule>
    <cfRule type="iconSet" priority="576">
      <iconSet>
        <cfvo type="percent" val="0"/>
        <cfvo type="num" val="95"/>
        <cfvo type="num" val="100"/>
      </iconSet>
    </cfRule>
    <cfRule type="iconSet" priority="580">
      <iconSet>
        <cfvo type="percent" val="0"/>
        <cfvo type="num" val="95"/>
        <cfvo type="num" val="100"/>
      </iconSet>
    </cfRule>
  </conditionalFormatting>
  <conditionalFormatting sqref="AG26">
    <cfRule type="iconSet" priority="685">
      <iconSet>
        <cfvo type="percent" val="0"/>
        <cfvo type="num" val="95"/>
        <cfvo type="num" val="100"/>
      </iconSet>
    </cfRule>
    <cfRule type="iconSet" priority="755">
      <iconSet>
        <cfvo type="percent" val="0"/>
        <cfvo type="num" val="70"/>
        <cfvo type="num" val="90"/>
      </iconSet>
    </cfRule>
    <cfRule type="iconSet" priority="682">
      <iconSet>
        <cfvo type="percent" val="0"/>
        <cfvo type="num" val="70"/>
        <cfvo type="num" val="90"/>
      </iconSet>
    </cfRule>
    <cfRule type="iconSet" priority="683">
      <iconSet>
        <cfvo type="percent" val="0"/>
        <cfvo type="num" val="95"/>
        <cfvo type="num" val="100"/>
      </iconSet>
    </cfRule>
    <cfRule type="iconSet" priority="684">
      <iconSet>
        <cfvo type="percent" val="0"/>
        <cfvo type="num" val="70"/>
        <cfvo type="num" val="90"/>
      </iconSet>
    </cfRule>
    <cfRule type="iconSet" priority="686">
      <iconSet>
        <cfvo type="percent" val="0"/>
        <cfvo type="num" val="70"/>
        <cfvo type="num" val="90"/>
      </iconSet>
    </cfRule>
    <cfRule type="iconSet" priority="681">
      <iconSet>
        <cfvo type="percent" val="0"/>
        <cfvo type="num" val="95"/>
        <cfvo type="num" val="100"/>
      </iconSet>
    </cfRule>
    <cfRule type="iconSet" priority="756">
      <iconSet>
        <cfvo type="percent" val="0"/>
        <cfvo type="num" val="95"/>
        <cfvo type="num" val="100"/>
      </iconSet>
    </cfRule>
  </conditionalFormatting>
  <conditionalFormatting sqref="AG27:AG45">
    <cfRule type="iconSet" priority="47960">
      <iconSet>
        <cfvo type="percent" val="0"/>
        <cfvo type="num" val="95"/>
        <cfvo type="num" val="100"/>
      </iconSet>
    </cfRule>
    <cfRule type="iconSet" priority="47964">
      <iconSet>
        <cfvo type="percent" val="0"/>
        <cfvo type="num" val="95"/>
        <cfvo type="num" val="100"/>
      </iconSet>
    </cfRule>
    <cfRule type="iconSet" priority="47963">
      <iconSet>
        <cfvo type="percent" val="0"/>
        <cfvo type="num" val="70"/>
        <cfvo type="num" val="90"/>
      </iconSet>
    </cfRule>
    <cfRule type="iconSet" priority="47961">
      <iconSet>
        <cfvo type="percent" val="0"/>
        <cfvo type="num" val="95"/>
        <cfvo type="num" val="100"/>
      </iconSet>
    </cfRule>
    <cfRule type="iconSet" priority="47959">
      <iconSet>
        <cfvo type="percent" val="0"/>
        <cfvo type="num" val="95"/>
        <cfvo type="num" val="100"/>
      </iconSet>
    </cfRule>
    <cfRule type="iconSet" priority="47958">
      <iconSet>
        <cfvo type="percent" val="0"/>
        <cfvo type="num" val="70"/>
        <cfvo type="num" val="90"/>
      </iconSet>
    </cfRule>
    <cfRule type="iconSet" priority="47957">
      <iconSet>
        <cfvo type="percent" val="0"/>
        <cfvo type="num" val="70"/>
        <cfvo type="num" val="90"/>
      </iconSet>
    </cfRule>
    <cfRule type="iconSet" priority="47956">
      <iconSet>
        <cfvo type="percent" val="0"/>
        <cfvo type="num" val="95"/>
        <cfvo type="num" val="100"/>
      </iconSet>
    </cfRule>
    <cfRule type="iconSet" priority="47962">
      <iconSet>
        <cfvo type="percent" val="0"/>
        <cfvo type="num" val="70"/>
        <cfvo type="num" val="90"/>
      </iconSet>
    </cfRule>
  </conditionalFormatting>
  <conditionalFormatting sqref="AG46:AG47">
    <cfRule type="iconSet" priority="654">
      <iconSet>
        <cfvo type="percent" val="0"/>
        <cfvo type="num" val="70"/>
        <cfvo type="num" val="90"/>
      </iconSet>
    </cfRule>
    <cfRule type="iconSet" priority="649">
      <iconSet>
        <cfvo type="percent" val="0"/>
        <cfvo type="num" val="70"/>
        <cfvo type="num" val="90"/>
      </iconSet>
    </cfRule>
    <cfRule type="iconSet" priority="655">
      <iconSet>
        <cfvo type="percent" val="0"/>
        <cfvo type="num" val="70"/>
        <cfvo type="num" val="90"/>
      </iconSet>
    </cfRule>
    <cfRule type="iconSet" priority="648">
      <iconSet>
        <cfvo type="percent" val="0"/>
        <cfvo type="num" val="95"/>
        <cfvo type="num" val="100"/>
      </iconSet>
    </cfRule>
    <cfRule type="iconSet" priority="650">
      <iconSet>
        <cfvo type="percent" val="0"/>
        <cfvo type="num" val="70"/>
        <cfvo type="num" val="90"/>
      </iconSet>
    </cfRule>
    <cfRule type="iconSet" priority="652">
      <iconSet>
        <cfvo type="percent" val="0"/>
        <cfvo type="num" val="95"/>
        <cfvo type="num" val="100"/>
      </iconSet>
    </cfRule>
    <cfRule type="iconSet" priority="651">
      <iconSet>
        <cfvo type="percent" val="0"/>
        <cfvo type="num" val="95"/>
        <cfvo type="num" val="100"/>
      </iconSet>
    </cfRule>
    <cfRule type="iconSet" priority="653">
      <iconSet>
        <cfvo type="percent" val="0"/>
        <cfvo type="num" val="95"/>
        <cfvo type="num" val="100"/>
      </iconSet>
    </cfRule>
    <cfRule type="iconSet" priority="656">
      <iconSet>
        <cfvo type="percent" val="0"/>
        <cfvo type="num" val="95"/>
        <cfvo type="num" val="100"/>
      </iconSet>
    </cfRule>
  </conditionalFormatting>
  <conditionalFormatting sqref="AG48">
    <cfRule type="iconSet" priority="48036">
      <iconSet>
        <cfvo type="percent" val="0"/>
        <cfvo type="num" val="95"/>
        <cfvo type="num" val="100"/>
      </iconSet>
    </cfRule>
    <cfRule type="iconSet" priority="48033">
      <iconSet>
        <cfvo type="percent" val="0"/>
        <cfvo type="num" val="95"/>
        <cfvo type="num" val="100"/>
      </iconSet>
    </cfRule>
    <cfRule type="iconSet" priority="48034">
      <iconSet>
        <cfvo type="percent" val="0"/>
        <cfvo type="num" val="70"/>
        <cfvo type="num" val="90"/>
      </iconSet>
    </cfRule>
    <cfRule type="iconSet" priority="48035">
      <iconSet>
        <cfvo type="percent" val="0"/>
        <cfvo type="num" val="70"/>
        <cfvo type="num" val="90"/>
      </iconSet>
    </cfRule>
    <cfRule type="iconSet" priority="48037">
      <iconSet>
        <cfvo type="percent" val="0"/>
        <cfvo type="num" val="95"/>
        <cfvo type="num" val="100"/>
      </iconSet>
    </cfRule>
    <cfRule type="iconSet" priority="48038">
      <iconSet>
        <cfvo type="percent" val="0"/>
        <cfvo type="num" val="95"/>
        <cfvo type="num" val="100"/>
      </iconSet>
    </cfRule>
    <cfRule type="iconSet" priority="48039">
      <iconSet>
        <cfvo type="percent" val="0"/>
        <cfvo type="num" val="70"/>
        <cfvo type="num" val="90"/>
      </iconSet>
    </cfRule>
    <cfRule type="iconSet" priority="48040">
      <iconSet>
        <cfvo type="percent" val="0"/>
        <cfvo type="num" val="70"/>
        <cfvo type="num" val="90"/>
      </iconSet>
    </cfRule>
    <cfRule type="iconSet" priority="48041">
      <iconSet>
        <cfvo type="percent" val="0"/>
        <cfvo type="num" val="95"/>
        <cfvo type="num" val="100"/>
      </iconSet>
    </cfRule>
  </conditionalFormatting>
  <conditionalFormatting sqref="AG49:AG54">
    <cfRule type="iconSet" priority="48137">
      <iconSet>
        <cfvo type="percent" val="0"/>
        <cfvo type="num" val="95"/>
        <cfvo type="num" val="100"/>
      </iconSet>
    </cfRule>
    <cfRule type="iconSet" priority="48138">
      <iconSet>
        <cfvo type="percent" val="0"/>
        <cfvo type="num" val="70"/>
        <cfvo type="num" val="90"/>
      </iconSet>
    </cfRule>
    <cfRule type="iconSet" priority="48139">
      <iconSet>
        <cfvo type="percent" val="0"/>
        <cfvo type="num" val="70"/>
        <cfvo type="num" val="90"/>
      </iconSet>
    </cfRule>
    <cfRule type="iconSet" priority="48140">
      <iconSet>
        <cfvo type="percent" val="0"/>
        <cfvo type="num" val="95"/>
        <cfvo type="num" val="100"/>
      </iconSet>
    </cfRule>
    <cfRule type="iconSet" priority="48136">
      <iconSet>
        <cfvo type="percent" val="0"/>
        <cfvo type="num" val="95"/>
        <cfvo type="num" val="100"/>
      </iconSet>
    </cfRule>
    <cfRule type="iconSet" priority="48132">
      <iconSet>
        <cfvo type="percent" val="0"/>
        <cfvo type="num" val="95"/>
        <cfvo type="num" val="100"/>
      </iconSet>
    </cfRule>
    <cfRule type="iconSet" priority="48133">
      <iconSet>
        <cfvo type="percent" val="0"/>
        <cfvo type="num" val="70"/>
        <cfvo type="num" val="90"/>
      </iconSet>
    </cfRule>
    <cfRule type="iconSet" priority="48134">
      <iconSet>
        <cfvo type="percent" val="0"/>
        <cfvo type="num" val="70"/>
        <cfvo type="num" val="90"/>
      </iconSet>
    </cfRule>
    <cfRule type="iconSet" priority="48135">
      <iconSet>
        <cfvo type="percent" val="0"/>
        <cfvo type="num" val="95"/>
        <cfvo type="num" val="100"/>
      </iconSet>
    </cfRule>
  </conditionalFormatting>
  <conditionalFormatting sqref="AG55">
    <cfRule type="iconSet" priority="574">
      <iconSet>
        <cfvo type="percent" val="0"/>
        <cfvo type="num" val="70"/>
        <cfvo type="num" val="90"/>
      </iconSet>
    </cfRule>
    <cfRule type="iconSet" priority="570">
      <iconSet>
        <cfvo type="percent" val="0"/>
        <cfvo type="num" val="95"/>
        <cfvo type="num" val="100"/>
      </iconSet>
    </cfRule>
    <cfRule type="iconSet" priority="571">
      <iconSet>
        <cfvo type="percent" val="0"/>
        <cfvo type="num" val="95"/>
        <cfvo type="num" val="100"/>
      </iconSet>
    </cfRule>
    <cfRule type="iconSet" priority="572">
      <iconSet>
        <cfvo type="percent" val="0"/>
        <cfvo type="num" val="95"/>
        <cfvo type="num" val="100"/>
      </iconSet>
    </cfRule>
    <cfRule type="iconSet" priority="573">
      <iconSet>
        <cfvo type="percent" val="0"/>
        <cfvo type="num" val="70"/>
        <cfvo type="num" val="90"/>
      </iconSet>
    </cfRule>
    <cfRule type="iconSet" priority="575">
      <iconSet>
        <cfvo type="percent" val="0"/>
        <cfvo type="num" val="95"/>
        <cfvo type="num" val="100"/>
      </iconSet>
    </cfRule>
    <cfRule type="iconSet" priority="569">
      <iconSet>
        <cfvo type="percent" val="0"/>
        <cfvo type="num" val="70"/>
        <cfvo type="num" val="90"/>
      </iconSet>
    </cfRule>
    <cfRule type="iconSet" priority="568">
      <iconSet>
        <cfvo type="percent" val="0"/>
        <cfvo type="num" val="70"/>
        <cfvo type="num" val="90"/>
      </iconSet>
    </cfRule>
    <cfRule type="iconSet" priority="567">
      <iconSet>
        <cfvo type="percent" val="0"/>
        <cfvo type="num" val="95"/>
        <cfvo type="num" val="100"/>
      </iconSet>
    </cfRule>
  </conditionalFormatting>
  <conditionalFormatting sqref="AG56 AG26">
    <cfRule type="iconSet" priority="759">
      <iconSet>
        <cfvo type="percent" val="0"/>
        <cfvo type="num" val="95"/>
        <cfvo type="num" val="100"/>
      </iconSet>
    </cfRule>
  </conditionalFormatting>
  <conditionalFormatting sqref="AG56">
    <cfRule type="iconSet" priority="746">
      <iconSet>
        <cfvo type="percent" val="0"/>
        <cfvo type="num" val="70"/>
        <cfvo type="num" val="90"/>
      </iconSet>
    </cfRule>
    <cfRule type="iconSet" priority="745">
      <iconSet>
        <cfvo type="percent" val="0"/>
        <cfvo type="num" val="95"/>
        <cfvo type="num" val="100"/>
      </iconSet>
    </cfRule>
    <cfRule type="iconSet" priority="744">
      <iconSet>
        <cfvo type="percent" val="0"/>
        <cfvo type="num" val="95"/>
        <cfvo type="num" val="100"/>
      </iconSet>
    </cfRule>
    <cfRule type="iconSet" priority="743">
      <iconSet>
        <cfvo type="percent" val="0"/>
        <cfvo type="num" val="70"/>
        <cfvo type="num" val="90"/>
      </iconSet>
    </cfRule>
    <cfRule type="iconSet" priority="742">
      <iconSet>
        <cfvo type="percent" val="0"/>
        <cfvo type="num" val="70"/>
        <cfvo type="num" val="90"/>
      </iconSet>
    </cfRule>
    <cfRule type="iconSet" priority="741">
      <iconSet>
        <cfvo type="percent" val="0"/>
        <cfvo type="num" val="95"/>
        <cfvo type="num" val="100"/>
      </iconSet>
    </cfRule>
    <cfRule type="iconSet" priority="740">
      <iconSet>
        <cfvo type="percent" val="0"/>
        <cfvo type="num" val="70"/>
        <cfvo type="num" val="90"/>
      </iconSet>
    </cfRule>
    <cfRule type="iconSet" priority="739">
      <iconSet>
        <cfvo type="percent" val="0"/>
        <cfvo type="num" val="95"/>
        <cfvo type="num" val="100"/>
      </iconSet>
    </cfRule>
    <cfRule type="iconSet" priority="738">
      <iconSet>
        <cfvo type="percent" val="0"/>
        <cfvo type="num" val="70"/>
        <cfvo type="num" val="90"/>
      </iconSet>
    </cfRule>
    <cfRule type="iconSet" priority="737">
      <iconSet>
        <cfvo type="percent" val="0"/>
        <cfvo type="num" val="95"/>
        <cfvo type="num" val="100"/>
      </iconSet>
    </cfRule>
    <cfRule type="iconSet" priority="736">
      <iconSet>
        <cfvo type="percent" val="0"/>
        <cfvo type="num" val="70"/>
        <cfvo type="num" val="90"/>
      </iconSet>
    </cfRule>
    <cfRule type="iconSet" priority="735">
      <iconSet>
        <cfvo type="percent" val="0"/>
        <cfvo type="num" val="95"/>
        <cfvo type="num" val="100"/>
      </iconSet>
    </cfRule>
    <cfRule type="iconSet" priority="734">
      <iconSet>
        <cfvo type="percent" val="0"/>
        <cfvo type="num" val="70"/>
        <cfvo type="num" val="90"/>
      </iconSet>
    </cfRule>
    <cfRule type="iconSet" priority="733">
      <iconSet>
        <cfvo type="percent" val="0"/>
        <cfvo type="num" val="95"/>
        <cfvo type="num" val="100"/>
      </iconSet>
    </cfRule>
    <cfRule type="iconSet" priority="732">
      <iconSet>
        <cfvo type="percent" val="0"/>
        <cfvo type="num" val="70"/>
        <cfvo type="num" val="90"/>
      </iconSet>
    </cfRule>
    <cfRule type="iconSet" priority="731">
      <iconSet>
        <cfvo type="percent" val="0"/>
        <cfvo type="num" val="95"/>
        <cfvo type="num" val="100"/>
      </iconSet>
    </cfRule>
    <cfRule type="iconSet" priority="730">
      <iconSet>
        <cfvo type="percent" val="0"/>
        <cfvo type="num" val="70"/>
        <cfvo type="num" val="90"/>
      </iconSet>
    </cfRule>
    <cfRule type="iconSet" priority="729">
      <iconSet>
        <cfvo type="percent" val="0"/>
        <cfvo type="num" val="95"/>
        <cfvo type="num" val="100"/>
      </iconSet>
    </cfRule>
    <cfRule type="iconSet" priority="728">
      <iconSet>
        <cfvo type="percent" val="0"/>
        <cfvo type="num" val="70"/>
        <cfvo type="num" val="90"/>
      </iconSet>
    </cfRule>
    <cfRule type="iconSet" priority="727">
      <iconSet>
        <cfvo type="percent" val="0"/>
        <cfvo type="num" val="95"/>
        <cfvo type="num" val="100"/>
      </iconSet>
    </cfRule>
    <cfRule type="iconSet" priority="726">
      <iconSet>
        <cfvo type="percent" val="0"/>
        <cfvo type="num" val="70"/>
        <cfvo type="num" val="90"/>
      </iconSet>
    </cfRule>
    <cfRule type="iconSet" priority="725">
      <iconSet>
        <cfvo type="percent" val="0"/>
        <cfvo type="num" val="95"/>
        <cfvo type="num" val="100"/>
      </iconSet>
    </cfRule>
    <cfRule type="iconSet" priority="724">
      <iconSet>
        <cfvo type="percent" val="0"/>
        <cfvo type="num" val="70"/>
        <cfvo type="num" val="90"/>
      </iconSet>
    </cfRule>
    <cfRule type="iconSet" priority="723">
      <iconSet>
        <cfvo type="percent" val="0"/>
        <cfvo type="num" val="95"/>
        <cfvo type="num" val="100"/>
      </iconSet>
    </cfRule>
    <cfRule type="iconSet" priority="722">
      <iconSet>
        <cfvo type="percent" val="0"/>
        <cfvo type="num" val="70"/>
        <cfvo type="num" val="90"/>
      </iconSet>
    </cfRule>
    <cfRule type="iconSet" priority="721">
      <iconSet>
        <cfvo type="percent" val="0"/>
        <cfvo type="num" val="95"/>
        <cfvo type="num" val="100"/>
      </iconSet>
    </cfRule>
    <cfRule type="iconSet" priority="720">
      <iconSet>
        <cfvo type="percent" val="0"/>
        <cfvo type="num" val="70"/>
        <cfvo type="num" val="90"/>
      </iconSet>
    </cfRule>
    <cfRule type="iconSet" priority="719">
      <iconSet>
        <cfvo type="percent" val="0"/>
        <cfvo type="num" val="95"/>
        <cfvo type="num" val="100"/>
      </iconSet>
    </cfRule>
    <cfRule type="iconSet" priority="718">
      <iconSet>
        <cfvo type="percent" val="0"/>
        <cfvo type="num" val="70"/>
        <cfvo type="num" val="90"/>
      </iconSet>
    </cfRule>
    <cfRule type="iconSet" priority="717">
      <iconSet>
        <cfvo type="percent" val="0"/>
        <cfvo type="num" val="95"/>
        <cfvo type="num" val="100"/>
      </iconSet>
    </cfRule>
    <cfRule type="iconSet" priority="754">
      <iconSet>
        <cfvo type="percent" val="0"/>
        <cfvo type="num" val="70"/>
        <cfvo type="num" val="90"/>
      </iconSet>
    </cfRule>
    <cfRule type="iconSet" priority="715">
      <iconSet>
        <cfvo type="percent" val="0"/>
        <cfvo type="num" val="95"/>
        <cfvo type="num" val="100"/>
      </iconSet>
    </cfRule>
    <cfRule type="iconSet" priority="714">
      <iconSet>
        <cfvo type="percent" val="0"/>
        <cfvo type="num" val="70"/>
        <cfvo type="num" val="90"/>
      </iconSet>
    </cfRule>
    <cfRule type="iconSet" priority="713">
      <iconSet>
        <cfvo type="percent" val="0"/>
        <cfvo type="num" val="95"/>
        <cfvo type="num" val="100"/>
      </iconSet>
    </cfRule>
    <cfRule type="iconSet" priority="712">
      <iconSet>
        <cfvo type="percent" val="0"/>
        <cfvo type="num" val="70"/>
        <cfvo type="num" val="90"/>
      </iconSet>
    </cfRule>
    <cfRule type="iconSet" priority="711">
      <iconSet>
        <cfvo type="percent" val="0"/>
        <cfvo type="num" val="95"/>
        <cfvo type="num" val="100"/>
      </iconSet>
    </cfRule>
    <cfRule type="iconSet" priority="710">
      <iconSet>
        <cfvo type="percent" val="0"/>
        <cfvo type="num" val="70"/>
        <cfvo type="num" val="90"/>
      </iconSet>
    </cfRule>
    <cfRule type="iconSet" priority="709">
      <iconSet>
        <cfvo type="percent" val="0"/>
        <cfvo type="num" val="95"/>
        <cfvo type="num" val="100"/>
      </iconSet>
    </cfRule>
    <cfRule type="iconSet" priority="708">
      <iconSet>
        <cfvo type="percent" val="0"/>
        <cfvo type="num" val="70"/>
        <cfvo type="num" val="90"/>
      </iconSet>
    </cfRule>
    <cfRule type="iconSet" priority="707">
      <iconSet>
        <cfvo type="percent" val="0"/>
        <cfvo type="num" val="95"/>
        <cfvo type="num" val="100"/>
      </iconSet>
    </cfRule>
    <cfRule type="iconSet" priority="706">
      <iconSet>
        <cfvo type="percent" val="0"/>
        <cfvo type="num" val="70"/>
        <cfvo type="num" val="90"/>
      </iconSet>
    </cfRule>
    <cfRule type="iconSet" priority="705">
      <iconSet>
        <cfvo type="percent" val="0"/>
        <cfvo type="num" val="95"/>
        <cfvo type="num" val="100"/>
      </iconSet>
    </cfRule>
    <cfRule type="iconSet" priority="704">
      <iconSet>
        <cfvo type="percent" val="0"/>
        <cfvo type="num" val="70"/>
        <cfvo type="num" val="90"/>
      </iconSet>
    </cfRule>
    <cfRule type="iconSet" priority="703">
      <iconSet>
        <cfvo type="percent" val="0"/>
        <cfvo type="num" val="95"/>
        <cfvo type="num" val="100"/>
      </iconSet>
    </cfRule>
    <cfRule type="iconSet" priority="748">
      <iconSet>
        <cfvo type="percent" val="0"/>
        <cfvo type="num" val="95"/>
        <cfvo type="num" val="100"/>
      </iconSet>
    </cfRule>
    <cfRule type="iconSet" priority="701">
      <iconSet>
        <cfvo type="percent" val="0"/>
        <cfvo type="num" val="95"/>
        <cfvo type="num" val="100"/>
      </iconSet>
    </cfRule>
    <cfRule type="iconSet" priority="700">
      <iconSet>
        <cfvo type="percent" val="0"/>
        <cfvo type="num" val="70"/>
        <cfvo type="num" val="90"/>
      </iconSet>
    </cfRule>
    <cfRule type="iconSet" priority="699">
      <iconSet>
        <cfvo type="percent" val="0"/>
        <cfvo type="num" val="95"/>
        <cfvo type="num" val="100"/>
      </iconSet>
    </cfRule>
    <cfRule type="iconSet" priority="698">
      <iconSet>
        <cfvo type="percent" val="0"/>
        <cfvo type="num" val="70"/>
        <cfvo type="num" val="90"/>
      </iconSet>
    </cfRule>
    <cfRule type="iconSet" priority="697">
      <iconSet>
        <cfvo type="percent" val="0"/>
        <cfvo type="num" val="95"/>
        <cfvo type="num" val="100"/>
      </iconSet>
    </cfRule>
    <cfRule type="iconSet" priority="696">
      <iconSet>
        <cfvo type="percent" val="0"/>
        <cfvo type="num" val="70"/>
        <cfvo type="num" val="90"/>
      </iconSet>
    </cfRule>
    <cfRule type="iconSet" priority="695">
      <iconSet>
        <cfvo type="percent" val="0"/>
        <cfvo type="num" val="95"/>
        <cfvo type="num" val="100"/>
      </iconSet>
    </cfRule>
    <cfRule type="iconSet" priority="694">
      <iconSet>
        <cfvo type="percent" val="0"/>
        <cfvo type="num" val="70"/>
        <cfvo type="num" val="90"/>
      </iconSet>
    </cfRule>
    <cfRule type="iconSet" priority="693">
      <iconSet>
        <cfvo type="percent" val="0"/>
        <cfvo type="num" val="95"/>
        <cfvo type="num" val="100"/>
      </iconSet>
    </cfRule>
    <cfRule type="iconSet" priority="692">
      <iconSet>
        <cfvo type="percent" val="0"/>
        <cfvo type="num" val="70"/>
        <cfvo type="num" val="90"/>
      </iconSet>
    </cfRule>
    <cfRule type="iconSet" priority="690">
      <iconSet>
        <cfvo type="percent" val="0"/>
        <cfvo type="num" val="70"/>
        <cfvo type="num" val="90"/>
      </iconSet>
    </cfRule>
    <cfRule type="iconSet" priority="689">
      <iconSet>
        <cfvo type="percent" val="0"/>
        <cfvo type="num" val="95"/>
        <cfvo type="num" val="100"/>
      </iconSet>
    </cfRule>
    <cfRule type="iconSet" priority="688">
      <iconSet>
        <cfvo type="percent" val="0"/>
        <cfvo type="num" val="70"/>
        <cfvo type="num" val="90"/>
      </iconSet>
    </cfRule>
    <cfRule type="iconSet" priority="687">
      <iconSet>
        <cfvo type="percent" val="0"/>
        <cfvo type="num" val="95"/>
        <cfvo type="num" val="100"/>
      </iconSet>
    </cfRule>
    <cfRule type="iconSet" priority="680">
      <iconSet>
        <cfvo type="percent" val="0"/>
        <cfvo type="num" val="70"/>
        <cfvo type="num" val="90"/>
      </iconSet>
    </cfRule>
    <cfRule type="iconSet" priority="679">
      <iconSet>
        <cfvo type="percent" val="0"/>
        <cfvo type="num" val="95"/>
        <cfvo type="num" val="100"/>
      </iconSet>
    </cfRule>
    <cfRule type="iconSet" priority="678">
      <iconSet>
        <cfvo type="percent" val="0"/>
        <cfvo type="num" val="70"/>
        <cfvo type="num" val="90"/>
      </iconSet>
    </cfRule>
    <cfRule type="iconSet" priority="677">
      <iconSet>
        <cfvo type="percent" val="0"/>
        <cfvo type="num" val="95"/>
        <cfvo type="num" val="100"/>
      </iconSet>
    </cfRule>
    <cfRule type="iconSet" priority="676">
      <iconSet>
        <cfvo type="percent" val="0"/>
        <cfvo type="num" val="70"/>
        <cfvo type="num" val="90"/>
      </iconSet>
    </cfRule>
    <cfRule type="iconSet" priority="675">
      <iconSet>
        <cfvo type="percent" val="0"/>
        <cfvo type="num" val="95"/>
        <cfvo type="num" val="100"/>
      </iconSet>
    </cfRule>
    <cfRule type="iconSet" priority="716">
      <iconSet>
        <cfvo type="percent" val="0"/>
        <cfvo type="num" val="70"/>
        <cfvo type="num" val="90"/>
      </iconSet>
    </cfRule>
    <cfRule type="iconSet" priority="702">
      <iconSet>
        <cfvo type="percent" val="0"/>
        <cfvo type="num" val="70"/>
        <cfvo type="num" val="90"/>
      </iconSet>
    </cfRule>
    <cfRule type="iconSet" priority="753">
      <iconSet>
        <cfvo type="percent" val="0"/>
        <cfvo type="num" val="95"/>
        <cfvo type="num" val="100"/>
      </iconSet>
    </cfRule>
    <cfRule type="iconSet" priority="752">
      <iconSet>
        <cfvo type="percent" val="0"/>
        <cfvo type="num" val="70"/>
        <cfvo type="num" val="90"/>
      </iconSet>
    </cfRule>
    <cfRule type="iconSet" priority="751">
      <iconSet>
        <cfvo type="percent" val="0"/>
        <cfvo type="num" val="95"/>
        <cfvo type="num" val="100"/>
      </iconSet>
    </cfRule>
    <cfRule type="iconSet" priority="750">
      <iconSet>
        <cfvo type="percent" val="0"/>
        <cfvo type="num" val="70"/>
        <cfvo type="num" val="90"/>
      </iconSet>
    </cfRule>
    <cfRule type="iconSet" priority="749">
      <iconSet>
        <cfvo type="percent" val="0"/>
        <cfvo type="num" val="95"/>
        <cfvo type="num" val="100"/>
      </iconSet>
    </cfRule>
    <cfRule type="iconSet" priority="747">
      <iconSet>
        <cfvo type="percent" val="0"/>
        <cfvo type="num" val="70"/>
        <cfvo type="num" val="90"/>
      </iconSet>
    </cfRule>
    <cfRule type="iconSet" priority="691">
      <iconSet>
        <cfvo type="percent" val="0"/>
        <cfvo type="num" val="95"/>
        <cfvo type="num" val="100"/>
      </iconSet>
    </cfRule>
  </conditionalFormatting>
  <conditionalFormatting sqref="AG57">
    <cfRule type="iconSet" priority="47658">
      <iconSet>
        <cfvo type="percent" val="0"/>
        <cfvo type="num" val="95"/>
        <cfvo type="num" val="100"/>
      </iconSet>
    </cfRule>
  </conditionalFormatting>
  <conditionalFormatting sqref="AG58">
    <cfRule type="iconSet" priority="3916">
      <iconSet>
        <cfvo type="percent" val="0"/>
        <cfvo type="num" val="95"/>
        <cfvo type="num" val="100"/>
      </iconSet>
    </cfRule>
  </conditionalFormatting>
  <conditionalFormatting sqref="AL10:AL18">
    <cfRule type="iconSet" priority="48294">
      <iconSet iconSet="3ArrowsGray" showValue="0">
        <cfvo type="percent" val="0"/>
        <cfvo type="num" val="2"/>
        <cfvo type="num" val="3"/>
      </iconSet>
    </cfRule>
  </conditionalFormatting>
  <conditionalFormatting sqref="AL20:AL56">
    <cfRule type="iconSet" priority="48195">
      <iconSet iconSet="3ArrowsGray" showValue="0">
        <cfvo type="percent" val="0"/>
        <cfvo type="num" val="2"/>
        <cfvo type="num" val="3"/>
      </iconSet>
    </cfRule>
  </conditionalFormatting>
  <conditionalFormatting sqref="AL57">
    <cfRule type="iconSet" priority="3540">
      <iconSet iconSet="3ArrowsGray" showValue="0">
        <cfvo type="percent" val="0"/>
        <cfvo type="num" val="2"/>
        <cfvo type="num" val="3"/>
      </iconSet>
    </cfRule>
  </conditionalFormatting>
  <conditionalFormatting sqref="AL58">
    <cfRule type="iconSet" priority="3516">
      <iconSet iconSet="3ArrowsGray" showValue="0">
        <cfvo type="percent" val="0"/>
        <cfvo type="num" val="2"/>
        <cfvo type="num" val="3"/>
      </iconSet>
    </cfRule>
  </conditionalFormatting>
  <conditionalFormatting sqref="AM10:AM18">
    <cfRule type="iconSet" priority="48296">
      <iconSet iconSet="3ArrowsGray" showValue="0">
        <cfvo type="percent" val="0"/>
        <cfvo type="num" val="2"/>
        <cfvo type="num" val="3"/>
      </iconSet>
    </cfRule>
  </conditionalFormatting>
  <conditionalFormatting sqref="AM20:AM56">
    <cfRule type="iconSet" priority="48196">
      <iconSet iconSet="3ArrowsGray" showValue="0">
        <cfvo type="percent" val="0"/>
        <cfvo type="num" val="2"/>
        <cfvo type="num" val="3"/>
      </iconSet>
    </cfRule>
  </conditionalFormatting>
  <conditionalFormatting sqref="AM57">
    <cfRule type="iconSet" priority="3541">
      <iconSet iconSet="3ArrowsGray" showValue="0">
        <cfvo type="percent" val="0"/>
        <cfvo type="num" val="2"/>
        <cfvo type="num" val="3"/>
      </iconSet>
    </cfRule>
  </conditionalFormatting>
  <conditionalFormatting sqref="AM58">
    <cfRule type="iconSet" priority="3517">
      <iconSet iconSet="3ArrowsGray" showValue="0">
        <cfvo type="percent" val="0"/>
        <cfvo type="num" val="2"/>
        <cfvo type="num" val="3"/>
      </iconSet>
    </cfRule>
  </conditionalFormatting>
  <conditionalFormatting sqref="AR10">
    <cfRule type="iconSet" priority="445">
      <iconSet>
        <cfvo type="percent" val="0"/>
        <cfvo type="num" val="95"/>
        <cfvo type="num" val="100"/>
      </iconSet>
    </cfRule>
    <cfRule type="iconSet" priority="439">
      <iconSet>
        <cfvo type="percent" val="0"/>
        <cfvo type="num" val="70"/>
        <cfvo type="num" val="90"/>
      </iconSet>
    </cfRule>
    <cfRule type="iconSet" priority="437">
      <iconSet>
        <cfvo type="percent" val="0"/>
        <cfvo type="num" val="95"/>
        <cfvo type="num" val="100"/>
      </iconSet>
    </cfRule>
    <cfRule type="iconSet" priority="438">
      <iconSet>
        <cfvo type="percent" val="0"/>
        <cfvo type="num" val="70"/>
        <cfvo type="num" val="90"/>
      </iconSet>
    </cfRule>
    <cfRule type="iconSet" priority="440">
      <iconSet>
        <cfvo type="percent" val="0"/>
        <cfvo type="num" val="95"/>
        <cfvo type="num" val="100"/>
      </iconSet>
    </cfRule>
    <cfRule type="iconSet" priority="441">
      <iconSet>
        <cfvo type="percent" val="0"/>
        <cfvo type="num" val="95"/>
        <cfvo type="num" val="100"/>
      </iconSet>
    </cfRule>
    <cfRule type="iconSet" priority="442">
      <iconSet>
        <cfvo type="percent" val="0"/>
        <cfvo type="num" val="95"/>
        <cfvo type="num" val="100"/>
      </iconSet>
    </cfRule>
    <cfRule type="iconSet" priority="443">
      <iconSet>
        <cfvo type="percent" val="0"/>
        <cfvo type="num" val="70"/>
        <cfvo type="num" val="90"/>
      </iconSet>
    </cfRule>
    <cfRule type="iconSet" priority="444">
      <iconSet>
        <cfvo type="percent" val="0"/>
        <cfvo type="num" val="70"/>
        <cfvo type="num" val="90"/>
      </iconSet>
    </cfRule>
  </conditionalFormatting>
  <conditionalFormatting sqref="AR11">
    <cfRule type="iconSet" priority="401">
      <iconSet>
        <cfvo type="percent" val="0"/>
        <cfvo type="num" val="95"/>
        <cfvo type="num" val="100"/>
      </iconSet>
    </cfRule>
    <cfRule type="iconSet" priority="403">
      <iconSet>
        <cfvo type="percent" val="0"/>
        <cfvo type="num" val="70"/>
        <cfvo type="num" val="90"/>
      </iconSet>
    </cfRule>
    <cfRule type="iconSet" priority="404">
      <iconSet>
        <cfvo type="percent" val="0"/>
        <cfvo type="num" val="95"/>
        <cfvo type="num" val="100"/>
      </iconSet>
    </cfRule>
    <cfRule type="iconSet" priority="406">
      <iconSet>
        <cfvo type="percent" val="0"/>
        <cfvo type="num" val="95"/>
        <cfvo type="num" val="100"/>
      </iconSet>
    </cfRule>
    <cfRule type="iconSet" priority="409">
      <iconSet>
        <cfvo type="percent" val="0"/>
        <cfvo type="num" val="95"/>
        <cfvo type="num" val="100"/>
      </iconSet>
    </cfRule>
    <cfRule type="iconSet" priority="408">
      <iconSet>
        <cfvo type="percent" val="0"/>
        <cfvo type="num" val="70"/>
        <cfvo type="num" val="90"/>
      </iconSet>
    </cfRule>
    <cfRule type="iconSet" priority="405">
      <iconSet>
        <cfvo type="percent" val="0"/>
        <cfvo type="num" val="95"/>
        <cfvo type="num" val="100"/>
      </iconSet>
    </cfRule>
    <cfRule type="iconSet" priority="407">
      <iconSet>
        <cfvo type="percent" val="0"/>
        <cfvo type="num" val="70"/>
        <cfvo type="num" val="90"/>
      </iconSet>
    </cfRule>
    <cfRule type="iconSet" priority="402">
      <iconSet>
        <cfvo type="percent" val="0"/>
        <cfvo type="num" val="70"/>
        <cfvo type="num" val="90"/>
      </iconSet>
    </cfRule>
  </conditionalFormatting>
  <conditionalFormatting sqref="AR12:AR17">
    <cfRule type="iconSet" priority="48305">
      <iconSet>
        <cfvo type="percent" val="0"/>
        <cfvo type="num" val="70"/>
        <cfvo type="num" val="90"/>
      </iconSet>
    </cfRule>
    <cfRule type="iconSet" priority="48304">
      <iconSet>
        <cfvo type="percent" val="0"/>
        <cfvo type="num" val="70"/>
        <cfvo type="num" val="90"/>
      </iconSet>
    </cfRule>
    <cfRule type="iconSet" priority="48303">
      <iconSet>
        <cfvo type="percent" val="0"/>
        <cfvo type="num" val="95"/>
        <cfvo type="num" val="100"/>
      </iconSet>
    </cfRule>
    <cfRule type="iconSet" priority="48301">
      <iconSet>
        <cfvo type="percent" val="0"/>
        <cfvo type="num" val="95"/>
        <cfvo type="num" val="100"/>
      </iconSet>
    </cfRule>
    <cfRule type="iconSet" priority="48300">
      <iconSet>
        <cfvo type="percent" val="0"/>
        <cfvo type="num" val="70"/>
        <cfvo type="num" val="90"/>
      </iconSet>
    </cfRule>
    <cfRule type="iconSet" priority="48299">
      <iconSet>
        <cfvo type="percent" val="0"/>
        <cfvo type="num" val="70"/>
        <cfvo type="num" val="90"/>
      </iconSet>
    </cfRule>
    <cfRule type="iconSet" priority="48298">
      <iconSet>
        <cfvo type="percent" val="0"/>
        <cfvo type="num" val="95"/>
        <cfvo type="num" val="100"/>
      </iconSet>
    </cfRule>
    <cfRule type="iconSet" priority="48302">
      <iconSet>
        <cfvo type="percent" val="0"/>
        <cfvo type="num" val="95"/>
        <cfvo type="num" val="100"/>
      </iconSet>
    </cfRule>
    <cfRule type="iconSet" priority="48306">
      <iconSet>
        <cfvo type="percent" val="0"/>
        <cfvo type="num" val="95"/>
        <cfvo type="num" val="100"/>
      </iconSet>
    </cfRule>
  </conditionalFormatting>
  <conditionalFormatting sqref="AR18">
    <cfRule type="iconSet" priority="381">
      <iconSet>
        <cfvo type="percent" val="0"/>
        <cfvo type="num" val="70"/>
        <cfvo type="num" val="90"/>
      </iconSet>
    </cfRule>
    <cfRule type="iconSet" priority="380">
      <iconSet>
        <cfvo type="percent" val="0"/>
        <cfvo type="num" val="70"/>
        <cfvo type="num" val="90"/>
      </iconSet>
    </cfRule>
    <cfRule type="iconSet" priority="379">
      <iconSet>
        <cfvo type="percent" val="0"/>
        <cfvo type="num" val="95"/>
        <cfvo type="num" val="100"/>
      </iconSet>
    </cfRule>
    <cfRule type="iconSet" priority="382">
      <iconSet>
        <cfvo type="percent" val="0"/>
        <cfvo type="num" val="95"/>
        <cfvo type="num" val="100"/>
      </iconSet>
    </cfRule>
    <cfRule type="iconSet" priority="374">
      <iconSet>
        <cfvo type="percent" val="0"/>
        <cfvo type="num" val="95"/>
        <cfvo type="num" val="100"/>
      </iconSet>
    </cfRule>
    <cfRule type="iconSet" priority="375">
      <iconSet>
        <cfvo type="percent" val="0"/>
        <cfvo type="num" val="70"/>
        <cfvo type="num" val="90"/>
      </iconSet>
    </cfRule>
    <cfRule type="iconSet" priority="378">
      <iconSet>
        <cfvo type="percent" val="0"/>
        <cfvo type="num" val="95"/>
        <cfvo type="num" val="100"/>
      </iconSet>
    </cfRule>
    <cfRule type="iconSet" priority="377">
      <iconSet>
        <cfvo type="percent" val="0"/>
        <cfvo type="num" val="95"/>
        <cfvo type="num" val="100"/>
      </iconSet>
    </cfRule>
    <cfRule type="iconSet" priority="376">
      <iconSet>
        <cfvo type="percent" val="0"/>
        <cfvo type="num" val="70"/>
        <cfvo type="num" val="90"/>
      </iconSet>
    </cfRule>
  </conditionalFormatting>
  <conditionalFormatting sqref="AR20">
    <cfRule type="iconSet" priority="431">
      <iconSet>
        <cfvo type="percent" val="0"/>
        <cfvo type="num" val="95"/>
        <cfvo type="num" val="100"/>
      </iconSet>
    </cfRule>
    <cfRule type="iconSet" priority="430">
      <iconSet>
        <cfvo type="percent" val="0"/>
        <cfvo type="num" val="70"/>
        <cfvo type="num" val="90"/>
      </iconSet>
    </cfRule>
    <cfRule type="iconSet" priority="428">
      <iconSet>
        <cfvo type="percent" val="0"/>
        <cfvo type="num" val="95"/>
        <cfvo type="num" val="100"/>
      </iconSet>
    </cfRule>
    <cfRule type="iconSet" priority="429">
      <iconSet>
        <cfvo type="percent" val="0"/>
        <cfvo type="num" val="70"/>
        <cfvo type="num" val="90"/>
      </iconSet>
    </cfRule>
    <cfRule type="iconSet" priority="436">
      <iconSet>
        <cfvo type="percent" val="0"/>
        <cfvo type="num" val="95"/>
        <cfvo type="num" val="100"/>
      </iconSet>
    </cfRule>
    <cfRule type="iconSet" priority="435">
      <iconSet>
        <cfvo type="percent" val="0"/>
        <cfvo type="num" val="70"/>
        <cfvo type="num" val="90"/>
      </iconSet>
    </cfRule>
    <cfRule type="iconSet" priority="434">
      <iconSet>
        <cfvo type="percent" val="0"/>
        <cfvo type="num" val="70"/>
        <cfvo type="num" val="90"/>
      </iconSet>
    </cfRule>
    <cfRule type="iconSet" priority="433">
      <iconSet>
        <cfvo type="percent" val="0"/>
        <cfvo type="num" val="95"/>
        <cfvo type="num" val="100"/>
      </iconSet>
    </cfRule>
    <cfRule type="iconSet" priority="432">
      <iconSet>
        <cfvo type="percent" val="0"/>
        <cfvo type="num" val="95"/>
        <cfvo type="num" val="100"/>
      </iconSet>
    </cfRule>
  </conditionalFormatting>
  <conditionalFormatting sqref="AR21:AR23">
    <cfRule type="iconSet" priority="356">
      <iconSet>
        <cfvo type="percent" val="0"/>
        <cfvo type="num" val="95"/>
        <cfvo type="num" val="100"/>
      </iconSet>
    </cfRule>
    <cfRule type="iconSet" priority="364">
      <iconSet>
        <cfvo type="percent" val="0"/>
        <cfvo type="num" val="95"/>
        <cfvo type="num" val="100"/>
      </iconSet>
    </cfRule>
    <cfRule type="iconSet" priority="363">
      <iconSet>
        <cfvo type="percent" val="0"/>
        <cfvo type="num" val="70"/>
        <cfvo type="num" val="90"/>
      </iconSet>
    </cfRule>
    <cfRule type="iconSet" priority="357">
      <iconSet>
        <cfvo type="percent" val="0"/>
        <cfvo type="num" val="70"/>
        <cfvo type="num" val="90"/>
      </iconSet>
    </cfRule>
    <cfRule type="iconSet" priority="358">
      <iconSet>
        <cfvo type="percent" val="0"/>
        <cfvo type="num" val="70"/>
        <cfvo type="num" val="90"/>
      </iconSet>
    </cfRule>
    <cfRule type="iconSet" priority="359">
      <iconSet>
        <cfvo type="percent" val="0"/>
        <cfvo type="num" val="95"/>
        <cfvo type="num" val="100"/>
      </iconSet>
    </cfRule>
    <cfRule type="iconSet" priority="360">
      <iconSet>
        <cfvo type="percent" val="0"/>
        <cfvo type="num" val="95"/>
        <cfvo type="num" val="100"/>
      </iconSet>
    </cfRule>
    <cfRule type="iconSet" priority="361">
      <iconSet>
        <cfvo type="percent" val="0"/>
        <cfvo type="num" val="95"/>
        <cfvo type="num" val="100"/>
      </iconSet>
    </cfRule>
    <cfRule type="iconSet" priority="362">
      <iconSet>
        <cfvo type="percent" val="0"/>
        <cfvo type="num" val="70"/>
        <cfvo type="num" val="90"/>
      </iconSet>
    </cfRule>
  </conditionalFormatting>
  <conditionalFormatting sqref="AR24:AR25">
    <cfRule type="iconSet" priority="347">
      <iconSet>
        <cfvo type="percent" val="0"/>
        <cfvo type="num" val="95"/>
        <cfvo type="num" val="100"/>
      </iconSet>
    </cfRule>
    <cfRule type="iconSet" priority="348">
      <iconSet>
        <cfvo type="percent" val="0"/>
        <cfvo type="num" val="70"/>
        <cfvo type="num" val="90"/>
      </iconSet>
    </cfRule>
    <cfRule type="iconSet" priority="349">
      <iconSet>
        <cfvo type="percent" val="0"/>
        <cfvo type="num" val="70"/>
        <cfvo type="num" val="90"/>
      </iconSet>
    </cfRule>
    <cfRule type="iconSet" priority="350">
      <iconSet>
        <cfvo type="percent" val="0"/>
        <cfvo type="num" val="95"/>
        <cfvo type="num" val="100"/>
      </iconSet>
    </cfRule>
    <cfRule type="iconSet" priority="351">
      <iconSet>
        <cfvo type="percent" val="0"/>
        <cfvo type="num" val="95"/>
        <cfvo type="num" val="100"/>
      </iconSet>
    </cfRule>
    <cfRule type="iconSet" priority="352">
      <iconSet>
        <cfvo type="percent" val="0"/>
        <cfvo type="num" val="95"/>
        <cfvo type="num" val="100"/>
      </iconSet>
    </cfRule>
    <cfRule type="iconSet" priority="353">
      <iconSet>
        <cfvo type="percent" val="0"/>
        <cfvo type="num" val="70"/>
        <cfvo type="num" val="90"/>
      </iconSet>
    </cfRule>
    <cfRule type="iconSet" priority="354">
      <iconSet>
        <cfvo type="percent" val="0"/>
        <cfvo type="num" val="70"/>
        <cfvo type="num" val="90"/>
      </iconSet>
    </cfRule>
    <cfRule type="iconSet" priority="355">
      <iconSet>
        <cfvo type="percent" val="0"/>
        <cfvo type="num" val="95"/>
        <cfvo type="num" val="100"/>
      </iconSet>
    </cfRule>
  </conditionalFormatting>
  <conditionalFormatting sqref="AR26">
    <cfRule type="iconSet" priority="456">
      <iconSet>
        <cfvo type="percent" val="0"/>
        <cfvo type="num" val="95"/>
        <cfvo type="num" val="100"/>
      </iconSet>
    </cfRule>
    <cfRule type="iconSet" priority="455">
      <iconSet>
        <cfvo type="percent" val="0"/>
        <cfvo type="num" val="70"/>
        <cfvo type="num" val="90"/>
      </iconSet>
    </cfRule>
    <cfRule type="iconSet" priority="453">
      <iconSet>
        <cfvo type="percent" val="0"/>
        <cfvo type="num" val="70"/>
        <cfvo type="num" val="90"/>
      </iconSet>
    </cfRule>
    <cfRule type="iconSet" priority="452">
      <iconSet>
        <cfvo type="percent" val="0"/>
        <cfvo type="num" val="95"/>
        <cfvo type="num" val="100"/>
      </iconSet>
    </cfRule>
    <cfRule type="iconSet" priority="526">
      <iconSet>
        <cfvo type="percent" val="0"/>
        <cfvo type="num" val="70"/>
        <cfvo type="num" val="90"/>
      </iconSet>
    </cfRule>
    <cfRule type="iconSet" priority="527">
      <iconSet>
        <cfvo type="percent" val="0"/>
        <cfvo type="num" val="95"/>
        <cfvo type="num" val="100"/>
      </iconSet>
    </cfRule>
    <cfRule type="iconSet" priority="454">
      <iconSet>
        <cfvo type="percent" val="0"/>
        <cfvo type="num" val="95"/>
        <cfvo type="num" val="100"/>
      </iconSet>
    </cfRule>
    <cfRule type="iconSet" priority="457">
      <iconSet>
        <cfvo type="percent" val="0"/>
        <cfvo type="num" val="70"/>
        <cfvo type="num" val="90"/>
      </iconSet>
    </cfRule>
  </conditionalFormatting>
  <conditionalFormatting sqref="AR27:AR45">
    <cfRule type="iconSet" priority="47981">
      <iconSet>
        <cfvo type="percent" val="0"/>
        <cfvo type="num" val="70"/>
        <cfvo type="num" val="90"/>
      </iconSet>
    </cfRule>
    <cfRule type="iconSet" priority="47980">
      <iconSet>
        <cfvo type="percent" val="0"/>
        <cfvo type="num" val="70"/>
        <cfvo type="num" val="90"/>
      </iconSet>
    </cfRule>
    <cfRule type="iconSet" priority="47979">
      <iconSet>
        <cfvo type="percent" val="0"/>
        <cfvo type="num" val="95"/>
        <cfvo type="num" val="100"/>
      </iconSet>
    </cfRule>
    <cfRule type="iconSet" priority="47987">
      <iconSet>
        <cfvo type="percent" val="0"/>
        <cfvo type="num" val="95"/>
        <cfvo type="num" val="100"/>
      </iconSet>
    </cfRule>
    <cfRule type="iconSet" priority="47984">
      <iconSet>
        <cfvo type="percent" val="0"/>
        <cfvo type="num" val="95"/>
        <cfvo type="num" val="100"/>
      </iconSet>
    </cfRule>
    <cfRule type="iconSet" priority="47986">
      <iconSet>
        <cfvo type="percent" val="0"/>
        <cfvo type="num" val="70"/>
        <cfvo type="num" val="90"/>
      </iconSet>
    </cfRule>
    <cfRule type="iconSet" priority="47983">
      <iconSet>
        <cfvo type="percent" val="0"/>
        <cfvo type="num" val="95"/>
        <cfvo type="num" val="100"/>
      </iconSet>
    </cfRule>
    <cfRule type="iconSet" priority="47982">
      <iconSet>
        <cfvo type="percent" val="0"/>
        <cfvo type="num" val="95"/>
        <cfvo type="num" val="100"/>
      </iconSet>
    </cfRule>
    <cfRule type="iconSet" priority="47985">
      <iconSet>
        <cfvo type="percent" val="0"/>
        <cfvo type="num" val="70"/>
        <cfvo type="num" val="90"/>
      </iconSet>
    </cfRule>
  </conditionalFormatting>
  <conditionalFormatting sqref="AR46:AR47">
    <cfRule type="iconSet" priority="426">
      <iconSet>
        <cfvo type="percent" val="0"/>
        <cfvo type="num" val="70"/>
        <cfvo type="num" val="90"/>
      </iconSet>
    </cfRule>
    <cfRule type="iconSet" priority="424">
      <iconSet>
        <cfvo type="percent" val="0"/>
        <cfvo type="num" val="95"/>
        <cfvo type="num" val="100"/>
      </iconSet>
    </cfRule>
    <cfRule type="iconSet" priority="423">
      <iconSet>
        <cfvo type="percent" val="0"/>
        <cfvo type="num" val="95"/>
        <cfvo type="num" val="100"/>
      </iconSet>
    </cfRule>
    <cfRule type="iconSet" priority="422">
      <iconSet>
        <cfvo type="percent" val="0"/>
        <cfvo type="num" val="95"/>
        <cfvo type="num" val="100"/>
      </iconSet>
    </cfRule>
    <cfRule type="iconSet" priority="421">
      <iconSet>
        <cfvo type="percent" val="0"/>
        <cfvo type="num" val="70"/>
        <cfvo type="num" val="90"/>
      </iconSet>
    </cfRule>
    <cfRule type="iconSet" priority="420">
      <iconSet>
        <cfvo type="percent" val="0"/>
        <cfvo type="num" val="70"/>
        <cfvo type="num" val="90"/>
      </iconSet>
    </cfRule>
    <cfRule type="iconSet" priority="419">
      <iconSet>
        <cfvo type="percent" val="0"/>
        <cfvo type="num" val="95"/>
        <cfvo type="num" val="100"/>
      </iconSet>
    </cfRule>
    <cfRule type="iconSet" priority="425">
      <iconSet>
        <cfvo type="percent" val="0"/>
        <cfvo type="num" val="70"/>
        <cfvo type="num" val="90"/>
      </iconSet>
    </cfRule>
    <cfRule type="iconSet" priority="427">
      <iconSet>
        <cfvo type="percent" val="0"/>
        <cfvo type="num" val="95"/>
        <cfvo type="num" val="100"/>
      </iconSet>
    </cfRule>
  </conditionalFormatting>
  <conditionalFormatting sqref="AR48">
    <cfRule type="iconSet" priority="48044">
      <iconSet>
        <cfvo type="percent" val="0"/>
        <cfvo type="num" val="70"/>
        <cfvo type="num" val="90"/>
      </iconSet>
    </cfRule>
    <cfRule type="iconSet" priority="48043">
      <iconSet>
        <cfvo type="percent" val="0"/>
        <cfvo type="num" val="95"/>
        <cfvo type="num" val="100"/>
      </iconSet>
    </cfRule>
    <cfRule type="iconSet" priority="48051">
      <iconSet>
        <cfvo type="percent" val="0"/>
        <cfvo type="num" val="95"/>
        <cfvo type="num" val="100"/>
      </iconSet>
    </cfRule>
    <cfRule type="iconSet" priority="48049">
      <iconSet>
        <cfvo type="percent" val="0"/>
        <cfvo type="num" val="70"/>
        <cfvo type="num" val="90"/>
      </iconSet>
    </cfRule>
    <cfRule type="iconSet" priority="48048">
      <iconSet>
        <cfvo type="percent" val="0"/>
        <cfvo type="num" val="95"/>
        <cfvo type="num" val="100"/>
      </iconSet>
    </cfRule>
    <cfRule type="iconSet" priority="48050">
      <iconSet>
        <cfvo type="percent" val="0"/>
        <cfvo type="num" val="70"/>
        <cfvo type="num" val="90"/>
      </iconSet>
    </cfRule>
    <cfRule type="iconSet" priority="48046">
      <iconSet>
        <cfvo type="percent" val="0"/>
        <cfvo type="num" val="95"/>
        <cfvo type="num" val="100"/>
      </iconSet>
    </cfRule>
    <cfRule type="iconSet" priority="48045">
      <iconSet>
        <cfvo type="percent" val="0"/>
        <cfvo type="num" val="70"/>
        <cfvo type="num" val="90"/>
      </iconSet>
    </cfRule>
    <cfRule type="iconSet" priority="48047">
      <iconSet>
        <cfvo type="percent" val="0"/>
        <cfvo type="num" val="95"/>
        <cfvo type="num" val="100"/>
      </iconSet>
    </cfRule>
  </conditionalFormatting>
  <conditionalFormatting sqref="AR49:AR54">
    <cfRule type="iconSet" priority="48155">
      <iconSet>
        <cfvo type="percent" val="0"/>
        <cfvo type="num" val="95"/>
        <cfvo type="num" val="100"/>
      </iconSet>
    </cfRule>
    <cfRule type="iconSet" priority="48157">
      <iconSet>
        <cfvo type="percent" val="0"/>
        <cfvo type="num" val="70"/>
        <cfvo type="num" val="90"/>
      </iconSet>
    </cfRule>
    <cfRule type="iconSet" priority="48158">
      <iconSet>
        <cfvo type="percent" val="0"/>
        <cfvo type="num" val="95"/>
        <cfvo type="num" val="100"/>
      </iconSet>
    </cfRule>
    <cfRule type="iconSet" priority="48159">
      <iconSet>
        <cfvo type="percent" val="0"/>
        <cfvo type="num" val="95"/>
        <cfvo type="num" val="100"/>
      </iconSet>
    </cfRule>
    <cfRule type="iconSet" priority="48160">
      <iconSet>
        <cfvo type="percent" val="0"/>
        <cfvo type="num" val="95"/>
        <cfvo type="num" val="100"/>
      </iconSet>
    </cfRule>
    <cfRule type="iconSet" priority="48156">
      <iconSet>
        <cfvo type="percent" val="0"/>
        <cfvo type="num" val="70"/>
        <cfvo type="num" val="90"/>
      </iconSet>
    </cfRule>
    <cfRule type="iconSet" priority="48161">
      <iconSet>
        <cfvo type="percent" val="0"/>
        <cfvo type="num" val="70"/>
        <cfvo type="num" val="90"/>
      </iconSet>
    </cfRule>
    <cfRule type="iconSet" priority="48162">
      <iconSet>
        <cfvo type="percent" val="0"/>
        <cfvo type="num" val="70"/>
        <cfvo type="num" val="90"/>
      </iconSet>
    </cfRule>
    <cfRule type="iconSet" priority="48163">
      <iconSet>
        <cfvo type="percent" val="0"/>
        <cfvo type="num" val="95"/>
        <cfvo type="num" val="100"/>
      </iconSet>
    </cfRule>
  </conditionalFormatting>
  <conditionalFormatting sqref="AR55">
    <cfRule type="iconSet" priority="344">
      <iconSet>
        <cfvo type="percent" val="0"/>
        <cfvo type="num" val="70"/>
        <cfvo type="num" val="90"/>
      </iconSet>
    </cfRule>
    <cfRule type="iconSet" priority="343">
      <iconSet>
        <cfvo type="percent" val="0"/>
        <cfvo type="num" val="95"/>
        <cfvo type="num" val="100"/>
      </iconSet>
    </cfRule>
    <cfRule type="iconSet" priority="342">
      <iconSet>
        <cfvo type="percent" val="0"/>
        <cfvo type="num" val="95"/>
        <cfvo type="num" val="100"/>
      </iconSet>
    </cfRule>
    <cfRule type="iconSet" priority="341">
      <iconSet>
        <cfvo type="percent" val="0"/>
        <cfvo type="num" val="95"/>
        <cfvo type="num" val="100"/>
      </iconSet>
    </cfRule>
    <cfRule type="iconSet" priority="340">
      <iconSet>
        <cfvo type="percent" val="0"/>
        <cfvo type="num" val="70"/>
        <cfvo type="num" val="90"/>
      </iconSet>
    </cfRule>
    <cfRule type="iconSet" priority="339">
      <iconSet>
        <cfvo type="percent" val="0"/>
        <cfvo type="num" val="70"/>
        <cfvo type="num" val="90"/>
      </iconSet>
    </cfRule>
    <cfRule type="iconSet" priority="338">
      <iconSet>
        <cfvo type="percent" val="0"/>
        <cfvo type="num" val="95"/>
        <cfvo type="num" val="100"/>
      </iconSet>
    </cfRule>
    <cfRule type="iconSet" priority="346">
      <iconSet>
        <cfvo type="percent" val="0"/>
        <cfvo type="num" val="95"/>
        <cfvo type="num" val="100"/>
      </iconSet>
    </cfRule>
    <cfRule type="iconSet" priority="345">
      <iconSet>
        <cfvo type="percent" val="0"/>
        <cfvo type="num" val="70"/>
        <cfvo type="num" val="90"/>
      </iconSet>
    </cfRule>
  </conditionalFormatting>
  <conditionalFormatting sqref="AR56 AR26">
    <cfRule type="iconSet" priority="530">
      <iconSet>
        <cfvo type="percent" val="0"/>
        <cfvo type="num" val="95"/>
        <cfvo type="num" val="100"/>
      </iconSet>
    </cfRule>
  </conditionalFormatting>
  <conditionalFormatting sqref="AR56">
    <cfRule type="iconSet" priority="507">
      <iconSet>
        <cfvo type="percent" val="0"/>
        <cfvo type="num" val="70"/>
        <cfvo type="num" val="90"/>
      </iconSet>
    </cfRule>
    <cfRule type="iconSet" priority="485">
      <iconSet>
        <cfvo type="percent" val="0"/>
        <cfvo type="num" val="70"/>
        <cfvo type="num" val="90"/>
      </iconSet>
    </cfRule>
    <cfRule type="iconSet" priority="484">
      <iconSet>
        <cfvo type="percent" val="0"/>
        <cfvo type="num" val="95"/>
        <cfvo type="num" val="100"/>
      </iconSet>
    </cfRule>
    <cfRule type="iconSet" priority="483">
      <iconSet>
        <cfvo type="percent" val="0"/>
        <cfvo type="num" val="70"/>
        <cfvo type="num" val="90"/>
      </iconSet>
    </cfRule>
    <cfRule type="iconSet" priority="482">
      <iconSet>
        <cfvo type="percent" val="0"/>
        <cfvo type="num" val="95"/>
        <cfvo type="num" val="100"/>
      </iconSet>
    </cfRule>
    <cfRule type="iconSet" priority="481">
      <iconSet>
        <cfvo type="percent" val="0"/>
        <cfvo type="num" val="70"/>
        <cfvo type="num" val="90"/>
      </iconSet>
    </cfRule>
    <cfRule type="iconSet" priority="480">
      <iconSet>
        <cfvo type="percent" val="0"/>
        <cfvo type="num" val="95"/>
        <cfvo type="num" val="100"/>
      </iconSet>
    </cfRule>
    <cfRule type="iconSet" priority="479">
      <iconSet>
        <cfvo type="percent" val="0"/>
        <cfvo type="num" val="70"/>
        <cfvo type="num" val="90"/>
      </iconSet>
    </cfRule>
    <cfRule type="iconSet" priority="478">
      <iconSet>
        <cfvo type="percent" val="0"/>
        <cfvo type="num" val="95"/>
        <cfvo type="num" val="100"/>
      </iconSet>
    </cfRule>
    <cfRule type="iconSet" priority="477">
      <iconSet>
        <cfvo type="percent" val="0"/>
        <cfvo type="num" val="70"/>
        <cfvo type="num" val="90"/>
      </iconSet>
    </cfRule>
    <cfRule type="iconSet" priority="476">
      <iconSet>
        <cfvo type="percent" val="0"/>
        <cfvo type="num" val="95"/>
        <cfvo type="num" val="100"/>
      </iconSet>
    </cfRule>
    <cfRule type="iconSet" priority="475">
      <iconSet>
        <cfvo type="percent" val="0"/>
        <cfvo type="num" val="70"/>
        <cfvo type="num" val="90"/>
      </iconSet>
    </cfRule>
    <cfRule type="iconSet" priority="474">
      <iconSet>
        <cfvo type="percent" val="0"/>
        <cfvo type="num" val="95"/>
        <cfvo type="num" val="100"/>
      </iconSet>
    </cfRule>
    <cfRule type="iconSet" priority="473">
      <iconSet>
        <cfvo type="percent" val="0"/>
        <cfvo type="num" val="70"/>
        <cfvo type="num" val="90"/>
      </iconSet>
    </cfRule>
    <cfRule type="iconSet" priority="472">
      <iconSet>
        <cfvo type="percent" val="0"/>
        <cfvo type="num" val="95"/>
        <cfvo type="num" val="100"/>
      </iconSet>
    </cfRule>
    <cfRule type="iconSet" priority="471">
      <iconSet>
        <cfvo type="percent" val="0"/>
        <cfvo type="num" val="70"/>
        <cfvo type="num" val="90"/>
      </iconSet>
    </cfRule>
    <cfRule type="iconSet" priority="470">
      <iconSet>
        <cfvo type="percent" val="0"/>
        <cfvo type="num" val="95"/>
        <cfvo type="num" val="100"/>
      </iconSet>
    </cfRule>
    <cfRule type="iconSet" priority="525">
      <iconSet>
        <cfvo type="percent" val="0"/>
        <cfvo type="num" val="70"/>
        <cfvo type="num" val="90"/>
      </iconSet>
    </cfRule>
    <cfRule type="iconSet" priority="524">
      <iconSet>
        <cfvo type="percent" val="0"/>
        <cfvo type="num" val="95"/>
        <cfvo type="num" val="100"/>
      </iconSet>
    </cfRule>
    <cfRule type="iconSet" priority="523">
      <iconSet>
        <cfvo type="percent" val="0"/>
        <cfvo type="num" val="70"/>
        <cfvo type="num" val="90"/>
      </iconSet>
    </cfRule>
    <cfRule type="iconSet" priority="522">
      <iconSet>
        <cfvo type="percent" val="0"/>
        <cfvo type="num" val="95"/>
        <cfvo type="num" val="100"/>
      </iconSet>
    </cfRule>
    <cfRule type="iconSet" priority="521">
      <iconSet>
        <cfvo type="percent" val="0"/>
        <cfvo type="num" val="70"/>
        <cfvo type="num" val="90"/>
      </iconSet>
    </cfRule>
    <cfRule type="iconSet" priority="520">
      <iconSet>
        <cfvo type="percent" val="0"/>
        <cfvo type="num" val="95"/>
        <cfvo type="num" val="100"/>
      </iconSet>
    </cfRule>
    <cfRule type="iconSet" priority="519">
      <iconSet>
        <cfvo type="percent" val="0"/>
        <cfvo type="num" val="95"/>
        <cfvo type="num" val="100"/>
      </iconSet>
    </cfRule>
    <cfRule type="iconSet" priority="518">
      <iconSet>
        <cfvo type="percent" val="0"/>
        <cfvo type="num" val="70"/>
        <cfvo type="num" val="90"/>
      </iconSet>
    </cfRule>
    <cfRule type="iconSet" priority="517">
      <iconSet>
        <cfvo type="percent" val="0"/>
        <cfvo type="num" val="70"/>
        <cfvo type="num" val="90"/>
      </iconSet>
    </cfRule>
    <cfRule type="iconSet" priority="516">
      <iconSet>
        <cfvo type="percent" val="0"/>
        <cfvo type="num" val="95"/>
        <cfvo type="num" val="100"/>
      </iconSet>
    </cfRule>
    <cfRule type="iconSet" priority="515">
      <iconSet>
        <cfvo type="percent" val="0"/>
        <cfvo type="num" val="95"/>
        <cfvo type="num" val="100"/>
      </iconSet>
    </cfRule>
    <cfRule type="iconSet" priority="514">
      <iconSet>
        <cfvo type="percent" val="0"/>
        <cfvo type="num" val="70"/>
        <cfvo type="num" val="90"/>
      </iconSet>
    </cfRule>
    <cfRule type="iconSet" priority="513">
      <iconSet>
        <cfvo type="percent" val="0"/>
        <cfvo type="num" val="70"/>
        <cfvo type="num" val="90"/>
      </iconSet>
    </cfRule>
    <cfRule type="iconSet" priority="512">
      <iconSet>
        <cfvo type="percent" val="0"/>
        <cfvo type="num" val="95"/>
        <cfvo type="num" val="100"/>
      </iconSet>
    </cfRule>
    <cfRule type="iconSet" priority="511">
      <iconSet>
        <cfvo type="percent" val="0"/>
        <cfvo type="num" val="70"/>
        <cfvo type="num" val="90"/>
      </iconSet>
    </cfRule>
    <cfRule type="iconSet" priority="510">
      <iconSet>
        <cfvo type="percent" val="0"/>
        <cfvo type="num" val="95"/>
        <cfvo type="num" val="100"/>
      </iconSet>
    </cfRule>
    <cfRule type="iconSet" priority="509">
      <iconSet>
        <cfvo type="percent" val="0"/>
        <cfvo type="num" val="70"/>
        <cfvo type="num" val="90"/>
      </iconSet>
    </cfRule>
    <cfRule type="iconSet" priority="508">
      <iconSet>
        <cfvo type="percent" val="0"/>
        <cfvo type="num" val="95"/>
        <cfvo type="num" val="100"/>
      </iconSet>
    </cfRule>
    <cfRule type="iconSet" priority="469">
      <iconSet>
        <cfvo type="percent" val="0"/>
        <cfvo type="num" val="70"/>
        <cfvo type="num" val="90"/>
      </iconSet>
    </cfRule>
    <cfRule type="iconSet" priority="506">
      <iconSet>
        <cfvo type="percent" val="0"/>
        <cfvo type="num" val="95"/>
        <cfvo type="num" val="100"/>
      </iconSet>
    </cfRule>
    <cfRule type="iconSet" priority="505">
      <iconSet>
        <cfvo type="percent" val="0"/>
        <cfvo type="num" val="70"/>
        <cfvo type="num" val="90"/>
      </iconSet>
    </cfRule>
    <cfRule type="iconSet" priority="504">
      <iconSet>
        <cfvo type="percent" val="0"/>
        <cfvo type="num" val="95"/>
        <cfvo type="num" val="100"/>
      </iconSet>
    </cfRule>
    <cfRule type="iconSet" priority="503">
      <iconSet>
        <cfvo type="percent" val="0"/>
        <cfvo type="num" val="70"/>
        <cfvo type="num" val="90"/>
      </iconSet>
    </cfRule>
    <cfRule type="iconSet" priority="502">
      <iconSet>
        <cfvo type="percent" val="0"/>
        <cfvo type="num" val="95"/>
        <cfvo type="num" val="100"/>
      </iconSet>
    </cfRule>
    <cfRule type="iconSet" priority="501">
      <iconSet>
        <cfvo type="percent" val="0"/>
        <cfvo type="num" val="70"/>
        <cfvo type="num" val="90"/>
      </iconSet>
    </cfRule>
    <cfRule type="iconSet" priority="468">
      <iconSet>
        <cfvo type="percent" val="0"/>
        <cfvo type="num" val="95"/>
        <cfvo type="num" val="100"/>
      </iconSet>
    </cfRule>
    <cfRule type="iconSet" priority="467">
      <iconSet>
        <cfvo type="percent" val="0"/>
        <cfvo type="num" val="70"/>
        <cfvo type="num" val="90"/>
      </iconSet>
    </cfRule>
    <cfRule type="iconSet" priority="466">
      <iconSet>
        <cfvo type="percent" val="0"/>
        <cfvo type="num" val="95"/>
        <cfvo type="num" val="100"/>
      </iconSet>
    </cfRule>
    <cfRule type="iconSet" priority="465">
      <iconSet>
        <cfvo type="percent" val="0"/>
        <cfvo type="num" val="70"/>
        <cfvo type="num" val="90"/>
      </iconSet>
    </cfRule>
    <cfRule type="iconSet" priority="464">
      <iconSet>
        <cfvo type="percent" val="0"/>
        <cfvo type="num" val="95"/>
        <cfvo type="num" val="100"/>
      </iconSet>
    </cfRule>
    <cfRule type="iconSet" priority="463">
      <iconSet>
        <cfvo type="percent" val="0"/>
        <cfvo type="num" val="70"/>
        <cfvo type="num" val="90"/>
      </iconSet>
    </cfRule>
    <cfRule type="iconSet" priority="462">
      <iconSet>
        <cfvo type="percent" val="0"/>
        <cfvo type="num" val="95"/>
        <cfvo type="num" val="100"/>
      </iconSet>
    </cfRule>
    <cfRule type="iconSet" priority="461">
      <iconSet>
        <cfvo type="percent" val="0"/>
        <cfvo type="num" val="70"/>
        <cfvo type="num" val="90"/>
      </iconSet>
    </cfRule>
    <cfRule type="iconSet" priority="460">
      <iconSet>
        <cfvo type="percent" val="0"/>
        <cfvo type="num" val="95"/>
        <cfvo type="num" val="100"/>
      </iconSet>
    </cfRule>
    <cfRule type="iconSet" priority="459">
      <iconSet>
        <cfvo type="percent" val="0"/>
        <cfvo type="num" val="70"/>
        <cfvo type="num" val="90"/>
      </iconSet>
    </cfRule>
    <cfRule type="iconSet" priority="458">
      <iconSet>
        <cfvo type="percent" val="0"/>
        <cfvo type="num" val="95"/>
        <cfvo type="num" val="100"/>
      </iconSet>
    </cfRule>
    <cfRule type="iconSet" priority="451">
      <iconSet>
        <cfvo type="percent" val="0"/>
        <cfvo type="num" val="70"/>
        <cfvo type="num" val="90"/>
      </iconSet>
    </cfRule>
    <cfRule type="iconSet" priority="450">
      <iconSet>
        <cfvo type="percent" val="0"/>
        <cfvo type="num" val="95"/>
        <cfvo type="num" val="100"/>
      </iconSet>
    </cfRule>
    <cfRule type="iconSet" priority="449">
      <iconSet>
        <cfvo type="percent" val="0"/>
        <cfvo type="num" val="70"/>
        <cfvo type="num" val="90"/>
      </iconSet>
    </cfRule>
    <cfRule type="iconSet" priority="448">
      <iconSet>
        <cfvo type="percent" val="0"/>
        <cfvo type="num" val="95"/>
        <cfvo type="num" val="100"/>
      </iconSet>
    </cfRule>
    <cfRule type="iconSet" priority="447">
      <iconSet>
        <cfvo type="percent" val="0"/>
        <cfvo type="num" val="70"/>
        <cfvo type="num" val="90"/>
      </iconSet>
    </cfRule>
    <cfRule type="iconSet" priority="446">
      <iconSet>
        <cfvo type="percent" val="0"/>
        <cfvo type="num" val="95"/>
        <cfvo type="num" val="100"/>
      </iconSet>
    </cfRule>
    <cfRule type="iconSet" priority="490">
      <iconSet>
        <cfvo type="percent" val="0"/>
        <cfvo type="num" val="95"/>
        <cfvo type="num" val="100"/>
      </iconSet>
    </cfRule>
    <cfRule type="iconSet" priority="491">
      <iconSet>
        <cfvo type="percent" val="0"/>
        <cfvo type="num" val="70"/>
        <cfvo type="num" val="90"/>
      </iconSet>
    </cfRule>
    <cfRule type="iconSet" priority="492">
      <iconSet>
        <cfvo type="percent" val="0"/>
        <cfvo type="num" val="95"/>
        <cfvo type="num" val="100"/>
      </iconSet>
    </cfRule>
    <cfRule type="iconSet" priority="493">
      <iconSet>
        <cfvo type="percent" val="0"/>
        <cfvo type="num" val="70"/>
        <cfvo type="num" val="90"/>
      </iconSet>
    </cfRule>
    <cfRule type="iconSet" priority="494">
      <iconSet>
        <cfvo type="percent" val="0"/>
        <cfvo type="num" val="95"/>
        <cfvo type="num" val="100"/>
      </iconSet>
    </cfRule>
    <cfRule type="iconSet" priority="495">
      <iconSet>
        <cfvo type="percent" val="0"/>
        <cfvo type="num" val="70"/>
        <cfvo type="num" val="90"/>
      </iconSet>
    </cfRule>
    <cfRule type="iconSet" priority="489">
      <iconSet>
        <cfvo type="percent" val="0"/>
        <cfvo type="num" val="70"/>
        <cfvo type="num" val="90"/>
      </iconSet>
    </cfRule>
    <cfRule type="iconSet" priority="488">
      <iconSet>
        <cfvo type="percent" val="0"/>
        <cfvo type="num" val="95"/>
        <cfvo type="num" val="100"/>
      </iconSet>
    </cfRule>
    <cfRule type="iconSet" priority="496">
      <iconSet>
        <cfvo type="percent" val="0"/>
        <cfvo type="num" val="95"/>
        <cfvo type="num" val="100"/>
      </iconSet>
    </cfRule>
    <cfRule type="iconSet" priority="497">
      <iconSet>
        <cfvo type="percent" val="0"/>
        <cfvo type="num" val="70"/>
        <cfvo type="num" val="90"/>
      </iconSet>
    </cfRule>
    <cfRule type="iconSet" priority="498">
      <iconSet>
        <cfvo type="percent" val="0"/>
        <cfvo type="num" val="95"/>
        <cfvo type="num" val="100"/>
      </iconSet>
    </cfRule>
    <cfRule type="iconSet" priority="499">
      <iconSet>
        <cfvo type="percent" val="0"/>
        <cfvo type="num" val="70"/>
        <cfvo type="num" val="90"/>
      </iconSet>
    </cfRule>
    <cfRule type="iconSet" priority="500">
      <iconSet>
        <cfvo type="percent" val="0"/>
        <cfvo type="num" val="95"/>
        <cfvo type="num" val="100"/>
      </iconSet>
    </cfRule>
    <cfRule type="iconSet" priority="487">
      <iconSet>
        <cfvo type="percent" val="0"/>
        <cfvo type="num" val="70"/>
        <cfvo type="num" val="90"/>
      </iconSet>
    </cfRule>
    <cfRule type="iconSet" priority="486">
      <iconSet>
        <cfvo type="percent" val="0"/>
        <cfvo type="num" val="95"/>
        <cfvo type="num" val="100"/>
      </iconSet>
    </cfRule>
  </conditionalFormatting>
  <conditionalFormatting sqref="AR57">
    <cfRule type="iconSet" priority="47670">
      <iconSet>
        <cfvo type="percent" val="0"/>
        <cfvo type="num" val="95"/>
        <cfvo type="num" val="100"/>
      </iconSet>
    </cfRule>
  </conditionalFormatting>
  <conditionalFormatting sqref="AR58">
    <cfRule type="iconSet" priority="3515">
      <iconSet>
        <cfvo type="percent" val="0"/>
        <cfvo type="num" val="95"/>
        <cfvo type="num" val="100"/>
      </iconSet>
    </cfRule>
  </conditionalFormatting>
  <conditionalFormatting sqref="AW10:AW18">
    <cfRule type="iconSet" priority="48317">
      <iconSet iconSet="3ArrowsGray" showValue="0">
        <cfvo type="percent" val="0"/>
        <cfvo type="num" val="2"/>
        <cfvo type="num" val="3"/>
      </iconSet>
    </cfRule>
  </conditionalFormatting>
  <conditionalFormatting sqref="AW20">
    <cfRule type="iconSet" priority="2476">
      <iconSet iconSet="3ArrowsGray" showValue="0">
        <cfvo type="percent" val="0"/>
        <cfvo type="num" val="2"/>
        <cfvo type="num" val="3"/>
      </iconSet>
    </cfRule>
  </conditionalFormatting>
  <conditionalFormatting sqref="AW21:AW56">
    <cfRule type="iconSet" priority="48197">
      <iconSet iconSet="3ArrowsGray" showValue="0">
        <cfvo type="percent" val="0"/>
        <cfvo type="num" val="2"/>
        <cfvo type="num" val="3"/>
      </iconSet>
    </cfRule>
  </conditionalFormatting>
  <conditionalFormatting sqref="AW57">
    <cfRule type="iconSet" priority="3139">
      <iconSet iconSet="3ArrowsGray" showValue="0">
        <cfvo type="percent" val="0"/>
        <cfvo type="num" val="2"/>
        <cfvo type="num" val="3"/>
      </iconSet>
    </cfRule>
  </conditionalFormatting>
  <conditionalFormatting sqref="AW58">
    <cfRule type="iconSet" priority="3115">
      <iconSet iconSet="3ArrowsGray" showValue="0">
        <cfvo type="percent" val="0"/>
        <cfvo type="num" val="2"/>
        <cfvo type="num" val="3"/>
      </iconSet>
    </cfRule>
  </conditionalFormatting>
  <conditionalFormatting sqref="AX10:AX18">
    <cfRule type="iconSet" priority="48319">
      <iconSet iconSet="3ArrowsGray" showValue="0">
        <cfvo type="percent" val="0"/>
        <cfvo type="num" val="2"/>
        <cfvo type="num" val="3"/>
      </iconSet>
    </cfRule>
  </conditionalFormatting>
  <conditionalFormatting sqref="AX20">
    <cfRule type="iconSet" priority="2475">
      <iconSet iconSet="3ArrowsGray" showValue="0">
        <cfvo type="percent" val="0"/>
        <cfvo type="num" val="2"/>
        <cfvo type="num" val="3"/>
      </iconSet>
    </cfRule>
  </conditionalFormatting>
  <conditionalFormatting sqref="AX21:AX56">
    <cfRule type="iconSet" priority="48198">
      <iconSet iconSet="3ArrowsGray" showValue="0">
        <cfvo type="percent" val="0"/>
        <cfvo type="num" val="2"/>
        <cfvo type="num" val="3"/>
      </iconSet>
    </cfRule>
  </conditionalFormatting>
  <conditionalFormatting sqref="AX57">
    <cfRule type="iconSet" priority="3140">
      <iconSet iconSet="3ArrowsGray" showValue="0">
        <cfvo type="percent" val="0"/>
        <cfvo type="num" val="2"/>
        <cfvo type="num" val="3"/>
      </iconSet>
    </cfRule>
  </conditionalFormatting>
  <conditionalFormatting sqref="AX58">
    <cfRule type="iconSet" priority="3116">
      <iconSet iconSet="3ArrowsGray" showValue="0">
        <cfvo type="percent" val="0"/>
        <cfvo type="num" val="2"/>
        <cfvo type="num" val="3"/>
      </iconSet>
    </cfRule>
  </conditionalFormatting>
  <conditionalFormatting sqref="BC10">
    <cfRule type="iconSet" priority="211">
      <iconSet>
        <cfvo type="percent" val="0"/>
        <cfvo type="num" val="95"/>
        <cfvo type="num" val="100"/>
      </iconSet>
    </cfRule>
    <cfRule type="iconSet" priority="209">
      <iconSet>
        <cfvo type="percent" val="0"/>
        <cfvo type="num" val="70"/>
        <cfvo type="num" val="90"/>
      </iconSet>
    </cfRule>
    <cfRule type="iconSet" priority="216">
      <iconSet>
        <cfvo type="percent" val="0"/>
        <cfvo type="num" val="95"/>
        <cfvo type="num" val="100"/>
      </iconSet>
    </cfRule>
    <cfRule type="iconSet" priority="215">
      <iconSet>
        <cfvo type="percent" val="0"/>
        <cfvo type="num" val="70"/>
        <cfvo type="num" val="90"/>
      </iconSet>
    </cfRule>
    <cfRule type="iconSet" priority="214">
      <iconSet>
        <cfvo type="percent" val="0"/>
        <cfvo type="num" val="70"/>
        <cfvo type="num" val="90"/>
      </iconSet>
    </cfRule>
    <cfRule type="iconSet" priority="213">
      <iconSet>
        <cfvo type="percent" val="0"/>
        <cfvo type="num" val="95"/>
        <cfvo type="num" val="100"/>
      </iconSet>
    </cfRule>
    <cfRule type="iconSet" priority="212">
      <iconSet>
        <cfvo type="percent" val="0"/>
        <cfvo type="num" val="95"/>
        <cfvo type="num" val="100"/>
      </iconSet>
    </cfRule>
    <cfRule type="iconSet" priority="208">
      <iconSet>
        <cfvo type="percent" val="0"/>
        <cfvo type="num" val="95"/>
        <cfvo type="num" val="100"/>
      </iconSet>
    </cfRule>
    <cfRule type="iconSet" priority="210">
      <iconSet>
        <cfvo type="percent" val="0"/>
        <cfvo type="num" val="70"/>
        <cfvo type="num" val="90"/>
      </iconSet>
    </cfRule>
  </conditionalFormatting>
  <conditionalFormatting sqref="BC11">
    <cfRule type="iconSet" priority="175">
      <iconSet>
        <cfvo type="percent" val="0"/>
        <cfvo type="num" val="95"/>
        <cfvo type="num" val="100"/>
      </iconSet>
    </cfRule>
    <cfRule type="iconSet" priority="173">
      <iconSet>
        <cfvo type="percent" val="0"/>
        <cfvo type="num" val="70"/>
        <cfvo type="num" val="90"/>
      </iconSet>
    </cfRule>
    <cfRule type="iconSet" priority="174">
      <iconSet>
        <cfvo type="percent" val="0"/>
        <cfvo type="num" val="70"/>
        <cfvo type="num" val="90"/>
      </iconSet>
    </cfRule>
    <cfRule type="iconSet" priority="172">
      <iconSet>
        <cfvo type="percent" val="0"/>
        <cfvo type="num" val="95"/>
        <cfvo type="num" val="100"/>
      </iconSet>
    </cfRule>
    <cfRule type="iconSet" priority="176">
      <iconSet>
        <cfvo type="percent" val="0"/>
        <cfvo type="num" val="95"/>
        <cfvo type="num" val="100"/>
      </iconSet>
    </cfRule>
    <cfRule type="iconSet" priority="177">
      <iconSet>
        <cfvo type="percent" val="0"/>
        <cfvo type="num" val="95"/>
        <cfvo type="num" val="100"/>
      </iconSet>
    </cfRule>
    <cfRule type="iconSet" priority="178">
      <iconSet>
        <cfvo type="percent" val="0"/>
        <cfvo type="num" val="70"/>
        <cfvo type="num" val="90"/>
      </iconSet>
    </cfRule>
    <cfRule type="iconSet" priority="179">
      <iconSet>
        <cfvo type="percent" val="0"/>
        <cfvo type="num" val="70"/>
        <cfvo type="num" val="90"/>
      </iconSet>
    </cfRule>
    <cfRule type="iconSet" priority="180">
      <iconSet>
        <cfvo type="percent" val="0"/>
        <cfvo type="num" val="95"/>
        <cfvo type="num" val="100"/>
      </iconSet>
    </cfRule>
  </conditionalFormatting>
  <conditionalFormatting sqref="BC12:BC17">
    <cfRule type="iconSet" priority="48327">
      <iconSet>
        <cfvo type="percent" val="0"/>
        <cfvo type="num" val="70"/>
        <cfvo type="num" val="90"/>
      </iconSet>
    </cfRule>
    <cfRule type="iconSet" priority="48326">
      <iconSet>
        <cfvo type="percent" val="0"/>
        <cfvo type="num" val="95"/>
        <cfvo type="num" val="100"/>
      </iconSet>
    </cfRule>
    <cfRule type="iconSet" priority="48325">
      <iconSet>
        <cfvo type="percent" val="0"/>
        <cfvo type="num" val="95"/>
        <cfvo type="num" val="100"/>
      </iconSet>
    </cfRule>
    <cfRule type="iconSet" priority="48324">
      <iconSet>
        <cfvo type="percent" val="0"/>
        <cfvo type="num" val="95"/>
        <cfvo type="num" val="100"/>
      </iconSet>
    </cfRule>
    <cfRule type="iconSet" priority="48323">
      <iconSet>
        <cfvo type="percent" val="0"/>
        <cfvo type="num" val="70"/>
        <cfvo type="num" val="90"/>
      </iconSet>
    </cfRule>
    <cfRule type="iconSet" priority="48329">
      <iconSet>
        <cfvo type="percent" val="0"/>
        <cfvo type="num" val="95"/>
        <cfvo type="num" val="100"/>
      </iconSet>
    </cfRule>
    <cfRule type="iconSet" priority="48322">
      <iconSet>
        <cfvo type="percent" val="0"/>
        <cfvo type="num" val="70"/>
        <cfvo type="num" val="90"/>
      </iconSet>
    </cfRule>
    <cfRule type="iconSet" priority="48321">
      <iconSet>
        <cfvo type="percent" val="0"/>
        <cfvo type="num" val="95"/>
        <cfvo type="num" val="100"/>
      </iconSet>
    </cfRule>
    <cfRule type="iconSet" priority="48328">
      <iconSet>
        <cfvo type="percent" val="0"/>
        <cfvo type="num" val="70"/>
        <cfvo type="num" val="90"/>
      </iconSet>
    </cfRule>
  </conditionalFormatting>
  <conditionalFormatting sqref="BC18">
    <cfRule type="iconSet" priority="153">
      <iconSet>
        <cfvo type="percent" val="0"/>
        <cfvo type="num" val="95"/>
        <cfvo type="num" val="100"/>
      </iconSet>
    </cfRule>
    <cfRule type="iconSet" priority="145">
      <iconSet>
        <cfvo type="percent" val="0"/>
        <cfvo type="num" val="95"/>
        <cfvo type="num" val="100"/>
      </iconSet>
    </cfRule>
    <cfRule type="iconSet" priority="146">
      <iconSet>
        <cfvo type="percent" val="0"/>
        <cfvo type="num" val="70"/>
        <cfvo type="num" val="90"/>
      </iconSet>
    </cfRule>
    <cfRule type="iconSet" priority="147">
      <iconSet>
        <cfvo type="percent" val="0"/>
        <cfvo type="num" val="70"/>
        <cfvo type="num" val="90"/>
      </iconSet>
    </cfRule>
    <cfRule type="iconSet" priority="148">
      <iconSet>
        <cfvo type="percent" val="0"/>
        <cfvo type="num" val="95"/>
        <cfvo type="num" val="100"/>
      </iconSet>
    </cfRule>
    <cfRule type="iconSet" priority="149">
      <iconSet>
        <cfvo type="percent" val="0"/>
        <cfvo type="num" val="95"/>
        <cfvo type="num" val="100"/>
      </iconSet>
    </cfRule>
    <cfRule type="iconSet" priority="151">
      <iconSet>
        <cfvo type="percent" val="0"/>
        <cfvo type="num" val="70"/>
        <cfvo type="num" val="90"/>
      </iconSet>
    </cfRule>
    <cfRule type="iconSet" priority="152">
      <iconSet>
        <cfvo type="percent" val="0"/>
        <cfvo type="num" val="70"/>
        <cfvo type="num" val="90"/>
      </iconSet>
    </cfRule>
    <cfRule type="iconSet" priority="150">
      <iconSet>
        <cfvo type="percent" val="0"/>
        <cfvo type="num" val="95"/>
        <cfvo type="num" val="100"/>
      </iconSet>
    </cfRule>
  </conditionalFormatting>
  <conditionalFormatting sqref="BC20">
    <cfRule type="iconSet" priority="34">
      <iconSet>
        <cfvo type="percent" val="0"/>
        <cfvo type="num" val="70"/>
        <cfvo type="num" val="90"/>
      </iconSet>
    </cfRule>
    <cfRule type="iconSet" priority="32">
      <iconSet>
        <cfvo type="percent" val="0"/>
        <cfvo type="num" val="95"/>
        <cfvo type="num" val="100"/>
      </iconSet>
    </cfRule>
    <cfRule type="iconSet" priority="28">
      <iconSet>
        <cfvo type="percent" val="0"/>
        <cfvo type="num" val="95"/>
        <cfvo type="num" val="100"/>
      </iconSet>
    </cfRule>
    <cfRule type="iconSet" priority="29">
      <iconSet>
        <cfvo type="percent" val="0"/>
        <cfvo type="num" val="70"/>
        <cfvo type="num" val="90"/>
      </iconSet>
    </cfRule>
    <cfRule type="iconSet" priority="35">
      <iconSet>
        <cfvo type="percent" val="0"/>
        <cfvo type="num" val="70"/>
        <cfvo type="num" val="90"/>
      </iconSet>
    </cfRule>
    <cfRule type="iconSet" priority="36">
      <iconSet>
        <cfvo type="percent" val="0"/>
        <cfvo type="num" val="95"/>
        <cfvo type="num" val="100"/>
      </iconSet>
    </cfRule>
    <cfRule type="iconSet" priority="31">
      <iconSet>
        <cfvo type="percent" val="0"/>
        <cfvo type="num" val="95"/>
        <cfvo type="num" val="100"/>
      </iconSet>
    </cfRule>
    <cfRule type="iconSet" priority="30">
      <iconSet>
        <cfvo type="percent" val="0"/>
        <cfvo type="num" val="70"/>
        <cfvo type="num" val="90"/>
      </iconSet>
    </cfRule>
    <cfRule type="iconSet" priority="33">
      <iconSet>
        <cfvo type="percent" val="0"/>
        <cfvo type="num" val="95"/>
        <cfvo type="num" val="100"/>
      </iconSet>
    </cfRule>
  </conditionalFormatting>
  <conditionalFormatting sqref="BC21:BC23">
    <cfRule type="iconSet" priority="10">
      <iconSet>
        <cfvo type="percent" val="0"/>
        <cfvo type="num" val="95"/>
        <cfvo type="num" val="100"/>
      </iconSet>
    </cfRule>
    <cfRule type="iconSet" priority="12">
      <iconSet>
        <cfvo type="percent" val="0"/>
        <cfvo type="num" val="70"/>
        <cfvo type="num" val="90"/>
      </iconSet>
    </cfRule>
    <cfRule type="iconSet" priority="13">
      <iconSet>
        <cfvo type="percent" val="0"/>
        <cfvo type="num" val="95"/>
        <cfvo type="num" val="100"/>
      </iconSet>
    </cfRule>
    <cfRule type="iconSet" priority="14">
      <iconSet>
        <cfvo type="percent" val="0"/>
        <cfvo type="num" val="95"/>
        <cfvo type="num" val="100"/>
      </iconSet>
    </cfRule>
    <cfRule type="iconSet" priority="16">
      <iconSet>
        <cfvo type="percent" val="0"/>
        <cfvo type="num" val="70"/>
        <cfvo type="num" val="90"/>
      </iconSet>
    </cfRule>
    <cfRule type="iconSet" priority="17">
      <iconSet>
        <cfvo type="percent" val="0"/>
        <cfvo type="num" val="70"/>
        <cfvo type="num" val="90"/>
      </iconSet>
    </cfRule>
    <cfRule type="iconSet" priority="18">
      <iconSet>
        <cfvo type="percent" val="0"/>
        <cfvo type="num" val="95"/>
        <cfvo type="num" val="100"/>
      </iconSet>
    </cfRule>
    <cfRule type="iconSet" priority="11">
      <iconSet>
        <cfvo type="percent" val="0"/>
        <cfvo type="num" val="70"/>
        <cfvo type="num" val="90"/>
      </iconSet>
    </cfRule>
    <cfRule type="iconSet" priority="15">
      <iconSet>
        <cfvo type="percent" val="0"/>
        <cfvo type="num" val="95"/>
        <cfvo type="num" val="100"/>
      </iconSet>
    </cfRule>
  </conditionalFormatting>
  <conditionalFormatting sqref="BC24:BC25">
    <cfRule type="iconSet" priority="9">
      <iconSet>
        <cfvo type="percent" val="0"/>
        <cfvo type="num" val="95"/>
        <cfvo type="num" val="100"/>
      </iconSet>
    </cfRule>
    <cfRule type="iconSet" priority="1">
      <iconSet>
        <cfvo type="percent" val="0"/>
        <cfvo type="num" val="95"/>
        <cfvo type="num" val="100"/>
      </iconSet>
    </cfRule>
    <cfRule type="iconSet" priority="2">
      <iconSet>
        <cfvo type="percent" val="0"/>
        <cfvo type="num" val="70"/>
        <cfvo type="num" val="90"/>
      </iconSet>
    </cfRule>
    <cfRule type="iconSet" priority="3">
      <iconSet>
        <cfvo type="percent" val="0"/>
        <cfvo type="num" val="70"/>
        <cfvo type="num" val="90"/>
      </iconSet>
    </cfRule>
    <cfRule type="iconSet" priority="4">
      <iconSet>
        <cfvo type="percent" val="0"/>
        <cfvo type="num" val="95"/>
        <cfvo type="num" val="100"/>
      </iconSet>
    </cfRule>
    <cfRule type="iconSet" priority="5">
      <iconSet>
        <cfvo type="percent" val="0"/>
        <cfvo type="num" val="95"/>
        <cfvo type="num" val="100"/>
      </iconSet>
    </cfRule>
    <cfRule type="iconSet" priority="6">
      <iconSet>
        <cfvo type="percent" val="0"/>
        <cfvo type="num" val="95"/>
        <cfvo type="num" val="100"/>
      </iconSet>
    </cfRule>
    <cfRule type="iconSet" priority="7">
      <iconSet>
        <cfvo type="percent" val="0"/>
        <cfvo type="num" val="70"/>
        <cfvo type="num" val="90"/>
      </iconSet>
    </cfRule>
    <cfRule type="iconSet" priority="8">
      <iconSet>
        <cfvo type="percent" val="0"/>
        <cfvo type="num" val="70"/>
        <cfvo type="num" val="90"/>
      </iconSet>
    </cfRule>
  </conditionalFormatting>
  <conditionalFormatting sqref="BC26">
    <cfRule type="iconSet" priority="45">
      <iconSet>
        <cfvo type="percent" val="0"/>
        <cfvo type="num" val="95"/>
        <cfvo type="num" val="100"/>
      </iconSet>
    </cfRule>
    <cfRule type="iconSet" priority="44">
      <iconSet>
        <cfvo type="percent" val="0"/>
        <cfvo type="num" val="95"/>
        <cfvo type="num" val="100"/>
      </iconSet>
    </cfRule>
    <cfRule type="iconSet" priority="43">
      <iconSet>
        <cfvo type="percent" val="0"/>
        <cfvo type="num" val="70"/>
        <cfvo type="num" val="90"/>
      </iconSet>
    </cfRule>
    <cfRule type="iconSet" priority="42">
      <iconSet>
        <cfvo type="percent" val="0"/>
        <cfvo type="num" val="70"/>
        <cfvo type="num" val="90"/>
      </iconSet>
    </cfRule>
    <cfRule type="iconSet" priority="41">
      <iconSet>
        <cfvo type="percent" val="0"/>
        <cfvo type="num" val="95"/>
        <cfvo type="num" val="100"/>
      </iconSet>
    </cfRule>
    <cfRule type="iconSet" priority="40">
      <iconSet>
        <cfvo type="percent" val="0"/>
        <cfvo type="num" val="70"/>
        <cfvo type="num" val="90"/>
      </iconSet>
    </cfRule>
    <cfRule type="iconSet" priority="39">
      <iconSet>
        <cfvo type="percent" val="0"/>
        <cfvo type="num" val="95"/>
        <cfvo type="num" val="100"/>
      </iconSet>
    </cfRule>
    <cfRule type="iconSet" priority="38">
      <iconSet>
        <cfvo type="percent" val="0"/>
        <cfvo type="num" val="70"/>
        <cfvo type="num" val="90"/>
      </iconSet>
    </cfRule>
    <cfRule type="iconSet" priority="37">
      <iconSet>
        <cfvo type="percent" val="0"/>
        <cfvo type="num" val="95"/>
        <cfvo type="num" val="100"/>
      </iconSet>
    </cfRule>
  </conditionalFormatting>
  <conditionalFormatting sqref="BC27:BC45">
    <cfRule type="iconSet" priority="52">
      <iconSet>
        <cfvo type="percent" val="0"/>
        <cfvo type="num" val="70"/>
        <cfvo type="num" val="90"/>
      </iconSet>
    </cfRule>
    <cfRule type="iconSet" priority="51">
      <iconSet>
        <cfvo type="percent" val="0"/>
        <cfvo type="num" val="95"/>
        <cfvo type="num" val="100"/>
      </iconSet>
    </cfRule>
    <cfRule type="iconSet" priority="50">
      <iconSet>
        <cfvo type="percent" val="0"/>
        <cfvo type="num" val="95"/>
        <cfvo type="num" val="100"/>
      </iconSet>
    </cfRule>
    <cfRule type="iconSet" priority="49">
      <iconSet>
        <cfvo type="percent" val="0"/>
        <cfvo type="num" val="95"/>
        <cfvo type="num" val="100"/>
      </iconSet>
    </cfRule>
    <cfRule type="iconSet" priority="48">
      <iconSet>
        <cfvo type="percent" val="0"/>
        <cfvo type="num" val="70"/>
        <cfvo type="num" val="90"/>
      </iconSet>
    </cfRule>
    <cfRule type="iconSet" priority="47">
      <iconSet>
        <cfvo type="percent" val="0"/>
        <cfvo type="num" val="70"/>
        <cfvo type="num" val="90"/>
      </iconSet>
    </cfRule>
    <cfRule type="iconSet" priority="46">
      <iconSet>
        <cfvo type="percent" val="0"/>
        <cfvo type="num" val="95"/>
        <cfvo type="num" val="100"/>
      </iconSet>
    </cfRule>
    <cfRule type="iconSet" priority="54">
      <iconSet>
        <cfvo type="percent" val="0"/>
        <cfvo type="num" val="95"/>
        <cfvo type="num" val="100"/>
      </iconSet>
    </cfRule>
    <cfRule type="iconSet" priority="53">
      <iconSet>
        <cfvo type="percent" val="0"/>
        <cfvo type="num" val="70"/>
        <cfvo type="num" val="90"/>
      </iconSet>
    </cfRule>
  </conditionalFormatting>
  <conditionalFormatting sqref="BC46:BC47">
    <cfRule type="iconSet" priority="24">
      <iconSet>
        <cfvo type="percent" val="0"/>
        <cfvo type="num" val="95"/>
        <cfvo type="num" val="100"/>
      </iconSet>
    </cfRule>
    <cfRule type="iconSet" priority="23">
      <iconSet>
        <cfvo type="percent" val="0"/>
        <cfvo type="num" val="95"/>
        <cfvo type="num" val="100"/>
      </iconSet>
    </cfRule>
    <cfRule type="iconSet" priority="21">
      <iconSet>
        <cfvo type="percent" val="0"/>
        <cfvo type="num" val="70"/>
        <cfvo type="num" val="90"/>
      </iconSet>
    </cfRule>
    <cfRule type="iconSet" priority="19">
      <iconSet>
        <cfvo type="percent" val="0"/>
        <cfvo type="num" val="95"/>
        <cfvo type="num" val="100"/>
      </iconSet>
    </cfRule>
    <cfRule type="iconSet" priority="22">
      <iconSet>
        <cfvo type="percent" val="0"/>
        <cfvo type="num" val="95"/>
        <cfvo type="num" val="100"/>
      </iconSet>
    </cfRule>
    <cfRule type="iconSet" priority="27">
      <iconSet>
        <cfvo type="percent" val="0"/>
        <cfvo type="num" val="95"/>
        <cfvo type="num" val="100"/>
      </iconSet>
    </cfRule>
    <cfRule type="iconSet" priority="26">
      <iconSet>
        <cfvo type="percent" val="0"/>
        <cfvo type="num" val="70"/>
        <cfvo type="num" val="90"/>
      </iconSet>
    </cfRule>
    <cfRule type="iconSet" priority="25">
      <iconSet>
        <cfvo type="percent" val="0"/>
        <cfvo type="num" val="70"/>
        <cfvo type="num" val="90"/>
      </iconSet>
    </cfRule>
    <cfRule type="iconSet" priority="20">
      <iconSet>
        <cfvo type="percent" val="0"/>
        <cfvo type="num" val="70"/>
        <cfvo type="num" val="90"/>
      </iconSet>
    </cfRule>
  </conditionalFormatting>
  <conditionalFormatting sqref="BC48">
    <cfRule type="iconSet" priority="59">
      <iconSet>
        <cfvo type="percent" val="0"/>
        <cfvo type="num" val="95"/>
        <cfvo type="num" val="100"/>
      </iconSet>
    </cfRule>
    <cfRule type="iconSet" priority="58">
      <iconSet>
        <cfvo type="percent" val="0"/>
        <cfvo type="num" val="95"/>
        <cfvo type="num" val="100"/>
      </iconSet>
    </cfRule>
    <cfRule type="iconSet" priority="57">
      <iconSet>
        <cfvo type="percent" val="0"/>
        <cfvo type="num" val="70"/>
        <cfvo type="num" val="90"/>
      </iconSet>
    </cfRule>
    <cfRule type="iconSet" priority="55">
      <iconSet>
        <cfvo type="percent" val="0"/>
        <cfvo type="num" val="95"/>
        <cfvo type="num" val="100"/>
      </iconSet>
    </cfRule>
    <cfRule type="iconSet" priority="56">
      <iconSet>
        <cfvo type="percent" val="0"/>
        <cfvo type="num" val="70"/>
        <cfvo type="num" val="90"/>
      </iconSet>
    </cfRule>
    <cfRule type="iconSet" priority="63">
      <iconSet>
        <cfvo type="percent" val="0"/>
        <cfvo type="num" val="95"/>
        <cfvo type="num" val="100"/>
      </iconSet>
    </cfRule>
    <cfRule type="iconSet" priority="62">
      <iconSet>
        <cfvo type="percent" val="0"/>
        <cfvo type="num" val="70"/>
        <cfvo type="num" val="90"/>
      </iconSet>
    </cfRule>
    <cfRule type="iconSet" priority="61">
      <iconSet>
        <cfvo type="percent" val="0"/>
        <cfvo type="num" val="70"/>
        <cfvo type="num" val="90"/>
      </iconSet>
    </cfRule>
    <cfRule type="iconSet" priority="60">
      <iconSet>
        <cfvo type="percent" val="0"/>
        <cfvo type="num" val="95"/>
        <cfvo type="num" val="100"/>
      </iconSet>
    </cfRule>
  </conditionalFormatting>
  <conditionalFormatting sqref="BC49:BC50">
    <cfRule type="iconSet" priority="69">
      <iconSet>
        <cfvo type="percent" val="0"/>
        <cfvo type="num" val="95"/>
        <cfvo type="num" val="100"/>
      </iconSet>
    </cfRule>
    <cfRule type="iconSet" priority="68">
      <iconSet>
        <cfvo type="percent" val="0"/>
        <cfvo type="num" val="95"/>
        <cfvo type="num" val="100"/>
      </iconSet>
    </cfRule>
    <cfRule type="iconSet" priority="67">
      <iconSet>
        <cfvo type="percent" val="0"/>
        <cfvo type="num" val="95"/>
        <cfvo type="num" val="100"/>
      </iconSet>
    </cfRule>
    <cfRule type="iconSet" priority="66">
      <iconSet>
        <cfvo type="percent" val="0"/>
        <cfvo type="num" val="70"/>
        <cfvo type="num" val="90"/>
      </iconSet>
    </cfRule>
    <cfRule type="iconSet" priority="65">
      <iconSet>
        <cfvo type="percent" val="0"/>
        <cfvo type="num" val="70"/>
        <cfvo type="num" val="90"/>
      </iconSet>
    </cfRule>
    <cfRule type="iconSet" priority="64">
      <iconSet>
        <cfvo type="percent" val="0"/>
        <cfvo type="num" val="95"/>
        <cfvo type="num" val="100"/>
      </iconSet>
    </cfRule>
    <cfRule type="iconSet" priority="72">
      <iconSet>
        <cfvo type="percent" val="0"/>
        <cfvo type="num" val="95"/>
        <cfvo type="num" val="100"/>
      </iconSet>
    </cfRule>
    <cfRule type="iconSet" priority="71">
      <iconSet>
        <cfvo type="percent" val="0"/>
        <cfvo type="num" val="70"/>
        <cfvo type="num" val="90"/>
      </iconSet>
    </cfRule>
    <cfRule type="iconSet" priority="70">
      <iconSet>
        <cfvo type="percent" val="0"/>
        <cfvo type="num" val="70"/>
        <cfvo type="num" val="90"/>
      </iconSet>
    </cfRule>
  </conditionalFormatting>
  <conditionalFormatting sqref="BC51:BC54">
    <cfRule type="iconSet" priority="48180">
      <iconSet>
        <cfvo type="percent" val="0"/>
        <cfvo type="num" val="70"/>
        <cfvo type="num" val="90"/>
      </iconSet>
    </cfRule>
    <cfRule type="iconSet" priority="48181">
      <iconSet>
        <cfvo type="percent" val="0"/>
        <cfvo type="num" val="95"/>
        <cfvo type="num" val="100"/>
      </iconSet>
    </cfRule>
    <cfRule type="iconSet" priority="48182">
      <iconSet>
        <cfvo type="percent" val="0"/>
        <cfvo type="num" val="95"/>
        <cfvo type="num" val="100"/>
      </iconSet>
    </cfRule>
    <cfRule type="iconSet" priority="48183">
      <iconSet>
        <cfvo type="percent" val="0"/>
        <cfvo type="num" val="95"/>
        <cfvo type="num" val="100"/>
      </iconSet>
    </cfRule>
    <cfRule type="iconSet" priority="48184">
      <iconSet>
        <cfvo type="percent" val="0"/>
        <cfvo type="num" val="70"/>
        <cfvo type="num" val="90"/>
      </iconSet>
    </cfRule>
    <cfRule type="iconSet" priority="48185">
      <iconSet>
        <cfvo type="percent" val="0"/>
        <cfvo type="num" val="70"/>
        <cfvo type="num" val="90"/>
      </iconSet>
    </cfRule>
    <cfRule type="iconSet" priority="48178">
      <iconSet>
        <cfvo type="percent" val="0"/>
        <cfvo type="num" val="95"/>
        <cfvo type="num" val="100"/>
      </iconSet>
    </cfRule>
    <cfRule type="iconSet" priority="48186">
      <iconSet>
        <cfvo type="percent" val="0"/>
        <cfvo type="num" val="95"/>
        <cfvo type="num" val="100"/>
      </iconSet>
    </cfRule>
    <cfRule type="iconSet" priority="48179">
      <iconSet>
        <cfvo type="percent" val="0"/>
        <cfvo type="num" val="70"/>
        <cfvo type="num" val="90"/>
      </iconSet>
    </cfRule>
  </conditionalFormatting>
  <conditionalFormatting sqref="BC55">
    <cfRule type="iconSet" priority="110">
      <iconSet>
        <cfvo type="percent" val="0"/>
        <cfvo type="num" val="70"/>
        <cfvo type="num" val="90"/>
      </iconSet>
    </cfRule>
    <cfRule type="iconSet" priority="113">
      <iconSet>
        <cfvo type="percent" val="0"/>
        <cfvo type="num" val="95"/>
        <cfvo type="num" val="100"/>
      </iconSet>
    </cfRule>
    <cfRule type="iconSet" priority="117">
      <iconSet>
        <cfvo type="percent" val="0"/>
        <cfvo type="num" val="95"/>
        <cfvo type="num" val="100"/>
      </iconSet>
    </cfRule>
    <cfRule type="iconSet" priority="116">
      <iconSet>
        <cfvo type="percent" val="0"/>
        <cfvo type="num" val="70"/>
        <cfvo type="num" val="90"/>
      </iconSet>
    </cfRule>
    <cfRule type="iconSet" priority="115">
      <iconSet>
        <cfvo type="percent" val="0"/>
        <cfvo type="num" val="70"/>
        <cfvo type="num" val="90"/>
      </iconSet>
    </cfRule>
    <cfRule type="iconSet" priority="114">
      <iconSet>
        <cfvo type="percent" val="0"/>
        <cfvo type="num" val="95"/>
        <cfvo type="num" val="100"/>
      </iconSet>
    </cfRule>
    <cfRule type="iconSet" priority="112">
      <iconSet>
        <cfvo type="percent" val="0"/>
        <cfvo type="num" val="95"/>
        <cfvo type="num" val="100"/>
      </iconSet>
    </cfRule>
    <cfRule type="iconSet" priority="111">
      <iconSet>
        <cfvo type="percent" val="0"/>
        <cfvo type="num" val="70"/>
        <cfvo type="num" val="90"/>
      </iconSet>
    </cfRule>
    <cfRule type="iconSet" priority="109">
      <iconSet>
        <cfvo type="percent" val="0"/>
        <cfvo type="num" val="95"/>
        <cfvo type="num" val="100"/>
      </iconSet>
    </cfRule>
  </conditionalFormatting>
  <conditionalFormatting sqref="BC56">
    <cfRule type="iconSet" priority="257">
      <iconSet>
        <cfvo type="percent" val="0"/>
        <cfvo type="num" val="95"/>
        <cfvo type="num" val="100"/>
      </iconSet>
    </cfRule>
    <cfRule type="iconSet" priority="258">
      <iconSet>
        <cfvo type="percent" val="0"/>
        <cfvo type="num" val="70"/>
        <cfvo type="num" val="90"/>
      </iconSet>
    </cfRule>
    <cfRule type="iconSet" priority="259">
      <iconSet>
        <cfvo type="percent" val="0"/>
        <cfvo type="num" val="95"/>
        <cfvo type="num" val="100"/>
      </iconSet>
    </cfRule>
    <cfRule type="iconSet" priority="260">
      <iconSet>
        <cfvo type="percent" val="0"/>
        <cfvo type="num" val="70"/>
        <cfvo type="num" val="90"/>
      </iconSet>
    </cfRule>
    <cfRule type="iconSet" priority="261">
      <iconSet>
        <cfvo type="percent" val="0"/>
        <cfvo type="num" val="95"/>
        <cfvo type="num" val="100"/>
      </iconSet>
    </cfRule>
    <cfRule type="iconSet" priority="262">
      <iconSet>
        <cfvo type="percent" val="0"/>
        <cfvo type="num" val="70"/>
        <cfvo type="num" val="90"/>
      </iconSet>
    </cfRule>
    <cfRule type="iconSet" priority="263">
      <iconSet>
        <cfvo type="percent" val="0"/>
        <cfvo type="num" val="95"/>
        <cfvo type="num" val="100"/>
      </iconSet>
    </cfRule>
    <cfRule type="iconSet" priority="264">
      <iconSet>
        <cfvo type="percent" val="0"/>
        <cfvo type="num" val="70"/>
        <cfvo type="num" val="90"/>
      </iconSet>
    </cfRule>
    <cfRule type="iconSet" priority="265">
      <iconSet>
        <cfvo type="percent" val="0"/>
        <cfvo type="num" val="95"/>
        <cfvo type="num" val="100"/>
      </iconSet>
    </cfRule>
    <cfRule type="iconSet" priority="266">
      <iconSet>
        <cfvo type="percent" val="0"/>
        <cfvo type="num" val="70"/>
        <cfvo type="num" val="90"/>
      </iconSet>
    </cfRule>
    <cfRule type="iconSet" priority="267">
      <iconSet>
        <cfvo type="percent" val="0"/>
        <cfvo type="num" val="95"/>
        <cfvo type="num" val="100"/>
      </iconSet>
    </cfRule>
    <cfRule type="iconSet" priority="268">
      <iconSet>
        <cfvo type="percent" val="0"/>
        <cfvo type="num" val="70"/>
        <cfvo type="num" val="90"/>
      </iconSet>
    </cfRule>
    <cfRule type="iconSet" priority="221">
      <iconSet>
        <cfvo type="percent" val="0"/>
        <cfvo type="num" val="95"/>
        <cfvo type="num" val="100"/>
      </iconSet>
    </cfRule>
    <cfRule type="iconSet" priority="269">
      <iconSet>
        <cfvo type="percent" val="0"/>
        <cfvo type="num" val="95"/>
        <cfvo type="num" val="100"/>
      </iconSet>
    </cfRule>
    <cfRule type="iconSet" priority="222">
      <iconSet>
        <cfvo type="percent" val="0"/>
        <cfvo type="num" val="70"/>
        <cfvo type="num" val="90"/>
      </iconSet>
    </cfRule>
    <cfRule type="iconSet" priority="270">
      <iconSet>
        <cfvo type="percent" val="0"/>
        <cfvo type="num" val="70"/>
        <cfvo type="num" val="90"/>
      </iconSet>
    </cfRule>
    <cfRule type="iconSet" priority="271">
      <iconSet>
        <cfvo type="percent" val="0"/>
        <cfvo type="num" val="95"/>
        <cfvo type="num" val="100"/>
      </iconSet>
    </cfRule>
    <cfRule type="iconSet" priority="272">
      <iconSet>
        <cfvo type="percent" val="0"/>
        <cfvo type="num" val="70"/>
        <cfvo type="num" val="90"/>
      </iconSet>
    </cfRule>
    <cfRule type="iconSet" priority="273">
      <iconSet>
        <cfvo type="percent" val="0"/>
        <cfvo type="num" val="95"/>
        <cfvo type="num" val="100"/>
      </iconSet>
    </cfRule>
    <cfRule type="iconSet" priority="274">
      <iconSet>
        <cfvo type="percent" val="0"/>
        <cfvo type="num" val="70"/>
        <cfvo type="num" val="90"/>
      </iconSet>
    </cfRule>
    <cfRule type="iconSet" priority="275">
      <iconSet>
        <cfvo type="percent" val="0"/>
        <cfvo type="num" val="95"/>
        <cfvo type="num" val="100"/>
      </iconSet>
    </cfRule>
    <cfRule type="iconSet" priority="276">
      <iconSet>
        <cfvo type="percent" val="0"/>
        <cfvo type="num" val="70"/>
        <cfvo type="num" val="90"/>
      </iconSet>
    </cfRule>
    <cfRule type="iconSet" priority="277">
      <iconSet>
        <cfvo type="percent" val="0"/>
        <cfvo type="num" val="95"/>
        <cfvo type="num" val="100"/>
      </iconSet>
    </cfRule>
    <cfRule type="iconSet" priority="278">
      <iconSet>
        <cfvo type="percent" val="0"/>
        <cfvo type="num" val="70"/>
        <cfvo type="num" val="90"/>
      </iconSet>
    </cfRule>
    <cfRule type="iconSet" priority="279">
      <iconSet>
        <cfvo type="percent" val="0"/>
        <cfvo type="num" val="95"/>
        <cfvo type="num" val="100"/>
      </iconSet>
    </cfRule>
    <cfRule type="iconSet" priority="251">
      <iconSet>
        <cfvo type="percent" val="0"/>
        <cfvo type="num" val="95"/>
        <cfvo type="num" val="100"/>
      </iconSet>
    </cfRule>
    <cfRule type="iconSet" priority="281">
      <iconSet>
        <cfvo type="percent" val="0"/>
        <cfvo type="num" val="95"/>
        <cfvo type="num" val="100"/>
      </iconSet>
    </cfRule>
    <cfRule type="iconSet" priority="282">
      <iconSet>
        <cfvo type="percent" val="0"/>
        <cfvo type="num" val="70"/>
        <cfvo type="num" val="90"/>
      </iconSet>
    </cfRule>
    <cfRule type="iconSet" priority="283">
      <iconSet>
        <cfvo type="percent" val="0"/>
        <cfvo type="num" val="95"/>
        <cfvo type="num" val="100"/>
      </iconSet>
    </cfRule>
    <cfRule type="iconSet" priority="284">
      <iconSet>
        <cfvo type="percent" val="0"/>
        <cfvo type="num" val="70"/>
        <cfvo type="num" val="90"/>
      </iconSet>
    </cfRule>
    <cfRule type="iconSet" priority="285">
      <iconSet>
        <cfvo type="percent" val="0"/>
        <cfvo type="num" val="70"/>
        <cfvo type="num" val="90"/>
      </iconSet>
    </cfRule>
    <cfRule type="iconSet" priority="286">
      <iconSet>
        <cfvo type="percent" val="0"/>
        <cfvo type="num" val="95"/>
        <cfvo type="num" val="100"/>
      </iconSet>
    </cfRule>
    <cfRule type="iconSet" priority="287">
      <iconSet>
        <cfvo type="percent" val="0"/>
        <cfvo type="num" val="95"/>
        <cfvo type="num" val="100"/>
      </iconSet>
    </cfRule>
    <cfRule type="iconSet" priority="288">
      <iconSet>
        <cfvo type="percent" val="0"/>
        <cfvo type="num" val="70"/>
        <cfvo type="num" val="90"/>
      </iconSet>
    </cfRule>
    <cfRule type="iconSet" priority="289">
      <iconSet>
        <cfvo type="percent" val="0"/>
        <cfvo type="num" val="70"/>
        <cfvo type="num" val="90"/>
      </iconSet>
    </cfRule>
    <cfRule type="iconSet" priority="290">
      <iconSet>
        <cfvo type="percent" val="0"/>
        <cfvo type="num" val="95"/>
        <cfvo type="num" val="100"/>
      </iconSet>
    </cfRule>
    <cfRule type="iconSet" priority="291">
      <iconSet>
        <cfvo type="percent" val="0"/>
        <cfvo type="num" val="95"/>
        <cfvo type="num" val="100"/>
      </iconSet>
    </cfRule>
    <cfRule type="iconSet" priority="292">
      <iconSet>
        <cfvo type="percent" val="0"/>
        <cfvo type="num" val="70"/>
        <cfvo type="num" val="90"/>
      </iconSet>
    </cfRule>
    <cfRule type="iconSet" priority="293">
      <iconSet>
        <cfvo type="percent" val="0"/>
        <cfvo type="num" val="95"/>
        <cfvo type="num" val="100"/>
      </iconSet>
    </cfRule>
    <cfRule type="iconSet" priority="294">
      <iconSet>
        <cfvo type="percent" val="0"/>
        <cfvo type="num" val="70"/>
        <cfvo type="num" val="90"/>
      </iconSet>
    </cfRule>
    <cfRule type="iconSet" priority="295">
      <iconSet>
        <cfvo type="percent" val="0"/>
        <cfvo type="num" val="95"/>
        <cfvo type="num" val="100"/>
      </iconSet>
    </cfRule>
    <cfRule type="iconSet" priority="296">
      <iconSet>
        <cfvo type="percent" val="0"/>
        <cfvo type="num" val="70"/>
        <cfvo type="num" val="90"/>
      </iconSet>
    </cfRule>
    <cfRule type="iconSet" priority="301">
      <iconSet>
        <cfvo type="percent" val="0"/>
        <cfvo type="num" val="95"/>
        <cfvo type="num" val="100"/>
      </iconSet>
    </cfRule>
    <cfRule type="iconSet" priority="229">
      <iconSet>
        <cfvo type="percent" val="0"/>
        <cfvo type="num" val="95"/>
        <cfvo type="num" val="100"/>
      </iconSet>
    </cfRule>
    <cfRule type="iconSet" priority="230">
      <iconSet>
        <cfvo type="percent" val="0"/>
        <cfvo type="num" val="70"/>
        <cfvo type="num" val="90"/>
      </iconSet>
    </cfRule>
    <cfRule type="iconSet" priority="239">
      <iconSet>
        <cfvo type="percent" val="0"/>
        <cfvo type="num" val="95"/>
        <cfvo type="num" val="100"/>
      </iconSet>
    </cfRule>
    <cfRule type="iconSet" priority="217">
      <iconSet>
        <cfvo type="percent" val="0"/>
        <cfvo type="num" val="95"/>
        <cfvo type="num" val="100"/>
      </iconSet>
    </cfRule>
    <cfRule type="iconSet" priority="218">
      <iconSet>
        <cfvo type="percent" val="0"/>
        <cfvo type="num" val="70"/>
        <cfvo type="num" val="90"/>
      </iconSet>
    </cfRule>
    <cfRule type="iconSet" priority="219">
      <iconSet>
        <cfvo type="percent" val="0"/>
        <cfvo type="num" val="95"/>
        <cfvo type="num" val="100"/>
      </iconSet>
    </cfRule>
    <cfRule type="iconSet" priority="220">
      <iconSet>
        <cfvo type="percent" val="0"/>
        <cfvo type="num" val="70"/>
        <cfvo type="num" val="90"/>
      </iconSet>
    </cfRule>
    <cfRule type="iconSet" priority="250">
      <iconSet>
        <cfvo type="percent" val="0"/>
        <cfvo type="num" val="70"/>
        <cfvo type="num" val="90"/>
      </iconSet>
    </cfRule>
    <cfRule type="iconSet" priority="231">
      <iconSet>
        <cfvo type="percent" val="0"/>
        <cfvo type="num" val="95"/>
        <cfvo type="num" val="100"/>
      </iconSet>
    </cfRule>
    <cfRule type="iconSet" priority="232">
      <iconSet>
        <cfvo type="percent" val="0"/>
        <cfvo type="num" val="70"/>
        <cfvo type="num" val="90"/>
      </iconSet>
    </cfRule>
    <cfRule type="iconSet" priority="234">
      <iconSet>
        <cfvo type="percent" val="0"/>
        <cfvo type="num" val="70"/>
        <cfvo type="num" val="90"/>
      </iconSet>
    </cfRule>
    <cfRule type="iconSet" priority="235">
      <iconSet>
        <cfvo type="percent" val="0"/>
        <cfvo type="num" val="95"/>
        <cfvo type="num" val="100"/>
      </iconSet>
    </cfRule>
    <cfRule type="iconSet" priority="236">
      <iconSet>
        <cfvo type="percent" val="0"/>
        <cfvo type="num" val="70"/>
        <cfvo type="num" val="90"/>
      </iconSet>
    </cfRule>
    <cfRule type="iconSet" priority="237">
      <iconSet>
        <cfvo type="percent" val="0"/>
        <cfvo type="num" val="95"/>
        <cfvo type="num" val="100"/>
      </iconSet>
    </cfRule>
    <cfRule type="iconSet" priority="238">
      <iconSet>
        <cfvo type="percent" val="0"/>
        <cfvo type="num" val="70"/>
        <cfvo type="num" val="90"/>
      </iconSet>
    </cfRule>
    <cfRule type="iconSet" priority="240">
      <iconSet>
        <cfvo type="percent" val="0"/>
        <cfvo type="num" val="70"/>
        <cfvo type="num" val="90"/>
      </iconSet>
    </cfRule>
    <cfRule type="iconSet" priority="241">
      <iconSet>
        <cfvo type="percent" val="0"/>
        <cfvo type="num" val="95"/>
        <cfvo type="num" val="100"/>
      </iconSet>
    </cfRule>
    <cfRule type="iconSet" priority="242">
      <iconSet>
        <cfvo type="percent" val="0"/>
        <cfvo type="num" val="70"/>
        <cfvo type="num" val="90"/>
      </iconSet>
    </cfRule>
    <cfRule type="iconSet" priority="280">
      <iconSet>
        <cfvo type="percent" val="0"/>
        <cfvo type="num" val="70"/>
        <cfvo type="num" val="90"/>
      </iconSet>
    </cfRule>
    <cfRule type="iconSet" priority="244">
      <iconSet>
        <cfvo type="percent" val="0"/>
        <cfvo type="num" val="70"/>
        <cfvo type="num" val="90"/>
      </iconSet>
    </cfRule>
    <cfRule type="iconSet" priority="245">
      <iconSet>
        <cfvo type="percent" val="0"/>
        <cfvo type="num" val="95"/>
        <cfvo type="num" val="100"/>
      </iconSet>
    </cfRule>
    <cfRule type="iconSet" priority="246">
      <iconSet>
        <cfvo type="percent" val="0"/>
        <cfvo type="num" val="70"/>
        <cfvo type="num" val="90"/>
      </iconSet>
    </cfRule>
    <cfRule type="iconSet" priority="247">
      <iconSet>
        <cfvo type="percent" val="0"/>
        <cfvo type="num" val="95"/>
        <cfvo type="num" val="100"/>
      </iconSet>
    </cfRule>
    <cfRule type="iconSet" priority="248">
      <iconSet>
        <cfvo type="percent" val="0"/>
        <cfvo type="num" val="70"/>
        <cfvo type="num" val="90"/>
      </iconSet>
    </cfRule>
    <cfRule type="iconSet" priority="249">
      <iconSet>
        <cfvo type="percent" val="0"/>
        <cfvo type="num" val="95"/>
        <cfvo type="num" val="100"/>
      </iconSet>
    </cfRule>
    <cfRule type="iconSet" priority="252">
      <iconSet>
        <cfvo type="percent" val="0"/>
        <cfvo type="num" val="70"/>
        <cfvo type="num" val="90"/>
      </iconSet>
    </cfRule>
    <cfRule type="iconSet" priority="233">
      <iconSet>
        <cfvo type="percent" val="0"/>
        <cfvo type="num" val="95"/>
        <cfvo type="num" val="100"/>
      </iconSet>
    </cfRule>
    <cfRule type="iconSet" priority="253">
      <iconSet>
        <cfvo type="percent" val="0"/>
        <cfvo type="num" val="95"/>
        <cfvo type="num" val="100"/>
      </iconSet>
    </cfRule>
    <cfRule type="iconSet" priority="254">
      <iconSet>
        <cfvo type="percent" val="0"/>
        <cfvo type="num" val="70"/>
        <cfvo type="num" val="90"/>
      </iconSet>
    </cfRule>
    <cfRule type="iconSet" priority="255">
      <iconSet>
        <cfvo type="percent" val="0"/>
        <cfvo type="num" val="95"/>
        <cfvo type="num" val="100"/>
      </iconSet>
    </cfRule>
    <cfRule type="iconSet" priority="256">
      <iconSet>
        <cfvo type="percent" val="0"/>
        <cfvo type="num" val="70"/>
        <cfvo type="num" val="90"/>
      </iconSet>
    </cfRule>
    <cfRule type="iconSet" priority="243">
      <iconSet>
        <cfvo type="percent" val="0"/>
        <cfvo type="num" val="95"/>
        <cfvo type="num" val="100"/>
      </iconSet>
    </cfRule>
  </conditionalFormatting>
  <conditionalFormatting sqref="BC57">
    <cfRule type="iconSet" priority="47682">
      <iconSet>
        <cfvo type="percent" val="0"/>
        <cfvo type="num" val="95"/>
        <cfvo type="num" val="100"/>
      </iconSet>
    </cfRule>
  </conditionalFormatting>
  <conditionalFormatting sqref="BC58">
    <cfRule type="iconSet" priority="3114">
      <iconSet>
        <cfvo type="percent" val="0"/>
        <cfvo type="num" val="95"/>
        <cfvo type="num" val="100"/>
      </iconSet>
    </cfRule>
  </conditionalFormatting>
  <dataValidations count="2">
    <dataValidation type="list" allowBlank="1" showInputMessage="1" showErrorMessage="1" sqref="B1" xr:uid="{00000000-0002-0000-0C00-000000000000}">
      <formula1>#REF!</formula1>
    </dataValidation>
    <dataValidation type="list" allowBlank="1" showInputMessage="1" showErrorMessage="1" sqref="A1" xr:uid="{00000000-0002-0000-0C00-000001000000}">
      <formula1>$K$74:$K$85</formula1>
    </dataValidation>
  </dataValidations>
  <printOptions horizontalCentered="1"/>
  <pageMargins left="0.25" right="0.25" top="0.75" bottom="0.75" header="0.3" footer="0.3"/>
  <pageSetup paperSize="9" scale="53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  <pageSetUpPr fitToPage="1"/>
  </sheetPr>
  <dimension ref="A1:AL75"/>
  <sheetViews>
    <sheetView workbookViewId="0"/>
  </sheetViews>
  <sheetFormatPr defaultColWidth="8.85546875" defaultRowHeight="15"/>
  <cols>
    <col min="1" max="1" width="5.7109375" style="28" customWidth="1"/>
    <col min="2" max="2" width="76.7109375" style="30" customWidth="1"/>
    <col min="3" max="3" width="2.85546875" style="30" customWidth="1"/>
    <col min="4" max="4" width="13.28515625" style="28" customWidth="1"/>
    <col min="5" max="5" width="118.140625" style="28" hidden="1" customWidth="1"/>
    <col min="6" max="6" width="12.28515625" style="30" customWidth="1"/>
    <col min="7" max="7" width="13.5703125" style="30" bestFit="1" customWidth="1"/>
    <col min="8" max="8" width="14.85546875" style="30" bestFit="1" customWidth="1"/>
    <col min="9" max="9" width="10.85546875" style="30" customWidth="1"/>
    <col min="10" max="11" width="10.85546875" style="30" bestFit="1" customWidth="1"/>
    <col min="12" max="19" width="12.42578125" style="30" bestFit="1" customWidth="1"/>
    <col min="20" max="20" width="12.42578125" style="31" bestFit="1" customWidth="1"/>
    <col min="21" max="21" width="16" style="31" bestFit="1" customWidth="1"/>
    <col min="22" max="22" width="19.140625" style="30" bestFit="1" customWidth="1"/>
    <col min="23" max="23" width="12.42578125" style="30" bestFit="1" customWidth="1"/>
    <col min="24" max="26" width="8.85546875" style="30"/>
    <col min="27" max="27" width="9.7109375" style="30" bestFit="1" customWidth="1"/>
    <col min="28" max="29" width="11.140625" style="30" bestFit="1" customWidth="1"/>
    <col min="30" max="30" width="11.28515625" style="30" bestFit="1" customWidth="1"/>
    <col min="31" max="37" width="11" style="30" customWidth="1"/>
    <col min="38" max="38" width="12" style="30" bestFit="1" customWidth="1"/>
    <col min="39" max="16384" width="8.85546875" style="30"/>
  </cols>
  <sheetData>
    <row r="1" spans="1:38" ht="15.75">
      <c r="B1" s="29" t="s">
        <v>270</v>
      </c>
      <c r="C1" s="28"/>
      <c r="I1" s="22"/>
      <c r="T1" s="30"/>
      <c r="V1" s="31"/>
    </row>
    <row r="2" spans="1:38" ht="15.75">
      <c r="B2" s="29" t="s">
        <v>123</v>
      </c>
      <c r="C2" s="28"/>
      <c r="T2" s="30"/>
      <c r="V2" s="31"/>
    </row>
    <row r="3" spans="1:38" ht="15.75">
      <c r="B3" s="29" t="s">
        <v>124</v>
      </c>
      <c r="C3" s="28"/>
      <c r="T3" s="30"/>
      <c r="V3" s="31"/>
    </row>
    <row r="4" spans="1:38" s="192" customFormat="1">
      <c r="A4" s="801" t="s">
        <v>8</v>
      </c>
      <c r="B4" s="803" t="s">
        <v>9</v>
      </c>
      <c r="C4" s="804"/>
      <c r="D4" s="801" t="s">
        <v>93</v>
      </c>
      <c r="E4" s="801" t="s">
        <v>271</v>
      </c>
      <c r="F4" s="801" t="s">
        <v>99</v>
      </c>
      <c r="G4" s="797" t="s">
        <v>100</v>
      </c>
      <c r="H4" s="797"/>
      <c r="I4" s="798" t="s">
        <v>272</v>
      </c>
      <c r="J4" s="799"/>
      <c r="K4" s="799"/>
      <c r="L4" s="799"/>
      <c r="M4" s="799"/>
      <c r="N4" s="799"/>
      <c r="O4" s="799"/>
      <c r="P4" s="799"/>
      <c r="Q4" s="799"/>
      <c r="R4" s="799"/>
      <c r="S4" s="799"/>
      <c r="T4" s="800"/>
      <c r="U4" s="191"/>
      <c r="V4" s="191"/>
      <c r="AA4"/>
      <c r="AB4"/>
      <c r="AC4"/>
      <c r="AD4"/>
      <c r="AE4"/>
      <c r="AF4"/>
      <c r="AG4"/>
      <c r="AH4"/>
      <c r="AI4"/>
      <c r="AJ4"/>
      <c r="AK4"/>
      <c r="AL4"/>
    </row>
    <row r="5" spans="1:38" s="192" customFormat="1">
      <c r="A5" s="802"/>
      <c r="B5" s="805"/>
      <c r="C5" s="806"/>
      <c r="D5" s="802"/>
      <c r="E5" s="802"/>
      <c r="F5" s="802"/>
      <c r="G5" s="454" t="s">
        <v>273</v>
      </c>
      <c r="H5" s="454" t="s">
        <v>274</v>
      </c>
      <c r="I5" s="193" t="s">
        <v>94</v>
      </c>
      <c r="J5" s="193" t="s">
        <v>95</v>
      </c>
      <c r="K5" s="193" t="s">
        <v>96</v>
      </c>
      <c r="L5" s="193" t="s">
        <v>488</v>
      </c>
      <c r="M5" s="193" t="s">
        <v>489</v>
      </c>
      <c r="N5" s="193" t="s">
        <v>490</v>
      </c>
      <c r="O5" s="193" t="s">
        <v>491</v>
      </c>
      <c r="P5" s="193" t="s">
        <v>165</v>
      </c>
      <c r="Q5" s="193" t="s">
        <v>167</v>
      </c>
      <c r="R5" s="193" t="s">
        <v>492</v>
      </c>
      <c r="S5" s="193" t="s">
        <v>171</v>
      </c>
      <c r="T5" s="193" t="s">
        <v>493</v>
      </c>
      <c r="U5" s="191"/>
      <c r="V5" s="191"/>
      <c r="AA5"/>
      <c r="AB5"/>
      <c r="AC5"/>
      <c r="AD5"/>
      <c r="AE5"/>
      <c r="AF5"/>
      <c r="AG5"/>
      <c r="AH5"/>
      <c r="AI5"/>
      <c r="AJ5"/>
      <c r="AK5"/>
      <c r="AL5"/>
    </row>
    <row r="6" spans="1:38" s="192" customFormat="1">
      <c r="A6" s="454">
        <v>1</v>
      </c>
      <c r="B6" s="398">
        <v>2</v>
      </c>
      <c r="C6" s="399"/>
      <c r="D6" s="454">
        <v>3</v>
      </c>
      <c r="E6" s="454">
        <v>4</v>
      </c>
      <c r="F6" s="454">
        <v>5</v>
      </c>
      <c r="G6" s="454">
        <v>6</v>
      </c>
      <c r="H6" s="454">
        <v>7</v>
      </c>
      <c r="I6" s="454">
        <v>8</v>
      </c>
      <c r="J6" s="454">
        <v>9</v>
      </c>
      <c r="K6" s="454">
        <v>10</v>
      </c>
      <c r="L6" s="454">
        <v>11</v>
      </c>
      <c r="M6" s="454">
        <v>12</v>
      </c>
      <c r="N6" s="454">
        <v>13</v>
      </c>
      <c r="O6" s="454">
        <v>14</v>
      </c>
      <c r="P6" s="454">
        <v>15</v>
      </c>
      <c r="Q6" s="454">
        <v>16</v>
      </c>
      <c r="R6" s="454">
        <v>17</v>
      </c>
      <c r="S6" s="454">
        <v>18</v>
      </c>
      <c r="T6" s="454">
        <v>19</v>
      </c>
      <c r="U6" s="191"/>
      <c r="V6" s="191"/>
      <c r="AA6"/>
      <c r="AB6"/>
      <c r="AC6"/>
      <c r="AD6"/>
      <c r="AE6"/>
      <c r="AF6"/>
      <c r="AG6"/>
      <c r="AH6"/>
      <c r="AI6"/>
      <c r="AJ6"/>
      <c r="AK6"/>
      <c r="AL6"/>
    </row>
    <row r="7" spans="1:38" s="196" customFormat="1" ht="16.5">
      <c r="A7" s="47" t="s">
        <v>267</v>
      </c>
      <c r="B7" s="48" t="s">
        <v>275</v>
      </c>
      <c r="C7" s="49"/>
      <c r="D7" s="194"/>
      <c r="E7" s="207"/>
      <c r="F7" s="208">
        <f>SUM(F8:F16)</f>
        <v>40</v>
      </c>
      <c r="G7" s="208"/>
      <c r="H7" s="208"/>
      <c r="I7" s="208"/>
      <c r="J7" s="208"/>
      <c r="K7" s="208"/>
      <c r="L7" s="208"/>
      <c r="M7" s="208"/>
      <c r="N7" s="208"/>
      <c r="O7" s="208"/>
      <c r="P7" s="208"/>
      <c r="Q7" s="208"/>
      <c r="R7" s="208"/>
      <c r="S7" s="208"/>
      <c r="T7" s="209"/>
      <c r="U7" s="195"/>
      <c r="V7" s="195"/>
      <c r="AA7"/>
      <c r="AB7"/>
      <c r="AC7"/>
      <c r="AD7"/>
      <c r="AE7"/>
      <c r="AF7"/>
      <c r="AG7"/>
      <c r="AH7"/>
      <c r="AI7"/>
      <c r="AJ7"/>
      <c r="AK7"/>
      <c r="AL7"/>
    </row>
    <row r="8" spans="1:38" s="198" customFormat="1" ht="16.5">
      <c r="A8" s="51">
        <v>1</v>
      </c>
      <c r="B8" s="271" t="s">
        <v>382</v>
      </c>
      <c r="C8" s="301" t="s">
        <v>276</v>
      </c>
      <c r="D8" s="210" t="str">
        <f>T.UP3!D8</f>
        <v>GWh</v>
      </c>
      <c r="E8" s="211" t="s">
        <v>277</v>
      </c>
      <c r="F8" s="211">
        <v>14</v>
      </c>
      <c r="G8" s="212">
        <f>T.UP3!G8</f>
        <v>113.73</v>
      </c>
      <c r="H8" s="212">
        <f>T.UP3!H8</f>
        <v>231.47</v>
      </c>
      <c r="I8" s="212">
        <f>KPI!AH23</f>
        <v>22.980830736000001</v>
      </c>
      <c r="J8" s="212">
        <f>KPI!AI23</f>
        <v>42.202825991000005</v>
      </c>
      <c r="K8" s="212">
        <f>KPI!AJ23</f>
        <v>60.926308253999998</v>
      </c>
      <c r="L8" s="212">
        <f>KPI!AK23</f>
        <v>76.412118610000007</v>
      </c>
      <c r="M8" s="212">
        <f>KPI!AL23</f>
        <v>93.906393210000005</v>
      </c>
      <c r="N8" s="212">
        <f>KPI!AM23</f>
        <v>111.651567363</v>
      </c>
      <c r="O8" s="212">
        <f>KPI!AN23</f>
        <v>129.839321754</v>
      </c>
      <c r="P8" s="212">
        <f>KPI!AO23</f>
        <v>148.05997696200001</v>
      </c>
      <c r="Q8" s="212">
        <f>KPI!AP23</f>
        <v>166.35580660400001</v>
      </c>
      <c r="R8" s="212">
        <f>KPI!AQ23</f>
        <v>185.536898264</v>
      </c>
      <c r="S8" s="212">
        <f>KPI!AR23</f>
        <v>185.536898264</v>
      </c>
      <c r="T8" s="213">
        <f>KPI!AS23</f>
        <v>185.536898264</v>
      </c>
      <c r="U8" s="197"/>
      <c r="V8" s="197"/>
      <c r="AA8"/>
      <c r="AB8"/>
      <c r="AC8"/>
      <c r="AD8"/>
      <c r="AE8"/>
      <c r="AF8"/>
      <c r="AG8"/>
      <c r="AH8"/>
      <c r="AI8"/>
      <c r="AJ8"/>
      <c r="AK8"/>
      <c r="AL8"/>
    </row>
    <row r="9" spans="1:38" s="198" customFormat="1" ht="16.5">
      <c r="A9" s="51">
        <v>2</v>
      </c>
      <c r="B9" s="271" t="s">
        <v>384</v>
      </c>
      <c r="C9" s="301"/>
      <c r="D9" s="210"/>
      <c r="E9" s="211"/>
      <c r="F9" s="211">
        <v>14</v>
      </c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212"/>
      <c r="T9" s="213"/>
      <c r="U9" s="197"/>
      <c r="V9" s="197"/>
      <c r="AA9"/>
      <c r="AB9"/>
      <c r="AC9"/>
      <c r="AD9"/>
      <c r="AE9"/>
      <c r="AF9"/>
      <c r="AG9"/>
      <c r="AH9"/>
      <c r="AI9"/>
      <c r="AJ9"/>
      <c r="AK9"/>
      <c r="AL9"/>
    </row>
    <row r="10" spans="1:38" s="198" customFormat="1" ht="16.5">
      <c r="A10" s="51"/>
      <c r="B10" s="52" t="s">
        <v>385</v>
      </c>
      <c r="C10" s="301" t="s">
        <v>278</v>
      </c>
      <c r="D10" s="210" t="str">
        <f>T.UP3!D10</f>
        <v>Menit/Plg</v>
      </c>
      <c r="E10" s="211" t="s">
        <v>279</v>
      </c>
      <c r="F10" s="211"/>
      <c r="G10" s="212">
        <f>T.UP3!G10</f>
        <v>140.34</v>
      </c>
      <c r="H10" s="212">
        <f>T.UP3!H10</f>
        <v>280.67</v>
      </c>
      <c r="I10" s="212">
        <f>KPI!AH47</f>
        <v>12.366708627002435</v>
      </c>
      <c r="J10" s="212">
        <f>KPI!AI47</f>
        <v>14.217818098417473</v>
      </c>
      <c r="K10" s="212">
        <f>KPI!AJ47</f>
        <v>15.90798980700673</v>
      </c>
      <c r="L10" s="212">
        <f>KPI!AK47</f>
        <v>30.880917162575816</v>
      </c>
      <c r="M10" s="212">
        <f>KPI!AL47</f>
        <v>82.702127067631139</v>
      </c>
      <c r="N10" s="212">
        <f>KPI!AM47</f>
        <v>122.59170408678104</v>
      </c>
      <c r="O10" s="212">
        <f>KPI!AN47</f>
        <v>145.52251005165829</v>
      </c>
      <c r="P10" s="212">
        <f>KPI!AO47</f>
        <v>149.85371016749113</v>
      </c>
      <c r="Q10" s="212">
        <f>KPI!AP47</f>
        <v>159.21375563345018</v>
      </c>
      <c r="R10" s="212">
        <f>KPI!AQ47</f>
        <v>196.05711720474355</v>
      </c>
      <c r="S10" s="212">
        <f>KPI!AR47</f>
        <v>0</v>
      </c>
      <c r="T10" s="213">
        <f>KPI!AS47</f>
        <v>0</v>
      </c>
      <c r="U10" s="197"/>
      <c r="V10" s="197"/>
      <c r="AA10"/>
      <c r="AB10"/>
      <c r="AC10"/>
      <c r="AD10"/>
      <c r="AE10"/>
      <c r="AF10"/>
      <c r="AG10"/>
      <c r="AH10"/>
      <c r="AI10"/>
      <c r="AJ10"/>
      <c r="AK10"/>
      <c r="AL10"/>
    </row>
    <row r="11" spans="1:38" s="198" customFormat="1" ht="16.5">
      <c r="A11" s="61"/>
      <c r="B11" s="52" t="s">
        <v>387</v>
      </c>
      <c r="C11" s="301" t="s">
        <v>278</v>
      </c>
      <c r="D11" s="210" t="str">
        <f>T.UP3!D11</f>
        <v>Kali/Plg</v>
      </c>
      <c r="E11" s="211" t="s">
        <v>280</v>
      </c>
      <c r="F11" s="211"/>
      <c r="G11" s="212">
        <f>T.UP3!G11</f>
        <v>1.48</v>
      </c>
      <c r="H11" s="212">
        <f>T.UP3!H11</f>
        <v>2.97</v>
      </c>
      <c r="I11" s="212">
        <f>KPI!AH69</f>
        <v>0.14652677048122328</v>
      </c>
      <c r="J11" s="212">
        <f>KPI!AI69</f>
        <v>0.17056140261461228</v>
      </c>
      <c r="K11" s="212">
        <f>KPI!AJ69</f>
        <v>0.28323684728938825</v>
      </c>
      <c r="L11" s="212">
        <f>KPI!AK69</f>
        <v>0.48270813924748562</v>
      </c>
      <c r="M11" s="212">
        <f>KPI!AL69</f>
        <v>0.95578936719105667</v>
      </c>
      <c r="N11" s="212">
        <f>KPI!AM69</f>
        <v>1.2958186175580222</v>
      </c>
      <c r="O11" s="212">
        <f>KPI!AN69</f>
        <v>1.5608290494497543</v>
      </c>
      <c r="P11" s="212">
        <f>KPI!AO69</f>
        <v>1.5900798533510785</v>
      </c>
      <c r="Q11" s="212">
        <f>KPI!AP69</f>
        <v>1.7486104156234352</v>
      </c>
      <c r="R11" s="212">
        <f>KPI!AQ69</f>
        <v>2.1759567543301785</v>
      </c>
      <c r="S11" s="212">
        <f>KPI!AR69</f>
        <v>0</v>
      </c>
      <c r="T11" s="213">
        <f>KPI!AS69</f>
        <v>0</v>
      </c>
      <c r="U11" s="197"/>
      <c r="V11" s="197"/>
      <c r="AA11"/>
      <c r="AB11"/>
      <c r="AC11"/>
      <c r="AD11"/>
      <c r="AE11"/>
      <c r="AF11"/>
      <c r="AG11"/>
      <c r="AH11"/>
      <c r="AI11"/>
      <c r="AJ11"/>
      <c r="AK11"/>
      <c r="AL11"/>
    </row>
    <row r="12" spans="1:38" s="198" customFormat="1" ht="16.5">
      <c r="A12" s="61"/>
      <c r="B12" s="52" t="s">
        <v>389</v>
      </c>
      <c r="C12" s="301" t="s">
        <v>278</v>
      </c>
      <c r="D12" s="210" t="str">
        <f>T.UP3!D12</f>
        <v>MWh</v>
      </c>
      <c r="E12" s="211" t="s">
        <v>281</v>
      </c>
      <c r="F12" s="211"/>
      <c r="G12" s="212">
        <f>T.UP3!G12</f>
        <v>53.93</v>
      </c>
      <c r="H12" s="212">
        <f>T.UP3!H12</f>
        <v>107.87</v>
      </c>
      <c r="I12" s="212">
        <f>KPI!AH79</f>
        <v>5.444</v>
      </c>
      <c r="J12" s="212">
        <f>KPI!AI79</f>
        <v>6.6289999999999996</v>
      </c>
      <c r="K12" s="212">
        <f>KPI!AJ79</f>
        <v>7.3599999999999994</v>
      </c>
      <c r="L12" s="212">
        <f>KPI!AK79</f>
        <v>13.033999999999999</v>
      </c>
      <c r="M12" s="212">
        <f>KPI!AL79</f>
        <v>27.391999999999999</v>
      </c>
      <c r="N12" s="212">
        <f>KPI!AM79</f>
        <v>37.920999999999999</v>
      </c>
      <c r="O12" s="212">
        <f>KPI!AN79</f>
        <v>44.24</v>
      </c>
      <c r="P12" s="212">
        <f>KPI!AO79</f>
        <v>46.248000000000005</v>
      </c>
      <c r="Q12" s="212">
        <f>KPI!AP79</f>
        <v>50.782000000000004</v>
      </c>
      <c r="R12" s="212">
        <f>KPI!AQ79</f>
        <v>60.972000000000001</v>
      </c>
      <c r="S12" s="212">
        <f>KPI!AR79</f>
        <v>0</v>
      </c>
      <c r="T12" s="213">
        <f>KPI!AS79</f>
        <v>0</v>
      </c>
      <c r="U12" s="197"/>
      <c r="V12" s="197"/>
      <c r="AA12"/>
      <c r="AB12"/>
      <c r="AC12"/>
      <c r="AD12"/>
      <c r="AE12"/>
      <c r="AF12"/>
      <c r="AG12"/>
      <c r="AH12"/>
      <c r="AI12"/>
      <c r="AJ12"/>
      <c r="AK12"/>
      <c r="AL12"/>
    </row>
    <row r="13" spans="1:38" s="198" customFormat="1" ht="16.5">
      <c r="A13" s="61">
        <v>3</v>
      </c>
      <c r="B13" s="267" t="s">
        <v>390</v>
      </c>
      <c r="C13" s="301"/>
      <c r="D13" s="210"/>
      <c r="E13" s="211"/>
      <c r="F13" s="211">
        <v>12</v>
      </c>
      <c r="G13" s="212"/>
      <c r="H13" s="212"/>
      <c r="I13" s="212"/>
      <c r="J13" s="212"/>
      <c r="K13" s="212"/>
      <c r="L13" s="212"/>
      <c r="M13" s="212"/>
      <c r="N13" s="212"/>
      <c r="O13" s="212"/>
      <c r="P13" s="212"/>
      <c r="Q13" s="212"/>
      <c r="R13" s="212"/>
      <c r="S13" s="212"/>
      <c r="T13" s="213"/>
      <c r="U13" s="197"/>
      <c r="V13" s="197"/>
      <c r="AA13"/>
      <c r="AB13"/>
      <c r="AC13"/>
      <c r="AD13"/>
      <c r="AE13"/>
      <c r="AF13"/>
      <c r="AG13"/>
      <c r="AH13"/>
      <c r="AI13"/>
      <c r="AJ13"/>
      <c r="AK13"/>
      <c r="AL13"/>
    </row>
    <row r="14" spans="1:38" s="198" customFormat="1" ht="16.5">
      <c r="A14" s="61"/>
      <c r="B14" s="52" t="s">
        <v>391</v>
      </c>
      <c r="C14" s="301" t="s">
        <v>278</v>
      </c>
      <c r="D14" s="210" t="str">
        <f>T.UP3!D14</f>
        <v>%</v>
      </c>
      <c r="E14" s="211"/>
      <c r="F14" s="211"/>
      <c r="G14" s="212">
        <f>T.UP3!G14</f>
        <v>9.41</v>
      </c>
      <c r="H14" s="212">
        <f>T.UP3!H14</f>
        <v>9</v>
      </c>
      <c r="I14" s="212">
        <f>KPI!AH109</f>
        <v>-15.682737184229497</v>
      </c>
      <c r="J14" s="212">
        <f>KPI!AI109</f>
        <v>-10.228821067310426</v>
      </c>
      <c r="K14" s="212">
        <f>KPI!AJ109</f>
        <v>-2.8846078747913642</v>
      </c>
      <c r="L14" s="212">
        <f>KPI!AK109</f>
        <v>3.5063857291321998</v>
      </c>
      <c r="M14" s="212">
        <f>KPI!AL109</f>
        <v>6.3999484078289566</v>
      </c>
      <c r="N14" s="212">
        <f>KPI!AM109</f>
        <v>6.9996588694363426</v>
      </c>
      <c r="O14" s="212">
        <f>KPI!AN109</f>
        <v>7.6587322275420009</v>
      </c>
      <c r="P14" s="212">
        <f>KPI!AO109</f>
        <v>7.929049915654077</v>
      </c>
      <c r="Q14" s="212">
        <f>KPI!AP109</f>
        <v>8.2084941236385731</v>
      </c>
      <c r="R14" s="212">
        <f>KPI!AQ109</f>
        <v>8.2408737165638186</v>
      </c>
      <c r="S14" s="212">
        <f>KPI!AR109</f>
        <v>0</v>
      </c>
      <c r="T14" s="212">
        <f>KPI!AS109</f>
        <v>0</v>
      </c>
      <c r="U14" s="197"/>
      <c r="V14" s="197"/>
      <c r="AA14"/>
      <c r="AB14"/>
      <c r="AC14"/>
      <c r="AD14"/>
      <c r="AE14"/>
      <c r="AF14"/>
      <c r="AG14"/>
      <c r="AH14"/>
      <c r="AI14"/>
      <c r="AJ14"/>
      <c r="AK14"/>
      <c r="AL14"/>
    </row>
    <row r="15" spans="1:38" s="198" customFormat="1" ht="16.5">
      <c r="A15" s="61"/>
      <c r="B15" s="52" t="s">
        <v>392</v>
      </c>
      <c r="C15" s="301" t="s">
        <v>276</v>
      </c>
      <c r="D15" s="210" t="str">
        <f>T.UP3!D15</f>
        <v>%</v>
      </c>
      <c r="E15" s="211"/>
      <c r="F15" s="211"/>
      <c r="G15" s="212">
        <f>T.UP3!G15</f>
        <v>40</v>
      </c>
      <c r="H15" s="212">
        <f>T.UP3!H15</f>
        <v>100</v>
      </c>
      <c r="I15" s="212">
        <f>KPI!AH125</f>
        <v>5.8059061761727984</v>
      </c>
      <c r="J15" s="212">
        <f>KPI!AI125</f>
        <v>6.7500843739453256</v>
      </c>
      <c r="K15" s="212">
        <f>KPI!AJ125</f>
        <v>15.173742828214648</v>
      </c>
      <c r="L15" s="212">
        <f>KPI!AK125</f>
        <v>21.76044549443132</v>
      </c>
      <c r="M15" s="212">
        <f>KPI!AL125</f>
        <v>29.091596355045564</v>
      </c>
      <c r="N15" s="212">
        <f>KPI!AM125</f>
        <v>49.917819777252781</v>
      </c>
      <c r="O15" s="212">
        <f>KPI!AN125</f>
        <v>69.343266959163017</v>
      </c>
      <c r="P15" s="212">
        <f>KPI!AO125</f>
        <v>80.308133648329402</v>
      </c>
      <c r="Q15" s="212">
        <f>KPI!AP125</f>
        <v>91.575632804589944</v>
      </c>
      <c r="R15" s="212">
        <f>KPI!AQ125</f>
        <v>98.245663179210254</v>
      </c>
      <c r="S15" s="212">
        <f>KPI!AR125</f>
        <v>98.245663179210254</v>
      </c>
      <c r="T15" s="212">
        <f>KPI!AS125</f>
        <v>98.245663179210254</v>
      </c>
      <c r="U15" s="197"/>
      <c r="V15" s="197"/>
      <c r="AA15"/>
      <c r="AB15"/>
      <c r="AC15"/>
      <c r="AD15"/>
      <c r="AE15"/>
      <c r="AF15"/>
      <c r="AG15"/>
      <c r="AH15"/>
      <c r="AI15"/>
      <c r="AJ15"/>
      <c r="AK15"/>
      <c r="AL15"/>
    </row>
    <row r="16" spans="1:38" s="198" customFormat="1" ht="16.5">
      <c r="A16" s="61"/>
      <c r="B16" s="52" t="s">
        <v>393</v>
      </c>
      <c r="C16" s="301" t="s">
        <v>276</v>
      </c>
      <c r="D16" s="210" t="str">
        <f>T.UP3!D16</f>
        <v>Unit</v>
      </c>
      <c r="E16" s="211" t="s">
        <v>282</v>
      </c>
      <c r="F16" s="211"/>
      <c r="G16" s="212">
        <f>T.UP3!G16</f>
        <v>2158</v>
      </c>
      <c r="H16" s="212">
        <f>T.UP3!H16</f>
        <v>4727</v>
      </c>
      <c r="I16" s="212">
        <f>KPI!AH135</f>
        <v>23</v>
      </c>
      <c r="J16" s="212">
        <f>KPI!AI135</f>
        <v>280</v>
      </c>
      <c r="K16" s="212">
        <f>KPI!AJ135</f>
        <v>1417</v>
      </c>
      <c r="L16" s="212">
        <f>KPI!AK135</f>
        <v>2174</v>
      </c>
      <c r="M16" s="212">
        <f>KPI!AL135</f>
        <v>2760</v>
      </c>
      <c r="N16" s="212">
        <f>KPI!AM135</f>
        <v>3127</v>
      </c>
      <c r="O16" s="212">
        <f>KPI!AN135</f>
        <v>3539</v>
      </c>
      <c r="P16" s="212">
        <f>KPI!AO135</f>
        <v>3699</v>
      </c>
      <c r="Q16" s="212">
        <f>KPI!AP135</f>
        <v>4655</v>
      </c>
      <c r="R16" s="212">
        <f>KPI!AQ135</f>
        <v>4735</v>
      </c>
      <c r="S16" s="212">
        <f>KPI!AR135</f>
        <v>4735</v>
      </c>
      <c r="T16" s="212">
        <f>KPI!AS135</f>
        <v>4735</v>
      </c>
      <c r="U16" s="197"/>
      <c r="V16" s="197"/>
      <c r="AA16"/>
      <c r="AB16"/>
      <c r="AC16"/>
      <c r="AD16"/>
      <c r="AE16"/>
      <c r="AF16"/>
      <c r="AG16"/>
      <c r="AH16"/>
      <c r="AI16"/>
      <c r="AJ16"/>
      <c r="AK16"/>
      <c r="AL16"/>
    </row>
    <row r="17" spans="1:38" s="196" customFormat="1" ht="16.5">
      <c r="A17" s="139" t="s">
        <v>283</v>
      </c>
      <c r="B17" s="55" t="s">
        <v>284</v>
      </c>
      <c r="C17" s="155"/>
      <c r="D17" s="199"/>
      <c r="E17" s="214"/>
      <c r="F17" s="214">
        <f>SUM(F18:F60)</f>
        <v>50</v>
      </c>
      <c r="G17" s="214"/>
      <c r="H17" s="214"/>
      <c r="I17" s="214"/>
      <c r="J17" s="214"/>
      <c r="K17" s="214"/>
      <c r="L17" s="214"/>
      <c r="M17" s="214"/>
      <c r="N17" s="214"/>
      <c r="O17" s="214"/>
      <c r="P17" s="214"/>
      <c r="Q17" s="214"/>
      <c r="R17" s="214"/>
      <c r="S17" s="214"/>
      <c r="T17" s="215"/>
      <c r="U17" s="195"/>
      <c r="V17" s="195"/>
      <c r="AA17"/>
      <c r="AB17"/>
      <c r="AC17"/>
      <c r="AD17"/>
      <c r="AE17"/>
      <c r="AF17"/>
      <c r="AG17"/>
      <c r="AH17"/>
      <c r="AI17"/>
      <c r="AJ17"/>
      <c r="AK17"/>
      <c r="AL17"/>
    </row>
    <row r="18" spans="1:38" s="198" customFormat="1" ht="16.5">
      <c r="A18" s="51">
        <v>4</v>
      </c>
      <c r="B18" s="271" t="s">
        <v>285</v>
      </c>
      <c r="C18" s="272"/>
      <c r="D18" s="210"/>
      <c r="E18" s="211" t="s">
        <v>286</v>
      </c>
      <c r="F18" s="211">
        <v>6</v>
      </c>
      <c r="G18" s="219"/>
      <c r="H18" s="219"/>
      <c r="I18" s="281"/>
      <c r="J18" s="281"/>
      <c r="K18" s="281"/>
      <c r="L18" s="281"/>
      <c r="M18" s="281"/>
      <c r="N18" s="281"/>
      <c r="O18" s="281"/>
      <c r="P18" s="281"/>
      <c r="Q18" s="281"/>
      <c r="R18" s="281"/>
      <c r="S18" s="281"/>
      <c r="T18" s="281"/>
      <c r="U18" s="197"/>
      <c r="V18" s="197"/>
      <c r="AA18"/>
      <c r="AB18"/>
      <c r="AC18"/>
      <c r="AD18"/>
      <c r="AE18"/>
      <c r="AF18"/>
      <c r="AG18"/>
      <c r="AH18"/>
      <c r="AI18"/>
      <c r="AJ18"/>
      <c r="AK18"/>
      <c r="AL18"/>
    </row>
    <row r="19" spans="1:38" s="198" customFormat="1" ht="16.5">
      <c r="A19" s="51"/>
      <c r="B19" s="275" t="s">
        <v>287</v>
      </c>
      <c r="C19" s="301" t="s">
        <v>278</v>
      </c>
      <c r="D19" s="210" t="s">
        <v>136</v>
      </c>
      <c r="E19" s="216" t="s">
        <v>288</v>
      </c>
      <c r="F19" s="211"/>
      <c r="G19" s="212">
        <f>T.UP3!G19</f>
        <v>88</v>
      </c>
      <c r="H19" s="212">
        <f>T.UP3!H19</f>
        <v>166</v>
      </c>
      <c r="I19" s="281">
        <f>PI!AH23</f>
        <v>5</v>
      </c>
      <c r="J19" s="281">
        <f>PI!AI23</f>
        <v>10</v>
      </c>
      <c r="K19" s="281">
        <f>PI!AJ23</f>
        <v>32</v>
      </c>
      <c r="L19" s="281">
        <f>PI!AK23</f>
        <v>40</v>
      </c>
      <c r="M19" s="281">
        <f>PI!AL23</f>
        <v>66</v>
      </c>
      <c r="N19" s="281">
        <f>PI!AM23</f>
        <v>73</v>
      </c>
      <c r="O19" s="281">
        <f>PI!AN23</f>
        <v>87</v>
      </c>
      <c r="P19" s="281">
        <f>PI!AO23</f>
        <v>87</v>
      </c>
      <c r="Q19" s="281">
        <f>PI!AP23</f>
        <v>98</v>
      </c>
      <c r="R19" s="281">
        <f>PI!AQ23</f>
        <v>115</v>
      </c>
      <c r="S19" s="281">
        <f>PI!AR23</f>
        <v>115</v>
      </c>
      <c r="T19" s="281">
        <f>PI!AS23</f>
        <v>115</v>
      </c>
      <c r="U19" s="197"/>
      <c r="V19" s="197"/>
      <c r="AA19"/>
      <c r="AB19"/>
      <c r="AC19"/>
      <c r="AD19"/>
      <c r="AE19"/>
      <c r="AF19"/>
      <c r="AG19"/>
      <c r="AH19"/>
      <c r="AI19"/>
      <c r="AJ19"/>
      <c r="AK19"/>
      <c r="AL19"/>
    </row>
    <row r="20" spans="1:38" s="198" customFormat="1" ht="16.5">
      <c r="A20" s="286"/>
      <c r="B20" s="287" t="s">
        <v>289</v>
      </c>
      <c r="C20" s="326" t="s">
        <v>278</v>
      </c>
      <c r="D20" s="210" t="s">
        <v>136</v>
      </c>
      <c r="E20" s="216" t="s">
        <v>290</v>
      </c>
      <c r="F20" s="211"/>
      <c r="G20" s="212">
        <f>T.UP3!G20</f>
        <v>96</v>
      </c>
      <c r="H20" s="212">
        <f>T.UP3!H20</f>
        <v>191</v>
      </c>
      <c r="I20" s="282">
        <f>PI!AH24</f>
        <v>1</v>
      </c>
      <c r="J20" s="282">
        <f>PI!AI24</f>
        <v>18</v>
      </c>
      <c r="K20" s="282">
        <f>PI!AJ24</f>
        <v>21</v>
      </c>
      <c r="L20" s="282">
        <f>PI!AK24</f>
        <v>22</v>
      </c>
      <c r="M20" s="282">
        <f>PI!AL24</f>
        <v>57</v>
      </c>
      <c r="N20" s="282">
        <f>PI!AM24</f>
        <v>76</v>
      </c>
      <c r="O20" s="282">
        <f>PI!AN24</f>
        <v>93</v>
      </c>
      <c r="P20" s="282">
        <f>PI!AO24</f>
        <v>96</v>
      </c>
      <c r="Q20" s="282">
        <f>PI!AP24</f>
        <v>112</v>
      </c>
      <c r="R20" s="282">
        <f>PI!AQ24</f>
        <v>135</v>
      </c>
      <c r="S20" s="282">
        <f>PI!AR24</f>
        <v>135</v>
      </c>
      <c r="T20" s="282">
        <f>PI!AS24</f>
        <v>135</v>
      </c>
      <c r="U20" s="197"/>
      <c r="V20" s="197"/>
      <c r="AA20"/>
      <c r="AB20"/>
      <c r="AC20"/>
      <c r="AD20"/>
      <c r="AE20"/>
      <c r="AF20"/>
      <c r="AG20"/>
      <c r="AH20"/>
      <c r="AI20"/>
      <c r="AJ20"/>
      <c r="AK20"/>
      <c r="AL20"/>
    </row>
    <row r="21" spans="1:38" s="198" customFormat="1" ht="16.5">
      <c r="A21" s="286"/>
      <c r="B21" s="287" t="s">
        <v>291</v>
      </c>
      <c r="C21" s="301" t="s">
        <v>278</v>
      </c>
      <c r="D21" s="210" t="s">
        <v>72</v>
      </c>
      <c r="E21" s="217" t="s">
        <v>292</v>
      </c>
      <c r="F21" s="211"/>
      <c r="G21" s="219">
        <f>T.UP3!G21</f>
        <v>5</v>
      </c>
      <c r="H21" s="219">
        <f>T.UP3!H21</f>
        <v>5</v>
      </c>
      <c r="I21" s="281">
        <f>PI!AH48</f>
        <v>0</v>
      </c>
      <c r="J21" s="281">
        <f>PI!AI48</f>
        <v>0</v>
      </c>
      <c r="K21" s="281">
        <f>PI!AJ48</f>
        <v>0</v>
      </c>
      <c r="L21" s="281">
        <f>PI!AK48</f>
        <v>0</v>
      </c>
      <c r="M21" s="281">
        <f>PI!AL48</f>
        <v>1</v>
      </c>
      <c r="N21" s="281">
        <f>PI!AM48</f>
        <v>2</v>
      </c>
      <c r="O21" s="281">
        <f>PI!AN48</f>
        <v>3</v>
      </c>
      <c r="P21" s="281">
        <f>PI!AO48</f>
        <v>3</v>
      </c>
      <c r="Q21" s="281">
        <f>PI!AP48</f>
        <v>3</v>
      </c>
      <c r="R21" s="281">
        <f>PI!AQ48</f>
        <v>3</v>
      </c>
      <c r="S21" s="281">
        <f>PI!AR48</f>
        <v>3</v>
      </c>
      <c r="T21" s="281">
        <f>PI!AS48</f>
        <v>3</v>
      </c>
      <c r="U21" s="197"/>
      <c r="V21" s="197"/>
      <c r="AA21"/>
      <c r="AB21"/>
      <c r="AC21"/>
      <c r="AD21"/>
      <c r="AE21"/>
      <c r="AF21"/>
      <c r="AG21"/>
      <c r="AH21"/>
      <c r="AI21"/>
      <c r="AJ21"/>
      <c r="AK21"/>
      <c r="AL21"/>
    </row>
    <row r="22" spans="1:38" s="198" customFormat="1" ht="16.5">
      <c r="A22" s="51">
        <v>5</v>
      </c>
      <c r="B22" s="271" t="s">
        <v>293</v>
      </c>
      <c r="C22" s="301"/>
      <c r="D22" s="210"/>
      <c r="E22" s="218"/>
      <c r="F22" s="211">
        <v>6</v>
      </c>
      <c r="G22" s="219"/>
      <c r="H22" s="219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197"/>
      <c r="V22" s="197"/>
      <c r="AA22"/>
      <c r="AB22"/>
      <c r="AC22"/>
      <c r="AD22"/>
      <c r="AE22"/>
      <c r="AF22"/>
      <c r="AG22"/>
      <c r="AH22"/>
      <c r="AI22"/>
      <c r="AJ22"/>
      <c r="AK22"/>
      <c r="AL22"/>
    </row>
    <row r="23" spans="1:38" s="198" customFormat="1" ht="16.5">
      <c r="A23" s="51"/>
      <c r="B23" s="275" t="s">
        <v>294</v>
      </c>
      <c r="C23" s="327" t="s">
        <v>278</v>
      </c>
      <c r="D23" s="210" t="s">
        <v>149</v>
      </c>
      <c r="E23" s="218"/>
      <c r="F23" s="211"/>
      <c r="G23" s="317">
        <f>T.UP3!G23</f>
        <v>0.09</v>
      </c>
      <c r="H23" s="317">
        <f>T.UP3!H23</f>
        <v>0.09</v>
      </c>
      <c r="I23" s="212">
        <f>PI!AH70</f>
        <v>0</v>
      </c>
      <c r="J23" s="212">
        <f>PI!AI70</f>
        <v>0</v>
      </c>
      <c r="K23" s="212">
        <f>PI!AJ70</f>
        <v>0</v>
      </c>
      <c r="L23" s="212">
        <f>PI!AK70</f>
        <v>0</v>
      </c>
      <c r="M23" s="212">
        <f>PI!AL70</f>
        <v>0</v>
      </c>
      <c r="N23" s="212">
        <f>PI!AM70</f>
        <v>0</v>
      </c>
      <c r="O23" s="212">
        <f>PI!AN70</f>
        <v>0</v>
      </c>
      <c r="P23" s="212">
        <f>PI!AO70</f>
        <v>0</v>
      </c>
      <c r="Q23" s="212">
        <f>PI!AP70</f>
        <v>0</v>
      </c>
      <c r="R23" s="212">
        <f>PI!AQ70</f>
        <v>0</v>
      </c>
      <c r="S23" s="212">
        <f>PI!AR70</f>
        <v>0</v>
      </c>
      <c r="T23" s="212">
        <f>PI!AS70</f>
        <v>0</v>
      </c>
      <c r="U23" s="197"/>
      <c r="V23" s="197"/>
      <c r="AA23"/>
      <c r="AB23"/>
      <c r="AC23"/>
      <c r="AD23"/>
      <c r="AE23"/>
      <c r="AF23"/>
      <c r="AG23"/>
      <c r="AH23"/>
      <c r="AI23"/>
      <c r="AJ23"/>
      <c r="AK23"/>
      <c r="AL23"/>
    </row>
    <row r="24" spans="1:38" s="198" customFormat="1" ht="16.5">
      <c r="A24" s="51"/>
      <c r="B24" s="275" t="s">
        <v>295</v>
      </c>
      <c r="C24" s="327" t="s">
        <v>278</v>
      </c>
      <c r="D24" s="210" t="s">
        <v>149</v>
      </c>
      <c r="E24" s="218" t="s">
        <v>296</v>
      </c>
      <c r="F24" s="211"/>
      <c r="G24" s="219">
        <f>T.UP3!G24</f>
        <v>0.04</v>
      </c>
      <c r="H24" s="219">
        <f>T.UP3!H24</f>
        <v>0.04</v>
      </c>
      <c r="I24" s="212">
        <f>PI!AH92</f>
        <v>0</v>
      </c>
      <c r="J24" s="212">
        <f>PI!AI92</f>
        <v>0</v>
      </c>
      <c r="K24" s="212">
        <f>PI!AJ92</f>
        <v>0</v>
      </c>
      <c r="L24" s="212">
        <f>PI!AK92</f>
        <v>0</v>
      </c>
      <c r="M24" s="212">
        <f>PI!AL92</f>
        <v>0</v>
      </c>
      <c r="N24" s="212">
        <f>PI!AM92</f>
        <v>0</v>
      </c>
      <c r="O24" s="212">
        <f>PI!AN92</f>
        <v>0</v>
      </c>
      <c r="P24" s="212">
        <f>PI!AO92</f>
        <v>0</v>
      </c>
      <c r="Q24" s="212">
        <f>PI!AP92</f>
        <v>0</v>
      </c>
      <c r="R24" s="212">
        <f>PI!AQ92</f>
        <v>0</v>
      </c>
      <c r="S24" s="212">
        <f>PI!AR92</f>
        <v>0</v>
      </c>
      <c r="T24" s="212">
        <f>PI!AS92</f>
        <v>4.9086982132338502E-3</v>
      </c>
      <c r="U24" s="197"/>
      <c r="V24" s="197"/>
      <c r="AA24"/>
      <c r="AB24"/>
      <c r="AC24"/>
      <c r="AD24"/>
      <c r="AE24"/>
      <c r="AF24"/>
      <c r="AG24"/>
      <c r="AH24"/>
      <c r="AI24"/>
      <c r="AJ24"/>
      <c r="AK24"/>
      <c r="AL24"/>
    </row>
    <row r="25" spans="1:38" s="198" customFormat="1" ht="16.5">
      <c r="A25" s="51"/>
      <c r="B25" s="52" t="s">
        <v>297</v>
      </c>
      <c r="C25" s="327" t="s">
        <v>276</v>
      </c>
      <c r="D25" s="210" t="s">
        <v>193</v>
      </c>
      <c r="E25" s="218" t="s">
        <v>298</v>
      </c>
      <c r="F25" s="211"/>
      <c r="G25" s="212">
        <f>T.UP3!G25</f>
        <v>4.9000000000000004</v>
      </c>
      <c r="H25" s="212">
        <f>T.UP3!H25</f>
        <v>4.9000000000000004</v>
      </c>
      <c r="I25" s="212">
        <f>PI!AH97</f>
        <v>4.91</v>
      </c>
      <c r="J25" s="212">
        <f>PI!AI97</f>
        <v>4.91</v>
      </c>
      <c r="K25" s="212">
        <f>PI!AJ97</f>
        <v>4.91</v>
      </c>
      <c r="L25" s="212">
        <f>PI!AK97</f>
        <v>4.91</v>
      </c>
      <c r="M25" s="212">
        <f>PI!AL97</f>
        <v>4.9000000000000004</v>
      </c>
      <c r="N25" s="212">
        <f>PI!AM97</f>
        <v>4.9000000000000004</v>
      </c>
      <c r="O25" s="212">
        <f>PI!AN97</f>
        <v>4.9000000000000004</v>
      </c>
      <c r="P25" s="212">
        <f>PI!AO97</f>
        <v>4.9000000000000004</v>
      </c>
      <c r="Q25" s="212">
        <f>PI!AP97</f>
        <v>4.9000000000000004</v>
      </c>
      <c r="R25" s="212">
        <f>PI!AQ97</f>
        <v>4.9000000000000004</v>
      </c>
      <c r="S25" s="212">
        <f>PI!AR97</f>
        <v>4.9000000000000004</v>
      </c>
      <c r="T25" s="212">
        <f>PI!AS97</f>
        <v>4.9000000000000004</v>
      </c>
      <c r="U25" s="197"/>
      <c r="V25" s="197"/>
      <c r="AA25"/>
      <c r="AB25"/>
      <c r="AC25"/>
      <c r="AD25"/>
      <c r="AE25"/>
      <c r="AF25"/>
      <c r="AG25"/>
      <c r="AH25"/>
      <c r="AI25"/>
      <c r="AJ25"/>
      <c r="AK25"/>
      <c r="AL25"/>
    </row>
    <row r="26" spans="1:38" s="198" customFormat="1" ht="16.5">
      <c r="A26" s="51"/>
      <c r="B26" s="275" t="s">
        <v>299</v>
      </c>
      <c r="C26" s="327" t="s">
        <v>276</v>
      </c>
      <c r="D26" s="210" t="s">
        <v>300</v>
      </c>
      <c r="E26" s="218" t="s">
        <v>301</v>
      </c>
      <c r="F26" s="211"/>
      <c r="G26" s="212">
        <f>T.UP3!G26</f>
        <v>31455</v>
      </c>
      <c r="H26" s="212">
        <f>T.UP3!H26</f>
        <v>62908</v>
      </c>
      <c r="I26" s="212">
        <f>PI!AH107</f>
        <v>2781</v>
      </c>
      <c r="J26" s="212">
        <f>PI!AI107</f>
        <v>6163</v>
      </c>
      <c r="K26" s="212">
        <f>PI!AJ107</f>
        <v>16349</v>
      </c>
      <c r="L26" s="212">
        <f>PI!AK107</f>
        <v>26667</v>
      </c>
      <c r="M26" s="212">
        <f>PI!AL107</f>
        <v>36549</v>
      </c>
      <c r="N26" s="212">
        <f>PI!AM107</f>
        <v>45061</v>
      </c>
      <c r="O26" s="212">
        <f>PI!AN107</f>
        <v>53566</v>
      </c>
      <c r="P26" s="212">
        <f>PI!AO107</f>
        <v>60672</v>
      </c>
      <c r="Q26" s="212">
        <f>PI!AP107</f>
        <v>68090</v>
      </c>
      <c r="R26" s="212">
        <f>PI!AQ107</f>
        <v>75000</v>
      </c>
      <c r="S26" s="212">
        <f>PI!AR107</f>
        <v>0</v>
      </c>
      <c r="T26" s="212">
        <f>PI!AS107</f>
        <v>0</v>
      </c>
      <c r="U26" s="197"/>
      <c r="V26" s="197"/>
      <c r="AA26"/>
      <c r="AB26"/>
      <c r="AC26"/>
      <c r="AD26"/>
      <c r="AE26"/>
      <c r="AF26"/>
      <c r="AG26"/>
      <c r="AH26"/>
      <c r="AI26"/>
      <c r="AJ26"/>
      <c r="AK26"/>
      <c r="AL26"/>
    </row>
    <row r="27" spans="1:38" s="198" customFormat="1" ht="16.5">
      <c r="A27" s="51">
        <v>6</v>
      </c>
      <c r="B27" s="271" t="s">
        <v>302</v>
      </c>
      <c r="C27" s="327"/>
      <c r="D27" s="210"/>
      <c r="E27" s="218"/>
      <c r="F27" s="211">
        <v>3</v>
      </c>
      <c r="G27" s="212"/>
      <c r="H27" s="212"/>
      <c r="I27" s="212"/>
      <c r="J27" s="212"/>
      <c r="K27" s="212"/>
      <c r="L27" s="212"/>
      <c r="M27" s="212"/>
      <c r="N27" s="212"/>
      <c r="O27" s="212"/>
      <c r="P27" s="212"/>
      <c r="Q27" s="212"/>
      <c r="R27" s="212"/>
      <c r="S27" s="212"/>
      <c r="T27" s="212"/>
      <c r="U27" s="197"/>
      <c r="V27" s="197"/>
      <c r="AA27"/>
      <c r="AB27"/>
      <c r="AC27"/>
      <c r="AD27"/>
      <c r="AE27"/>
      <c r="AF27"/>
      <c r="AG27"/>
      <c r="AH27"/>
      <c r="AI27"/>
      <c r="AJ27"/>
      <c r="AK27"/>
      <c r="AL27"/>
    </row>
    <row r="28" spans="1:38" s="198" customFormat="1" ht="16.5">
      <c r="A28" s="51"/>
      <c r="B28" s="275" t="s">
        <v>303</v>
      </c>
      <c r="C28" s="327" t="s">
        <v>278</v>
      </c>
      <c r="D28" s="210" t="s">
        <v>132</v>
      </c>
      <c r="E28" s="218"/>
      <c r="F28" s="211"/>
      <c r="G28" s="212">
        <f>T.UP3!G28</f>
        <v>30</v>
      </c>
      <c r="H28" s="212">
        <f>T.UP3!H28</f>
        <v>30</v>
      </c>
      <c r="I28" s="212">
        <f>PI!AH123</f>
        <v>8.1972562755399867</v>
      </c>
      <c r="J28" s="212">
        <f>PI!AI123</f>
        <v>8.1895472049853559</v>
      </c>
      <c r="K28" s="212">
        <f>PI!AJ123</f>
        <v>8.1517234042283491</v>
      </c>
      <c r="L28" s="212">
        <f>PI!AK123</f>
        <v>8.1290916049582798</v>
      </c>
      <c r="M28" s="212">
        <f>PI!AL123</f>
        <v>9.2132732839666236</v>
      </c>
      <c r="N28" s="212">
        <f>PI!AM123</f>
        <v>9.3707533111591559</v>
      </c>
      <c r="O28" s="212">
        <f>PI!AN123</f>
        <v>9.4832390448681085</v>
      </c>
      <c r="P28" s="212">
        <f>PI!AO123</f>
        <v>9.7132346993555974</v>
      </c>
      <c r="Q28" s="212">
        <f>PI!AP123</f>
        <v>9.9645423134519469</v>
      </c>
      <c r="R28" s="212">
        <f>PI!AQ123</f>
        <v>10.140176089784086</v>
      </c>
      <c r="S28" s="212">
        <f>PI!AR123</f>
        <v>10.140176089784086</v>
      </c>
      <c r="T28" s="212">
        <f>PI!AS123</f>
        <v>10.140176089784086</v>
      </c>
      <c r="U28" s="197"/>
      <c r="V28" s="197"/>
      <c r="AA28"/>
      <c r="AB28"/>
      <c r="AC28"/>
      <c r="AD28"/>
      <c r="AE28"/>
      <c r="AF28"/>
      <c r="AG28"/>
      <c r="AH28"/>
      <c r="AI28"/>
      <c r="AJ28"/>
      <c r="AK28"/>
      <c r="AL28"/>
    </row>
    <row r="29" spans="1:38" s="198" customFormat="1" ht="16.5">
      <c r="A29" s="51"/>
      <c r="B29" s="275" t="s">
        <v>304</v>
      </c>
      <c r="C29" s="327" t="s">
        <v>276</v>
      </c>
      <c r="D29" s="210" t="s">
        <v>149</v>
      </c>
      <c r="E29" s="218"/>
      <c r="F29" s="211"/>
      <c r="G29" s="212">
        <f>T.UP3!G29</f>
        <v>0</v>
      </c>
      <c r="H29" s="212">
        <f>T.UP3!H29</f>
        <v>0</v>
      </c>
      <c r="I29" s="212">
        <f>PI!AH139</f>
        <v>0</v>
      </c>
      <c r="J29" s="212">
        <f>PI!AI139</f>
        <v>0</v>
      </c>
      <c r="K29" s="212">
        <f>PI!AJ139</f>
        <v>0</v>
      </c>
      <c r="L29" s="212">
        <f>PI!AK139</f>
        <v>0</v>
      </c>
      <c r="M29" s="212">
        <f>PI!AL139</f>
        <v>0</v>
      </c>
      <c r="N29" s="212">
        <f>PI!AM139</f>
        <v>0</v>
      </c>
      <c r="O29" s="212">
        <f>PI!AN139</f>
        <v>0</v>
      </c>
      <c r="P29" s="212">
        <f>PI!AO139</f>
        <v>0</v>
      </c>
      <c r="Q29" s="212">
        <f>PI!AP139</f>
        <v>0</v>
      </c>
      <c r="R29" s="212">
        <f>PI!AQ139</f>
        <v>0</v>
      </c>
      <c r="S29" s="212">
        <f>PI!AR139</f>
        <v>0</v>
      </c>
      <c r="T29" s="212">
        <f>PI!AS139</f>
        <v>0</v>
      </c>
      <c r="U29" s="197"/>
      <c r="V29" s="197"/>
      <c r="AA29"/>
      <c r="AB29"/>
      <c r="AC29"/>
      <c r="AD29"/>
      <c r="AE29"/>
      <c r="AF29"/>
      <c r="AG29"/>
      <c r="AH29"/>
      <c r="AI29"/>
      <c r="AJ29"/>
      <c r="AK29"/>
      <c r="AL29"/>
    </row>
    <row r="30" spans="1:38" s="198" customFormat="1" ht="16.5">
      <c r="A30" s="51">
        <v>7</v>
      </c>
      <c r="B30" s="271" t="s">
        <v>305</v>
      </c>
      <c r="C30" s="327"/>
      <c r="D30" s="210"/>
      <c r="E30" s="218" t="s">
        <v>306</v>
      </c>
      <c r="F30" s="211">
        <v>4</v>
      </c>
      <c r="G30" s="219"/>
      <c r="H30" s="219"/>
      <c r="I30" s="212"/>
      <c r="J30" s="212"/>
      <c r="K30" s="212"/>
      <c r="L30" s="212"/>
      <c r="M30" s="212"/>
      <c r="N30" s="212"/>
      <c r="O30" s="212"/>
      <c r="P30" s="212"/>
      <c r="Q30" s="212"/>
      <c r="R30" s="212"/>
      <c r="S30" s="212"/>
      <c r="T30" s="213"/>
      <c r="U30" s="197"/>
      <c r="V30" s="197"/>
      <c r="AA30"/>
      <c r="AB30"/>
      <c r="AC30"/>
      <c r="AD30"/>
      <c r="AE30"/>
      <c r="AF30"/>
      <c r="AG30"/>
      <c r="AH30"/>
      <c r="AI30"/>
      <c r="AJ30"/>
      <c r="AK30"/>
      <c r="AL30"/>
    </row>
    <row r="31" spans="1:38" s="198" customFormat="1" ht="16.5">
      <c r="A31" s="51"/>
      <c r="B31" s="275" t="s">
        <v>307</v>
      </c>
      <c r="C31" s="327" t="s">
        <v>276</v>
      </c>
      <c r="D31" s="210" t="s">
        <v>149</v>
      </c>
      <c r="E31" s="218"/>
      <c r="F31" s="211"/>
      <c r="G31" s="219">
        <f>T.UP3!G31</f>
        <v>100</v>
      </c>
      <c r="H31" s="219">
        <f>T.UP3!H31</f>
        <v>100</v>
      </c>
      <c r="I31" s="212">
        <f>PI!AH160</f>
        <v>92.25</v>
      </c>
      <c r="J31" s="212">
        <f>PI!AI160</f>
        <v>90.5</v>
      </c>
      <c r="K31" s="212">
        <f>PI!AJ160</f>
        <v>110</v>
      </c>
      <c r="L31" s="212">
        <f>PI!AK160</f>
        <v>110</v>
      </c>
      <c r="M31" s="212">
        <f>PI!AL160</f>
        <v>110</v>
      </c>
      <c r="N31" s="212">
        <f>PI!AM160</f>
        <v>110</v>
      </c>
      <c r="O31" s="212">
        <f>PI!AN160</f>
        <v>110</v>
      </c>
      <c r="P31" s="212">
        <f>PI!AO160</f>
        <v>110</v>
      </c>
      <c r="Q31" s="212">
        <f>PI!AP160</f>
        <v>110</v>
      </c>
      <c r="R31" s="212">
        <f>PI!AQ160</f>
        <v>110</v>
      </c>
      <c r="S31" s="212">
        <f>PI!AR160</f>
        <v>0</v>
      </c>
      <c r="T31" s="212">
        <f>PI!AS160</f>
        <v>0</v>
      </c>
      <c r="U31" s="197"/>
      <c r="V31" s="197"/>
      <c r="AA31"/>
      <c r="AB31"/>
      <c r="AC31"/>
      <c r="AD31"/>
      <c r="AE31"/>
      <c r="AF31"/>
      <c r="AG31"/>
      <c r="AH31"/>
      <c r="AI31"/>
      <c r="AJ31"/>
      <c r="AK31"/>
      <c r="AL31"/>
    </row>
    <row r="32" spans="1:38" s="198" customFormat="1" ht="16.5">
      <c r="A32" s="51"/>
      <c r="B32" s="275" t="s">
        <v>308</v>
      </c>
      <c r="C32" s="327" t="s">
        <v>276</v>
      </c>
      <c r="D32" s="210" t="s">
        <v>149</v>
      </c>
      <c r="E32" s="218"/>
      <c r="F32" s="211"/>
      <c r="G32" s="219">
        <f>T.UP3!G32</f>
        <v>100</v>
      </c>
      <c r="H32" s="219">
        <f>T.UP3!H32</f>
        <v>100</v>
      </c>
      <c r="I32" s="212">
        <f>PI!AH182</f>
        <v>110</v>
      </c>
      <c r="J32" s="212">
        <f>PI!AI182</f>
        <v>110</v>
      </c>
      <c r="K32" s="212">
        <f>PI!AJ182</f>
        <v>110</v>
      </c>
      <c r="L32" s="212">
        <f>PI!AK182</f>
        <v>110</v>
      </c>
      <c r="M32" s="212">
        <f>PI!AL182</f>
        <v>110</v>
      </c>
      <c r="N32" s="212">
        <f>PI!AM182</f>
        <v>110</v>
      </c>
      <c r="O32" s="212">
        <f>PI!AN182</f>
        <v>110</v>
      </c>
      <c r="P32" s="212">
        <f>PI!AO182</f>
        <v>110</v>
      </c>
      <c r="Q32" s="212">
        <f>PI!AP182</f>
        <v>110</v>
      </c>
      <c r="R32" s="212">
        <f>PI!AQ182</f>
        <v>110</v>
      </c>
      <c r="S32" s="212">
        <f>PI!AR182</f>
        <v>0</v>
      </c>
      <c r="T32" s="212">
        <f>PI!AS182</f>
        <v>0</v>
      </c>
      <c r="U32" s="197"/>
      <c r="V32" s="197"/>
      <c r="AA32"/>
      <c r="AB32"/>
      <c r="AC32"/>
      <c r="AD32"/>
      <c r="AE32"/>
      <c r="AF32"/>
      <c r="AG32"/>
      <c r="AH32"/>
      <c r="AI32"/>
      <c r="AJ32"/>
      <c r="AK32"/>
      <c r="AL32"/>
    </row>
    <row r="33" spans="1:38" s="198" customFormat="1" ht="16.5">
      <c r="A33" s="51">
        <v>8</v>
      </c>
      <c r="B33" s="271" t="s">
        <v>309</v>
      </c>
      <c r="C33" s="300"/>
      <c r="D33" s="210"/>
      <c r="E33" s="218"/>
      <c r="F33" s="211">
        <v>6</v>
      </c>
      <c r="G33" s="219"/>
      <c r="H33" s="219"/>
      <c r="I33" s="212"/>
      <c r="J33" s="212"/>
      <c r="K33" s="212"/>
      <c r="L33" s="212"/>
      <c r="M33" s="212"/>
      <c r="N33" s="212"/>
      <c r="O33" s="212"/>
      <c r="P33" s="212"/>
      <c r="Q33" s="212"/>
      <c r="R33" s="212"/>
      <c r="S33" s="212"/>
      <c r="T33" s="212"/>
      <c r="U33" s="197"/>
      <c r="V33" s="197"/>
      <c r="AA33"/>
      <c r="AB33"/>
      <c r="AC33"/>
      <c r="AD33"/>
      <c r="AE33"/>
      <c r="AF33"/>
      <c r="AG33"/>
      <c r="AH33"/>
      <c r="AI33"/>
      <c r="AJ33"/>
      <c r="AK33"/>
      <c r="AL33"/>
    </row>
    <row r="34" spans="1:38" s="198" customFormat="1" ht="16.5">
      <c r="A34" s="51"/>
      <c r="B34" s="275" t="s">
        <v>310</v>
      </c>
      <c r="C34" s="329" t="s">
        <v>276</v>
      </c>
      <c r="D34" s="210" t="s">
        <v>149</v>
      </c>
      <c r="E34" s="218"/>
      <c r="F34" s="211"/>
      <c r="G34" s="219">
        <f>T.UP3!G34</f>
        <v>100</v>
      </c>
      <c r="H34" s="219">
        <f>T.UP3!H34</f>
        <v>100</v>
      </c>
      <c r="I34" s="212">
        <f>PI!AH189</f>
        <v>99.06</v>
      </c>
      <c r="J34" s="212">
        <f>PI!AI189</f>
        <v>116.19</v>
      </c>
      <c r="K34" s="212">
        <f>PI!AJ189</f>
        <v>118.81</v>
      </c>
      <c r="L34" s="212">
        <f>PI!AK189</f>
        <v>120.77</v>
      </c>
      <c r="M34" s="212">
        <f>PI!AL189</f>
        <v>121.31</v>
      </c>
      <c r="N34" s="212">
        <f>PI!AM189</f>
        <v>121.31</v>
      </c>
      <c r="O34" s="212">
        <f>PI!AN189</f>
        <v>98.6</v>
      </c>
      <c r="P34" s="212">
        <f>PI!AO189</f>
        <v>101.98</v>
      </c>
      <c r="Q34" s="212">
        <f>PI!AP189</f>
        <v>101.95</v>
      </c>
      <c r="R34" s="212">
        <f>PI!AQ189</f>
        <v>101.95</v>
      </c>
      <c r="S34" s="212">
        <f>PI!AR189</f>
        <v>0</v>
      </c>
      <c r="T34" s="212">
        <f>PI!AS189</f>
        <v>0</v>
      </c>
      <c r="U34" s="197"/>
      <c r="V34" s="197"/>
      <c r="AA34"/>
      <c r="AB34"/>
      <c r="AC34"/>
      <c r="AD34"/>
      <c r="AE34"/>
      <c r="AF34"/>
      <c r="AG34"/>
      <c r="AH34"/>
      <c r="AI34"/>
      <c r="AJ34"/>
      <c r="AK34"/>
      <c r="AL34"/>
    </row>
    <row r="35" spans="1:38" s="198" customFormat="1" ht="16.5">
      <c r="A35" s="51">
        <v>9</v>
      </c>
      <c r="B35" s="271" t="s">
        <v>31</v>
      </c>
      <c r="C35" s="301"/>
      <c r="D35" s="314"/>
      <c r="E35" s="218"/>
      <c r="F35" s="211"/>
      <c r="G35" s="219"/>
      <c r="H35" s="219"/>
      <c r="I35" s="212"/>
      <c r="J35" s="212"/>
      <c r="K35" s="212"/>
      <c r="L35" s="212"/>
      <c r="M35" s="212"/>
      <c r="N35" s="212"/>
      <c r="O35" s="212"/>
      <c r="P35" s="212"/>
      <c r="Q35" s="212"/>
      <c r="R35" s="212"/>
      <c r="S35" s="212"/>
      <c r="T35" s="212"/>
      <c r="U35" s="197"/>
      <c r="V35" s="197"/>
      <c r="AA35"/>
      <c r="AB35"/>
      <c r="AC35"/>
      <c r="AD35"/>
      <c r="AE35"/>
      <c r="AF35"/>
      <c r="AG35"/>
      <c r="AH35"/>
      <c r="AI35"/>
      <c r="AJ35"/>
      <c r="AK35"/>
      <c r="AL35"/>
    </row>
    <row r="36" spans="1:38" s="198" customFormat="1" ht="16.5">
      <c r="A36" s="51"/>
      <c r="B36" s="275" t="s">
        <v>311</v>
      </c>
      <c r="C36" s="327" t="s">
        <v>276</v>
      </c>
      <c r="D36" s="210" t="s">
        <v>312</v>
      </c>
      <c r="E36" s="218"/>
      <c r="F36" s="211"/>
      <c r="G36" s="219">
        <f>T.UP3!G36</f>
        <v>5.3</v>
      </c>
      <c r="H36" s="219">
        <f>T.UP3!H36</f>
        <v>13.36</v>
      </c>
      <c r="I36" s="212">
        <f>PI!AH199</f>
        <v>0.75440000000000007</v>
      </c>
      <c r="J36" s="212">
        <f>PI!AI199</f>
        <v>1.274</v>
      </c>
      <c r="K36" s="212">
        <f>PI!AJ199</f>
        <v>1.82315</v>
      </c>
      <c r="L36" s="212">
        <f>PI!AK199</f>
        <v>2.3200833333333333</v>
      </c>
      <c r="M36" s="212">
        <f>PI!AL199</f>
        <v>2.4581833333333334</v>
      </c>
      <c r="N36" s="212">
        <f>PI!AM199</f>
        <v>2.9414333333333333</v>
      </c>
      <c r="O36" s="212">
        <f>PI!AN199</f>
        <v>3.5287333333333333</v>
      </c>
      <c r="P36" s="212">
        <f>PI!AO199</f>
        <v>4.2161333333333335</v>
      </c>
      <c r="Q36" s="212">
        <f>PI!AP199</f>
        <v>5.7844333333333333</v>
      </c>
      <c r="R36" s="212">
        <f>PI!AQ199</f>
        <v>6.773083333333334</v>
      </c>
      <c r="S36" s="212">
        <f>PI!AR199</f>
        <v>0</v>
      </c>
      <c r="T36" s="212">
        <f>PI!AS199</f>
        <v>0</v>
      </c>
      <c r="U36" s="197"/>
      <c r="V36" s="197"/>
      <c r="AA36"/>
      <c r="AB36"/>
      <c r="AC36"/>
      <c r="AD36"/>
      <c r="AE36"/>
      <c r="AF36"/>
      <c r="AG36"/>
      <c r="AH36"/>
      <c r="AI36"/>
      <c r="AJ36"/>
      <c r="AK36"/>
      <c r="AL36"/>
    </row>
    <row r="37" spans="1:38" s="198" customFormat="1" ht="16.5">
      <c r="A37" s="51"/>
      <c r="B37" s="275" t="s">
        <v>313</v>
      </c>
      <c r="C37" s="327" t="s">
        <v>276</v>
      </c>
      <c r="D37" s="210" t="s">
        <v>133</v>
      </c>
      <c r="E37" s="218"/>
      <c r="F37" s="211"/>
      <c r="G37" s="219">
        <f>T.UP3!G37</f>
        <v>4619</v>
      </c>
      <c r="H37" s="219">
        <f>T.UP3!H37</f>
        <v>10632</v>
      </c>
      <c r="I37" s="212">
        <f>PI!AH205</f>
        <v>498</v>
      </c>
      <c r="J37" s="212">
        <f>PI!AI205</f>
        <v>965</v>
      </c>
      <c r="K37" s="212">
        <f>PI!AJ205</f>
        <v>1364</v>
      </c>
      <c r="L37" s="212">
        <f>PI!AK205</f>
        <v>1792</v>
      </c>
      <c r="M37" s="212">
        <f>PI!AL205</f>
        <v>2153</v>
      </c>
      <c r="N37" s="212">
        <f>PI!AM205</f>
        <v>2561</v>
      </c>
      <c r="O37" s="212">
        <f>PI!AN205</f>
        <v>2930</v>
      </c>
      <c r="P37" s="212">
        <f>PI!AO205</f>
        <v>3293</v>
      </c>
      <c r="Q37" s="212">
        <f>PI!AP205</f>
        <v>3761</v>
      </c>
      <c r="R37" s="212">
        <f>PI!AQ205</f>
        <v>4387</v>
      </c>
      <c r="S37" s="212">
        <f>PI!AR205</f>
        <v>0</v>
      </c>
      <c r="T37" s="212">
        <f>PI!AS205</f>
        <v>0</v>
      </c>
      <c r="U37" s="197"/>
      <c r="V37" s="197"/>
      <c r="AA37"/>
      <c r="AB37"/>
      <c r="AC37"/>
      <c r="AD37"/>
      <c r="AE37"/>
      <c r="AF37"/>
      <c r="AG37"/>
      <c r="AH37"/>
      <c r="AI37"/>
      <c r="AJ37"/>
      <c r="AK37"/>
      <c r="AL37"/>
    </row>
    <row r="38" spans="1:38" s="198" customFormat="1" ht="16.5">
      <c r="A38" s="51"/>
      <c r="B38" s="275" t="s">
        <v>314</v>
      </c>
      <c r="C38" s="327" t="s">
        <v>276</v>
      </c>
      <c r="D38" s="210" t="s">
        <v>133</v>
      </c>
      <c r="E38" s="218"/>
      <c r="F38" s="211"/>
      <c r="G38" s="219">
        <f>T.UP3!G38</f>
        <v>600</v>
      </c>
      <c r="H38" s="219">
        <f>T.UP3!H38</f>
        <v>996</v>
      </c>
      <c r="I38" s="212">
        <f>PI!AH211</f>
        <v>126</v>
      </c>
      <c r="J38" s="212">
        <f>PI!AI211</f>
        <v>171</v>
      </c>
      <c r="K38" s="212">
        <f>PI!AJ211</f>
        <v>251</v>
      </c>
      <c r="L38" s="212">
        <f>PI!AK211</f>
        <v>251</v>
      </c>
      <c r="M38" s="212">
        <f>PI!AL211</f>
        <v>347</v>
      </c>
      <c r="N38" s="212">
        <f>PI!AM211</f>
        <v>507</v>
      </c>
      <c r="O38" s="212">
        <f>PI!AN211</f>
        <v>599</v>
      </c>
      <c r="P38" s="212">
        <f>PI!AO211</f>
        <v>744</v>
      </c>
      <c r="Q38" s="212">
        <f>PI!AP211</f>
        <v>814</v>
      </c>
      <c r="R38" s="212">
        <f>PI!AQ211</f>
        <v>939</v>
      </c>
      <c r="S38" s="212">
        <f>PI!AR211</f>
        <v>0</v>
      </c>
      <c r="T38" s="212">
        <f>PI!AS211</f>
        <v>0</v>
      </c>
      <c r="U38" s="197"/>
      <c r="V38" s="197"/>
      <c r="AA38"/>
      <c r="AB38"/>
      <c r="AC38"/>
      <c r="AD38"/>
      <c r="AE38"/>
      <c r="AF38"/>
      <c r="AG38"/>
      <c r="AH38"/>
      <c r="AI38"/>
      <c r="AJ38"/>
      <c r="AK38"/>
      <c r="AL38"/>
    </row>
    <row r="39" spans="1:38" s="198" customFormat="1" ht="16.5">
      <c r="A39" s="51"/>
      <c r="B39" s="275" t="s">
        <v>315</v>
      </c>
      <c r="C39" s="327" t="s">
        <v>276</v>
      </c>
      <c r="D39" s="210" t="s">
        <v>133</v>
      </c>
      <c r="E39" s="218"/>
      <c r="F39" s="211"/>
      <c r="G39" s="219">
        <f>T.UP3!G39</f>
        <v>7</v>
      </c>
      <c r="H39" s="219">
        <f>T.UP3!H39</f>
        <v>8</v>
      </c>
      <c r="I39" s="212">
        <f>PI!AH217</f>
        <v>0</v>
      </c>
      <c r="J39" s="212">
        <f>PI!AI217</f>
        <v>0</v>
      </c>
      <c r="K39" s="212">
        <f>PI!AJ217</f>
        <v>0</v>
      </c>
      <c r="L39" s="212">
        <f>PI!AK217</f>
        <v>7</v>
      </c>
      <c r="M39" s="212">
        <f>PI!AL217</f>
        <v>7</v>
      </c>
      <c r="N39" s="212">
        <f>PI!AM217</f>
        <v>7</v>
      </c>
      <c r="O39" s="212">
        <f>PI!AN217</f>
        <v>8</v>
      </c>
      <c r="P39" s="212">
        <f>PI!AO217</f>
        <v>8</v>
      </c>
      <c r="Q39" s="212">
        <f>PI!AP217</f>
        <v>8</v>
      </c>
      <c r="R39" s="212">
        <f>PI!AQ217</f>
        <v>8</v>
      </c>
      <c r="S39" s="212">
        <f>PI!AR217</f>
        <v>0</v>
      </c>
      <c r="T39" s="212">
        <f>PI!AS217</f>
        <v>0</v>
      </c>
      <c r="U39" s="197"/>
      <c r="V39" s="197"/>
      <c r="AA39"/>
      <c r="AB39"/>
      <c r="AC39"/>
      <c r="AD39"/>
      <c r="AE39"/>
      <c r="AF39"/>
      <c r="AG39"/>
      <c r="AH39"/>
      <c r="AI39"/>
      <c r="AJ39"/>
      <c r="AK39"/>
      <c r="AL39"/>
    </row>
    <row r="40" spans="1:38" s="198" customFormat="1" ht="16.5">
      <c r="A40" s="51"/>
      <c r="B40" s="52" t="s">
        <v>316</v>
      </c>
      <c r="C40" s="327" t="s">
        <v>276</v>
      </c>
      <c r="D40" s="210" t="s">
        <v>133</v>
      </c>
      <c r="E40" s="218"/>
      <c r="F40" s="211"/>
      <c r="G40" s="219">
        <f>T.UP3!G40</f>
        <v>14</v>
      </c>
      <c r="H40" s="219">
        <f>T.UP3!H40</f>
        <v>441</v>
      </c>
      <c r="I40" s="212">
        <f>PI!AH223</f>
        <v>50</v>
      </c>
      <c r="J40" s="212">
        <f>PI!AI223</f>
        <v>71</v>
      </c>
      <c r="K40" s="212">
        <f>PI!AJ223</f>
        <v>87</v>
      </c>
      <c r="L40" s="212">
        <f>PI!AK223</f>
        <v>113</v>
      </c>
      <c r="M40" s="212">
        <f>PI!AL223</f>
        <v>134</v>
      </c>
      <c r="N40" s="212">
        <f>PI!AM223</f>
        <v>142</v>
      </c>
      <c r="O40" s="212">
        <f>PI!AN223</f>
        <v>150</v>
      </c>
      <c r="P40" s="212">
        <f>PI!AO223</f>
        <v>159</v>
      </c>
      <c r="Q40" s="212">
        <f>PI!AP223</f>
        <v>169</v>
      </c>
      <c r="R40" s="212">
        <f>PI!AQ223</f>
        <v>186</v>
      </c>
      <c r="S40" s="212">
        <f>PI!AR223</f>
        <v>0</v>
      </c>
      <c r="T40" s="212">
        <f>PI!AS223</f>
        <v>0</v>
      </c>
      <c r="U40" s="197"/>
      <c r="V40" s="197"/>
      <c r="AA40"/>
      <c r="AB40"/>
      <c r="AC40"/>
      <c r="AD40"/>
      <c r="AE40"/>
      <c r="AF40"/>
      <c r="AG40"/>
      <c r="AH40"/>
      <c r="AI40"/>
      <c r="AJ40"/>
      <c r="AK40"/>
      <c r="AL40"/>
    </row>
    <row r="41" spans="1:38" s="198" customFormat="1" ht="16.5">
      <c r="A41" s="51"/>
      <c r="B41" s="52" t="s">
        <v>317</v>
      </c>
      <c r="C41" s="327" t="s">
        <v>276</v>
      </c>
      <c r="D41" s="210" t="s">
        <v>318</v>
      </c>
      <c r="E41" s="218" t="s">
        <v>319</v>
      </c>
      <c r="F41" s="211"/>
      <c r="G41" s="219">
        <f>T.UP3!G41</f>
        <v>567</v>
      </c>
      <c r="H41" s="219">
        <f>T.UP3!H41</f>
        <v>58950.990000000005</v>
      </c>
      <c r="I41" s="212">
        <f>PI!AH229</f>
        <v>12084.1</v>
      </c>
      <c r="J41" s="212">
        <f>PI!AI229</f>
        <v>23649.5</v>
      </c>
      <c r="K41" s="212">
        <f>PI!AJ229</f>
        <v>25628.500000000007</v>
      </c>
      <c r="L41" s="212">
        <f>PI!AK229</f>
        <v>29595.700000000004</v>
      </c>
      <c r="M41" s="212">
        <f>PI!AL229</f>
        <v>36325.700000000004</v>
      </c>
      <c r="N41" s="212">
        <f>PI!AM229</f>
        <v>42397.8</v>
      </c>
      <c r="O41" s="212">
        <f>PI!AN229</f>
        <v>49790.899999999994</v>
      </c>
      <c r="P41" s="212">
        <f>PI!AO229</f>
        <v>56666.3</v>
      </c>
      <c r="Q41" s="212">
        <f>PI!AP229</f>
        <v>64005.7</v>
      </c>
      <c r="R41" s="212">
        <f>PI!AQ229</f>
        <v>74417.7</v>
      </c>
      <c r="S41" s="212">
        <f>PI!AR229</f>
        <v>0</v>
      </c>
      <c r="T41" s="212">
        <f>PI!AS229</f>
        <v>0</v>
      </c>
      <c r="U41" s="197"/>
      <c r="V41" s="197"/>
      <c r="AA41"/>
      <c r="AB41"/>
      <c r="AC41"/>
      <c r="AD41"/>
      <c r="AE41"/>
      <c r="AF41"/>
      <c r="AG41"/>
      <c r="AH41"/>
      <c r="AI41"/>
      <c r="AJ41"/>
      <c r="AK41"/>
      <c r="AL41"/>
    </row>
    <row r="42" spans="1:38" s="198" customFormat="1" ht="16.5">
      <c r="A42" s="51">
        <v>10</v>
      </c>
      <c r="B42" s="271" t="s">
        <v>320</v>
      </c>
      <c r="C42" s="327"/>
      <c r="D42" s="210"/>
      <c r="E42" s="218"/>
      <c r="F42" s="211">
        <v>4</v>
      </c>
      <c r="G42" s="219"/>
      <c r="H42" s="219"/>
      <c r="I42" s="212"/>
      <c r="J42" s="212"/>
      <c r="K42" s="212"/>
      <c r="L42" s="212"/>
      <c r="M42" s="212"/>
      <c r="N42" s="212"/>
      <c r="O42" s="212"/>
      <c r="P42" s="212"/>
      <c r="Q42" s="212"/>
      <c r="R42" s="212"/>
      <c r="S42" s="212"/>
      <c r="T42" s="212"/>
      <c r="U42" s="197"/>
      <c r="V42" s="197"/>
      <c r="AA42"/>
      <c r="AB42"/>
      <c r="AC42"/>
      <c r="AD42"/>
      <c r="AE42"/>
      <c r="AF42"/>
      <c r="AG42"/>
      <c r="AH42"/>
      <c r="AI42"/>
      <c r="AJ42"/>
      <c r="AK42"/>
      <c r="AL42"/>
    </row>
    <row r="43" spans="1:38" s="198" customFormat="1" ht="16.5">
      <c r="A43" s="51"/>
      <c r="B43" s="52" t="s">
        <v>321</v>
      </c>
      <c r="C43" s="327" t="s">
        <v>276</v>
      </c>
      <c r="D43" s="210" t="s">
        <v>133</v>
      </c>
      <c r="E43" s="218" t="s">
        <v>322</v>
      </c>
      <c r="F43" s="211"/>
      <c r="G43" s="219">
        <f>T.UP3!G43</f>
        <v>4728</v>
      </c>
      <c r="H43" s="219">
        <f>T.UP3!H43</f>
        <v>4728</v>
      </c>
      <c r="I43" s="212">
        <f>PI!AH239</f>
        <v>10357</v>
      </c>
      <c r="J43" s="212">
        <f>PI!AI239</f>
        <v>8775</v>
      </c>
      <c r="K43" s="212">
        <f>PI!AJ239</f>
        <v>9061</v>
      </c>
      <c r="L43" s="212">
        <f>PI!AK239</f>
        <v>8210.25</v>
      </c>
      <c r="M43" s="212">
        <f>PI!AL239</f>
        <v>7592.2</v>
      </c>
      <c r="N43" s="212">
        <f>PI!AM239</f>
        <v>7340</v>
      </c>
      <c r="O43" s="212">
        <f>PI!AN239</f>
        <v>5470</v>
      </c>
      <c r="P43" s="212">
        <f>PI!AO239</f>
        <v>5376</v>
      </c>
      <c r="Q43" s="212">
        <f>PI!AP239</f>
        <v>5579</v>
      </c>
      <c r="R43" s="212">
        <f>PI!AQ239</f>
        <v>5532</v>
      </c>
      <c r="S43" s="212">
        <f>PI!AR239</f>
        <v>0</v>
      </c>
      <c r="T43" s="212">
        <f>PI!AS239</f>
        <v>0</v>
      </c>
      <c r="U43" s="197"/>
      <c r="V43" s="197"/>
      <c r="AA43"/>
      <c r="AB43"/>
      <c r="AC43"/>
      <c r="AD43"/>
      <c r="AE43"/>
      <c r="AF43"/>
      <c r="AG43"/>
      <c r="AH43"/>
      <c r="AI43"/>
      <c r="AJ43"/>
      <c r="AK43"/>
      <c r="AL43"/>
    </row>
    <row r="44" spans="1:38" s="198" customFormat="1" ht="16.5">
      <c r="A44" s="51"/>
      <c r="B44" s="52" t="s">
        <v>323</v>
      </c>
      <c r="C44" s="327" t="s">
        <v>278</v>
      </c>
      <c r="D44" s="210" t="s">
        <v>133</v>
      </c>
      <c r="E44" s="218"/>
      <c r="F44" s="211"/>
      <c r="G44" s="219">
        <f>T.UP3!G44</f>
        <v>0</v>
      </c>
      <c r="H44" s="219">
        <f>T.UP3!H44</f>
        <v>0</v>
      </c>
      <c r="I44" s="212">
        <v>0</v>
      </c>
      <c r="J44" s="212">
        <v>0</v>
      </c>
      <c r="K44" s="212">
        <v>0</v>
      </c>
      <c r="L44" s="212">
        <v>0</v>
      </c>
      <c r="M44" s="212">
        <v>0</v>
      </c>
      <c r="N44" s="212">
        <v>0</v>
      </c>
      <c r="O44" s="212">
        <v>0</v>
      </c>
      <c r="P44" s="212">
        <v>0</v>
      </c>
      <c r="Q44" s="212">
        <v>0</v>
      </c>
      <c r="R44" s="212">
        <v>0</v>
      </c>
      <c r="S44" s="212">
        <v>0</v>
      </c>
      <c r="T44" s="212">
        <v>0</v>
      </c>
      <c r="U44" s="197"/>
      <c r="V44" s="197"/>
      <c r="AA44"/>
      <c r="AB44"/>
      <c r="AC44"/>
      <c r="AD44"/>
      <c r="AE44"/>
      <c r="AF44"/>
      <c r="AG44"/>
      <c r="AH44"/>
      <c r="AI44"/>
      <c r="AJ44"/>
      <c r="AK44"/>
      <c r="AL44"/>
    </row>
    <row r="45" spans="1:38" s="198" customFormat="1" ht="16.5">
      <c r="A45" s="51">
        <v>11</v>
      </c>
      <c r="B45" s="267" t="s">
        <v>324</v>
      </c>
      <c r="C45" s="327"/>
      <c r="D45" s="210"/>
      <c r="E45" s="218"/>
      <c r="F45" s="211">
        <v>6</v>
      </c>
      <c r="G45" s="219"/>
      <c r="H45" s="219"/>
      <c r="I45" s="212"/>
      <c r="J45" s="212"/>
      <c r="K45" s="212"/>
      <c r="L45" s="212"/>
      <c r="M45" s="212"/>
      <c r="N45" s="212"/>
      <c r="O45" s="212"/>
      <c r="P45" s="212"/>
      <c r="Q45" s="212"/>
      <c r="R45" s="212"/>
      <c r="S45" s="212"/>
      <c r="T45" s="212"/>
      <c r="U45" s="197"/>
      <c r="V45" s="197"/>
      <c r="AA45"/>
      <c r="AB45"/>
      <c r="AC45"/>
      <c r="AD45"/>
      <c r="AE45"/>
      <c r="AF45"/>
      <c r="AG45"/>
      <c r="AH45"/>
      <c r="AI45"/>
      <c r="AJ45"/>
      <c r="AK45"/>
      <c r="AL45"/>
    </row>
    <row r="46" spans="1:38" s="198" customFormat="1" ht="16.5">
      <c r="A46" s="51"/>
      <c r="B46" s="275" t="s">
        <v>325</v>
      </c>
      <c r="C46" s="327" t="s">
        <v>278</v>
      </c>
      <c r="D46" s="210" t="s">
        <v>326</v>
      </c>
      <c r="E46" s="218" t="s">
        <v>327</v>
      </c>
      <c r="F46" s="211"/>
      <c r="G46" s="219">
        <f>T.UP3!G46</f>
        <v>1175</v>
      </c>
      <c r="H46" s="219">
        <f>T.UP3!H46</f>
        <v>1175</v>
      </c>
      <c r="I46" s="212">
        <f>PI!AH279</f>
        <v>1281.87806</v>
      </c>
      <c r="J46" s="212">
        <f>PI!AI279</f>
        <v>1083.2909414999999</v>
      </c>
      <c r="K46" s="212">
        <f>PI!AJ279</f>
        <v>1022.1397566666666</v>
      </c>
      <c r="L46" s="212">
        <f>PI!AK279</f>
        <v>1028.3136465</v>
      </c>
      <c r="M46" s="212">
        <f>PI!AL279</f>
        <v>1095.9366248000001</v>
      </c>
      <c r="N46" s="212">
        <f>PI!AM279</f>
        <v>1111.3078128333334</v>
      </c>
      <c r="O46" s="212">
        <f>PI!AN279</f>
        <v>1088.9630380000001</v>
      </c>
      <c r="P46" s="212">
        <f>PI!AO279</f>
        <v>1029.1045273750001</v>
      </c>
      <c r="Q46" s="212">
        <f>PI!AP279</f>
        <v>1001.4119882222224</v>
      </c>
      <c r="R46" s="212">
        <f>PI!AQ279</f>
        <v>1001.4119882222224</v>
      </c>
      <c r="S46" s="212">
        <f>PI!AR279</f>
        <v>1001.4119882222224</v>
      </c>
      <c r="T46" s="212">
        <f>PI!AS279</f>
        <v>1001.4119882222224</v>
      </c>
      <c r="U46" s="197"/>
      <c r="V46" s="197"/>
      <c r="AA46"/>
      <c r="AB46"/>
      <c r="AC46"/>
      <c r="AD46"/>
      <c r="AE46"/>
      <c r="AF46"/>
      <c r="AG46"/>
      <c r="AH46"/>
      <c r="AI46"/>
      <c r="AJ46"/>
      <c r="AK46"/>
      <c r="AL46"/>
    </row>
    <row r="47" spans="1:38" s="198" customFormat="1" ht="16.5">
      <c r="A47" s="51"/>
      <c r="B47" s="275" t="s">
        <v>328</v>
      </c>
      <c r="C47" s="327" t="s">
        <v>278</v>
      </c>
      <c r="D47" s="210" t="s">
        <v>326</v>
      </c>
      <c r="E47" s="218" t="s">
        <v>329</v>
      </c>
      <c r="F47" s="211"/>
      <c r="G47" s="219">
        <f>T.UP3!G47</f>
        <v>286.27</v>
      </c>
      <c r="H47" s="219">
        <f>T.UP3!H47</f>
        <v>286.27</v>
      </c>
      <c r="I47" s="219">
        <f>PI!AH301</f>
        <v>568.75291700000002</v>
      </c>
      <c r="J47" s="219">
        <f>PI!AI301</f>
        <v>551.86737949999997</v>
      </c>
      <c r="K47" s="219">
        <f>PI!AJ301</f>
        <v>507.71158633333334</v>
      </c>
      <c r="L47" s="219">
        <f>PI!AK301</f>
        <v>521.94955825</v>
      </c>
      <c r="M47" s="219">
        <f>PI!AL301</f>
        <v>502.51584860000003</v>
      </c>
      <c r="N47" s="219">
        <f>PI!AM301</f>
        <v>472.08207300000004</v>
      </c>
      <c r="O47" s="219">
        <f>PI!AN301</f>
        <v>406.4669252857143</v>
      </c>
      <c r="P47" s="219">
        <f>PI!AO301</f>
        <v>356.950721875</v>
      </c>
      <c r="Q47" s="219">
        <f>PI!AP301</f>
        <v>321.95223111111113</v>
      </c>
      <c r="R47" s="219">
        <f>PI!AQ301</f>
        <v>290.15922360000002</v>
      </c>
      <c r="S47" s="219">
        <f>PI!AR301</f>
        <v>290.15922360000002</v>
      </c>
      <c r="T47" s="219">
        <f>PI!AS301</f>
        <v>290.15922360000002</v>
      </c>
      <c r="U47" s="197"/>
      <c r="V47" s="197"/>
      <c r="AA47"/>
      <c r="AB47"/>
      <c r="AC47"/>
      <c r="AD47"/>
      <c r="AE47"/>
      <c r="AF47"/>
      <c r="AG47"/>
      <c r="AH47"/>
      <c r="AI47"/>
      <c r="AJ47"/>
      <c r="AK47"/>
      <c r="AL47"/>
    </row>
    <row r="48" spans="1:38" s="198" customFormat="1" ht="15" customHeight="1">
      <c r="A48" s="51"/>
      <c r="B48" s="275" t="s">
        <v>330</v>
      </c>
      <c r="C48" s="327" t="s">
        <v>276</v>
      </c>
      <c r="D48" s="210" t="s">
        <v>326</v>
      </c>
      <c r="E48" s="246" t="s">
        <v>331</v>
      </c>
      <c r="F48" s="211"/>
      <c r="G48" s="219">
        <f>T.UP3!G48</f>
        <v>3.73</v>
      </c>
      <c r="H48" s="219">
        <f>T.UP3!H48</f>
        <v>9.31</v>
      </c>
      <c r="I48" s="212">
        <f>PI!AH324</f>
        <v>0</v>
      </c>
      <c r="J48" s="212">
        <f>PI!AI324</f>
        <v>0</v>
      </c>
      <c r="K48" s="212">
        <f>PI!AJ324</f>
        <v>2.5170159999999999</v>
      </c>
      <c r="L48" s="212">
        <f>PI!AK324</f>
        <v>3.384001</v>
      </c>
      <c r="M48" s="212">
        <f>PI!AL324</f>
        <v>11.555612</v>
      </c>
      <c r="N48" s="212">
        <f>PI!AM324</f>
        <v>11.555612</v>
      </c>
      <c r="O48" s="212">
        <f>PI!AN324</f>
        <v>11.555612</v>
      </c>
      <c r="P48" s="212">
        <f>PI!AO324</f>
        <v>11.555612</v>
      </c>
      <c r="Q48" s="212">
        <f>PI!AP324</f>
        <v>16.879501000000001</v>
      </c>
      <c r="R48" s="212">
        <f>PI!AQ324</f>
        <v>16.981306</v>
      </c>
      <c r="S48" s="212">
        <f>PI!AR324</f>
        <v>0</v>
      </c>
      <c r="T48" s="212">
        <f>PI!AS324</f>
        <v>0</v>
      </c>
      <c r="U48" s="197"/>
      <c r="V48" s="197"/>
      <c r="AA48"/>
      <c r="AB48"/>
      <c r="AC48"/>
      <c r="AD48"/>
      <c r="AE48"/>
      <c r="AF48"/>
      <c r="AG48"/>
      <c r="AH48"/>
      <c r="AI48"/>
      <c r="AJ48"/>
      <c r="AK48"/>
      <c r="AL48"/>
    </row>
    <row r="49" spans="1:38" s="198" customFormat="1" ht="15" customHeight="1">
      <c r="A49" s="51">
        <v>12</v>
      </c>
      <c r="B49" s="271" t="s">
        <v>332</v>
      </c>
      <c r="C49" s="327"/>
      <c r="D49" s="210"/>
      <c r="E49" s="246"/>
      <c r="F49" s="211">
        <v>6</v>
      </c>
      <c r="G49" s="219"/>
      <c r="H49" s="219"/>
      <c r="I49" s="212"/>
      <c r="J49" s="212"/>
      <c r="K49" s="212"/>
      <c r="L49" s="212"/>
      <c r="M49" s="212"/>
      <c r="N49" s="212"/>
      <c r="O49" s="212"/>
      <c r="P49" s="212"/>
      <c r="Q49" s="212"/>
      <c r="R49" s="212"/>
      <c r="S49" s="212"/>
      <c r="T49" s="212"/>
      <c r="U49" s="197"/>
      <c r="V49" s="197"/>
      <c r="AA49"/>
      <c r="AB49"/>
      <c r="AC49"/>
      <c r="AD49"/>
      <c r="AE49"/>
      <c r="AF49"/>
      <c r="AG49"/>
      <c r="AH49"/>
      <c r="AI49"/>
      <c r="AJ49"/>
      <c r="AK49"/>
      <c r="AL49"/>
    </row>
    <row r="50" spans="1:38" s="198" customFormat="1" ht="15" customHeight="1">
      <c r="A50" s="51"/>
      <c r="B50" s="332" t="s">
        <v>333</v>
      </c>
      <c r="C50" s="327" t="s">
        <v>395</v>
      </c>
      <c r="D50" s="210" t="s">
        <v>149</v>
      </c>
      <c r="E50" s="246"/>
      <c r="F50" s="211"/>
      <c r="G50" s="219" t="str">
        <f>T.UP3!G50</f>
        <v>95-100</v>
      </c>
      <c r="H50" s="219" t="str">
        <f>T.UP3!H50</f>
        <v>95-100</v>
      </c>
      <c r="I50" s="212">
        <f>PI!AH331</f>
        <v>100</v>
      </c>
      <c r="J50" s="212">
        <f>PI!AI331</f>
        <v>100</v>
      </c>
      <c r="K50" s="212">
        <f>PI!AJ331</f>
        <v>39.549999999999997</v>
      </c>
      <c r="L50" s="212">
        <f>PI!AK331</f>
        <v>58.86</v>
      </c>
      <c r="M50" s="212">
        <f>PI!AL331</f>
        <v>71.11</v>
      </c>
      <c r="N50" s="212">
        <f>PI!AM331</f>
        <v>99.43</v>
      </c>
      <c r="O50" s="212">
        <f>PI!AN331</f>
        <v>100</v>
      </c>
      <c r="P50" s="212">
        <f>PI!AO331</f>
        <v>93.28</v>
      </c>
      <c r="Q50" s="212">
        <f>PI!AP331</f>
        <v>96</v>
      </c>
      <c r="R50" s="212">
        <f>PI!AQ331</f>
        <v>90.3</v>
      </c>
      <c r="S50" s="212">
        <f>PI!AR331</f>
        <v>0</v>
      </c>
      <c r="T50" s="212">
        <f>PI!AS331</f>
        <v>0</v>
      </c>
      <c r="U50" s="197"/>
      <c r="V50" s="197"/>
      <c r="AA50"/>
      <c r="AB50"/>
      <c r="AC50"/>
      <c r="AD50"/>
      <c r="AE50"/>
      <c r="AF50"/>
      <c r="AG50"/>
      <c r="AH50"/>
      <c r="AI50"/>
      <c r="AJ50"/>
      <c r="AK50"/>
      <c r="AL50"/>
    </row>
    <row r="51" spans="1:38" s="198" customFormat="1" ht="15" customHeight="1">
      <c r="A51" s="51"/>
      <c r="B51" s="333" t="s">
        <v>334</v>
      </c>
      <c r="C51" s="330" t="s">
        <v>276</v>
      </c>
      <c r="D51" s="210" t="s">
        <v>335</v>
      </c>
      <c r="E51" s="246"/>
      <c r="F51" s="211"/>
      <c r="G51" s="219">
        <f>T.UP3!G51</f>
        <v>0</v>
      </c>
      <c r="H51" s="219">
        <f>T.UP3!H51</f>
        <v>3.16</v>
      </c>
      <c r="I51" s="212">
        <f>PI!AH332</f>
        <v>0</v>
      </c>
      <c r="J51" s="212">
        <f>PI!AI332</f>
        <v>0</v>
      </c>
      <c r="K51" s="212">
        <f>PI!AJ332</f>
        <v>0</v>
      </c>
      <c r="L51" s="212">
        <f>PI!AK332</f>
        <v>0</v>
      </c>
      <c r="M51" s="212">
        <f>PI!AL332</f>
        <v>0</v>
      </c>
      <c r="N51" s="212">
        <f>PI!AM332</f>
        <v>0</v>
      </c>
      <c r="O51" s="212">
        <f>PI!AN332</f>
        <v>0</v>
      </c>
      <c r="P51" s="212">
        <f>PI!AO332</f>
        <v>0</v>
      </c>
      <c r="Q51" s="212">
        <f>PI!AP332</f>
        <v>0</v>
      </c>
      <c r="R51" s="212">
        <f>PI!AQ332</f>
        <v>0</v>
      </c>
      <c r="S51" s="212">
        <f>PI!AR332</f>
        <v>0</v>
      </c>
      <c r="T51" s="212">
        <f>PI!AS332</f>
        <v>0</v>
      </c>
      <c r="U51" s="197"/>
      <c r="V51" s="197"/>
      <c r="AA51"/>
      <c r="AB51"/>
      <c r="AC51"/>
      <c r="AD51"/>
      <c r="AE51"/>
      <c r="AF51"/>
      <c r="AG51"/>
      <c r="AH51"/>
      <c r="AI51"/>
      <c r="AJ51"/>
      <c r="AK51"/>
      <c r="AL51"/>
    </row>
    <row r="52" spans="1:38" s="198" customFormat="1" ht="15" customHeight="1">
      <c r="A52" s="51"/>
      <c r="B52" s="334" t="s">
        <v>336</v>
      </c>
      <c r="C52" s="301" t="s">
        <v>276</v>
      </c>
      <c r="D52" s="210" t="s">
        <v>335</v>
      </c>
      <c r="E52" s="246"/>
      <c r="F52" s="211"/>
      <c r="G52" s="219">
        <f>T.UP3!G52</f>
        <v>0</v>
      </c>
      <c r="H52" s="219">
        <f>T.UP3!H52</f>
        <v>34.29</v>
      </c>
      <c r="I52" s="212">
        <f>PI!AH333</f>
        <v>0</v>
      </c>
      <c r="J52" s="212">
        <f>PI!AI333</f>
        <v>0</v>
      </c>
      <c r="K52" s="212">
        <f>PI!AJ333</f>
        <v>0</v>
      </c>
      <c r="L52" s="212">
        <f>PI!AK333</f>
        <v>0</v>
      </c>
      <c r="M52" s="212">
        <f>PI!AL333</f>
        <v>0</v>
      </c>
      <c r="N52" s="212">
        <f>PI!AM333</f>
        <v>0</v>
      </c>
      <c r="O52" s="212">
        <f>PI!AN333</f>
        <v>0</v>
      </c>
      <c r="P52" s="212">
        <f>PI!AO333</f>
        <v>0</v>
      </c>
      <c r="Q52" s="212">
        <f>PI!AP333</f>
        <v>0</v>
      </c>
      <c r="R52" s="212">
        <f>PI!AQ333</f>
        <v>0</v>
      </c>
      <c r="S52" s="212">
        <f>PI!AR333</f>
        <v>0</v>
      </c>
      <c r="T52" s="212">
        <f>PI!AS333</f>
        <v>0</v>
      </c>
      <c r="U52" s="197"/>
      <c r="V52" s="197"/>
      <c r="AA52"/>
      <c r="AB52"/>
      <c r="AC52"/>
      <c r="AD52"/>
      <c r="AE52"/>
      <c r="AF52"/>
      <c r="AG52"/>
      <c r="AH52"/>
      <c r="AI52"/>
      <c r="AJ52"/>
      <c r="AK52"/>
      <c r="AL52"/>
    </row>
    <row r="53" spans="1:38" s="198" customFormat="1" ht="16.5">
      <c r="A53" s="51">
        <v>13</v>
      </c>
      <c r="B53" s="298" t="s">
        <v>337</v>
      </c>
      <c r="C53" s="301"/>
      <c r="D53" s="210"/>
      <c r="E53" s="220"/>
      <c r="F53" s="211">
        <v>5</v>
      </c>
      <c r="G53" s="219"/>
      <c r="H53" s="219"/>
      <c r="I53" s="212"/>
      <c r="J53" s="212"/>
      <c r="K53" s="212"/>
      <c r="L53" s="212"/>
      <c r="M53" s="212"/>
      <c r="N53" s="212"/>
      <c r="O53" s="212"/>
      <c r="P53" s="212"/>
      <c r="Q53" s="212"/>
      <c r="R53" s="212"/>
      <c r="S53" s="212"/>
      <c r="T53" s="212"/>
      <c r="U53" s="197">
        <f>F53</f>
        <v>5</v>
      </c>
      <c r="V53" s="197"/>
      <c r="AA53"/>
      <c r="AB53"/>
      <c r="AC53"/>
      <c r="AD53"/>
      <c r="AE53"/>
      <c r="AF53"/>
      <c r="AG53"/>
      <c r="AH53"/>
      <c r="AI53"/>
      <c r="AJ53"/>
      <c r="AK53"/>
      <c r="AL53"/>
    </row>
    <row r="54" spans="1:38" s="198" customFormat="1" ht="16.5">
      <c r="A54" s="51"/>
      <c r="B54" s="275" t="s">
        <v>338</v>
      </c>
      <c r="C54" s="301" t="s">
        <v>276</v>
      </c>
      <c r="D54" s="210" t="s">
        <v>149</v>
      </c>
      <c r="E54" s="217" t="s">
        <v>339</v>
      </c>
      <c r="F54" s="211"/>
      <c r="G54" s="219">
        <f>T.UP3!G54</f>
        <v>100</v>
      </c>
      <c r="H54" s="219">
        <f>T.UP3!H54</f>
        <v>100</v>
      </c>
      <c r="I54" s="212">
        <f>PI!AH341</f>
        <v>100</v>
      </c>
      <c r="J54" s="212">
        <f>PI!AI341</f>
        <v>100</v>
      </c>
      <c r="K54" s="212">
        <f>PI!AJ341</f>
        <v>100</v>
      </c>
      <c r="L54" s="212">
        <f>PI!AK341</f>
        <v>100</v>
      </c>
      <c r="M54" s="212">
        <f>PI!AL341</f>
        <v>100</v>
      </c>
      <c r="N54" s="212">
        <f>PI!AM341</f>
        <v>108.55</v>
      </c>
      <c r="O54" s="212">
        <f>PI!AN341</f>
        <v>108.55</v>
      </c>
      <c r="P54" s="212">
        <f>PI!AO341</f>
        <v>108.55</v>
      </c>
      <c r="Q54" s="212">
        <f>PI!AP341</f>
        <v>100</v>
      </c>
      <c r="R54" s="212">
        <f>PI!AQ341</f>
        <v>100</v>
      </c>
      <c r="S54" s="212">
        <f>PI!AR341</f>
        <v>100</v>
      </c>
      <c r="T54" s="212">
        <f>PI!AS341</f>
        <v>100</v>
      </c>
      <c r="U54" s="197">
        <f>F54</f>
        <v>0</v>
      </c>
      <c r="V54" s="197">
        <v>10.342636009980913</v>
      </c>
      <c r="AA54"/>
      <c r="AB54"/>
      <c r="AC54"/>
      <c r="AD54"/>
      <c r="AE54"/>
      <c r="AF54"/>
      <c r="AG54"/>
      <c r="AH54"/>
      <c r="AI54"/>
      <c r="AJ54"/>
      <c r="AK54"/>
      <c r="AL54"/>
    </row>
    <row r="55" spans="1:38" s="198" customFormat="1" ht="16.5">
      <c r="A55" s="51"/>
      <c r="B55" s="52" t="s">
        <v>340</v>
      </c>
      <c r="C55" s="301" t="s">
        <v>276</v>
      </c>
      <c r="D55" s="210" t="s">
        <v>149</v>
      </c>
      <c r="E55" s="217" t="s">
        <v>341</v>
      </c>
      <c r="F55" s="211"/>
      <c r="G55" s="219">
        <f>T.UP3!G55</f>
        <v>100</v>
      </c>
      <c r="H55" s="219">
        <f>T.UP3!H55</f>
        <v>100</v>
      </c>
      <c r="I55" s="212">
        <f>PI!AH346</f>
        <v>100</v>
      </c>
      <c r="J55" s="212">
        <f>PI!AI346</f>
        <v>100</v>
      </c>
      <c r="K55" s="212">
        <f>PI!AJ346</f>
        <v>100</v>
      </c>
      <c r="L55" s="212">
        <f>PI!AK346</f>
        <v>100</v>
      </c>
      <c r="M55" s="212">
        <f>PI!AL346</f>
        <v>100</v>
      </c>
      <c r="N55" s="212">
        <f>PI!AM346</f>
        <v>90</v>
      </c>
      <c r="O55" s="212">
        <f>PI!AN346</f>
        <v>90</v>
      </c>
      <c r="P55" s="212">
        <f>PI!AO346</f>
        <v>90</v>
      </c>
      <c r="Q55" s="212">
        <f>PI!AP346</f>
        <v>90</v>
      </c>
      <c r="R55" s="212">
        <f>PI!AQ346</f>
        <v>90</v>
      </c>
      <c r="S55" s="212">
        <f>PI!AR346</f>
        <v>0</v>
      </c>
      <c r="T55" s="212">
        <f>PI!AS346</f>
        <v>0</v>
      </c>
      <c r="U55" s="197">
        <f>F55</f>
        <v>0</v>
      </c>
      <c r="V55" s="197"/>
      <c r="AA55"/>
      <c r="AB55"/>
      <c r="AC55"/>
      <c r="AD55"/>
      <c r="AE55"/>
      <c r="AF55"/>
      <c r="AG55"/>
      <c r="AH55"/>
      <c r="AI55"/>
      <c r="AJ55"/>
      <c r="AK55"/>
      <c r="AL55"/>
    </row>
    <row r="56" spans="1:38" s="198" customFormat="1" ht="16.5">
      <c r="A56" s="51"/>
      <c r="B56" s="52" t="s">
        <v>342</v>
      </c>
      <c r="C56" s="301" t="s">
        <v>276</v>
      </c>
      <c r="D56" s="210" t="s">
        <v>149</v>
      </c>
      <c r="E56" s="217" t="s">
        <v>343</v>
      </c>
      <c r="F56" s="211"/>
      <c r="G56" s="219">
        <f>T.UP3!G56</f>
        <v>100</v>
      </c>
      <c r="H56" s="219">
        <f>T.UP3!H56</f>
        <v>100</v>
      </c>
      <c r="I56" s="212">
        <f>PI!AH353</f>
        <v>100</v>
      </c>
      <c r="J56" s="212">
        <f>PI!AI353</f>
        <v>100</v>
      </c>
      <c r="K56" s="212">
        <f>PI!AJ353</f>
        <v>100</v>
      </c>
      <c r="L56" s="212">
        <f>PI!AK353</f>
        <v>100</v>
      </c>
      <c r="M56" s="212">
        <f>PI!AL353</f>
        <v>100</v>
      </c>
      <c r="N56" s="212">
        <f>PI!AM353</f>
        <v>107.83500000000001</v>
      </c>
      <c r="O56" s="212">
        <f>PI!AN353</f>
        <v>110</v>
      </c>
      <c r="P56" s="212">
        <f>PI!AO353</f>
        <v>107.84</v>
      </c>
      <c r="Q56" s="212">
        <f>PI!AP353</f>
        <v>110</v>
      </c>
      <c r="R56" s="212">
        <f>PI!AQ353</f>
        <v>110</v>
      </c>
      <c r="S56" s="212">
        <f>PI!AR353</f>
        <v>110</v>
      </c>
      <c r="T56" s="212">
        <f>PI!AS353</f>
        <v>110</v>
      </c>
      <c r="U56" s="197">
        <f>F56</f>
        <v>0</v>
      </c>
      <c r="V56" s="197">
        <v>20.029999999999994</v>
      </c>
      <c r="AA56"/>
      <c r="AB56"/>
      <c r="AC56"/>
      <c r="AD56"/>
      <c r="AE56"/>
      <c r="AF56"/>
      <c r="AG56"/>
      <c r="AH56"/>
      <c r="AI56"/>
      <c r="AJ56"/>
      <c r="AK56"/>
      <c r="AL56"/>
    </row>
    <row r="57" spans="1:38" s="198" customFormat="1" ht="16.5">
      <c r="A57" s="51"/>
      <c r="B57" s="275" t="s">
        <v>344</v>
      </c>
      <c r="C57" s="328" t="s">
        <v>276</v>
      </c>
      <c r="D57" s="210" t="s">
        <v>149</v>
      </c>
      <c r="E57" s="217"/>
      <c r="F57" s="211"/>
      <c r="G57" s="219">
        <f>T.UP3!G57</f>
        <v>100</v>
      </c>
      <c r="H57" s="219">
        <f>T.UP3!H57</f>
        <v>100</v>
      </c>
      <c r="I57" s="212">
        <f>PI!S359</f>
        <v>100</v>
      </c>
      <c r="J57" s="212">
        <f>PI!AI359</f>
        <v>100</v>
      </c>
      <c r="K57" s="212">
        <f>PI!AJ359</f>
        <v>100</v>
      </c>
      <c r="L57" s="212">
        <f>PI!AK359</f>
        <v>100</v>
      </c>
      <c r="M57" s="212">
        <f>PI!AL359</f>
        <v>100</v>
      </c>
      <c r="N57" s="212">
        <f>PI!AM359</f>
        <v>100</v>
      </c>
      <c r="O57" s="212">
        <f>PI!AN359</f>
        <v>100</v>
      </c>
      <c r="P57" s="212">
        <f>PI!AO359</f>
        <v>100</v>
      </c>
      <c r="Q57" s="212">
        <f>PI!AP359</f>
        <v>100</v>
      </c>
      <c r="R57" s="212">
        <f>PI!AQ359</f>
        <v>100</v>
      </c>
      <c r="S57" s="212">
        <f>PI!AR359</f>
        <v>0</v>
      </c>
      <c r="T57" s="212">
        <f>PI!AS359</f>
        <v>0</v>
      </c>
      <c r="U57" s="197"/>
      <c r="V57" s="197"/>
      <c r="AA57"/>
      <c r="AB57"/>
      <c r="AC57"/>
      <c r="AD57"/>
      <c r="AE57"/>
      <c r="AF57"/>
      <c r="AG57"/>
      <c r="AH57"/>
      <c r="AI57"/>
      <c r="AJ57"/>
      <c r="AK57"/>
      <c r="AL57"/>
    </row>
    <row r="58" spans="1:38" s="198" customFormat="1" ht="16.5">
      <c r="A58" s="51">
        <v>14</v>
      </c>
      <c r="B58" s="271" t="s">
        <v>345</v>
      </c>
      <c r="C58" s="301"/>
      <c r="D58" s="210"/>
      <c r="E58" s="217" t="s">
        <v>346</v>
      </c>
      <c r="F58" s="211">
        <v>4</v>
      </c>
      <c r="G58" s="219"/>
      <c r="H58" s="219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197">
        <f>F58</f>
        <v>4</v>
      </c>
      <c r="V58" s="197">
        <v>0.24589357725976196</v>
      </c>
      <c r="AA58"/>
      <c r="AB58"/>
      <c r="AC58"/>
      <c r="AD58"/>
      <c r="AE58"/>
      <c r="AF58"/>
      <c r="AG58"/>
      <c r="AH58"/>
      <c r="AI58"/>
      <c r="AJ58"/>
      <c r="AK58"/>
      <c r="AL58"/>
    </row>
    <row r="59" spans="1:38" s="198" customFormat="1" ht="16.5">
      <c r="A59" s="51"/>
      <c r="B59" s="275" t="s">
        <v>347</v>
      </c>
      <c r="C59" s="301" t="s">
        <v>276</v>
      </c>
      <c r="D59" s="210" t="s">
        <v>149</v>
      </c>
      <c r="E59" s="217" t="s">
        <v>348</v>
      </c>
      <c r="F59" s="211"/>
      <c r="G59" s="219">
        <f>T.UP3!G59</f>
        <v>100</v>
      </c>
      <c r="H59" s="219">
        <f>T.UP3!H59</f>
        <v>100</v>
      </c>
      <c r="I59" s="212">
        <f>PI!AH364</f>
        <v>100</v>
      </c>
      <c r="J59" s="212">
        <f>PI!AI364</f>
        <v>100</v>
      </c>
      <c r="K59" s="212">
        <f>PI!AJ364</f>
        <v>100</v>
      </c>
      <c r="L59" s="212">
        <f>PI!AK364</f>
        <v>100</v>
      </c>
      <c r="M59" s="212">
        <f>PI!AL364</f>
        <v>100</v>
      </c>
      <c r="N59" s="212">
        <f>PI!AM364</f>
        <v>114.98</v>
      </c>
      <c r="O59" s="212">
        <f>PI!AN364</f>
        <v>114.98</v>
      </c>
      <c r="P59" s="212">
        <f>PI!AO364</f>
        <v>100</v>
      </c>
      <c r="Q59" s="212">
        <f>PI!AP364</f>
        <v>100</v>
      </c>
      <c r="R59" s="212">
        <f>PI!AQ364</f>
        <v>100</v>
      </c>
      <c r="S59" s="212">
        <f>PI!AR364</f>
        <v>0</v>
      </c>
      <c r="T59" s="212">
        <f>PI!AS364</f>
        <v>0</v>
      </c>
      <c r="U59" s="197"/>
      <c r="V59" s="197"/>
      <c r="AA59"/>
      <c r="AB59"/>
      <c r="AC59"/>
      <c r="AD59"/>
      <c r="AE59"/>
      <c r="AF59"/>
      <c r="AG59"/>
      <c r="AH59"/>
      <c r="AI59"/>
      <c r="AJ59"/>
      <c r="AK59"/>
      <c r="AL59"/>
    </row>
    <row r="60" spans="1:38" s="198" customFormat="1" ht="16.5">
      <c r="A60" s="51"/>
      <c r="B60" s="275" t="s">
        <v>349</v>
      </c>
      <c r="C60" s="301" t="s">
        <v>276</v>
      </c>
      <c r="D60" s="210" t="s">
        <v>350</v>
      </c>
      <c r="E60" s="218" t="s">
        <v>351</v>
      </c>
      <c r="F60" s="211"/>
      <c r="G60" s="219">
        <f>T.UP3!G60</f>
        <v>3</v>
      </c>
      <c r="H60" s="219">
        <f>T.UP3!H60</f>
        <v>4</v>
      </c>
      <c r="I60" s="212">
        <f>PI!AH365</f>
        <v>0</v>
      </c>
      <c r="J60" s="212">
        <f>PI!AI365</f>
        <v>1.26</v>
      </c>
      <c r="K60" s="212">
        <f>PI!AJ365</f>
        <v>2.5049999999999994</v>
      </c>
      <c r="L60" s="212">
        <f>PI!AK365</f>
        <v>3.01</v>
      </c>
      <c r="M60" s="212">
        <f>PI!AL365</f>
        <v>2.92</v>
      </c>
      <c r="N60" s="212">
        <f>PI!AM365</f>
        <v>3.023333333333333</v>
      </c>
      <c r="O60" s="212">
        <f>PI!AN365</f>
        <v>3.38</v>
      </c>
      <c r="P60" s="212">
        <f>PI!AO365</f>
        <v>3.24</v>
      </c>
      <c r="Q60" s="212">
        <f>PI!AP365</f>
        <v>3.5</v>
      </c>
      <c r="R60" s="212">
        <f>PI!AQ365</f>
        <v>3.65</v>
      </c>
      <c r="S60" s="212">
        <f>PI!AR365</f>
        <v>0</v>
      </c>
      <c r="T60" s="212">
        <f>PI!AS365</f>
        <v>0</v>
      </c>
      <c r="U60" s="197"/>
      <c r="V60" s="197"/>
      <c r="AA60"/>
      <c r="AB60"/>
      <c r="AC60"/>
      <c r="AD60"/>
      <c r="AE60"/>
      <c r="AF60"/>
      <c r="AG60"/>
      <c r="AH60"/>
      <c r="AI60"/>
      <c r="AJ60"/>
      <c r="AK60"/>
      <c r="AL60"/>
    </row>
    <row r="61" spans="1:38" s="198" customFormat="1" ht="16.5">
      <c r="A61" s="51"/>
      <c r="B61" s="275" t="s">
        <v>352</v>
      </c>
      <c r="C61" s="301" t="s">
        <v>276</v>
      </c>
      <c r="D61" s="210" t="s">
        <v>149</v>
      </c>
      <c r="E61" s="218" t="s">
        <v>353</v>
      </c>
      <c r="F61" s="211"/>
      <c r="G61" s="219">
        <f>T.UP3!G61</f>
        <v>100</v>
      </c>
      <c r="H61" s="219">
        <f>T.UP3!H61</f>
        <v>100</v>
      </c>
      <c r="I61" s="212">
        <f>PI!AH366</f>
        <v>100</v>
      </c>
      <c r="J61" s="212">
        <f>PI!AI366</f>
        <v>100</v>
      </c>
      <c r="K61" s="212">
        <f>PI!AJ366</f>
        <v>100</v>
      </c>
      <c r="L61" s="212">
        <f>PI!AK366</f>
        <v>100</v>
      </c>
      <c r="M61" s="212">
        <f>PI!AL366</f>
        <v>100</v>
      </c>
      <c r="N61" s="212">
        <f>PI!AM366</f>
        <v>110</v>
      </c>
      <c r="O61" s="212">
        <f>PI!AN366</f>
        <v>110</v>
      </c>
      <c r="P61" s="212">
        <f>PI!AO366</f>
        <v>110</v>
      </c>
      <c r="Q61" s="212">
        <f>PI!AP366</f>
        <v>110</v>
      </c>
      <c r="R61" s="212">
        <f>PI!AQ366</f>
        <v>110</v>
      </c>
      <c r="S61" s="212">
        <f>PI!AR366</f>
        <v>0</v>
      </c>
      <c r="T61" s="212">
        <f>PI!AS366</f>
        <v>0</v>
      </c>
      <c r="U61" s="197"/>
      <c r="V61" s="197"/>
      <c r="AA61"/>
      <c r="AB61"/>
      <c r="AC61"/>
      <c r="AD61"/>
      <c r="AE61"/>
      <c r="AF61"/>
      <c r="AG61"/>
      <c r="AH61"/>
      <c r="AI61"/>
      <c r="AJ61"/>
      <c r="AK61"/>
      <c r="AL61"/>
    </row>
    <row r="62" spans="1:38" s="198" customFormat="1" ht="28.9" customHeight="1">
      <c r="A62" s="51"/>
      <c r="B62" s="52" t="s">
        <v>354</v>
      </c>
      <c r="C62" s="301" t="s">
        <v>276</v>
      </c>
      <c r="D62" s="210" t="s">
        <v>149</v>
      </c>
      <c r="E62" s="218"/>
      <c r="F62" s="211"/>
      <c r="G62" s="219">
        <f>T.UP3!G62</f>
        <v>100</v>
      </c>
      <c r="H62" s="219">
        <f>T.UP3!H62</f>
        <v>100</v>
      </c>
      <c r="I62" s="212">
        <f>PI!AH367</f>
        <v>100</v>
      </c>
      <c r="J62" s="212">
        <f>PI!AI367</f>
        <v>100</v>
      </c>
      <c r="K62" s="212">
        <f>PI!AJ367</f>
        <v>100</v>
      </c>
      <c r="L62" s="212">
        <f>PI!AK367</f>
        <v>100</v>
      </c>
      <c r="M62" s="212">
        <f>PI!AL367</f>
        <v>100</v>
      </c>
      <c r="N62" s="212">
        <f>PI!AM367</f>
        <v>100</v>
      </c>
      <c r="O62" s="212">
        <f>PI!AN367</f>
        <v>100</v>
      </c>
      <c r="P62" s="212">
        <f>PI!AO367</f>
        <v>100</v>
      </c>
      <c r="Q62" s="212">
        <f>PI!AP367</f>
        <v>100</v>
      </c>
      <c r="R62" s="212">
        <f>PI!AQ367</f>
        <v>100</v>
      </c>
      <c r="S62" s="212">
        <f>PI!AR367</f>
        <v>0</v>
      </c>
      <c r="T62" s="212">
        <f>PI!AS367</f>
        <v>0</v>
      </c>
      <c r="U62" s="197"/>
      <c r="V62" s="197"/>
      <c r="AA62"/>
      <c r="AB62"/>
      <c r="AC62"/>
      <c r="AD62"/>
      <c r="AE62"/>
      <c r="AF62"/>
      <c r="AG62"/>
      <c r="AH62"/>
      <c r="AI62"/>
      <c r="AJ62"/>
      <c r="AK62"/>
      <c r="AL62"/>
    </row>
    <row r="63" spans="1:38" s="198" customFormat="1" ht="16.5">
      <c r="A63" s="51">
        <v>15</v>
      </c>
      <c r="B63" s="267" t="s">
        <v>355</v>
      </c>
      <c r="C63" s="301"/>
      <c r="D63" s="210"/>
      <c r="E63" s="218"/>
      <c r="F63" s="211"/>
      <c r="G63" s="219"/>
      <c r="H63" s="219"/>
      <c r="I63" s="212"/>
      <c r="J63" s="212"/>
      <c r="K63" s="212"/>
      <c r="L63" s="212"/>
      <c r="M63" s="212"/>
      <c r="N63" s="212"/>
      <c r="O63" s="212"/>
      <c r="P63" s="212"/>
      <c r="Q63" s="212"/>
      <c r="R63" s="212"/>
      <c r="S63" s="212"/>
      <c r="T63" s="213"/>
      <c r="U63" s="197"/>
      <c r="V63" s="197"/>
      <c r="AA63"/>
      <c r="AB63"/>
      <c r="AC63"/>
      <c r="AD63"/>
      <c r="AE63"/>
      <c r="AF63"/>
      <c r="AG63"/>
      <c r="AH63"/>
      <c r="AI63"/>
      <c r="AJ63"/>
      <c r="AK63"/>
      <c r="AL63"/>
    </row>
    <row r="64" spans="1:38" s="198" customFormat="1" ht="16.5">
      <c r="A64" s="51"/>
      <c r="B64" s="52" t="s">
        <v>356</v>
      </c>
      <c r="C64" s="301"/>
      <c r="D64" s="210"/>
      <c r="E64" s="218"/>
      <c r="F64" s="211" t="s">
        <v>357</v>
      </c>
      <c r="G64" s="219"/>
      <c r="H64" s="219"/>
      <c r="I64" s="212"/>
      <c r="J64" s="212"/>
      <c r="K64" s="212"/>
      <c r="L64" s="212"/>
      <c r="M64" s="212"/>
      <c r="N64" s="212"/>
      <c r="O64" s="212"/>
      <c r="P64" s="212"/>
      <c r="Q64" s="212"/>
      <c r="R64" s="212"/>
      <c r="S64" s="212"/>
      <c r="T64" s="213"/>
      <c r="U64" s="197"/>
      <c r="V64" s="197"/>
    </row>
    <row r="65" spans="1:22" s="198" customFormat="1" ht="16.5">
      <c r="A65" s="51"/>
      <c r="B65" s="52" t="s">
        <v>358</v>
      </c>
      <c r="C65" s="301"/>
      <c r="D65" s="210"/>
      <c r="E65" s="218"/>
      <c r="F65" s="211" t="s">
        <v>359</v>
      </c>
      <c r="G65" s="219"/>
      <c r="H65" s="219"/>
      <c r="I65" s="212"/>
      <c r="J65" s="212"/>
      <c r="K65" s="212"/>
      <c r="L65" s="212"/>
      <c r="M65" s="212"/>
      <c r="N65" s="212"/>
      <c r="O65" s="212"/>
      <c r="P65" s="212"/>
      <c r="Q65" s="212"/>
      <c r="R65" s="212"/>
      <c r="S65" s="212"/>
      <c r="T65" s="213"/>
      <c r="U65" s="197"/>
      <c r="V65" s="197"/>
    </row>
    <row r="66" spans="1:22" s="198" customFormat="1" ht="16.5">
      <c r="A66" s="51"/>
      <c r="B66" s="275" t="s">
        <v>360</v>
      </c>
      <c r="C66" s="301"/>
      <c r="D66" s="210"/>
      <c r="E66" s="218" t="s">
        <v>361</v>
      </c>
      <c r="F66" s="211" t="s">
        <v>362</v>
      </c>
      <c r="G66" s="219"/>
      <c r="H66" s="219"/>
      <c r="I66" s="212"/>
      <c r="J66" s="212"/>
      <c r="K66" s="212"/>
      <c r="L66" s="212"/>
      <c r="M66" s="212"/>
      <c r="N66" s="212"/>
      <c r="O66" s="212"/>
      <c r="P66" s="212"/>
      <c r="Q66" s="212"/>
      <c r="R66" s="212"/>
      <c r="S66" s="212"/>
      <c r="T66" s="213"/>
      <c r="U66" s="197"/>
      <c r="V66" s="197"/>
    </row>
    <row r="67" spans="1:22" s="198" customFormat="1" ht="16.5">
      <c r="A67" s="51"/>
      <c r="B67" s="275" t="s">
        <v>363</v>
      </c>
      <c r="C67" s="301"/>
      <c r="D67" s="210"/>
      <c r="E67" s="218" t="s">
        <v>364</v>
      </c>
      <c r="F67" s="211" t="s">
        <v>365</v>
      </c>
      <c r="G67" s="219"/>
      <c r="H67" s="219"/>
      <c r="I67" s="212"/>
      <c r="J67" s="212"/>
      <c r="K67" s="212"/>
      <c r="L67" s="212"/>
      <c r="M67" s="212"/>
      <c r="N67" s="212"/>
      <c r="O67" s="212"/>
      <c r="P67" s="212"/>
      <c r="Q67" s="212"/>
      <c r="R67" s="212"/>
      <c r="S67" s="212"/>
      <c r="T67" s="213"/>
      <c r="U67" s="197"/>
      <c r="V67" s="197"/>
    </row>
    <row r="68" spans="1:22" s="198" customFormat="1" ht="16.5">
      <c r="A68" s="51"/>
      <c r="B68" s="275" t="s">
        <v>366</v>
      </c>
      <c r="C68" s="301"/>
      <c r="D68" s="309"/>
      <c r="E68" s="310"/>
      <c r="F68" s="211" t="s">
        <v>367</v>
      </c>
      <c r="G68" s="311"/>
      <c r="H68" s="311"/>
      <c r="I68" s="312"/>
      <c r="J68" s="312"/>
      <c r="K68" s="312"/>
      <c r="L68" s="312"/>
      <c r="M68" s="312"/>
      <c r="N68" s="312"/>
      <c r="O68" s="312"/>
      <c r="P68" s="312"/>
      <c r="Q68" s="312"/>
      <c r="R68" s="312"/>
      <c r="S68" s="312"/>
      <c r="T68" s="313"/>
      <c r="U68" s="197"/>
      <c r="V68" s="197"/>
    </row>
    <row r="69" spans="1:22" s="198" customFormat="1" ht="16.5">
      <c r="A69" s="58"/>
      <c r="B69" s="276" t="s">
        <v>104</v>
      </c>
      <c r="C69" s="277"/>
      <c r="D69" s="222"/>
      <c r="E69" s="223"/>
      <c r="F69" s="223">
        <f>F7+F17</f>
        <v>90</v>
      </c>
      <c r="G69" s="223"/>
      <c r="H69" s="223"/>
      <c r="I69" s="223"/>
      <c r="J69" s="223"/>
      <c r="K69" s="223"/>
      <c r="L69" s="223"/>
      <c r="M69" s="223"/>
      <c r="N69" s="223"/>
      <c r="O69" s="223"/>
      <c r="P69" s="223"/>
      <c r="Q69" s="223"/>
      <c r="R69" s="223"/>
      <c r="S69" s="223"/>
      <c r="T69" s="221"/>
      <c r="U69" s="200"/>
      <c r="V69" s="200"/>
    </row>
    <row r="70" spans="1:22" s="201" customFormat="1">
      <c r="C70" s="361"/>
      <c r="E70" s="202"/>
    </row>
    <row r="71" spans="1:22" s="201" customFormat="1">
      <c r="A71" s="203"/>
      <c r="B71" s="204" t="s">
        <v>368</v>
      </c>
      <c r="C71" s="204"/>
      <c r="D71" s="247">
        <f>COUNTA(D8:D67)</f>
        <v>41</v>
      </c>
      <c r="E71" s="203"/>
      <c r="F71" s="4"/>
      <c r="G71" s="205"/>
      <c r="H71" s="205"/>
      <c r="I71" s="205"/>
      <c r="J71" s="205"/>
      <c r="K71" s="205"/>
      <c r="L71" s="205"/>
      <c r="M71" s="205"/>
      <c r="N71" s="205"/>
      <c r="O71" s="205"/>
      <c r="P71" s="205"/>
      <c r="Q71" s="205"/>
      <c r="R71" s="205"/>
      <c r="S71" s="205"/>
      <c r="T71" s="205"/>
    </row>
    <row r="72" spans="1:22" s="201" customFormat="1">
      <c r="C72" s="361"/>
      <c r="E72" s="202"/>
    </row>
    <row r="73" spans="1:22" s="201" customFormat="1">
      <c r="A73" s="117" t="s">
        <v>369</v>
      </c>
      <c r="B73" s="118"/>
      <c r="C73" s="118"/>
      <c r="D73" s="119"/>
      <c r="E73" s="119"/>
      <c r="F73" s="119"/>
      <c r="G73" s="119"/>
      <c r="H73" s="119"/>
      <c r="I73" s="119"/>
      <c r="J73" s="119"/>
      <c r="K73" s="119"/>
      <c r="L73" s="119"/>
      <c r="M73" s="119"/>
      <c r="Q73" s="119"/>
      <c r="S73" s="119"/>
    </row>
    <row r="74" spans="1:22" s="201" customFormat="1">
      <c r="A74" s="119">
        <v>3</v>
      </c>
      <c r="B74" s="206" t="s">
        <v>370</v>
      </c>
      <c r="C74" s="118"/>
      <c r="D74" s="119"/>
      <c r="E74" s="119"/>
      <c r="F74" s="119"/>
      <c r="G74" s="119"/>
      <c r="H74" s="119"/>
      <c r="I74" s="119"/>
      <c r="J74" s="119"/>
      <c r="K74" s="119"/>
      <c r="L74" s="119"/>
      <c r="M74" s="119"/>
      <c r="Q74" s="119"/>
      <c r="S74" s="119"/>
    </row>
    <row r="75" spans="1:22" s="201" customFormat="1">
      <c r="A75" s="119">
        <v>1</v>
      </c>
      <c r="B75" s="206" t="s">
        <v>371</v>
      </c>
      <c r="C75" s="118"/>
      <c r="D75" s="119"/>
      <c r="E75" s="119"/>
      <c r="F75" s="119"/>
      <c r="G75" s="119"/>
      <c r="H75" s="119"/>
      <c r="I75" s="119"/>
      <c r="J75" s="119"/>
      <c r="K75" s="119"/>
      <c r="L75" s="119"/>
      <c r="M75" s="119"/>
      <c r="Q75" s="119"/>
      <c r="S75" s="119"/>
    </row>
  </sheetData>
  <mergeCells count="7">
    <mergeCell ref="G4:H4"/>
    <mergeCell ref="I4:T4"/>
    <mergeCell ref="A4:A5"/>
    <mergeCell ref="B4:C5"/>
    <mergeCell ref="D4:D5"/>
    <mergeCell ref="E4:E5"/>
    <mergeCell ref="F4:F5"/>
  </mergeCells>
  <conditionalFormatting sqref="A74">
    <cfRule type="iconSet" priority="28">
      <iconSet iconSet="3ArrowsGray" showValue="0">
        <cfvo type="percent" val="0"/>
        <cfvo type="num" val="2"/>
        <cfvo type="num" val="3"/>
      </iconSet>
    </cfRule>
  </conditionalFormatting>
  <conditionalFormatting sqref="A75">
    <cfRule type="iconSet" priority="27">
      <iconSet iconSet="3ArrowsGray" showValue="0">
        <cfvo type="percent" val="0"/>
        <cfvo type="num" val="2"/>
        <cfvo type="num" val="3"/>
      </iconSet>
    </cfRule>
  </conditionalFormatting>
  <conditionalFormatting sqref="C8">
    <cfRule type="iconSet" priority="6">
      <iconSet iconSet="3ArrowsGray" showValue="0">
        <cfvo type="percent" val="0"/>
        <cfvo type="num" val="2"/>
        <cfvo type="num" val="3"/>
      </iconSet>
    </cfRule>
  </conditionalFormatting>
  <conditionalFormatting sqref="C9">
    <cfRule type="iconSet" priority="1">
      <iconSet iconSet="3ArrowsGray" showValue="0">
        <cfvo type="percent" val="0"/>
        <cfvo type="num" val="2"/>
        <cfvo type="num" val="3"/>
      </iconSet>
    </cfRule>
    <cfRule type="iconSet" priority="2">
      <iconSet iconSet="3ArrowsGray" showValue="0">
        <cfvo type="percent" val="0"/>
        <cfvo type="num" val="2"/>
        <cfvo type="num" val="3"/>
      </iconSet>
    </cfRule>
  </conditionalFormatting>
  <conditionalFormatting sqref="C10:C16">
    <cfRule type="iconSet" priority="12">
      <iconSet iconSet="3ArrowsGray" showValue="0">
        <cfvo type="percent" val="0"/>
        <cfvo type="num" val="2"/>
        <cfvo type="num" val="3"/>
      </iconSet>
    </cfRule>
  </conditionalFormatting>
  <conditionalFormatting sqref="C21:C23">
    <cfRule type="iconSet" priority="3">
      <iconSet iconSet="3ArrowsGray" showValue="0">
        <cfvo type="percent" val="0"/>
        <cfvo type="num" val="2"/>
        <cfvo type="num" val="3"/>
      </iconSet>
    </cfRule>
    <cfRule type="iconSet" priority="4">
      <iconSet iconSet="3ArrowsGray" showValue="0">
        <cfvo type="percent" val="0"/>
        <cfvo type="num" val="2"/>
        <cfvo type="num" val="3"/>
      </iconSet>
    </cfRule>
  </conditionalFormatting>
  <conditionalFormatting sqref="C33:C34">
    <cfRule type="iconSet" priority="8">
      <iconSet iconSet="3ArrowsGray" showValue="0">
        <cfvo type="percent" val="0"/>
        <cfvo type="num" val="2"/>
        <cfvo type="num" val="3"/>
      </iconSet>
    </cfRule>
    <cfRule type="iconSet" priority="9">
      <iconSet iconSet="3ArrowsGray" showValue="0">
        <cfvo type="percent" val="0"/>
        <cfvo type="num" val="2"/>
        <cfvo type="num" val="3"/>
      </iconSet>
    </cfRule>
  </conditionalFormatting>
  <conditionalFormatting sqref="C35">
    <cfRule type="iconSet" priority="13">
      <iconSet iconSet="3ArrowsGray" showValue="0">
        <cfvo type="percent" val="0"/>
        <cfvo type="num" val="2"/>
        <cfvo type="num" val="3"/>
      </iconSet>
    </cfRule>
    <cfRule type="iconSet" priority="14">
      <iconSet iconSet="3ArrowsGray" showValue="0">
        <cfvo type="percent" val="0"/>
        <cfvo type="num" val="2"/>
        <cfvo type="num" val="3"/>
      </iconSet>
    </cfRule>
  </conditionalFormatting>
  <conditionalFormatting sqref="C36:C50 C19:C20 C8 C24:C32">
    <cfRule type="iconSet" priority="10">
      <iconSet iconSet="3ArrowsGray" showValue="0">
        <cfvo type="percent" val="0"/>
        <cfvo type="num" val="2"/>
        <cfvo type="num" val="3"/>
      </iconSet>
    </cfRule>
  </conditionalFormatting>
  <conditionalFormatting sqref="C36:C50 C19:C20 C24:C32">
    <cfRule type="iconSet" priority="11">
      <iconSet iconSet="3ArrowsGray" showValue="0">
        <cfvo type="percent" val="0"/>
        <cfvo type="num" val="2"/>
        <cfvo type="num" val="3"/>
      </iconSet>
    </cfRule>
  </conditionalFormatting>
  <conditionalFormatting sqref="C51">
    <cfRule type="iconSet" priority="5">
      <iconSet iconSet="3ArrowsGray" showValue="0">
        <cfvo type="percent" val="0"/>
        <cfvo type="num" val="2"/>
        <cfvo type="num" val="3"/>
      </iconSet>
    </cfRule>
  </conditionalFormatting>
  <conditionalFormatting sqref="C51:C68 C18 C10:C16">
    <cfRule type="iconSet" priority="7">
      <iconSet iconSet="3ArrowsGray" showValue="0">
        <cfvo type="percent" val="0"/>
        <cfvo type="num" val="2"/>
        <cfvo type="num" val="3"/>
      </iconSet>
    </cfRule>
  </conditionalFormatting>
  <conditionalFormatting sqref="C70">
    <cfRule type="iconSet" priority="30">
      <iconSet iconSet="3ArrowsGray" showValue="0">
        <cfvo type="percent" val="0"/>
        <cfvo type="num" val="2"/>
        <cfvo type="num" val="3"/>
      </iconSet>
    </cfRule>
  </conditionalFormatting>
  <conditionalFormatting sqref="C71">
    <cfRule type="iconSet" priority="33">
      <iconSet iconSet="3ArrowsGray" showValue="0">
        <cfvo type="percent" val="0"/>
        <cfvo type="num" val="2"/>
        <cfvo type="num" val="3"/>
      </iconSet>
    </cfRule>
  </conditionalFormatting>
  <conditionalFormatting sqref="D70">
    <cfRule type="iconSet" priority="23">
      <iconSet iconSet="3ArrowsGray" showValue="0">
        <cfvo type="percent" val="0"/>
        <cfvo type="num" val="2"/>
        <cfvo type="num" val="3"/>
      </iconSet>
    </cfRule>
    <cfRule type="iconSet" priority="32">
      <iconSet iconSet="3ArrowsGray" showValue="0">
        <cfvo type="percent" val="0"/>
        <cfvo type="num" val="2"/>
        <cfvo type="num" val="3"/>
      </iconSet>
    </cfRule>
  </conditionalFormatting>
  <conditionalFormatting sqref="E70">
    <cfRule type="iconSet" priority="31">
      <iconSet iconSet="3ArrowsGray" showValue="0">
        <cfvo type="percent" val="0"/>
        <cfvo type="num" val="2"/>
        <cfvo type="num" val="3"/>
      </iconSet>
    </cfRule>
  </conditionalFormatting>
  <conditionalFormatting sqref="G70:H70">
    <cfRule type="iconSet" priority="39">
      <iconSet iconSet="3ArrowsGray" showValue="0">
        <cfvo type="percent" val="0"/>
        <cfvo type="num" val="2"/>
        <cfvo type="num" val="3"/>
      </iconSet>
    </cfRule>
  </conditionalFormatting>
  <conditionalFormatting sqref="G71:H71">
    <cfRule type="iconSet" priority="38">
      <iconSet iconSet="3ArrowsGray" showValue="0">
        <cfvo type="percent" val="0"/>
        <cfvo type="num" val="2"/>
        <cfvo type="num" val="3"/>
      </iconSet>
    </cfRule>
  </conditionalFormatting>
  <conditionalFormatting sqref="I70:T70">
    <cfRule type="iconSet" priority="29">
      <iconSet iconSet="3ArrowsGray" showValue="0">
        <cfvo type="percent" val="0"/>
        <cfvo type="num" val="2"/>
        <cfvo type="num" val="3"/>
      </iconSet>
    </cfRule>
  </conditionalFormatting>
  <conditionalFormatting sqref="I71:T71">
    <cfRule type="iconSet" priority="24">
      <iconSet iconSet="3ArrowsGray" showValue="0">
        <cfvo type="percent" val="0"/>
        <cfvo type="num" val="2"/>
        <cfvo type="num" val="3"/>
      </iconSet>
    </cfRule>
    <cfRule type="iconSet" priority="25">
      <iconSet iconSet="3ArrowsGray" showValue="0">
        <cfvo type="percent" val="0"/>
        <cfvo type="num" val="2"/>
        <cfvo type="num" val="3"/>
      </iconSet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4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  <pageSetUpPr fitToPage="1"/>
  </sheetPr>
  <dimension ref="A1:W66"/>
  <sheetViews>
    <sheetView workbookViewId="0"/>
  </sheetViews>
  <sheetFormatPr defaultColWidth="9.140625" defaultRowHeight="15"/>
  <cols>
    <col min="1" max="1" width="5.5703125" customWidth="1"/>
    <col min="2" max="2" width="44.7109375" customWidth="1"/>
    <col min="3" max="3" width="4.140625" style="366" customWidth="1"/>
    <col min="4" max="4" width="12.42578125" customWidth="1"/>
    <col min="5" max="5" width="113.5703125" hidden="1" customWidth="1"/>
    <col min="6" max="6" width="8.85546875" customWidth="1"/>
    <col min="7" max="7" width="11" customWidth="1"/>
    <col min="8" max="8" width="11.140625" customWidth="1"/>
    <col min="9" max="20" width="12.140625" customWidth="1"/>
    <col min="21" max="21" width="13.28515625" bestFit="1" customWidth="1"/>
  </cols>
  <sheetData>
    <row r="1" spans="1:22" s="30" customFormat="1" ht="15.75">
      <c r="A1" s="28"/>
      <c r="B1" s="29" t="s">
        <v>270</v>
      </c>
      <c r="C1" s="362"/>
      <c r="D1" s="28"/>
      <c r="E1" s="28"/>
      <c r="I1" s="22"/>
      <c r="U1" s="31"/>
      <c r="V1" s="31"/>
    </row>
    <row r="2" spans="1:22" s="30" customFormat="1" ht="15.75">
      <c r="A2" s="28"/>
      <c r="B2" s="29" t="s">
        <v>123</v>
      </c>
      <c r="C2" s="362"/>
      <c r="D2" s="28"/>
      <c r="E2" s="28"/>
      <c r="U2" s="31"/>
      <c r="V2" s="31"/>
    </row>
    <row r="3" spans="1:22" s="30" customFormat="1" ht="15.75">
      <c r="A3" s="28"/>
      <c r="B3" s="29" t="s">
        <v>372</v>
      </c>
      <c r="C3" s="362"/>
      <c r="D3" s="28"/>
      <c r="E3" s="28"/>
      <c r="U3" s="31"/>
      <c r="V3" s="31"/>
    </row>
    <row r="4" spans="1:22">
      <c r="A4" s="812" t="s">
        <v>8</v>
      </c>
      <c r="B4" s="814" t="s">
        <v>9</v>
      </c>
      <c r="C4" s="815"/>
      <c r="D4" s="790" t="s">
        <v>93</v>
      </c>
      <c r="E4" s="795" t="s">
        <v>271</v>
      </c>
      <c r="F4" s="790" t="s">
        <v>99</v>
      </c>
      <c r="G4" s="790" t="s">
        <v>373</v>
      </c>
      <c r="H4" s="790" t="s">
        <v>374</v>
      </c>
      <c r="I4" s="807" t="s">
        <v>375</v>
      </c>
      <c r="J4" s="808"/>
      <c r="K4" s="808"/>
      <c r="L4" s="808"/>
      <c r="M4" s="808"/>
      <c r="N4" s="808"/>
      <c r="O4" s="808"/>
      <c r="P4" s="808"/>
      <c r="Q4" s="808"/>
      <c r="R4" s="808"/>
      <c r="S4" s="808"/>
      <c r="T4" s="809"/>
    </row>
    <row r="5" spans="1:22">
      <c r="A5" s="813"/>
      <c r="B5" s="816"/>
      <c r="C5" s="817"/>
      <c r="D5" s="791"/>
      <c r="E5" s="796"/>
      <c r="F5" s="791"/>
      <c r="G5" s="791"/>
      <c r="H5" s="791"/>
      <c r="I5" s="424" t="s">
        <v>94</v>
      </c>
      <c r="J5" s="424" t="s">
        <v>95</v>
      </c>
      <c r="K5" s="424" t="s">
        <v>96</v>
      </c>
      <c r="L5" s="424" t="s">
        <v>488</v>
      </c>
      <c r="M5" s="424" t="s">
        <v>489</v>
      </c>
      <c r="N5" s="424" t="s">
        <v>490</v>
      </c>
      <c r="O5" s="424" t="s">
        <v>491</v>
      </c>
      <c r="P5" s="424" t="s">
        <v>165</v>
      </c>
      <c r="Q5" s="424" t="s">
        <v>167</v>
      </c>
      <c r="R5" s="424" t="s">
        <v>492</v>
      </c>
      <c r="S5" s="424" t="s">
        <v>171</v>
      </c>
      <c r="T5" s="424" t="s">
        <v>493</v>
      </c>
    </row>
    <row r="6" spans="1:22">
      <c r="A6" s="427">
        <v>1</v>
      </c>
      <c r="B6" s="810">
        <v>2</v>
      </c>
      <c r="C6" s="811"/>
      <c r="D6" s="455">
        <v>3</v>
      </c>
      <c r="E6" s="425">
        <v>4</v>
      </c>
      <c r="F6" s="455">
        <v>4</v>
      </c>
      <c r="G6" s="455">
        <v>5</v>
      </c>
      <c r="H6" s="424">
        <v>6</v>
      </c>
      <c r="I6" s="455">
        <v>7</v>
      </c>
      <c r="J6" s="424">
        <v>8</v>
      </c>
      <c r="K6" s="455">
        <v>9</v>
      </c>
      <c r="L6" s="424">
        <v>10</v>
      </c>
      <c r="M6" s="455">
        <v>11</v>
      </c>
      <c r="N6" s="424">
        <v>12</v>
      </c>
      <c r="O6" s="455">
        <v>13</v>
      </c>
      <c r="P6" s="424">
        <v>14</v>
      </c>
      <c r="Q6" s="455">
        <v>15</v>
      </c>
      <c r="R6" s="424">
        <v>16</v>
      </c>
      <c r="S6" s="455">
        <v>17</v>
      </c>
      <c r="T6" s="424">
        <v>18</v>
      </c>
    </row>
    <row r="7" spans="1:22" ht="16.5">
      <c r="A7" s="47" t="s">
        <v>267</v>
      </c>
      <c r="B7" s="48" t="str">
        <f>T.TOLIS!B7</f>
        <v>Key Performance Indicators</v>
      </c>
      <c r="C7" s="363"/>
      <c r="D7" s="50"/>
      <c r="E7" s="48"/>
      <c r="F7" s="62">
        <f>SUM(F8:F17)</f>
        <v>40</v>
      </c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</row>
    <row r="8" spans="1:22" ht="16.5">
      <c r="A8" s="51">
        <f>T.TOLIS!A8</f>
        <v>1</v>
      </c>
      <c r="B8" s="267" t="str">
        <f>T.TOLIS!B8</f>
        <v>Penjualan Tenaga Listrik</v>
      </c>
      <c r="C8" s="364" t="str">
        <f>T.TOLIS!C8</f>
        <v>ñ</v>
      </c>
      <c r="D8" s="53" t="str">
        <f>T.TOLIS!D8</f>
        <v>GWh</v>
      </c>
      <c r="E8" s="61" t="str">
        <f>T.TOLIS!E8</f>
        <v>Total penjualan tenaga listrik</v>
      </c>
      <c r="F8" s="53">
        <f>T.TOLIS!F8</f>
        <v>14</v>
      </c>
      <c r="G8" s="89">
        <f>T.TOLIS!G8</f>
        <v>39.700000000000003</v>
      </c>
      <c r="H8" s="89">
        <f>T.TOLIS!H8</f>
        <v>80.8</v>
      </c>
      <c r="I8" s="89">
        <f>KPI!AH8</f>
        <v>7.5138379950000003</v>
      </c>
      <c r="J8" s="89">
        <f>KPI!AI8</f>
        <v>14.121420571000002</v>
      </c>
      <c r="K8" s="89">
        <f>KPI!AJ8</f>
        <v>20.408071021000001</v>
      </c>
      <c r="L8" s="89">
        <f>KPI!AK8</f>
        <v>25.735401896000003</v>
      </c>
      <c r="M8" s="89">
        <f>KPI!AL8</f>
        <v>31.812937064000003</v>
      </c>
      <c r="N8" s="89">
        <f>KPI!AM8</f>
        <v>37.635657317000003</v>
      </c>
      <c r="O8" s="89">
        <f>KPI!AN8</f>
        <v>43.715482449000007</v>
      </c>
      <c r="P8" s="89">
        <f>KPI!AO8</f>
        <v>49.775069007000006</v>
      </c>
      <c r="Q8" s="89">
        <f>KPI!AP8</f>
        <v>55.865174559000003</v>
      </c>
      <c r="R8" s="89">
        <f>KPI!AQ8</f>
        <v>62.369689695000005</v>
      </c>
      <c r="S8" s="89">
        <f>KPI!AR8</f>
        <v>0</v>
      </c>
      <c r="T8" s="89">
        <f>KPI!AS8</f>
        <v>0</v>
      </c>
    </row>
    <row r="9" spans="1:22" ht="16.5">
      <c r="A9" s="51">
        <f>T.TOLIS!A9</f>
        <v>2</v>
      </c>
      <c r="B9" s="267" t="str">
        <f>T.TOLIS!B9</f>
        <v>Keandalan Sistem</v>
      </c>
      <c r="C9" s="364"/>
      <c r="D9" s="53"/>
      <c r="E9" s="61"/>
      <c r="F9" s="53">
        <f>T.TOLIS!F9</f>
        <v>14</v>
      </c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111"/>
    </row>
    <row r="10" spans="1:22" ht="16.5">
      <c r="A10" s="51"/>
      <c r="B10" s="52" t="str">
        <f>T.TOLIS!B10</f>
        <v>a. SAIDI (sesuai kewenangan)</v>
      </c>
      <c r="C10" s="364" t="str">
        <f>T.TOLIS!C10</f>
        <v>ò</v>
      </c>
      <c r="D10" s="53" t="str">
        <f>T.TOLIS!D10</f>
        <v>menit/plg</v>
      </c>
      <c r="E10" s="61" t="str">
        <f>T.TOLIS!E10</f>
        <v>(∑ (Lama padam x ∑ Pelanggan Padam)) / ∑ Pelanggan Dalam Satu Periode</v>
      </c>
      <c r="F10" s="53"/>
      <c r="G10" s="89">
        <f>T.TOLIS!G10</f>
        <v>194.62</v>
      </c>
      <c r="H10" s="89">
        <f>T.TOLIS!H10</f>
        <v>389.24</v>
      </c>
      <c r="I10" s="89">
        <f>KPI!AH32</f>
        <v>12.866101803710123</v>
      </c>
      <c r="J10" s="89">
        <f>KPI!AI32</f>
        <v>15.49250368094232</v>
      </c>
      <c r="K10" s="89">
        <f>KPI!AJ32</f>
        <v>17.329474132424949</v>
      </c>
      <c r="L10" s="89">
        <f>KPI!AK32</f>
        <v>43.424826296666168</v>
      </c>
      <c r="M10" s="89">
        <f>KPI!AL32</f>
        <v>131.17240589545116</v>
      </c>
      <c r="N10" s="89">
        <f>KPI!AM32</f>
        <v>210.30229841269841</v>
      </c>
      <c r="O10" s="89">
        <f>KPI!AN32</f>
        <v>223.38745406158915</v>
      </c>
      <c r="P10" s="89">
        <f>KPI!AO32</f>
        <v>228.80562323483539</v>
      </c>
      <c r="Q10" s="89">
        <f>KPI!AP32</f>
        <v>243.85041218034991</v>
      </c>
      <c r="R10" s="89">
        <f>KPI!AQ32</f>
        <v>330.04879919527218</v>
      </c>
      <c r="S10" s="89">
        <f>KPI!AR32</f>
        <v>0</v>
      </c>
      <c r="T10" s="111">
        <f>KPI!AS32</f>
        <v>0</v>
      </c>
    </row>
    <row r="11" spans="1:22" ht="16.5">
      <c r="A11" s="51"/>
      <c r="B11" s="52" t="str">
        <f>T.TOLIS!B11</f>
        <v>b. SAIFI (sesuai kewenangan)</v>
      </c>
      <c r="C11" s="364" t="str">
        <f>T.TOLIS!C11</f>
        <v>ò</v>
      </c>
      <c r="D11" s="53" t="str">
        <f>T.TOLIS!D11</f>
        <v>kali/plg</v>
      </c>
      <c r="E11" s="61" t="str">
        <f>T.TOLIS!E11</f>
        <v>(∑ (Kali padam x ∑ Pelanggan Padam)) / ∑ Pelanggan Dalam Satu Periode</v>
      </c>
      <c r="F11" s="53"/>
      <c r="G11" s="89">
        <f>T.TOLIS!G11</f>
        <v>1.76</v>
      </c>
      <c r="H11" s="89">
        <f>T.TOLIS!H11</f>
        <v>3.53</v>
      </c>
      <c r="I11" s="89">
        <f>KPI!AH54</f>
        <v>0.12101760917474377</v>
      </c>
      <c r="J11" s="89">
        <f>KPI!AI54</f>
        <v>0.13323944263064677</v>
      </c>
      <c r="K11" s="89">
        <f>KPI!AJ54</f>
        <v>0.22648499041941664</v>
      </c>
      <c r="L11" s="89">
        <f>KPI!AK54</f>
        <v>0.57531394088774623</v>
      </c>
      <c r="M11" s="89">
        <f>KPI!AL54</f>
        <v>1.2213763121620189</v>
      </c>
      <c r="N11" s="89">
        <f>KPI!AM54</f>
        <v>1.6972486772486772</v>
      </c>
      <c r="O11" s="89">
        <f>KPI!AN54</f>
        <v>1.9675579774426561</v>
      </c>
      <c r="P11" s="89">
        <f>KPI!AO54</f>
        <v>1.9942460902921215</v>
      </c>
      <c r="Q11" s="89">
        <f>KPI!AP54</f>
        <v>2.3221105316285331</v>
      </c>
      <c r="R11" s="89">
        <f>KPI!AQ54</f>
        <v>3.0893373569722118</v>
      </c>
      <c r="S11" s="89">
        <f>KPI!AR54</f>
        <v>0</v>
      </c>
      <c r="T11" s="111">
        <f>KPI!AS54</f>
        <v>0</v>
      </c>
    </row>
    <row r="12" spans="1:22" ht="16.5">
      <c r="A12" s="51"/>
      <c r="B12" s="52" t="str">
        <f>T.TOLIS!B12</f>
        <v>c. ENS (sesuai kewenangan)</v>
      </c>
      <c r="C12" s="364" t="str">
        <f>T.TOLIS!C12</f>
        <v>ò</v>
      </c>
      <c r="D12" s="53" t="str">
        <f>T.TOLIS!D12</f>
        <v>MWh</v>
      </c>
      <c r="E12" s="61" t="str">
        <f>T.TOLIS!E12</f>
        <v>∑ Energi yang tidak dapat disalurkan akibat Padam Tidak Terencana dan Terencana</v>
      </c>
      <c r="F12" s="53"/>
      <c r="G12" s="89">
        <f>T.TOLIS!G12</f>
        <v>24.23</v>
      </c>
      <c r="H12" s="89">
        <f>T.TOLIS!H12</f>
        <v>48.47</v>
      </c>
      <c r="I12" s="89">
        <f>KPI!AH74</f>
        <v>1.7090000000000001</v>
      </c>
      <c r="J12" s="89">
        <f>KPI!AI74</f>
        <v>2.1909999999999998</v>
      </c>
      <c r="K12" s="89">
        <f>KPI!AJ74</f>
        <v>2.419</v>
      </c>
      <c r="L12" s="89">
        <f>KPI!AK74</f>
        <v>5.2450000000000001</v>
      </c>
      <c r="M12" s="89">
        <f>KPI!AL74</f>
        <v>11.946</v>
      </c>
      <c r="N12" s="89">
        <f>KPI!AM74</f>
        <v>17.651</v>
      </c>
      <c r="O12" s="89">
        <f>KPI!AN74</f>
        <v>18.875</v>
      </c>
      <c r="P12" s="89">
        <f>KPI!AO74</f>
        <v>20.253</v>
      </c>
      <c r="Q12" s="89">
        <f>KPI!AP74</f>
        <v>22.542999999999999</v>
      </c>
      <c r="R12" s="89">
        <f>KPI!AQ74</f>
        <v>28.983000000000001</v>
      </c>
      <c r="S12" s="89">
        <f>KPI!AR74</f>
        <v>0</v>
      </c>
      <c r="T12" s="111">
        <f>KPI!AS74</f>
        <v>0</v>
      </c>
    </row>
    <row r="13" spans="1:22" ht="16.5">
      <c r="A13" s="51">
        <f>T.TOLIS!A13</f>
        <v>3</v>
      </c>
      <c r="B13" s="267" t="str">
        <f>T.TOLIS!B13</f>
        <v>Efisiensi Jaringan Distribusi</v>
      </c>
      <c r="C13" s="364"/>
      <c r="D13" s="53"/>
      <c r="E13" s="61"/>
      <c r="F13" s="53">
        <f>T.TOLIS!F13</f>
        <v>12</v>
      </c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111"/>
    </row>
    <row r="14" spans="1:22" ht="16.5">
      <c r="A14" s="51"/>
      <c r="B14" s="52" t="str">
        <f>T.TOLIS!B14</f>
        <v>a. Susut Distribusi Tanpa E-min (sesuai kewenangan)</v>
      </c>
      <c r="C14" s="364" t="str">
        <f>T.TOLIS!C14</f>
        <v>ò</v>
      </c>
      <c r="D14" s="53" t="str">
        <f>T.TOLIS!D14</f>
        <v>%</v>
      </c>
      <c r="E14" s="61"/>
      <c r="F14" s="53"/>
      <c r="G14" s="89">
        <f>T.TOLIS!G14</f>
        <v>9.7899999999999991</v>
      </c>
      <c r="H14" s="89">
        <f>T.TOLIS!H14</f>
        <v>9.3699999999999992</v>
      </c>
      <c r="I14" s="89">
        <f>KPI!AH89</f>
        <v>-7.3511601633070995</v>
      </c>
      <c r="J14" s="89">
        <f>KPI!AI89</f>
        <v>-6.5258103352265229</v>
      </c>
      <c r="K14" s="89">
        <f>KPI!AJ89</f>
        <v>-1.4319315839986146</v>
      </c>
      <c r="L14" s="89">
        <f>KPI!AK89</f>
        <v>4.1872286973182007</v>
      </c>
      <c r="M14" s="89">
        <f>KPI!AL89</f>
        <v>6.8399212986973561</v>
      </c>
      <c r="N14" s="89">
        <f>KPI!AM89</f>
        <v>7.2818607557456394</v>
      </c>
      <c r="O14" s="89">
        <f>KPI!AN89</f>
        <v>7.8285434996578616</v>
      </c>
      <c r="P14" s="89">
        <f>KPI!AO89</f>
        <v>7.8288026195481271</v>
      </c>
      <c r="Q14" s="89">
        <f>KPI!AP89</f>
        <v>7.9794982755546888</v>
      </c>
      <c r="R14" s="89">
        <f>KPI!AQ89</f>
        <v>7.8292269767726559</v>
      </c>
      <c r="S14" s="89">
        <f>KPI!AR89</f>
        <v>0</v>
      </c>
      <c r="T14" s="89">
        <f>KPI!AS89</f>
        <v>0</v>
      </c>
    </row>
    <row r="15" spans="1:22" ht="16.5">
      <c r="A15" s="51"/>
      <c r="B15" s="52" t="e">
        <f>T.TOLIS!#REF!</f>
        <v>#REF!</v>
      </c>
      <c r="C15" s="364"/>
      <c r="D15" s="53" t="e">
        <f>T.TOLIS!#REF!</f>
        <v>#REF!</v>
      </c>
      <c r="E15" s="61"/>
      <c r="F15" s="53"/>
      <c r="G15" s="89" t="e">
        <f>T.TOLIS!#REF!</f>
        <v>#REF!</v>
      </c>
      <c r="H15" s="89" t="e">
        <f>T.TOLIS!#REF!</f>
        <v>#REF!</v>
      </c>
      <c r="I15" s="89">
        <v>0</v>
      </c>
      <c r="J15" s="89">
        <v>0</v>
      </c>
      <c r="K15" s="89">
        <v>0</v>
      </c>
      <c r="L15" s="89">
        <v>0</v>
      </c>
      <c r="M15" s="89">
        <v>0</v>
      </c>
      <c r="N15" s="89">
        <v>0</v>
      </c>
      <c r="O15" s="89">
        <v>0</v>
      </c>
      <c r="P15" s="89">
        <v>0</v>
      </c>
      <c r="Q15" s="89">
        <v>0</v>
      </c>
      <c r="R15" s="89">
        <v>0</v>
      </c>
      <c r="S15" s="89">
        <v>0</v>
      </c>
      <c r="T15" s="89">
        <v>0</v>
      </c>
    </row>
    <row r="16" spans="1:22" ht="16.5">
      <c r="A16" s="51"/>
      <c r="B16" s="52" t="str">
        <f>T.TOLIS!B15</f>
        <v>b. Penyelesaian Temuan P2TL</v>
      </c>
      <c r="C16" s="364" t="str">
        <f>T.TOLIS!C15</f>
        <v>ñ</v>
      </c>
      <c r="D16" s="53" t="str">
        <f>T.TOLIS!D15</f>
        <v>%</v>
      </c>
      <c r="E16" s="61"/>
      <c r="F16" s="53"/>
      <c r="G16" s="89">
        <f>T.TOLIS!G15</f>
        <v>47.560137457044668</v>
      </c>
      <c r="H16" s="89">
        <f>T.TOLIS!H15</f>
        <v>100</v>
      </c>
      <c r="I16" s="89">
        <f>KPI!AH115</f>
        <v>3.8621231979030148</v>
      </c>
      <c r="J16" s="89">
        <f>KPI!AI115</f>
        <v>6.3887287024901704</v>
      </c>
      <c r="K16" s="89">
        <f>KPI!AJ115</f>
        <v>19.804062909567495</v>
      </c>
      <c r="L16" s="89">
        <f>KPI!AK115</f>
        <v>25.67981651376147</v>
      </c>
      <c r="M16" s="89">
        <f>KPI!AL115</f>
        <v>32.756094364351242</v>
      </c>
      <c r="N16" s="89">
        <f>KPI!AM115</f>
        <v>60.138794233289644</v>
      </c>
      <c r="O16" s="89">
        <f>KPI!AN115</f>
        <v>79.221100917431187</v>
      </c>
      <c r="P16" s="89">
        <f>KPI!AO115</f>
        <v>88.92110091743119</v>
      </c>
      <c r="Q16" s="89">
        <f>KPI!AP115</f>
        <v>101.83328964613368</v>
      </c>
      <c r="R16" s="89">
        <f>KPI!AQ115</f>
        <v>111.49685452162517</v>
      </c>
      <c r="S16" s="89">
        <f>KPI!AR115</f>
        <v>111.49685452162517</v>
      </c>
      <c r="T16" s="89">
        <f>KPI!AS115</f>
        <v>111.49685452162517</v>
      </c>
    </row>
    <row r="17" spans="1:20" ht="16.5">
      <c r="A17" s="51"/>
      <c r="B17" s="52" t="str">
        <f>T.TOLIS!B16</f>
        <v>c. Penyelesaian Ganti Meter</v>
      </c>
      <c r="C17" s="364" t="str">
        <f>T.TOLIS!C16</f>
        <v>ñ</v>
      </c>
      <c r="D17" s="53" t="str">
        <f>T.TOLIS!D16</f>
        <v>Unit</v>
      </c>
      <c r="E17" s="61" t="str">
        <f>T.TOLIS!E16</f>
        <v>Jumlah penggantian kWh Meter pada periode berjalan</v>
      </c>
      <c r="F17" s="53">
        <f>T.TOLIS!F16</f>
        <v>0</v>
      </c>
      <c r="G17" s="89">
        <f>T.TOLIS!G16</f>
        <v>729</v>
      </c>
      <c r="H17" s="89">
        <f>T.TOLIS!H16</f>
        <v>1457</v>
      </c>
      <c r="I17" s="89">
        <f>KPI!AH130</f>
        <v>11</v>
      </c>
      <c r="J17" s="89">
        <f>KPI!AI130</f>
        <v>100</v>
      </c>
      <c r="K17" s="89">
        <f>KPI!AJ130</f>
        <v>423</v>
      </c>
      <c r="L17" s="89">
        <f>KPI!AK130</f>
        <v>657</v>
      </c>
      <c r="M17" s="89">
        <f>KPI!AL130</f>
        <v>883</v>
      </c>
      <c r="N17" s="89">
        <f>KPI!AM130</f>
        <v>1049</v>
      </c>
      <c r="O17" s="89">
        <f>KPI!AN130</f>
        <v>1140</v>
      </c>
      <c r="P17" s="89">
        <f>KPI!AO130</f>
        <v>1186</v>
      </c>
      <c r="Q17" s="89">
        <f>KPI!AP130</f>
        <v>1449</v>
      </c>
      <c r="R17" s="89">
        <f>KPI!AQ130</f>
        <v>1458</v>
      </c>
      <c r="S17" s="89">
        <f>KPI!AR130</f>
        <v>1458</v>
      </c>
      <c r="T17" s="89">
        <f>KPI!AS130</f>
        <v>1458</v>
      </c>
    </row>
    <row r="18" spans="1:20" ht="16.5">
      <c r="A18" s="47" t="str">
        <f>T.TOLIS!A17</f>
        <v>II</v>
      </c>
      <c r="B18" s="48" t="str">
        <f>T.TOLIS!B17</f>
        <v>Perfomance Indicators</v>
      </c>
      <c r="C18" s="363"/>
      <c r="D18" s="50"/>
      <c r="E18" s="48"/>
      <c r="F18" s="139">
        <f>SUM(F19:F55)</f>
        <v>60</v>
      </c>
      <c r="G18" s="139"/>
      <c r="H18" s="139"/>
      <c r="I18" s="139"/>
      <c r="J18" s="139"/>
      <c r="K18" s="139"/>
      <c r="L18" s="139"/>
      <c r="M18" s="139"/>
      <c r="N18" s="139"/>
      <c r="O18" s="139"/>
      <c r="P18" s="139"/>
      <c r="Q18" s="139"/>
      <c r="R18" s="139"/>
      <c r="S18" s="139"/>
      <c r="T18" s="168"/>
    </row>
    <row r="19" spans="1:20" ht="16.5">
      <c r="A19" s="51">
        <f>T.TOLIS!A18</f>
        <v>4</v>
      </c>
      <c r="B19" s="267" t="str">
        <f>T.TOLIS!B18</f>
        <v>Keandalan Jaringan Distribusi</v>
      </c>
      <c r="C19" s="364"/>
      <c r="D19" s="53"/>
      <c r="E19" s="61"/>
      <c r="F19" s="53">
        <f>T.TOLIS!F18</f>
        <v>9</v>
      </c>
      <c r="G19" s="89"/>
      <c r="H19" s="89"/>
      <c r="I19" s="142"/>
      <c r="J19" s="142"/>
      <c r="K19" s="142"/>
      <c r="L19" s="142"/>
      <c r="M19" s="142"/>
      <c r="N19" s="142"/>
      <c r="O19" s="142"/>
      <c r="P19" s="142"/>
      <c r="Q19" s="142"/>
      <c r="R19" s="142"/>
      <c r="S19" s="142"/>
      <c r="T19" s="95"/>
    </row>
    <row r="20" spans="1:20" ht="16.5">
      <c r="A20" s="51"/>
      <c r="B20" s="52" t="str">
        <f>T.TOLIS!B19</f>
        <v>a. Gangguan TM &gt; 5 Menit</v>
      </c>
      <c r="C20" s="364" t="str">
        <f>T.TOLIS!C19</f>
        <v>ò</v>
      </c>
      <c r="D20" s="53" t="str">
        <f>T.TOLIS!D19</f>
        <v>Kali</v>
      </c>
      <c r="E20" s="61" t="str">
        <f>T.TOLIS!E19</f>
        <v>∑ kali Gangguan Jaringan Tegangan Menengah dan Gardu Distribusi yang berdampak padam pelanggan di semua zona durasi &gt; 5 menit (permanen)</v>
      </c>
      <c r="F20" s="53"/>
      <c r="G20" s="89">
        <f>T.TOLIS!G19</f>
        <v>33</v>
      </c>
      <c r="H20" s="89">
        <f>T.TOLIS!H19</f>
        <v>62</v>
      </c>
      <c r="I20" s="142">
        <f>PI!AH8</f>
        <v>2</v>
      </c>
      <c r="J20" s="142">
        <f>PI!AI8</f>
        <v>3</v>
      </c>
      <c r="K20" s="142">
        <f>PI!AJ8</f>
        <v>8</v>
      </c>
      <c r="L20" s="142">
        <f>PI!AK8</f>
        <v>11</v>
      </c>
      <c r="M20" s="142">
        <f>PI!AL8</f>
        <v>29</v>
      </c>
      <c r="N20" s="142">
        <f>PI!AM8</f>
        <v>31</v>
      </c>
      <c r="O20" s="142">
        <f>PI!AN8</f>
        <v>38</v>
      </c>
      <c r="P20" s="142">
        <f>PI!AO8</f>
        <v>38</v>
      </c>
      <c r="Q20" s="142">
        <f>PI!AP8</f>
        <v>46</v>
      </c>
      <c r="R20" s="142">
        <f>PI!AQ8</f>
        <v>54</v>
      </c>
      <c r="S20" s="142">
        <f>PI!AR8</f>
        <v>54</v>
      </c>
      <c r="T20" s="142">
        <f>PI!AS8</f>
        <v>54</v>
      </c>
    </row>
    <row r="21" spans="1:20" ht="16.5">
      <c r="A21" s="51"/>
      <c r="B21" s="52" t="str">
        <f>T.TOLIS!B20</f>
        <v>b. Gangguan TM ≤ 5 Menit</v>
      </c>
      <c r="C21" s="364" t="str">
        <f>T.TOLIS!C20</f>
        <v>ò</v>
      </c>
      <c r="D21" s="53" t="str">
        <f>T.TOLIS!D20</f>
        <v>Kali</v>
      </c>
      <c r="E21" s="61" t="str">
        <f>T.TOLIS!E20</f>
        <v>∑ kali Gangguan Jaringan Tegangan Menengah  dan Gardu Distribusi yang berdampak padam pelanggan di semua zona durasi ≤ 5 menit (temporer)</v>
      </c>
      <c r="F21" s="53"/>
      <c r="G21" s="89">
        <f>T.TOLIS!G20</f>
        <v>43</v>
      </c>
      <c r="H21" s="89">
        <f>T.TOLIS!H20</f>
        <v>86</v>
      </c>
      <c r="I21" s="142">
        <f>PI!AH9</f>
        <v>0</v>
      </c>
      <c r="J21" s="142">
        <f>PI!AI9</f>
        <v>6</v>
      </c>
      <c r="K21" s="142">
        <f>PI!AJ9</f>
        <v>8</v>
      </c>
      <c r="L21" s="142">
        <f>PI!AK9</f>
        <v>8</v>
      </c>
      <c r="M21" s="142">
        <f>PI!AL9</f>
        <v>23</v>
      </c>
      <c r="N21" s="142">
        <f>PI!AM9</f>
        <v>34</v>
      </c>
      <c r="O21" s="142">
        <f>PI!AN9</f>
        <v>42</v>
      </c>
      <c r="P21" s="142">
        <f>PI!AO9</f>
        <v>44</v>
      </c>
      <c r="Q21" s="142">
        <f>PI!AP9</f>
        <v>55</v>
      </c>
      <c r="R21" s="142">
        <f>PI!AQ9</f>
        <v>65</v>
      </c>
      <c r="S21" s="142">
        <f>PI!AR9</f>
        <v>65</v>
      </c>
      <c r="T21" s="142">
        <f>PI!AS9</f>
        <v>65</v>
      </c>
    </row>
    <row r="22" spans="1:20" ht="33">
      <c r="A22" s="51"/>
      <c r="B22" s="52" t="str">
        <f>T.TOLIS!B21</f>
        <v>c. Kerusakan Peralatan Distribusi (PHB TM dan Trafo) Sesuai Kewenangan</v>
      </c>
      <c r="C22" s="364" t="str">
        <f>T.TOLIS!C21</f>
        <v>ò</v>
      </c>
      <c r="D22" s="53" t="str">
        <f>T.TOLIS!D21</f>
        <v>Unit</v>
      </c>
      <c r="E22" s="61" t="str">
        <f>T.TOLIS!E21</f>
        <v>∑ Total Kerusakan Peralatan PHB TM + ∑ Total Kerusakan Trafo Distribusi</v>
      </c>
      <c r="F22" s="53"/>
      <c r="G22" s="89">
        <f>T.TOLIS!G21</f>
        <v>1</v>
      </c>
      <c r="H22" s="89">
        <f>T.TOLIS!H21</f>
        <v>2</v>
      </c>
      <c r="I22" s="142">
        <f>PI!AH33</f>
        <v>0</v>
      </c>
      <c r="J22" s="142">
        <f>PI!AI33</f>
        <v>0</v>
      </c>
      <c r="K22" s="142">
        <f>PI!AJ33</f>
        <v>0</v>
      </c>
      <c r="L22" s="142">
        <f>PI!AK33</f>
        <v>0</v>
      </c>
      <c r="M22" s="142">
        <f>PI!AL33</f>
        <v>1</v>
      </c>
      <c r="N22" s="142">
        <f>PI!AM33</f>
        <v>2</v>
      </c>
      <c r="O22" s="142">
        <f>PI!AN33</f>
        <v>3</v>
      </c>
      <c r="P22" s="142">
        <f>PI!AO33</f>
        <v>3</v>
      </c>
      <c r="Q22" s="142">
        <f>PI!AP33</f>
        <v>3</v>
      </c>
      <c r="R22" s="142">
        <f>PI!AQ33</f>
        <v>3</v>
      </c>
      <c r="S22" s="142">
        <f>PI!AR33</f>
        <v>3</v>
      </c>
      <c r="T22" s="142">
        <f>PI!AS33</f>
        <v>3</v>
      </c>
    </row>
    <row r="23" spans="1:20" ht="16.5">
      <c r="A23" s="51">
        <f>T.TOLIS!A22</f>
        <v>5</v>
      </c>
      <c r="B23" s="267" t="str">
        <f>T.TOLIS!B22</f>
        <v>Peningkatan Layanan</v>
      </c>
      <c r="C23" s="364"/>
      <c r="D23" s="53"/>
      <c r="E23" s="61">
        <f>T.TOLIS!E22</f>
        <v>0</v>
      </c>
      <c r="F23" s="53">
        <f>T.TOLIS!F22</f>
        <v>8</v>
      </c>
      <c r="G23" s="89"/>
      <c r="H23" s="89"/>
      <c r="I23" s="226"/>
      <c r="J23" s="226"/>
      <c r="K23" s="226"/>
      <c r="L23" s="226"/>
      <c r="M23" s="226"/>
      <c r="N23" s="226"/>
      <c r="O23" s="226"/>
      <c r="P23" s="226"/>
      <c r="Q23" s="226"/>
      <c r="R23" s="226"/>
      <c r="S23" s="226"/>
      <c r="T23" s="227"/>
    </row>
    <row r="24" spans="1:20" ht="33">
      <c r="A24" s="51"/>
      <c r="B24" s="52" t="str">
        <f>T.TOLIS!B23</f>
        <v>a. Feedback Rating Negatif pada PLN Mobile - Gangguan</v>
      </c>
      <c r="C24" s="364" t="str">
        <f>T.TOLIS!C23</f>
        <v>ò</v>
      </c>
      <c r="D24" s="53" t="str">
        <f>T.TOLIS!D23</f>
        <v>%</v>
      </c>
      <c r="E24" s="61"/>
      <c r="F24" s="53"/>
      <c r="G24" s="89">
        <f>T.TOLIS!G23</f>
        <v>0.09</v>
      </c>
      <c r="H24" s="89">
        <f>T.TOLIS!H23</f>
        <v>0.09</v>
      </c>
      <c r="I24" s="226">
        <f>PI!AH55</f>
        <v>0</v>
      </c>
      <c r="J24" s="226">
        <f>PI!AI55</f>
        <v>0</v>
      </c>
      <c r="K24" s="226">
        <f>PI!AJ55</f>
        <v>0</v>
      </c>
      <c r="L24" s="226">
        <f>PI!AK55</f>
        <v>0</v>
      </c>
      <c r="M24" s="226">
        <f>PI!AL55</f>
        <v>0</v>
      </c>
      <c r="N24" s="226">
        <f>PI!AM55</f>
        <v>0</v>
      </c>
      <c r="O24" s="226">
        <f>PI!AN55</f>
        <v>0</v>
      </c>
      <c r="P24" s="226">
        <f>PI!AO55</f>
        <v>0</v>
      </c>
      <c r="Q24" s="226">
        <f>PI!AP55</f>
        <v>0</v>
      </c>
      <c r="R24" s="226">
        <f>PI!AQ55</f>
        <v>0</v>
      </c>
      <c r="S24" s="226">
        <f>PI!AR55</f>
        <v>0</v>
      </c>
      <c r="T24" s="226">
        <f>PI!AS55</f>
        <v>0</v>
      </c>
    </row>
    <row r="25" spans="1:20" ht="16.5">
      <c r="A25" s="51"/>
      <c r="B25" s="52" t="str">
        <f>T.TOLIS!B24</f>
        <v>b. Pengaduan Gangguan Berulang pada PLN Mobile</v>
      </c>
      <c r="C25" s="364" t="str">
        <f>T.TOLIS!C24</f>
        <v>ò</v>
      </c>
      <c r="D25" s="53" t="str">
        <f>T.TOLIS!D24</f>
        <v>%</v>
      </c>
      <c r="E25" s="61"/>
      <c r="F25" s="53"/>
      <c r="G25" s="89">
        <f>T.TOLIS!G24</f>
        <v>0.04</v>
      </c>
      <c r="H25" s="89">
        <f>T.TOLIS!H24</f>
        <v>0.04</v>
      </c>
      <c r="I25" s="226">
        <f>PI!AH77</f>
        <v>0</v>
      </c>
      <c r="J25" s="226">
        <f>PI!AI77</f>
        <v>0</v>
      </c>
      <c r="K25" s="226">
        <f>PI!AJ77</f>
        <v>0</v>
      </c>
      <c r="L25" s="226">
        <f>PI!AK77</f>
        <v>0</v>
      </c>
      <c r="M25" s="226">
        <f>PI!AL77</f>
        <v>0</v>
      </c>
      <c r="N25" s="226">
        <f>PI!AM77</f>
        <v>0</v>
      </c>
      <c r="O25" s="226">
        <f>PI!AN77</f>
        <v>0</v>
      </c>
      <c r="P25" s="226">
        <f>PI!AO77</f>
        <v>0</v>
      </c>
      <c r="Q25" s="226">
        <f>PI!AP77</f>
        <v>0</v>
      </c>
      <c r="R25" s="226">
        <f>PI!AQ77</f>
        <v>0</v>
      </c>
      <c r="S25" s="226">
        <f>PI!AR77</f>
        <v>3.0349013657056147E-2</v>
      </c>
      <c r="T25" s="226">
        <f>PI!AS77</f>
        <v>3.0349013657056147E-2</v>
      </c>
    </row>
    <row r="26" spans="1:20" ht="16.5">
      <c r="A26" s="51"/>
      <c r="B26" s="52" t="str">
        <f>T.TOLIS!B25</f>
        <v>c. Rating PLN Mobile</v>
      </c>
      <c r="C26" s="364" t="str">
        <f>T.TOLIS!C25</f>
        <v>ñ</v>
      </c>
      <c r="D26" s="53" t="str">
        <f>T.TOLIS!D25</f>
        <v>Rating</v>
      </c>
      <c r="E26" s="61" t="str">
        <f>T.TOLIS!E25</f>
        <v>Realisasi Rating PLN Mobile pada Google Playstore Periode Akhir Bulan Berjalan</v>
      </c>
      <c r="F26" s="53"/>
      <c r="G26" s="89">
        <f>T.TOLIS!G25</f>
        <v>4.9000000000000004</v>
      </c>
      <c r="H26" s="89">
        <f>T.TOLIS!H25</f>
        <v>4.9000000000000004</v>
      </c>
      <c r="I26" s="142">
        <f>PI!AH97</f>
        <v>4.91</v>
      </c>
      <c r="J26" s="142">
        <f>PI!AI97</f>
        <v>4.91</v>
      </c>
      <c r="K26" s="142">
        <f>PI!AJ97</f>
        <v>4.91</v>
      </c>
      <c r="L26" s="142">
        <f>PI!AK97</f>
        <v>4.91</v>
      </c>
      <c r="M26" s="142">
        <f>PI!AL97</f>
        <v>4.9000000000000004</v>
      </c>
      <c r="N26" s="142">
        <f>PI!AM97</f>
        <v>4.9000000000000004</v>
      </c>
      <c r="O26" s="142">
        <f>PI!AN97</f>
        <v>4.9000000000000004</v>
      </c>
      <c r="P26" s="142">
        <f>PI!AO97</f>
        <v>4.9000000000000004</v>
      </c>
      <c r="Q26" s="142">
        <f>PI!AP97</f>
        <v>4.9000000000000004</v>
      </c>
      <c r="R26" s="142">
        <f>PI!AQ97</f>
        <v>4.9000000000000004</v>
      </c>
      <c r="S26" s="142">
        <f>PI!AR97</f>
        <v>4.9000000000000004</v>
      </c>
      <c r="T26" s="142">
        <f>PI!AS97</f>
        <v>4.9000000000000004</v>
      </c>
    </row>
    <row r="27" spans="1:20" ht="33">
      <c r="A27" s="51"/>
      <c r="B27" s="52" t="str">
        <f>T.TOLIS!B26</f>
        <v>d. Jumlah Kali Transaksi Keuangan melalui PLN Mobile</v>
      </c>
      <c r="C27" s="364" t="str">
        <f>T.TOLIS!C26</f>
        <v>ñ</v>
      </c>
      <c r="D27" s="53" t="str">
        <f>T.TOLIS!D26</f>
        <v>Kali Transaksi</v>
      </c>
      <c r="E27" s="61" t="str">
        <f>T.TOLIS!E26</f>
        <v>Total Kali Transaksi Keuangan di PLN Mobile (Seluruh Pelanggan PLN)</v>
      </c>
      <c r="F27" s="53"/>
      <c r="G27" s="89">
        <f>T.TOLIS!G26</f>
        <v>9333</v>
      </c>
      <c r="H27" s="89">
        <f>T.TOLIS!H26</f>
        <v>15555</v>
      </c>
      <c r="I27" s="142">
        <f>PI!AH102</f>
        <v>859</v>
      </c>
      <c r="J27" s="142">
        <f>PI!AI102</f>
        <v>2014</v>
      </c>
      <c r="K27" s="142">
        <f>PI!AJ102</f>
        <v>3846</v>
      </c>
      <c r="L27" s="142">
        <f>PI!AK102</f>
        <v>6356</v>
      </c>
      <c r="M27" s="142">
        <f>PI!AL102</f>
        <v>8602</v>
      </c>
      <c r="N27" s="142">
        <f>PI!AM102</f>
        <v>10306</v>
      </c>
      <c r="O27" s="142">
        <f>PI!AN102</f>
        <v>12271</v>
      </c>
      <c r="P27" s="142">
        <f>PI!AO102</f>
        <v>14211</v>
      </c>
      <c r="Q27" s="142">
        <f>PI!AP102</f>
        <v>16109</v>
      </c>
      <c r="R27" s="142">
        <f>PI!AQ102</f>
        <v>17935</v>
      </c>
      <c r="S27" s="142">
        <f>PI!AR102</f>
        <v>0</v>
      </c>
      <c r="T27" s="142">
        <f>PI!AS102</f>
        <v>0</v>
      </c>
    </row>
    <row r="28" spans="1:20" ht="16.5">
      <c r="A28" s="51">
        <f>T.TOLIS!A27</f>
        <v>6</v>
      </c>
      <c r="B28" s="267" t="str">
        <f>T.TOLIS!B27</f>
        <v>Dispatch Respon Time</v>
      </c>
      <c r="C28" s="364"/>
      <c r="D28" s="53"/>
      <c r="E28" s="61"/>
      <c r="F28" s="53">
        <f>T.TOLIS!F27</f>
        <v>3</v>
      </c>
      <c r="G28" s="89"/>
      <c r="H28" s="89"/>
      <c r="I28" s="142"/>
      <c r="J28" s="142"/>
      <c r="K28" s="142"/>
      <c r="L28" s="142"/>
      <c r="M28" s="142"/>
      <c r="N28" s="142"/>
      <c r="O28" s="142"/>
      <c r="P28" s="142"/>
      <c r="Q28" s="142"/>
      <c r="R28" s="142"/>
      <c r="S28" s="142"/>
      <c r="T28" s="95"/>
    </row>
    <row r="29" spans="1:20" ht="33">
      <c r="A29" s="51"/>
      <c r="B29" s="52" t="str">
        <f>T.TOLIS!B28</f>
        <v>a. Response Time atas Gangguan (diluar Clear Tamper)</v>
      </c>
      <c r="C29" s="364" t="str">
        <f>T.TOLIS!C28</f>
        <v>ò</v>
      </c>
      <c r="D29" s="53" t="str">
        <f>T.TOLIS!D28</f>
        <v>Menit</v>
      </c>
      <c r="E29" s="61"/>
      <c r="F29" s="53"/>
      <c r="G29" s="89">
        <f>T.TOLIS!G28</f>
        <v>30</v>
      </c>
      <c r="H29" s="89">
        <f>T.TOLIS!H28</f>
        <v>30</v>
      </c>
      <c r="I29" s="142">
        <f>PI!AH113</f>
        <v>11.477160493827162</v>
      </c>
      <c r="J29" s="142">
        <f>PI!AI113</f>
        <v>11.376080246913579</v>
      </c>
      <c r="K29" s="142">
        <f>PI!AJ113</f>
        <v>11.304738021751911</v>
      </c>
      <c r="L29" s="142">
        <f>PI!AK113</f>
        <v>11.329052342605014</v>
      </c>
      <c r="M29" s="142">
        <f>PI!AL113</f>
        <v>11.959241874084011</v>
      </c>
      <c r="N29" s="142">
        <f>PI!AM113</f>
        <v>12.185683213112824</v>
      </c>
      <c r="O29" s="142">
        <f>PI!AN113</f>
        <v>12.347427026704834</v>
      </c>
      <c r="P29" s="142">
        <f>PI!AO113</f>
        <v>12.640341240959323</v>
      </c>
      <c r="Q29" s="142">
        <f>PI!AP113</f>
        <v>12.896095961591287</v>
      </c>
      <c r="R29" s="142">
        <f>PI!AQ113</f>
        <v>13.077215397690221</v>
      </c>
      <c r="S29" s="142">
        <f>PI!AR113</f>
        <v>13.077215397690221</v>
      </c>
      <c r="T29" s="142">
        <f>PI!AS113</f>
        <v>13.077215397690221</v>
      </c>
    </row>
    <row r="30" spans="1:20" ht="33">
      <c r="A30" s="51"/>
      <c r="B30" s="52" t="str">
        <f>T.TOLIS!B29</f>
        <v>b. Success Rate Auto Dispatch Gangguan Individual (diluar Clear Tamper)</v>
      </c>
      <c r="C30" s="364" t="str">
        <f>T.TOLIS!C29</f>
        <v>ñ</v>
      </c>
      <c r="D30" s="53" t="str">
        <f>T.TOLIS!D29</f>
        <v>%</v>
      </c>
      <c r="E30" s="61"/>
      <c r="F30" s="53"/>
      <c r="G30" s="89">
        <f>T.TOLIS!G29</f>
        <v>0</v>
      </c>
      <c r="H30" s="89">
        <f>T.TOLIS!H29</f>
        <v>0</v>
      </c>
      <c r="I30" s="142">
        <f>PI!AH129</f>
        <v>0</v>
      </c>
      <c r="J30" s="142">
        <f>PI!AI129</f>
        <v>0</v>
      </c>
      <c r="K30" s="142">
        <f>PI!AJ129</f>
        <v>0</v>
      </c>
      <c r="L30" s="142">
        <f>PI!AK129</f>
        <v>0</v>
      </c>
      <c r="M30" s="142">
        <f>PI!AL129</f>
        <v>0</v>
      </c>
      <c r="N30" s="142">
        <f>PI!AM129</f>
        <v>0</v>
      </c>
      <c r="O30" s="142">
        <f>PI!AN129</f>
        <v>0</v>
      </c>
      <c r="P30" s="142">
        <f>PI!AO129</f>
        <v>0</v>
      </c>
      <c r="Q30" s="142">
        <f>PI!AP129</f>
        <v>0</v>
      </c>
      <c r="R30" s="142">
        <f>PI!AQ129</f>
        <v>0</v>
      </c>
      <c r="S30" s="142">
        <f>PI!AR129</f>
        <v>0</v>
      </c>
      <c r="T30" s="142">
        <f>PI!AS129</f>
        <v>0</v>
      </c>
    </row>
    <row r="31" spans="1:20" ht="16.5">
      <c r="A31" s="51">
        <f>T.TOLIS!A30</f>
        <v>7</v>
      </c>
      <c r="B31" s="267" t="str">
        <f>T.TOLIS!B30</f>
        <v>Sistem Recovery :</v>
      </c>
      <c r="C31" s="364"/>
      <c r="D31" s="53"/>
      <c r="E31" s="61" t="e">
        <f>T.TOLIS!#REF!</f>
        <v>#REF!</v>
      </c>
      <c r="F31" s="53">
        <f>T.TOLIS!F30</f>
        <v>6</v>
      </c>
      <c r="G31" s="89"/>
      <c r="H31" s="89"/>
      <c r="I31" s="142"/>
      <c r="J31" s="142"/>
      <c r="K31" s="142"/>
      <c r="L31" s="142"/>
      <c r="M31" s="142"/>
      <c r="N31" s="142"/>
      <c r="O31" s="142"/>
      <c r="P31" s="142"/>
      <c r="Q31" s="142"/>
      <c r="R31" s="142"/>
      <c r="S31" s="142"/>
      <c r="T31" s="95"/>
    </row>
    <row r="32" spans="1:20" ht="16.5">
      <c r="A32" s="51"/>
      <c r="B32" s="52" t="str">
        <f>T.TOLIS!B31</f>
        <v>a. Recovery Time Gangguan Meluas TM</v>
      </c>
      <c r="C32" s="364" t="str">
        <f>T.TOLIS!C31</f>
        <v>ñ</v>
      </c>
      <c r="D32" s="53" t="str">
        <f>T.TOLIS!D31</f>
        <v>%</v>
      </c>
      <c r="E32" s="61"/>
      <c r="F32" s="53"/>
      <c r="G32" s="89">
        <f>T.TOLIS!G31</f>
        <v>100</v>
      </c>
      <c r="H32" s="89">
        <f>T.TOLIS!H31</f>
        <v>100</v>
      </c>
      <c r="I32" s="142">
        <f>PI!AH145</f>
        <v>60.75</v>
      </c>
      <c r="J32" s="142">
        <f>PI!AI145</f>
        <v>76.5</v>
      </c>
      <c r="K32" s="142">
        <f>PI!AJ145</f>
        <v>107.25</v>
      </c>
      <c r="L32" s="142">
        <f>PI!AK145</f>
        <v>109.25</v>
      </c>
      <c r="M32" s="142">
        <f>PI!AL145</f>
        <v>110</v>
      </c>
      <c r="N32" s="142">
        <f>PI!AM145</f>
        <v>110</v>
      </c>
      <c r="O32" s="142">
        <f>PI!AN145</f>
        <v>110</v>
      </c>
      <c r="P32" s="142">
        <f>PI!AO145</f>
        <v>110</v>
      </c>
      <c r="Q32" s="142">
        <f>PI!AP145</f>
        <v>110</v>
      </c>
      <c r="R32" s="142">
        <f>PI!AQ145</f>
        <v>110</v>
      </c>
      <c r="S32" s="142">
        <f>PI!AR145</f>
        <v>0</v>
      </c>
      <c r="T32" s="142">
        <f>PI!AS145</f>
        <v>0</v>
      </c>
    </row>
    <row r="33" spans="1:23" ht="16.5">
      <c r="A33" s="51"/>
      <c r="B33" s="52" t="str">
        <f>T.TOLIS!B32</f>
        <v>b. Penormalan Siaga 1 Gangguan TM</v>
      </c>
      <c r="C33" s="364" t="str">
        <f>T.TOLIS!C32</f>
        <v>ñ</v>
      </c>
      <c r="D33" s="53" t="str">
        <f>T.TOLIS!D32</f>
        <v>%</v>
      </c>
      <c r="E33" s="61"/>
      <c r="F33" s="53"/>
      <c r="G33" s="89">
        <f>T.TOLIS!G32</f>
        <v>100</v>
      </c>
      <c r="H33" s="89">
        <f>T.TOLIS!H32</f>
        <v>100</v>
      </c>
      <c r="I33" s="142">
        <f>PI!AH167</f>
        <v>110</v>
      </c>
      <c r="J33" s="142">
        <f>PI!AI167</f>
        <v>110</v>
      </c>
      <c r="K33" s="142">
        <f>PI!AJ167</f>
        <v>110</v>
      </c>
      <c r="L33" s="142">
        <f>PI!AK167</f>
        <v>110</v>
      </c>
      <c r="M33" s="142">
        <f>PI!AL167</f>
        <v>110</v>
      </c>
      <c r="N33" s="142">
        <f>PI!AM167</f>
        <v>110</v>
      </c>
      <c r="O33" s="142">
        <f>PI!AN167</f>
        <v>110</v>
      </c>
      <c r="P33" s="142">
        <f>PI!AO167</f>
        <v>110</v>
      </c>
      <c r="Q33" s="142">
        <f>PI!AP167</f>
        <v>110</v>
      </c>
      <c r="R33" s="142">
        <f>PI!AQ167</f>
        <v>110</v>
      </c>
      <c r="S33" s="142">
        <f>PI!AR167</f>
        <v>0</v>
      </c>
      <c r="T33" s="142">
        <f>PI!AS167</f>
        <v>0</v>
      </c>
    </row>
    <row r="34" spans="1:23" ht="16.5">
      <c r="A34" s="51">
        <f>T.TOLIS!A33</f>
        <v>8</v>
      </c>
      <c r="B34" s="267" t="str">
        <f>T.TOLIS!B33</f>
        <v>Percepatan Penyambungan Pelanggan</v>
      </c>
      <c r="C34" s="364"/>
      <c r="D34" s="53"/>
      <c r="E34" s="61" t="e">
        <f>T.TOLIS!#REF!</f>
        <v>#REF!</v>
      </c>
      <c r="F34" s="53">
        <f>T.TOLIS!F33</f>
        <v>10</v>
      </c>
      <c r="G34" s="89">
        <f>T.TOLIS!G33</f>
        <v>0</v>
      </c>
      <c r="H34" s="89">
        <f>T.TOLIS!H33</f>
        <v>0</v>
      </c>
      <c r="I34" s="142">
        <f>PI!AH246</f>
        <v>100</v>
      </c>
      <c r="J34" s="142">
        <f>PI!AI246</f>
        <v>100</v>
      </c>
      <c r="K34" s="142">
        <f>PI!AJ246</f>
        <v>100</v>
      </c>
      <c r="L34" s="142">
        <f>PI!AK246</f>
        <v>100</v>
      </c>
      <c r="M34" s="142">
        <f>PI!AL246</f>
        <v>100</v>
      </c>
      <c r="N34" s="142">
        <f>PI!AM246</f>
        <v>100</v>
      </c>
      <c r="O34" s="142">
        <f>PI!AN246</f>
        <v>100</v>
      </c>
      <c r="P34" s="142">
        <f>PI!AO246</f>
        <v>100</v>
      </c>
      <c r="Q34" s="142">
        <f>PI!AP246</f>
        <v>100</v>
      </c>
      <c r="R34" s="142">
        <f>PI!AQ246</f>
        <v>100</v>
      </c>
      <c r="S34" s="142">
        <f>PI!AR246</f>
        <v>100</v>
      </c>
      <c r="T34" s="95">
        <f>PI!AS246</f>
        <v>100</v>
      </c>
      <c r="V34" s="21"/>
      <c r="W34" s="21"/>
    </row>
    <row r="35" spans="1:23" ht="16.5">
      <c r="A35" s="51"/>
      <c r="B35" s="52" t="str">
        <f>T.TOLIS!B34</f>
        <v>a. Penambahan Daya Tersambung</v>
      </c>
      <c r="C35" s="364" t="str">
        <f>T.TOLIS!C34</f>
        <v>ñ</v>
      </c>
      <c r="D35" s="53" t="str">
        <f>T.TOLIS!D34</f>
        <v>MVA</v>
      </c>
      <c r="E35" s="61"/>
      <c r="F35" s="53"/>
      <c r="G35" s="89">
        <f>T.TOLIS!G34</f>
        <v>1.82</v>
      </c>
      <c r="H35" s="89">
        <f>T.TOLIS!H34</f>
        <v>4.59</v>
      </c>
      <c r="I35" s="142">
        <f>PI!AH194</f>
        <v>0.22434999999999999</v>
      </c>
      <c r="J35" s="142">
        <f>PI!AI194</f>
        <v>0.38955000000000001</v>
      </c>
      <c r="K35" s="142">
        <f>PI!AJ194</f>
        <v>0.56130000000000002</v>
      </c>
      <c r="L35" s="142">
        <f>PI!AK194</f>
        <v>0.56825000000000003</v>
      </c>
      <c r="M35" s="142">
        <f>PI!AL194</f>
        <v>0.32464999999999999</v>
      </c>
      <c r="N35" s="142">
        <f>PI!AM194</f>
        <v>0.43064999999999998</v>
      </c>
      <c r="O35" s="142">
        <f>PI!AN194</f>
        <v>0.58135000000000003</v>
      </c>
      <c r="P35" s="142">
        <f>PI!AO194</f>
        <v>0.76944999999999997</v>
      </c>
      <c r="Q35" s="142">
        <f>PI!AP194</f>
        <v>1.81965</v>
      </c>
      <c r="R35" s="142">
        <f>PI!AQ194</f>
        <v>2.0062500000000001</v>
      </c>
      <c r="S35" s="142">
        <f>PI!AR194</f>
        <v>0</v>
      </c>
      <c r="T35" s="142">
        <f>PI!AS194</f>
        <v>0</v>
      </c>
      <c r="V35" s="21"/>
      <c r="W35" s="21"/>
    </row>
    <row r="36" spans="1:23" ht="16.5">
      <c r="A36" s="51"/>
      <c r="B36" s="52" t="str">
        <f>T.TOLIS!B35</f>
        <v>b. Penambahan Jumlah Pelanggan</v>
      </c>
      <c r="C36" s="364" t="str">
        <f>T.TOLIS!C35</f>
        <v>ñ</v>
      </c>
      <c r="D36" s="53" t="str">
        <f>T.TOLIS!D35</f>
        <v>Pelanggan</v>
      </c>
      <c r="E36" s="61"/>
      <c r="F36" s="53"/>
      <c r="G36" s="89">
        <f>T.TOLIS!G35</f>
        <v>1095</v>
      </c>
      <c r="H36" s="89">
        <f>T.TOLIS!H35</f>
        <v>2521</v>
      </c>
      <c r="I36" s="142">
        <f>PI!AH200</f>
        <v>70</v>
      </c>
      <c r="J36" s="142">
        <f>PI!AI200</f>
        <v>196</v>
      </c>
      <c r="K36" s="142">
        <f>PI!AJ200</f>
        <v>303</v>
      </c>
      <c r="L36" s="142">
        <f>PI!AK200</f>
        <v>396</v>
      </c>
      <c r="M36" s="142">
        <f>PI!AL200</f>
        <v>488</v>
      </c>
      <c r="N36" s="142">
        <f>PI!AM200</f>
        <v>583</v>
      </c>
      <c r="O36" s="142">
        <f>PI!AN200</f>
        <v>679</v>
      </c>
      <c r="P36" s="142">
        <f>PI!AO200</f>
        <v>779</v>
      </c>
      <c r="Q36" s="142">
        <f>PI!AP200</f>
        <v>885</v>
      </c>
      <c r="R36" s="142">
        <f>PI!AQ200</f>
        <v>1051</v>
      </c>
      <c r="S36" s="142">
        <f>PI!AR200</f>
        <v>0</v>
      </c>
      <c r="T36" s="142">
        <f>PI!AS200</f>
        <v>0</v>
      </c>
      <c r="V36" s="21"/>
      <c r="W36" s="21"/>
    </row>
    <row r="37" spans="1:23" ht="16.5">
      <c r="A37" s="51"/>
      <c r="B37" s="52" t="str">
        <f>T.TOLIS!B36</f>
        <v>c. Jumlah Penambahan Pelanggan Produk Tematik</v>
      </c>
      <c r="C37" s="364" t="str">
        <f>T.TOLIS!C36</f>
        <v>ñ</v>
      </c>
      <c r="D37" s="53" t="str">
        <f>T.TOLIS!D36</f>
        <v>Pelanggan</v>
      </c>
      <c r="E37" s="61"/>
      <c r="F37" s="53"/>
      <c r="G37" s="89">
        <f>T.TOLIS!G36</f>
        <v>168</v>
      </c>
      <c r="H37" s="89">
        <f>T.TOLIS!H36</f>
        <v>276</v>
      </c>
      <c r="I37" s="142">
        <f>PI!AH206</f>
        <v>54</v>
      </c>
      <c r="J37" s="142">
        <f>PI!AI206</f>
        <v>62</v>
      </c>
      <c r="K37" s="142">
        <f>PI!AJ206</f>
        <v>78</v>
      </c>
      <c r="L37" s="142">
        <f>PI!AK206</f>
        <v>78</v>
      </c>
      <c r="M37" s="142">
        <f>PI!AL206</f>
        <v>100</v>
      </c>
      <c r="N37" s="142">
        <f>PI!AM206</f>
        <v>160</v>
      </c>
      <c r="O37" s="142">
        <f>PI!AN206</f>
        <v>230</v>
      </c>
      <c r="P37" s="142">
        <f>PI!AO206</f>
        <v>260</v>
      </c>
      <c r="Q37" s="142">
        <f>PI!AP206</f>
        <v>282</v>
      </c>
      <c r="R37" s="142">
        <f>PI!AQ206</f>
        <v>350</v>
      </c>
      <c r="S37" s="142">
        <f>PI!AR206</f>
        <v>0</v>
      </c>
      <c r="T37" s="142">
        <f>PI!AS206</f>
        <v>0</v>
      </c>
      <c r="V37" s="21"/>
      <c r="W37" s="21"/>
    </row>
    <row r="38" spans="1:23" ht="31.15" customHeight="1">
      <c r="A38" s="51"/>
      <c r="B38" s="52" t="str">
        <f>T.TOLIS!B37</f>
        <v>d. Implementasi Kesesuaian Sektor Bisnis sesuai KBLI 2020</v>
      </c>
      <c r="C38" s="364" t="str">
        <f>T.TOLIS!C37</f>
        <v>ñ</v>
      </c>
      <c r="D38" s="53" t="str">
        <f>T.TOLIS!D37</f>
        <v>Pelanggan</v>
      </c>
      <c r="E38" s="61"/>
      <c r="F38" s="53"/>
      <c r="G38" s="89">
        <f>T.TOLIS!G37</f>
        <v>4</v>
      </c>
      <c r="H38" s="89">
        <f>T.TOLIS!H37</f>
        <v>5</v>
      </c>
      <c r="I38" s="142">
        <f>PI!AH212</f>
        <v>0</v>
      </c>
      <c r="J38" s="142">
        <f>PI!AI212</f>
        <v>0</v>
      </c>
      <c r="K38" s="142">
        <f>PI!AJ212</f>
        <v>0</v>
      </c>
      <c r="L38" s="142">
        <f>PI!AK212</f>
        <v>5</v>
      </c>
      <c r="M38" s="142">
        <f>PI!AL212</f>
        <v>5</v>
      </c>
      <c r="N38" s="142">
        <f>PI!AM212</f>
        <v>5</v>
      </c>
      <c r="O38" s="142">
        <f>PI!AN212</f>
        <v>6</v>
      </c>
      <c r="P38" s="142">
        <f>PI!AO212</f>
        <v>6</v>
      </c>
      <c r="Q38" s="142">
        <f>PI!AP212</f>
        <v>6</v>
      </c>
      <c r="R38" s="142">
        <f>PI!AQ212</f>
        <v>6</v>
      </c>
      <c r="S38" s="142">
        <f>PI!AR212</f>
        <v>0</v>
      </c>
      <c r="T38" s="142">
        <f>PI!AS212</f>
        <v>0</v>
      </c>
      <c r="V38" s="21"/>
      <c r="W38" s="21"/>
    </row>
    <row r="39" spans="1:23" ht="16.5">
      <c r="A39" s="51">
        <f>T.TOLIS!A38</f>
        <v>9</v>
      </c>
      <c r="B39" s="267" t="str">
        <f>T.TOLIS!B38</f>
        <v>Percepatan Penyambungan Pelanggan Lisdes</v>
      </c>
      <c r="C39" s="364"/>
      <c r="D39" s="53"/>
      <c r="E39" s="61"/>
      <c r="F39" s="53">
        <f>T.TOLIS!F38</f>
        <v>4</v>
      </c>
      <c r="G39" s="89"/>
      <c r="H39" s="89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2"/>
      <c r="V39" s="21"/>
      <c r="W39" s="21"/>
    </row>
    <row r="40" spans="1:23" ht="33">
      <c r="A40" s="51"/>
      <c r="B40" s="52" t="str">
        <f>T.TOLIS!B39</f>
        <v>a. Penambahan Jumlah Pelanggan Rumah Tangga Lisdes</v>
      </c>
      <c r="C40" s="364" t="str">
        <f>T.TOLIS!C39</f>
        <v>ñ</v>
      </c>
      <c r="D40" s="53" t="str">
        <f>T.TOLIS!D39</f>
        <v>Pelanggan</v>
      </c>
      <c r="E40" s="61"/>
      <c r="F40" s="53"/>
      <c r="G40" s="89">
        <f>T.TOLIS!G39</f>
        <v>4</v>
      </c>
      <c r="H40" s="89">
        <f>T.TOLIS!H39</f>
        <v>157</v>
      </c>
      <c r="I40" s="142">
        <f>PI!AH218</f>
        <v>0</v>
      </c>
      <c r="J40" s="142">
        <f>PI!AI218</f>
        <v>2</v>
      </c>
      <c r="K40" s="142">
        <f>PI!AJ218</f>
        <v>7</v>
      </c>
      <c r="L40" s="142">
        <f>PI!AK218</f>
        <v>10</v>
      </c>
      <c r="M40" s="142">
        <f>PI!AL218</f>
        <v>10</v>
      </c>
      <c r="N40" s="142">
        <f>PI!AM218</f>
        <v>10</v>
      </c>
      <c r="O40" s="142">
        <f>PI!AN218</f>
        <v>10</v>
      </c>
      <c r="P40" s="142">
        <f>PI!AO218</f>
        <v>11</v>
      </c>
      <c r="Q40" s="142">
        <f>PI!AP218</f>
        <v>11</v>
      </c>
      <c r="R40" s="142">
        <f>PI!AQ218</f>
        <v>12</v>
      </c>
      <c r="S40" s="142">
        <f>PI!AR218</f>
        <v>0</v>
      </c>
      <c r="T40" s="142">
        <f>PI!AS218</f>
        <v>0</v>
      </c>
      <c r="V40" s="21"/>
      <c r="W40" s="21"/>
    </row>
    <row r="41" spans="1:23" ht="33">
      <c r="A41" s="51"/>
      <c r="B41" s="52" t="str">
        <f>T.TOLIS!B40</f>
        <v>b. Peningkatan kWh Penjualan dari Pelanggan Rumah Tangga Lisdes</v>
      </c>
      <c r="C41" s="364" t="str">
        <f>T.TOLIS!C40</f>
        <v>ñ</v>
      </c>
      <c r="D41" s="53" t="str">
        <f>T.TOLIS!D40</f>
        <v>kWh</v>
      </c>
      <c r="E41" s="61"/>
      <c r="F41" s="53"/>
      <c r="G41" s="89">
        <f>T.TOLIS!G40</f>
        <v>162</v>
      </c>
      <c r="H41" s="89">
        <f>T.TOLIS!H40</f>
        <v>20987.087</v>
      </c>
      <c r="I41" s="142">
        <f>PI!AH224</f>
        <v>0</v>
      </c>
      <c r="J41" s="142">
        <f>PI!AI224</f>
        <v>778.1</v>
      </c>
      <c r="K41" s="142">
        <f>PI!AJ224</f>
        <v>1166.7</v>
      </c>
      <c r="L41" s="142">
        <f>PI!AK224</f>
        <v>1415.6000000000001</v>
      </c>
      <c r="M41" s="142">
        <f>PI!AL224</f>
        <v>1895.5000000000002</v>
      </c>
      <c r="N41" s="142">
        <f>PI!AM224</f>
        <v>2180</v>
      </c>
      <c r="O41" s="142">
        <f>PI!AN224</f>
        <v>2840.3</v>
      </c>
      <c r="P41" s="142">
        <f>PI!AO224</f>
        <v>3567.8</v>
      </c>
      <c r="Q41" s="142">
        <f>PI!AP224</f>
        <v>3919.6000000000004</v>
      </c>
      <c r="R41" s="142">
        <f>PI!AQ224</f>
        <v>4548.5</v>
      </c>
      <c r="S41" s="142">
        <f>PI!AR224</f>
        <v>0</v>
      </c>
      <c r="T41" s="142">
        <f>PI!AS224</f>
        <v>0</v>
      </c>
      <c r="V41" s="21"/>
      <c r="W41" s="21"/>
    </row>
    <row r="42" spans="1:23" ht="16.5">
      <c r="A42" s="51">
        <f>T.TOLIS!A41</f>
        <v>10</v>
      </c>
      <c r="B42" s="267" t="str">
        <f>T.TOLIS!B41</f>
        <v>Pengelolaan Pembacaan Meter</v>
      </c>
      <c r="C42" s="364"/>
      <c r="D42" s="53"/>
      <c r="E42" s="61"/>
      <c r="F42" s="53">
        <f>T.TOLIS!F41</f>
        <v>8</v>
      </c>
      <c r="G42" s="89"/>
      <c r="H42" s="89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95"/>
      <c r="V42" s="21"/>
      <c r="W42" s="21"/>
    </row>
    <row r="43" spans="1:23" ht="16.5">
      <c r="A43" s="51"/>
      <c r="B43" s="52" t="str">
        <f>T.TOLIS!B42</f>
        <v>a. Jumlah Pengguna Swa Cam</v>
      </c>
      <c r="C43" s="364" t="str">
        <f>T.TOLIS!C42</f>
        <v>ñ</v>
      </c>
      <c r="D43" s="53" t="str">
        <f>T.TOLIS!D42</f>
        <v>Pelanggan</v>
      </c>
      <c r="E43" s="61"/>
      <c r="F43" s="53"/>
      <c r="G43" s="89">
        <f>T.TOLIS!G42</f>
        <v>2110</v>
      </c>
      <c r="H43" s="89">
        <f>T.TOLIS!H42</f>
        <v>2110</v>
      </c>
      <c r="I43" s="142">
        <f>PI!AH234</f>
        <v>3556</v>
      </c>
      <c r="J43" s="142">
        <f>PI!AI234</f>
        <v>3261</v>
      </c>
      <c r="K43" s="142">
        <f>PI!AJ234</f>
        <v>3619</v>
      </c>
      <c r="L43" s="142">
        <f>PI!AK234</f>
        <v>3317</v>
      </c>
      <c r="M43" s="142">
        <f>PI!AL234</f>
        <v>3190.2</v>
      </c>
      <c r="N43" s="142">
        <f>PI!AM234</f>
        <v>3122.1666666666665</v>
      </c>
      <c r="O43" s="142">
        <f>PI!AN234</f>
        <v>3082.1428571428573</v>
      </c>
      <c r="P43" s="142">
        <f>PI!AO234</f>
        <v>3052.125</v>
      </c>
      <c r="Q43" s="142">
        <f>PI!AP234</f>
        <v>3004</v>
      </c>
      <c r="R43" s="142">
        <f>PI!AQ234</f>
        <v>2961.9</v>
      </c>
      <c r="S43" s="142">
        <f>PI!AR234</f>
        <v>2961.9</v>
      </c>
      <c r="T43" s="142">
        <f>PI!AS234</f>
        <v>2961.9</v>
      </c>
      <c r="V43" s="21"/>
      <c r="W43" s="21"/>
    </row>
    <row r="44" spans="1:23" ht="33">
      <c r="A44" s="51"/>
      <c r="B44" s="52" t="str">
        <f>T.TOLIS!B43</f>
        <v>b. Tindak Lanjut LBKB (Laporan Bulanan Kelainan Baca Meter)</v>
      </c>
      <c r="C44" s="364" t="str">
        <f>T.TOLIS!C43</f>
        <v>ò</v>
      </c>
      <c r="D44" s="53" t="str">
        <f>T.TOLIS!D43</f>
        <v>Pelanggan</v>
      </c>
      <c r="E44" s="61"/>
      <c r="F44" s="53"/>
      <c r="G44" s="89">
        <f>T.TOLIS!G43</f>
        <v>0</v>
      </c>
      <c r="H44" s="89">
        <f>T.TOLIS!H43</f>
        <v>0</v>
      </c>
      <c r="I44" s="142">
        <v>0</v>
      </c>
      <c r="J44" s="142">
        <v>0</v>
      </c>
      <c r="K44" s="142">
        <v>0</v>
      </c>
      <c r="L44" s="142">
        <v>0</v>
      </c>
      <c r="M44" s="142">
        <v>0</v>
      </c>
      <c r="N44" s="142">
        <v>0</v>
      </c>
      <c r="O44" s="142">
        <v>0</v>
      </c>
      <c r="P44" s="142">
        <v>0</v>
      </c>
      <c r="Q44" s="142">
        <v>0</v>
      </c>
      <c r="R44" s="142">
        <v>0</v>
      </c>
      <c r="S44" s="142">
        <v>0</v>
      </c>
      <c r="T44" s="142">
        <v>0</v>
      </c>
      <c r="V44" s="21"/>
      <c r="W44" s="21"/>
    </row>
    <row r="45" spans="1:23" ht="16.5">
      <c r="A45" s="51">
        <f>T.TOLIS!A44</f>
        <v>11</v>
      </c>
      <c r="B45" s="267" t="str">
        <f>T.TOLIS!B44</f>
        <v>Sisa Stand Bongkar Migrasi</v>
      </c>
      <c r="C45" s="364" t="str">
        <f>T.TOLIS!C44</f>
        <v>ñ</v>
      </c>
      <c r="D45" s="53" t="str">
        <f>T.TOLIS!D44</f>
        <v>%</v>
      </c>
      <c r="E45" s="61"/>
      <c r="F45" s="53">
        <f>T.TOLIS!F44</f>
        <v>3</v>
      </c>
      <c r="G45" s="89">
        <f>T.TOLIS!G44</f>
        <v>100</v>
      </c>
      <c r="H45" s="89">
        <f>T.TOLIS!H44</f>
        <v>100</v>
      </c>
      <c r="I45" s="142">
        <f>PI!AH246</f>
        <v>100</v>
      </c>
      <c r="J45" s="142">
        <f>PI!AI246</f>
        <v>100</v>
      </c>
      <c r="K45" s="142">
        <f>PI!AJ246</f>
        <v>100</v>
      </c>
      <c r="L45" s="142">
        <f>PI!AK246</f>
        <v>100</v>
      </c>
      <c r="M45" s="142">
        <f>PI!AL246</f>
        <v>100</v>
      </c>
      <c r="N45" s="142">
        <f>PI!AM246</f>
        <v>100</v>
      </c>
      <c r="O45" s="142">
        <f>PI!AN246</f>
        <v>100</v>
      </c>
      <c r="P45" s="142">
        <f>PI!AO246</f>
        <v>100</v>
      </c>
      <c r="Q45" s="142">
        <f>PI!AP246</f>
        <v>100</v>
      </c>
      <c r="R45" s="142">
        <f>PI!AQ246</f>
        <v>100</v>
      </c>
      <c r="S45" s="142">
        <f>PI!AR246</f>
        <v>100</v>
      </c>
      <c r="T45" s="142">
        <f>PI!AS246</f>
        <v>100</v>
      </c>
      <c r="V45" s="21"/>
      <c r="W45" s="21"/>
    </row>
    <row r="46" spans="1:23" ht="16.5">
      <c r="A46" s="51">
        <f>T.TOLIS!A45</f>
        <v>12</v>
      </c>
      <c r="B46" s="267" t="str">
        <f>T.TOLIS!B45</f>
        <v>Percepatan Cash In</v>
      </c>
      <c r="C46" s="364"/>
      <c r="D46" s="53"/>
      <c r="E46" s="61"/>
      <c r="F46" s="53">
        <f>T.TOLIS!F45</f>
        <v>9</v>
      </c>
      <c r="G46" s="89"/>
      <c r="H46" s="89"/>
      <c r="I46" s="142"/>
      <c r="J46" s="142"/>
      <c r="K46" s="142"/>
      <c r="L46" s="142"/>
      <c r="M46" s="142"/>
      <c r="N46" s="142"/>
      <c r="O46" s="142"/>
      <c r="P46" s="142"/>
      <c r="Q46" s="142"/>
      <c r="R46" s="142"/>
      <c r="S46" s="142"/>
      <c r="T46" s="142"/>
      <c r="V46" s="21"/>
      <c r="W46" s="21"/>
    </row>
    <row r="47" spans="1:23" ht="33">
      <c r="A47" s="51"/>
      <c r="B47" s="52" t="str">
        <f>T.TOLIS!B46</f>
        <v>a. Persentase Rata-Rata Saldo Tanggal 20 Non Kogol 1 dan Non Kogol 2</v>
      </c>
      <c r="C47" s="364" t="str">
        <f>T.TOLIS!C46</f>
        <v>ò</v>
      </c>
      <c r="D47" s="53" t="str">
        <f>T.TOLIS!D46</f>
        <v>Rp. Juta</v>
      </c>
      <c r="E47" s="61"/>
      <c r="F47" s="53"/>
      <c r="G47" s="89">
        <f>T.TOLIS!G46</f>
        <v>303</v>
      </c>
      <c r="H47" s="89">
        <f>T.TOLIS!H46</f>
        <v>303</v>
      </c>
      <c r="I47" s="142">
        <f>PI!AH264</f>
        <v>292.510561</v>
      </c>
      <c r="J47" s="142">
        <f>PI!AI264</f>
        <v>239.5197235</v>
      </c>
      <c r="K47" s="142">
        <f>PI!AJ264</f>
        <v>184.76773166666666</v>
      </c>
      <c r="L47" s="142">
        <f>PI!AK264</f>
        <v>175.622862</v>
      </c>
      <c r="M47" s="142">
        <f>PI!AL264</f>
        <v>240.06880959999998</v>
      </c>
      <c r="N47" s="142">
        <f>PI!AM264</f>
        <v>231.35805433333334</v>
      </c>
      <c r="O47" s="142">
        <f>PI!AN264</f>
        <v>223.27793771428574</v>
      </c>
      <c r="P47" s="142">
        <f>PI!AO264</f>
        <v>223.46695562500003</v>
      </c>
      <c r="Q47" s="142">
        <f>PI!AP264</f>
        <v>243.64695700000004</v>
      </c>
      <c r="R47" s="142">
        <f>PI!AQ264</f>
        <v>259.26290160000002</v>
      </c>
      <c r="S47" s="142">
        <f>PI!AR264</f>
        <v>259.26290160000002</v>
      </c>
      <c r="T47" s="142">
        <f>PI!AS264</f>
        <v>259.26290160000002</v>
      </c>
      <c r="V47" s="21"/>
      <c r="W47" s="21"/>
    </row>
    <row r="48" spans="1:23" ht="33">
      <c r="A48" s="51"/>
      <c r="B48" s="52" t="str">
        <f>T.TOLIS!B47</f>
        <v>b. Pencapaian Saldo Rata-Rata Akhir Bulan Non Kogol 1 dan Non Kogol 2</v>
      </c>
      <c r="C48" s="364" t="str">
        <f>T.TOLIS!C47</f>
        <v>ò</v>
      </c>
      <c r="D48" s="53" t="str">
        <f>T.TOLIS!D47</f>
        <v>Rp. Juta</v>
      </c>
      <c r="E48" s="61"/>
      <c r="F48" s="53"/>
      <c r="G48" s="89">
        <f>T.TOLIS!G44</f>
        <v>100</v>
      </c>
      <c r="H48" s="89">
        <f>T.TOLIS!H44</f>
        <v>100</v>
      </c>
      <c r="I48" s="142">
        <f>PI!AH286</f>
        <v>141.13633999999999</v>
      </c>
      <c r="J48" s="142">
        <f>PI!AI286</f>
        <v>72.285492499999989</v>
      </c>
      <c r="K48" s="142">
        <f>PI!AJ286</f>
        <v>48.270994999999992</v>
      </c>
      <c r="L48" s="142">
        <f>PI!AK286</f>
        <v>39.791144749999994</v>
      </c>
      <c r="M48" s="142">
        <f>PI!AL286</f>
        <v>32.084212399999998</v>
      </c>
      <c r="N48" s="142">
        <f>PI!AM286</f>
        <v>30.291526999999999</v>
      </c>
      <c r="O48" s="142">
        <f>PI!AN286</f>
        <v>26.43360357142857</v>
      </c>
      <c r="P48" s="142">
        <f>PI!AO286</f>
        <v>23.51059025</v>
      </c>
      <c r="Q48" s="142">
        <f>PI!AP286</f>
        <v>24.760700222222223</v>
      </c>
      <c r="R48" s="142">
        <f>PI!AQ286</f>
        <v>22.407604299999999</v>
      </c>
      <c r="S48" s="142">
        <f>PI!AR286</f>
        <v>22.407604299999999</v>
      </c>
      <c r="T48" s="142">
        <f>PI!AS286</f>
        <v>22.407604299999999</v>
      </c>
    </row>
    <row r="49" spans="1:20" ht="16.5">
      <c r="A49" s="51"/>
      <c r="B49" s="52" t="str">
        <f>T.TOLIS!B48</f>
        <v>c. Pencapaian Pelunasan PRR</v>
      </c>
      <c r="C49" s="364" t="str">
        <f>T.TOLIS!C48</f>
        <v>ñ</v>
      </c>
      <c r="D49" s="53" t="str">
        <f>T.TOLIS!D48</f>
        <v>Rp. Juta</v>
      </c>
      <c r="E49" s="61"/>
      <c r="F49" s="53"/>
      <c r="G49" s="89">
        <f>T.TOLIS!G45</f>
        <v>0</v>
      </c>
      <c r="H49" s="89">
        <f>T.TOLIS!H45</f>
        <v>0</v>
      </c>
      <c r="I49" s="142">
        <f>PI!AH309</f>
        <v>0</v>
      </c>
      <c r="J49" s="142">
        <f>PI!AI309</f>
        <v>0</v>
      </c>
      <c r="K49" s="142">
        <f>PI!AJ309</f>
        <v>0.97739100000000001</v>
      </c>
      <c r="L49" s="142">
        <f>PI!AK309</f>
        <v>1.844376</v>
      </c>
      <c r="M49" s="142">
        <f>PI!AL309</f>
        <v>8.7684359999999995</v>
      </c>
      <c r="N49" s="142">
        <f>PI!AM309</f>
        <v>8.7684359999999995</v>
      </c>
      <c r="O49" s="142">
        <f>PI!AN309</f>
        <v>8.7684359999999995</v>
      </c>
      <c r="P49" s="142">
        <f>PI!AO309</f>
        <v>8.7684359999999995</v>
      </c>
      <c r="Q49" s="142">
        <f>PI!AP309</f>
        <v>12.490337</v>
      </c>
      <c r="R49" s="142">
        <f>PI!AQ309</f>
        <v>12.592142000000001</v>
      </c>
      <c r="S49" s="142">
        <f>PI!AR309</f>
        <v>0</v>
      </c>
      <c r="T49" s="142">
        <f>PI!AS309</f>
        <v>0</v>
      </c>
    </row>
    <row r="50" spans="1:20" ht="16.5">
      <c r="A50" s="51">
        <f>T.TOLIS!A49</f>
        <v>13</v>
      </c>
      <c r="B50" s="267" t="str">
        <f>T.TOLIS!B49</f>
        <v>Kepatuhan :</v>
      </c>
      <c r="C50" s="364"/>
      <c r="D50" s="53">
        <f>T.TOLIS!D49</f>
        <v>0</v>
      </c>
      <c r="E50" s="61" t="str">
        <f>T.TOLIS!E43</f>
        <v>Tidak ada LBKB Gangguan Baca dan Gangguan Meter Pelanggan Pascabayar diatas 3 bulan berturut-turut</v>
      </c>
      <c r="F50" s="53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111"/>
    </row>
    <row r="51" spans="1:20" ht="16.5">
      <c r="A51" s="51"/>
      <c r="B51" s="52" t="str">
        <f>T.TOLIS!B50</f>
        <v>a. Pengelolaan K3, Keamanan dan Lingkungan Hidup</v>
      </c>
      <c r="C51" s="364"/>
      <c r="D51" s="53">
        <f>T.TOLIS!D50</f>
        <v>0</v>
      </c>
      <c r="E51" s="61" t="e">
        <f>T.TOLIS!#REF!</f>
        <v>#REF!</v>
      </c>
      <c r="F51" s="53" t="str">
        <f>T.TOLIS!F50</f>
        <v>Max-8</v>
      </c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111"/>
    </row>
    <row r="52" spans="1:20" ht="33">
      <c r="A52" s="51"/>
      <c r="B52" s="52" t="str">
        <f>T.TOLIS!B51</f>
        <v>b. Maturity Level Implementasi Sistem Manajemen Anti Penyuapan (SMAP)</v>
      </c>
      <c r="C52" s="364"/>
      <c r="D52" s="53">
        <f>T.TOLIS!D51</f>
        <v>0</v>
      </c>
      <c r="E52" s="61" t="e">
        <f>T.TOLIS!#REF!</f>
        <v>#REF!</v>
      </c>
      <c r="F52" s="53" t="str">
        <f>T.TOLIS!F51</f>
        <v>Max-4</v>
      </c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111"/>
    </row>
    <row r="53" spans="1:20" ht="33">
      <c r="A53" s="51"/>
      <c r="B53" s="52" t="str">
        <f>T.TOLIS!B52</f>
        <v>c. Ketepatan penyampaian pelaporan dan Akurasi Data Kinerja</v>
      </c>
      <c r="C53" s="364"/>
      <c r="D53" s="53">
        <f>T.TOLIS!D52</f>
        <v>0</v>
      </c>
      <c r="E53" s="61" t="e">
        <f>T.TOLIS!#REF!</f>
        <v>#REF!</v>
      </c>
      <c r="F53" s="53" t="str">
        <f>T.TOLIS!F52</f>
        <v>Max-10</v>
      </c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111"/>
    </row>
    <row r="54" spans="1:20" ht="16.5">
      <c r="A54" s="51"/>
      <c r="B54" s="52" t="str">
        <f>T.TOLIS!B53</f>
        <v>d. Tindak Lanjut Temuan Auditor</v>
      </c>
      <c r="C54" s="364"/>
      <c r="D54" s="53">
        <f>T.TOLIS!D53</f>
        <v>0</v>
      </c>
      <c r="E54" s="61"/>
      <c r="F54" s="53" t="str">
        <f>T.TOLIS!F53</f>
        <v>Max-5</v>
      </c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111"/>
    </row>
    <row r="55" spans="1:20" ht="33">
      <c r="A55" s="51"/>
      <c r="B55" s="52" t="str">
        <f>T.TOLIS!B54</f>
        <v>e. Pencapaian Beyond RKAP</v>
      </c>
      <c r="C55" s="364"/>
      <c r="D55" s="53">
        <f>T.TOLIS!D54</f>
        <v>0</v>
      </c>
      <c r="E55" s="61" t="e">
        <f>T.TOLIS!#REF!</f>
        <v>#REF!</v>
      </c>
      <c r="F55" s="53" t="str">
        <f>T.TOLIS!F54</f>
        <v>Max-2
Max+2</v>
      </c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111"/>
    </row>
    <row r="56" spans="1:20" s="156" customFormat="1" ht="16.5">
      <c r="A56" s="54"/>
      <c r="B56" s="55" t="str">
        <f>T.TOLIS!B55</f>
        <v>TOTAL BOBOT</v>
      </c>
      <c r="C56" s="365"/>
      <c r="D56" s="129"/>
      <c r="E56" s="55"/>
      <c r="F56" s="139">
        <f>F7+F18</f>
        <v>100</v>
      </c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</row>
    <row r="58" spans="1:20">
      <c r="A58" s="2"/>
      <c r="B58" s="3" t="s">
        <v>368</v>
      </c>
      <c r="C58" s="367"/>
      <c r="D58" s="4">
        <f>COUNTA(D8:D55)</f>
        <v>37</v>
      </c>
      <c r="E58" s="2"/>
      <c r="F58" s="4"/>
      <c r="G58" s="4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60" spans="1:20">
      <c r="A60" s="63" t="s">
        <v>369</v>
      </c>
      <c r="B60" s="26"/>
      <c r="C60" s="368"/>
      <c r="D60" s="25"/>
      <c r="E60" s="25"/>
      <c r="F60" s="25"/>
      <c r="G60" s="25"/>
      <c r="H60" s="25"/>
      <c r="I60" s="25"/>
      <c r="J60" s="25"/>
      <c r="K60" s="25"/>
      <c r="L60" s="25"/>
      <c r="M60" s="25"/>
      <c r="Q60" s="25"/>
      <c r="S60" s="25"/>
    </row>
    <row r="61" spans="1:20">
      <c r="A61" s="25">
        <v>3</v>
      </c>
      <c r="B61" s="64" t="s">
        <v>370</v>
      </c>
      <c r="C61" s="368"/>
      <c r="D61" s="25"/>
      <c r="E61" s="25"/>
      <c r="F61" s="25"/>
      <c r="G61" s="25"/>
      <c r="H61" s="25"/>
      <c r="I61" s="25"/>
      <c r="J61" s="25"/>
      <c r="K61" s="25"/>
      <c r="L61" s="25"/>
      <c r="M61" s="25"/>
      <c r="Q61" s="25"/>
      <c r="S61" s="25"/>
    </row>
    <row r="62" spans="1:20">
      <c r="A62" s="25">
        <v>1</v>
      </c>
      <c r="B62" s="64" t="s">
        <v>371</v>
      </c>
      <c r="C62" s="368"/>
      <c r="D62" s="25"/>
      <c r="E62" s="25"/>
      <c r="F62" s="25"/>
      <c r="G62" s="25"/>
      <c r="H62" s="25"/>
      <c r="I62" s="25"/>
      <c r="J62" s="25"/>
      <c r="K62" s="25"/>
      <c r="L62" s="25"/>
      <c r="M62" s="25"/>
      <c r="Q62" s="25"/>
      <c r="S62" s="25"/>
    </row>
    <row r="63" spans="1:20">
      <c r="A63" s="25"/>
      <c r="B63" s="26"/>
      <c r="C63" s="368"/>
      <c r="D63" s="25"/>
      <c r="E63" s="25"/>
      <c r="F63" s="25"/>
      <c r="G63" s="25"/>
      <c r="H63" s="25"/>
      <c r="I63" s="25"/>
      <c r="J63" s="25"/>
      <c r="K63" s="25"/>
      <c r="L63" s="25"/>
      <c r="M63" s="25"/>
      <c r="Q63" s="25"/>
      <c r="S63" s="25"/>
    </row>
    <row r="64" spans="1:20">
      <c r="A64" s="25"/>
      <c r="B64" s="26"/>
      <c r="C64" s="368"/>
      <c r="D64" s="25"/>
      <c r="E64" s="25"/>
      <c r="F64" s="25"/>
      <c r="G64" s="25"/>
      <c r="H64" s="25"/>
      <c r="I64" s="25"/>
      <c r="J64" s="25"/>
      <c r="K64" s="25"/>
      <c r="L64" s="25"/>
      <c r="M64" s="25"/>
      <c r="Q64" s="25"/>
      <c r="S64" s="25"/>
    </row>
    <row r="65" spans="1:19">
      <c r="A65" s="24"/>
      <c r="B65" s="23"/>
      <c r="C65" s="368"/>
      <c r="D65" s="24"/>
      <c r="E65" s="24"/>
      <c r="F65" s="24"/>
      <c r="G65" s="24"/>
      <c r="H65" s="24"/>
      <c r="I65" s="24"/>
      <c r="J65" s="24"/>
      <c r="K65" s="24"/>
      <c r="L65" s="24"/>
      <c r="M65" s="24"/>
    </row>
    <row r="66" spans="1:19">
      <c r="Q66" s="24"/>
      <c r="S66" s="24"/>
    </row>
  </sheetData>
  <mergeCells count="9">
    <mergeCell ref="H4:H5"/>
    <mergeCell ref="I4:T4"/>
    <mergeCell ref="B6:C6"/>
    <mergeCell ref="E4:E5"/>
    <mergeCell ref="A4:A5"/>
    <mergeCell ref="B4:C5"/>
    <mergeCell ref="D4:D5"/>
    <mergeCell ref="F4:F5"/>
    <mergeCell ref="G4:G5"/>
  </mergeCells>
  <conditionalFormatting sqref="A61">
    <cfRule type="iconSet" priority="28">
      <iconSet iconSet="3ArrowsGray" showValue="0">
        <cfvo type="percent" val="0"/>
        <cfvo type="num" val="2"/>
        <cfvo type="num" val="3"/>
      </iconSet>
    </cfRule>
    <cfRule type="iconSet" priority="30">
      <iconSet iconSet="3ArrowsGray" showValue="0">
        <cfvo type="percent" val="0"/>
        <cfvo type="num" val="2"/>
        <cfvo type="num" val="3"/>
      </iconSet>
    </cfRule>
    <cfRule type="iconSet" priority="32">
      <iconSet iconSet="3ArrowsGray" showValue="0">
        <cfvo type="percent" val="0"/>
        <cfvo type="num" val="2"/>
        <cfvo type="num" val="3"/>
      </iconSet>
    </cfRule>
    <cfRule type="iconSet" priority="34">
      <iconSet iconSet="3ArrowsGray" showValue="0">
        <cfvo type="percent" val="0"/>
        <cfvo type="num" val="2"/>
        <cfvo type="num" val="3"/>
      </iconSet>
    </cfRule>
  </conditionalFormatting>
  <conditionalFormatting sqref="A62">
    <cfRule type="iconSet" priority="27">
      <iconSet iconSet="3ArrowsGray" showValue="0">
        <cfvo type="percent" val="0"/>
        <cfvo type="num" val="2"/>
        <cfvo type="num" val="3"/>
      </iconSet>
    </cfRule>
    <cfRule type="iconSet" priority="29">
      <iconSet iconSet="3ArrowsGray" showValue="0">
        <cfvo type="percent" val="0"/>
        <cfvo type="num" val="2"/>
        <cfvo type="num" val="3"/>
      </iconSet>
    </cfRule>
    <cfRule type="iconSet" priority="31">
      <iconSet iconSet="3ArrowsGray" showValue="0">
        <cfvo type="percent" val="0"/>
        <cfvo type="num" val="2"/>
        <cfvo type="num" val="3"/>
      </iconSet>
    </cfRule>
    <cfRule type="iconSet" priority="33">
      <iconSet iconSet="3ArrowsGray" showValue="0">
        <cfvo type="percent" val="0"/>
        <cfvo type="num" val="2"/>
        <cfvo type="num" val="3"/>
      </iconSet>
    </cfRule>
  </conditionalFormatting>
  <conditionalFormatting sqref="C8:C17">
    <cfRule type="iconSet" priority="47733">
      <iconSet iconSet="3ArrowsGray" showValue="0">
        <cfvo type="percent" val="0"/>
        <cfvo type="num" val="2"/>
        <cfvo type="num" val="3"/>
      </iconSet>
    </cfRule>
    <cfRule type="iconSet" priority="47734">
      <iconSet iconSet="3ArrowsGray" showValue="0">
        <cfvo type="percent" val="0"/>
        <cfvo type="num" val="2"/>
        <cfvo type="num" val="3"/>
      </iconSet>
    </cfRule>
  </conditionalFormatting>
  <conditionalFormatting sqref="C19:C55">
    <cfRule type="iconSet" priority="47737">
      <iconSet iconSet="3ArrowsGray" showValue="0">
        <cfvo type="percent" val="0"/>
        <cfvo type="num" val="2"/>
        <cfvo type="num" val="3"/>
      </iconSet>
    </cfRule>
  </conditionalFormatting>
  <conditionalFormatting sqref="C57">
    <cfRule type="iconSet" priority="37">
      <iconSet iconSet="3ArrowsGray" showValue="0">
        <cfvo type="percent" val="0"/>
        <cfvo type="num" val="2"/>
        <cfvo type="num" val="3"/>
      </iconSet>
    </cfRule>
    <cfRule type="iconSet" priority="39">
      <iconSet iconSet="3ArrowsGray" showValue="0">
        <cfvo type="percent" val="0"/>
        <cfvo type="num" val="2"/>
        <cfvo type="num" val="3"/>
      </iconSet>
    </cfRule>
  </conditionalFormatting>
  <conditionalFormatting sqref="C58">
    <cfRule type="iconSet" priority="43">
      <iconSet iconSet="3ArrowsGray" showValue="0">
        <cfvo type="percent" val="0"/>
        <cfvo type="num" val="2"/>
        <cfvo type="num" val="3"/>
      </iconSet>
    </cfRule>
  </conditionalFormatting>
  <conditionalFormatting sqref="D57 H57">
    <cfRule type="iconSet" priority="38">
      <iconSet iconSet="3ArrowsGray" showValue="0">
        <cfvo type="percent" val="0"/>
        <cfvo type="num" val="2"/>
        <cfvo type="num" val="3"/>
      </iconSet>
    </cfRule>
  </conditionalFormatting>
  <conditionalFormatting sqref="D57">
    <cfRule type="iconSet" priority="41">
      <iconSet iconSet="3ArrowsGray" showValue="0">
        <cfvo type="percent" val="0"/>
        <cfvo type="num" val="2"/>
        <cfvo type="num" val="3"/>
      </iconSet>
    </cfRule>
  </conditionalFormatting>
  <conditionalFormatting sqref="E57">
    <cfRule type="iconSet" priority="40">
      <iconSet iconSet="3ArrowsGray" showValue="0">
        <cfvo type="percent" val="0"/>
        <cfvo type="num" val="2"/>
        <cfvo type="num" val="3"/>
      </iconSet>
    </cfRule>
  </conditionalFormatting>
  <conditionalFormatting sqref="H57">
    <cfRule type="iconSet" priority="36">
      <iconSet iconSet="3ArrowsGray" showValue="0">
        <cfvo type="percent" val="0"/>
        <cfvo type="num" val="2"/>
        <cfvo type="num" val="3"/>
      </iconSet>
    </cfRule>
  </conditionalFormatting>
  <conditionalFormatting sqref="H58:T58">
    <cfRule type="iconSet" priority="42">
      <iconSet iconSet="3ArrowsGray" showValue="0">
        <cfvo type="percent" val="0"/>
        <cfvo type="num" val="2"/>
        <cfvo type="num" val="3"/>
      </iconSet>
    </cfRule>
    <cfRule type="iconSet" priority="44">
      <iconSet iconSet="3ArrowsGray" showValue="0">
        <cfvo type="percent" val="0"/>
        <cfvo type="num" val="2"/>
        <cfvo type="num" val="3"/>
      </iconSet>
    </cfRule>
  </conditionalFormatting>
  <conditionalFormatting sqref="I57:T57">
    <cfRule type="iconSet" priority="35">
      <iconSet iconSet="3ArrowsGray" showValue="0">
        <cfvo type="percent" val="0"/>
        <cfvo type="num" val="2"/>
        <cfvo type="num" val="3"/>
      </iconSet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10000" scale="4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50"/>
    <pageSetUpPr fitToPage="1"/>
  </sheetPr>
  <dimension ref="A1:W65"/>
  <sheetViews>
    <sheetView workbookViewId="0"/>
  </sheetViews>
  <sheetFormatPr defaultColWidth="9.140625" defaultRowHeight="15"/>
  <cols>
    <col min="1" max="1" width="5.5703125" customWidth="1"/>
    <col min="2" max="2" width="44.7109375" customWidth="1"/>
    <col min="3" max="3" width="4.140625" style="366" customWidth="1"/>
    <col min="4" max="4" width="12.42578125" customWidth="1"/>
    <col min="5" max="5" width="113.5703125" hidden="1" customWidth="1"/>
    <col min="6" max="6" width="7.7109375" bestFit="1" customWidth="1"/>
    <col min="7" max="7" width="11" customWidth="1"/>
    <col min="8" max="8" width="11.140625" customWidth="1"/>
    <col min="9" max="20" width="12.140625" customWidth="1"/>
    <col min="21" max="21" width="13.28515625" bestFit="1" customWidth="1"/>
  </cols>
  <sheetData>
    <row r="1" spans="1:22" s="30" customFormat="1" ht="15.75">
      <c r="A1" s="28"/>
      <c r="B1" s="29" t="s">
        <v>270</v>
      </c>
      <c r="C1" s="362"/>
      <c r="D1" s="28"/>
      <c r="E1" s="28"/>
      <c r="I1" s="22"/>
      <c r="U1" s="31"/>
      <c r="V1" s="31"/>
    </row>
    <row r="2" spans="1:22" s="30" customFormat="1" ht="15.75">
      <c r="A2" s="28"/>
      <c r="B2" s="29" t="s">
        <v>123</v>
      </c>
      <c r="C2" s="362"/>
      <c r="D2" s="28"/>
      <c r="E2" s="28"/>
      <c r="U2" s="31"/>
      <c r="V2" s="31"/>
    </row>
    <row r="3" spans="1:22" s="30" customFormat="1" ht="15.75">
      <c r="A3" s="28"/>
      <c r="B3" s="29" t="s">
        <v>376</v>
      </c>
      <c r="C3" s="362"/>
      <c r="D3" s="28"/>
      <c r="E3" s="28"/>
      <c r="U3" s="31"/>
      <c r="V3" s="31"/>
    </row>
    <row r="4" spans="1:22" ht="15" customHeight="1">
      <c r="A4" s="812" t="s">
        <v>8</v>
      </c>
      <c r="B4" s="814" t="s">
        <v>9</v>
      </c>
      <c r="C4" s="815"/>
      <c r="D4" s="790" t="s">
        <v>93</v>
      </c>
      <c r="E4" s="795" t="s">
        <v>271</v>
      </c>
      <c r="F4" s="790" t="s">
        <v>99</v>
      </c>
      <c r="G4" s="790" t="s">
        <v>373</v>
      </c>
      <c r="H4" s="790" t="s">
        <v>374</v>
      </c>
      <c r="I4" s="807" t="s">
        <v>377</v>
      </c>
      <c r="J4" s="808"/>
      <c r="K4" s="808"/>
      <c r="L4" s="808"/>
      <c r="M4" s="808"/>
      <c r="N4" s="808"/>
      <c r="O4" s="808"/>
      <c r="P4" s="808"/>
      <c r="Q4" s="808"/>
      <c r="R4" s="808"/>
      <c r="S4" s="808"/>
      <c r="T4" s="809"/>
    </row>
    <row r="5" spans="1:22" ht="15" customHeight="1">
      <c r="A5" s="813"/>
      <c r="B5" s="816"/>
      <c r="C5" s="817"/>
      <c r="D5" s="791"/>
      <c r="E5" s="796"/>
      <c r="F5" s="791"/>
      <c r="G5" s="791"/>
      <c r="H5" s="791"/>
      <c r="I5" s="424" t="s">
        <v>94</v>
      </c>
      <c r="J5" s="424" t="s">
        <v>95</v>
      </c>
      <c r="K5" s="424" t="s">
        <v>96</v>
      </c>
      <c r="L5" s="424" t="s">
        <v>488</v>
      </c>
      <c r="M5" s="424" t="s">
        <v>489</v>
      </c>
      <c r="N5" s="424" t="s">
        <v>490</v>
      </c>
      <c r="O5" s="424" t="s">
        <v>491</v>
      </c>
      <c r="P5" s="424" t="s">
        <v>165</v>
      </c>
      <c r="Q5" s="424" t="s">
        <v>167</v>
      </c>
      <c r="R5" s="424" t="s">
        <v>492</v>
      </c>
      <c r="S5" s="424" t="s">
        <v>171</v>
      </c>
      <c r="T5" s="424" t="s">
        <v>493</v>
      </c>
    </row>
    <row r="6" spans="1:22" ht="15" customHeight="1">
      <c r="A6" s="427">
        <v>1</v>
      </c>
      <c r="B6" s="810">
        <v>2</v>
      </c>
      <c r="C6" s="811"/>
      <c r="D6" s="455">
        <v>3</v>
      </c>
      <c r="E6" s="425">
        <v>4</v>
      </c>
      <c r="F6" s="455">
        <v>4</v>
      </c>
      <c r="G6" s="455">
        <v>5</v>
      </c>
      <c r="H6" s="424">
        <v>6</v>
      </c>
      <c r="I6" s="427">
        <v>7</v>
      </c>
      <c r="J6" s="424">
        <v>8</v>
      </c>
      <c r="K6" s="455">
        <v>9</v>
      </c>
      <c r="L6" s="424">
        <v>10</v>
      </c>
      <c r="M6" s="455">
        <v>11</v>
      </c>
      <c r="N6" s="424">
        <v>12</v>
      </c>
      <c r="O6" s="455">
        <v>13</v>
      </c>
      <c r="P6" s="424">
        <v>14</v>
      </c>
      <c r="Q6" s="455">
        <v>15</v>
      </c>
      <c r="R6" s="424">
        <v>16</v>
      </c>
      <c r="S6" s="455">
        <v>17</v>
      </c>
      <c r="T6" s="424">
        <v>18</v>
      </c>
    </row>
    <row r="7" spans="1:22" ht="15" customHeight="1">
      <c r="A7" s="47" t="s">
        <v>267</v>
      </c>
      <c r="B7" s="48" t="str">
        <f>T.TOLIS!B7</f>
        <v>Key Performance Indicators</v>
      </c>
      <c r="C7" s="363"/>
      <c r="D7" s="50"/>
      <c r="E7" s="48"/>
      <c r="F7" s="62">
        <f>SUM(F8:F16)</f>
        <v>40</v>
      </c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260"/>
    </row>
    <row r="8" spans="1:22" ht="16.5">
      <c r="A8" s="51">
        <f>T.BANGKIR!A8</f>
        <v>1</v>
      </c>
      <c r="B8" s="267" t="str">
        <f>T.BANGKIR!B8</f>
        <v>Penjualan Tenaga Listrik</v>
      </c>
      <c r="C8" s="364" t="str">
        <f>T.BANGKIR!C8</f>
        <v>ñ</v>
      </c>
      <c r="D8" s="53" t="str">
        <f>T.BANGKIR!D8</f>
        <v>GWh</v>
      </c>
      <c r="E8" s="61" t="e">
        <f>#REF!</f>
        <v>#REF!</v>
      </c>
      <c r="F8" s="53">
        <f>T.BANGKIR!F8</f>
        <v>14</v>
      </c>
      <c r="G8" s="89">
        <f>T.BANGKIR!G8</f>
        <v>13.31</v>
      </c>
      <c r="H8" s="89">
        <f>T.BANGKIR!H8</f>
        <v>27.1</v>
      </c>
      <c r="I8" s="89">
        <f>KPI!AH14</f>
        <v>3.349951645</v>
      </c>
      <c r="J8" s="89">
        <f>KPI!AI14</f>
        <v>6.1451815389999993</v>
      </c>
      <c r="K8" s="89">
        <f>KPI!AJ14</f>
        <v>8.5735038369999987</v>
      </c>
      <c r="L8" s="89">
        <f>KPI!AK14</f>
        <v>9.9639753729999985</v>
      </c>
      <c r="M8" s="89">
        <f>KPI!AL14</f>
        <v>11.682466393999999</v>
      </c>
      <c r="N8" s="89">
        <f>KPI!AM14</f>
        <v>13.639104963999998</v>
      </c>
      <c r="O8" s="89">
        <f>KPI!AN14</f>
        <v>15.664647543999997</v>
      </c>
      <c r="P8" s="89">
        <f>KPI!AO14</f>
        <v>17.818448144999998</v>
      </c>
      <c r="Q8" s="89">
        <f>KPI!AP14</f>
        <v>20.044852349999999</v>
      </c>
      <c r="R8" s="89">
        <f>KPI!AQ14</f>
        <v>22.320869412</v>
      </c>
      <c r="S8" s="89">
        <f>KPI!AR14</f>
        <v>0</v>
      </c>
      <c r="T8" s="89">
        <f>KPI!AS14</f>
        <v>0</v>
      </c>
    </row>
    <row r="9" spans="1:22" ht="15" customHeight="1">
      <c r="A9" s="51">
        <f>T.BANGKIR!A9</f>
        <v>2</v>
      </c>
      <c r="B9" s="267" t="str">
        <f>T.BANGKIR!B9</f>
        <v>Keandalan Sistem</v>
      </c>
      <c r="C9" s="364"/>
      <c r="D9" s="53"/>
      <c r="E9" s="61"/>
      <c r="F9" s="53">
        <f>T.BANGKIR!F9</f>
        <v>14</v>
      </c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111"/>
    </row>
    <row r="10" spans="1:22" ht="15" customHeight="1">
      <c r="A10" s="51"/>
      <c r="B10" s="52" t="str">
        <f>T.BANGKIR!B10</f>
        <v>a. SAIDI (sesuai kewenangan)</v>
      </c>
      <c r="C10" s="364" t="str">
        <f>T.BANGKIR!C10</f>
        <v>ò</v>
      </c>
      <c r="D10" s="53" t="str">
        <f>T.BANGKIR!D10</f>
        <v>Menit/plg</v>
      </c>
      <c r="E10" s="61" t="e">
        <f>#REF!</f>
        <v>#REF!</v>
      </c>
      <c r="F10" s="53"/>
      <c r="G10" s="89">
        <f>T.BANGKIR!G10</f>
        <v>87.89</v>
      </c>
      <c r="H10" s="89">
        <f>T.BANGKIR!H10</f>
        <v>175.78</v>
      </c>
      <c r="I10" s="89">
        <f>KPI!AH38</f>
        <v>15.179571527297856</v>
      </c>
      <c r="J10" s="89">
        <f>KPI!AI38</f>
        <v>15.281531883591558</v>
      </c>
      <c r="K10" s="89">
        <f>KPI!AJ38</f>
        <v>18.773988439306358</v>
      </c>
      <c r="L10" s="89">
        <f>KPI!AK38</f>
        <v>33.332720032953453</v>
      </c>
      <c r="M10" s="89">
        <f>KPI!AL38</f>
        <v>50.742571454661679</v>
      </c>
      <c r="N10" s="89">
        <f>KPI!AM38</f>
        <v>66.18075679613861</v>
      </c>
      <c r="O10" s="89">
        <f>KPI!AN38</f>
        <v>86.78775398881767</v>
      </c>
      <c r="P10" s="89">
        <f>KPI!AO38</f>
        <v>86.942387802332448</v>
      </c>
      <c r="Q10" s="89">
        <f>KPI!AP38</f>
        <v>98.540400108626784</v>
      </c>
      <c r="R10" s="89">
        <f>KPI!AQ38</f>
        <v>124.96484766418416</v>
      </c>
      <c r="S10" s="89">
        <f>KPI!AR38</f>
        <v>0</v>
      </c>
      <c r="T10" s="89">
        <f>KPI!AS38</f>
        <v>0</v>
      </c>
    </row>
    <row r="11" spans="1:22" ht="15" customHeight="1">
      <c r="A11" s="51"/>
      <c r="B11" s="52" t="str">
        <f>T.BANGKIR!B11</f>
        <v>b. SAIFI (sesuai kewenangan)</v>
      </c>
      <c r="C11" s="364" t="str">
        <f>T.BANGKIR!C11</f>
        <v>ò</v>
      </c>
      <c r="D11" s="53" t="str">
        <f>T.BANGKIR!D11</f>
        <v>Kali/plg</v>
      </c>
      <c r="E11" s="61"/>
      <c r="F11" s="53"/>
      <c r="G11" s="89">
        <f>T.BANGKIR!G11</f>
        <v>1.4</v>
      </c>
      <c r="H11" s="89">
        <f>T.BANGKIR!H11</f>
        <v>2.81</v>
      </c>
      <c r="I11" s="89">
        <f>KPI!AH60</f>
        <v>0.1485372034093527</v>
      </c>
      <c r="J11" s="89">
        <f>KPI!AI60</f>
        <v>0.15934899544848513</v>
      </c>
      <c r="K11" s="89">
        <f>KPI!AJ60</f>
        <v>0.3023213138820075</v>
      </c>
      <c r="L11" s="89">
        <f>KPI!AK60</f>
        <v>0.39850794086685887</v>
      </c>
      <c r="M11" s="89">
        <f>KPI!AL60</f>
        <v>0.82083827960916811</v>
      </c>
      <c r="N11" s="89">
        <f>KPI!AM60</f>
        <v>1.1430718091161605</v>
      </c>
      <c r="O11" s="89">
        <f>KPI!AN60</f>
        <v>1.4126551206873039</v>
      </c>
      <c r="P11" s="89">
        <f>KPI!AO60</f>
        <v>1.4216544901756138</v>
      </c>
      <c r="Q11" s="89">
        <f>KPI!AP60</f>
        <v>1.6025165203222593</v>
      </c>
      <c r="R11" s="89">
        <f>KPI!AQ60</f>
        <v>2.0909952606635072</v>
      </c>
      <c r="S11" s="89">
        <f>KPI!AR60</f>
        <v>0</v>
      </c>
      <c r="T11" s="89">
        <f>KPI!AS60</f>
        <v>0</v>
      </c>
    </row>
    <row r="12" spans="1:22" ht="15" customHeight="1">
      <c r="A12" s="51"/>
      <c r="B12" s="52" t="str">
        <f>T.BANGKIR!B12</f>
        <v>c. ENS (sesuai kewenangan)</v>
      </c>
      <c r="C12" s="364" t="str">
        <f>T.BANGKIR!C12</f>
        <v>ò</v>
      </c>
      <c r="D12" s="53" t="str">
        <f>T.BANGKIR!D12</f>
        <v>MWh</v>
      </c>
      <c r="E12" s="61"/>
      <c r="F12" s="53"/>
      <c r="G12" s="89">
        <f>T.BANGKIR!G12</f>
        <v>3.54</v>
      </c>
      <c r="H12" s="89">
        <f>T.BANGKIR!H12</f>
        <v>7.08</v>
      </c>
      <c r="I12" s="89">
        <f>KPI!AH76</f>
        <v>0.79600000000000004</v>
      </c>
      <c r="J12" s="89">
        <f>KPI!AI76</f>
        <v>0.80200000000000005</v>
      </c>
      <c r="K12" s="89">
        <f>KPI!AJ76</f>
        <v>1.0550000000000002</v>
      </c>
      <c r="L12" s="89">
        <f>KPI!AK76</f>
        <v>1.8940000000000001</v>
      </c>
      <c r="M12" s="89">
        <f>KPI!AL76</f>
        <v>2.5420000000000003</v>
      </c>
      <c r="N12" s="89">
        <f>KPI!AM76</f>
        <v>3.0380000000000003</v>
      </c>
      <c r="O12" s="89">
        <f>KPI!AN76</f>
        <v>3.6530000000000005</v>
      </c>
      <c r="P12" s="89">
        <f>KPI!AO76</f>
        <v>3.6660000000000004</v>
      </c>
      <c r="Q12" s="89">
        <f>KPI!AP76</f>
        <v>4.1610000000000005</v>
      </c>
      <c r="R12" s="89">
        <f>KPI!AQ76</f>
        <v>5.0650000000000004</v>
      </c>
      <c r="S12" s="89">
        <f>KPI!AR76</f>
        <v>0</v>
      </c>
      <c r="T12" s="89">
        <f>KPI!AS76</f>
        <v>0</v>
      </c>
    </row>
    <row r="13" spans="1:22" ht="15" customHeight="1">
      <c r="A13" s="51">
        <f>T.BANGKIR!A13</f>
        <v>3</v>
      </c>
      <c r="B13" s="267" t="str">
        <f>T.BANGKIR!B13</f>
        <v>Efisiensi Jaringan Distribusi</v>
      </c>
      <c r="C13" s="364"/>
      <c r="D13" s="53"/>
      <c r="E13" s="61"/>
      <c r="F13" s="53">
        <f>T.BANGKIR!F13</f>
        <v>12</v>
      </c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111"/>
    </row>
    <row r="14" spans="1:22" ht="15" customHeight="1">
      <c r="A14" s="51"/>
      <c r="B14" s="52" t="str">
        <f>T.BANGKIR!B14</f>
        <v>a. Susut Distribusi Tanpa E-min (sesuai kewenangan)</v>
      </c>
      <c r="C14" s="364" t="str">
        <f>T.BANGKIR!C14</f>
        <v>ò</v>
      </c>
      <c r="D14" s="53" t="str">
        <f>T.BANGKIR!D14</f>
        <v>%</v>
      </c>
      <c r="E14" s="61"/>
      <c r="F14" s="53"/>
      <c r="G14" s="89">
        <f>T.BANGKIR!G14</f>
        <v>8.15</v>
      </c>
      <c r="H14" s="89">
        <f>T.BANGKIR!H14</f>
        <v>7.8</v>
      </c>
      <c r="I14" s="89">
        <f>KPI!AH97</f>
        <v>-42.071974368355406</v>
      </c>
      <c r="J14" s="89">
        <f>KPI!AI97</f>
        <v>-35.354654309349698</v>
      </c>
      <c r="K14" s="89">
        <f>KPI!AJ97</f>
        <v>-23.859018142778591</v>
      </c>
      <c r="L14" s="89">
        <f>KPI!AK97</f>
        <v>-10.249560685854476</v>
      </c>
      <c r="M14" s="89">
        <f>KPI!AL97</f>
        <v>-3.699252289146763</v>
      </c>
      <c r="N14" s="89">
        <f>KPI!AM97</f>
        <v>-1.1391962555810786</v>
      </c>
      <c r="O14" s="89">
        <f>KPI!AN97</f>
        <v>1.0833197905053189</v>
      </c>
      <c r="P14" s="89">
        <f>KPI!AO97</f>
        <v>2.4114935378769062</v>
      </c>
      <c r="Q14" s="89">
        <f>KPI!AP97</f>
        <v>3.3809757551298412</v>
      </c>
      <c r="R14" s="89">
        <f>KPI!AQ97</f>
        <v>3.9521214420022299</v>
      </c>
      <c r="S14" s="89">
        <f>KPI!AR97</f>
        <v>0</v>
      </c>
      <c r="T14" s="89">
        <f>KPI!AS97</f>
        <v>0</v>
      </c>
    </row>
    <row r="15" spans="1:22" ht="15" customHeight="1">
      <c r="A15" s="51"/>
      <c r="B15" s="52" t="str">
        <f>T.BANGKIR!B15</f>
        <v>b. Penyelesaian Temuan P2TL</v>
      </c>
      <c r="C15" s="364" t="str">
        <f>T.BANGKIR!C15</f>
        <v>ñ</v>
      </c>
      <c r="D15" s="53" t="str">
        <f>T.BANGKIR!D15</f>
        <v>%</v>
      </c>
      <c r="E15" s="61" t="e">
        <f>#REF!</f>
        <v>#REF!</v>
      </c>
      <c r="F15" s="53"/>
      <c r="G15" s="89">
        <f>T.BANGKIR!G15</f>
        <v>40</v>
      </c>
      <c r="H15" s="89">
        <f>T.BANGKIR!H15</f>
        <v>100</v>
      </c>
      <c r="I15" s="89">
        <f>KPI!AH119</f>
        <v>0.99950000000000006</v>
      </c>
      <c r="J15" s="89">
        <f>KPI!AI119</f>
        <v>1.63</v>
      </c>
      <c r="K15" s="89">
        <f>KPI!AJ119</f>
        <v>20.366</v>
      </c>
      <c r="L15" s="89">
        <f>KPI!AK119</f>
        <v>39.002499999999998</v>
      </c>
      <c r="M15" s="89">
        <f>KPI!AL119</f>
        <v>56.213000000000001</v>
      </c>
      <c r="N15" s="89">
        <f>KPI!AM119</f>
        <v>114.065</v>
      </c>
      <c r="O15" s="89">
        <f>KPI!AN119</f>
        <v>135.39250000000001</v>
      </c>
      <c r="P15" s="89">
        <f>KPI!AO119</f>
        <v>155.3065</v>
      </c>
      <c r="Q15" s="89">
        <f>KPI!AP119</f>
        <v>174.14400000000001</v>
      </c>
      <c r="R15" s="89">
        <f>KPI!AQ119</f>
        <v>188.03649999999999</v>
      </c>
      <c r="S15" s="89">
        <f>KPI!AR119</f>
        <v>188.03649999999999</v>
      </c>
      <c r="T15" s="89">
        <f>KPI!AS119</f>
        <v>188.03649999999999</v>
      </c>
    </row>
    <row r="16" spans="1:22" ht="15" customHeight="1">
      <c r="A16" s="51"/>
      <c r="B16" s="52" t="str">
        <f>T.BANGKIR!B16</f>
        <v>c. Penyelesaian Ganti Meter</v>
      </c>
      <c r="C16" s="364" t="str">
        <f>T.BANGKIR!C16</f>
        <v>ñ</v>
      </c>
      <c r="D16" s="53" t="str">
        <f>T.BANGKIR!D16</f>
        <v>Unit</v>
      </c>
      <c r="E16" s="61" t="e">
        <f>#REF!</f>
        <v>#REF!</v>
      </c>
      <c r="F16" s="53"/>
      <c r="G16" s="89">
        <f>T.BANGKIR!G16</f>
        <v>266</v>
      </c>
      <c r="H16" s="89">
        <f>T.BANGKIR!H16</f>
        <v>793</v>
      </c>
      <c r="I16" s="89">
        <f>KPI!AH132</f>
        <v>9</v>
      </c>
      <c r="J16" s="89">
        <f>KPI!AI132</f>
        <v>9</v>
      </c>
      <c r="K16" s="89">
        <f>KPI!AJ132</f>
        <v>303</v>
      </c>
      <c r="L16" s="89">
        <f>KPI!AK132</f>
        <v>510</v>
      </c>
      <c r="M16" s="89">
        <f>KPI!AL132</f>
        <v>611</v>
      </c>
      <c r="N16" s="89">
        <f>KPI!AM132</f>
        <v>641</v>
      </c>
      <c r="O16" s="89">
        <f>KPI!AN132</f>
        <v>695</v>
      </c>
      <c r="P16" s="89">
        <f>KPI!AO132</f>
        <v>711</v>
      </c>
      <c r="Q16" s="89">
        <f>KPI!AP132</f>
        <v>794</v>
      </c>
      <c r="R16" s="89">
        <f>KPI!AQ132</f>
        <v>794</v>
      </c>
      <c r="S16" s="89">
        <f>KPI!AR132</f>
        <v>794</v>
      </c>
      <c r="T16" s="89">
        <f>KPI!AS132</f>
        <v>794</v>
      </c>
    </row>
    <row r="17" spans="1:20" ht="15" customHeight="1">
      <c r="A17" s="47" t="str">
        <f>T.BANGKIR!A17</f>
        <v>II</v>
      </c>
      <c r="B17" s="269" t="str">
        <f>T.BANGKIR!B17</f>
        <v>Perfomance Indicators</v>
      </c>
      <c r="C17" s="365"/>
      <c r="D17" s="50"/>
      <c r="E17" s="48"/>
      <c r="F17" s="139">
        <f>SUM(F18:F54)</f>
        <v>60</v>
      </c>
      <c r="G17" s="139"/>
      <c r="H17" s="139"/>
      <c r="I17" s="139"/>
      <c r="J17" s="139"/>
      <c r="K17" s="139"/>
      <c r="L17" s="139"/>
      <c r="M17" s="139"/>
      <c r="N17" s="139"/>
      <c r="O17" s="139"/>
      <c r="P17" s="139"/>
      <c r="Q17" s="139"/>
      <c r="R17" s="139"/>
      <c r="S17" s="139"/>
      <c r="T17" s="168"/>
    </row>
    <row r="18" spans="1:20" ht="16.5">
      <c r="A18" s="51">
        <f>T.BANGKIR!A18</f>
        <v>4</v>
      </c>
      <c r="B18" s="267" t="str">
        <f>T.BANGKIR!B18</f>
        <v>Keandalan Jaringan Distribusi</v>
      </c>
      <c r="C18" s="364"/>
      <c r="D18" s="53"/>
      <c r="E18" s="61"/>
      <c r="F18" s="53">
        <f>T.BANGKIR!F18</f>
        <v>9</v>
      </c>
      <c r="G18" s="89"/>
      <c r="H18" s="89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2"/>
      <c r="T18" s="95"/>
    </row>
    <row r="19" spans="1:20" ht="16.5">
      <c r="A19" s="51"/>
      <c r="B19" s="52" t="str">
        <f>T.BANGKIR!B19</f>
        <v>a. Gangguan TM &gt; 5 Menit</v>
      </c>
      <c r="C19" s="364" t="str">
        <f>T.BANGKIR!C19</f>
        <v>ò</v>
      </c>
      <c r="D19" s="53" t="str">
        <f>T.BANGKIR!D19</f>
        <v>Kali</v>
      </c>
      <c r="E19" s="61" t="e">
        <f>#REF!</f>
        <v>#REF!</v>
      </c>
      <c r="F19" s="53"/>
      <c r="G19" s="89">
        <f>T.BANGKIR!G19</f>
        <v>19</v>
      </c>
      <c r="H19" s="89">
        <f>T.BANGKIR!H19</f>
        <v>36</v>
      </c>
      <c r="I19" s="142">
        <f>PI!AH14</f>
        <v>0</v>
      </c>
      <c r="J19" s="142">
        <f>PI!AI14</f>
        <v>0</v>
      </c>
      <c r="K19" s="142">
        <f>PI!AJ14</f>
        <v>8</v>
      </c>
      <c r="L19" s="142">
        <f>PI!AK14</f>
        <v>9</v>
      </c>
      <c r="M19" s="142">
        <f>PI!AL14</f>
        <v>11</v>
      </c>
      <c r="N19" s="142">
        <f>PI!AM14</f>
        <v>13</v>
      </c>
      <c r="O19" s="142">
        <f>PI!AN14</f>
        <v>16</v>
      </c>
      <c r="P19" s="142">
        <f>PI!AO14</f>
        <v>16</v>
      </c>
      <c r="Q19" s="142">
        <f>PI!AP14</f>
        <v>18</v>
      </c>
      <c r="R19" s="142">
        <f>PI!AQ14</f>
        <v>21</v>
      </c>
      <c r="S19" s="142">
        <f>PI!AR14</f>
        <v>21</v>
      </c>
      <c r="T19" s="142">
        <f>PI!AS14</f>
        <v>21</v>
      </c>
    </row>
    <row r="20" spans="1:20" ht="16.5">
      <c r="A20" s="51"/>
      <c r="B20" s="52" t="str">
        <f>T.BANGKIR!B20</f>
        <v>b. Gangguan TM ≤ 5 Menit</v>
      </c>
      <c r="C20" s="364" t="str">
        <f>T.BANGKIR!C20</f>
        <v>ò</v>
      </c>
      <c r="D20" s="53" t="str">
        <f>T.BANGKIR!D20</f>
        <v>Kali</v>
      </c>
      <c r="E20" s="61" t="e">
        <f>#REF!</f>
        <v>#REF!</v>
      </c>
      <c r="F20" s="53"/>
      <c r="G20" s="89">
        <f>T.BANGKIR!G20</f>
        <v>11</v>
      </c>
      <c r="H20" s="89">
        <f>T.BANGKIR!H20</f>
        <v>21</v>
      </c>
      <c r="I20" s="142">
        <f>PI!AH15</f>
        <v>0</v>
      </c>
      <c r="J20" s="142">
        <f>PI!AI15</f>
        <v>4</v>
      </c>
      <c r="K20" s="142">
        <f>PI!AJ15</f>
        <v>4</v>
      </c>
      <c r="L20" s="142">
        <f>PI!AK15</f>
        <v>4</v>
      </c>
      <c r="M20" s="142">
        <f>PI!AL15</f>
        <v>7</v>
      </c>
      <c r="N20" s="142">
        <f>PI!AM15</f>
        <v>9</v>
      </c>
      <c r="O20" s="142">
        <f>PI!AN15</f>
        <v>11</v>
      </c>
      <c r="P20" s="142">
        <f>PI!AO15</f>
        <v>11</v>
      </c>
      <c r="Q20" s="142">
        <f>PI!AP15</f>
        <v>12</v>
      </c>
      <c r="R20" s="142">
        <f>PI!AQ15</f>
        <v>15</v>
      </c>
      <c r="S20" s="142">
        <f>PI!AR15</f>
        <v>15</v>
      </c>
      <c r="T20" s="142">
        <f>PI!AS15</f>
        <v>15</v>
      </c>
    </row>
    <row r="21" spans="1:20" ht="25.9" customHeight="1">
      <c r="A21" s="51"/>
      <c r="B21" s="52" t="str">
        <f>T.BANGKIR!B21</f>
        <v>c. Kerusakan Peralatan Distribusi (PHB TM dan Trafo) Sesuai Kewenangan</v>
      </c>
      <c r="C21" s="364" t="str">
        <f>T.BANGKIR!C21</f>
        <v>ò</v>
      </c>
      <c r="D21" s="53" t="str">
        <f>T.BANGKIR!D21</f>
        <v>Unit</v>
      </c>
      <c r="E21" s="61" t="e">
        <f>#REF!</f>
        <v>#REF!</v>
      </c>
      <c r="F21" s="53"/>
      <c r="G21" s="89">
        <f>T.BANGKIR!G21</f>
        <v>1</v>
      </c>
      <c r="H21" s="89">
        <f>T.BANGKIR!H21</f>
        <v>1</v>
      </c>
      <c r="I21" s="142">
        <f>PI!AH39</f>
        <v>0</v>
      </c>
      <c r="J21" s="142">
        <f>PI!AI39</f>
        <v>0</v>
      </c>
      <c r="K21" s="142">
        <f>PI!AJ39</f>
        <v>0</v>
      </c>
      <c r="L21" s="142">
        <f>PI!AK39</f>
        <v>0</v>
      </c>
      <c r="M21" s="142">
        <f>PI!AL39</f>
        <v>0</v>
      </c>
      <c r="N21" s="142">
        <f>PI!AM39</f>
        <v>0</v>
      </c>
      <c r="O21" s="142">
        <f>PI!AN39</f>
        <v>0</v>
      </c>
      <c r="P21" s="142">
        <f>PI!AO39</f>
        <v>0</v>
      </c>
      <c r="Q21" s="142">
        <f>PI!AP39</f>
        <v>0</v>
      </c>
      <c r="R21" s="142">
        <f>PI!AQ39</f>
        <v>0</v>
      </c>
      <c r="S21" s="142">
        <f>PI!AR39</f>
        <v>0</v>
      </c>
      <c r="T21" s="142">
        <f>PI!AS39</f>
        <v>0</v>
      </c>
    </row>
    <row r="22" spans="1:20" ht="16.5">
      <c r="A22" s="51">
        <f>T.BANGKIR!A22</f>
        <v>5</v>
      </c>
      <c r="B22" s="267" t="str">
        <f>T.BANGKIR!B22</f>
        <v>Peningkatan Layanan</v>
      </c>
      <c r="C22" s="364"/>
      <c r="D22" s="53"/>
      <c r="E22" s="61"/>
      <c r="F22" s="53">
        <f>T.BANGKIR!F22</f>
        <v>8</v>
      </c>
      <c r="G22" s="89"/>
      <c r="H22" s="89"/>
      <c r="I22" s="142"/>
      <c r="J22" s="142"/>
      <c r="K22" s="142"/>
      <c r="L22" s="142"/>
      <c r="M22" s="142"/>
      <c r="N22" s="142"/>
      <c r="O22" s="142"/>
      <c r="P22" s="142"/>
      <c r="Q22" s="142"/>
      <c r="R22" s="142"/>
      <c r="S22" s="142"/>
      <c r="T22" s="142"/>
    </row>
    <row r="23" spans="1:20" ht="33">
      <c r="A23" s="51"/>
      <c r="B23" s="52" t="str">
        <f>T.BANGKIR!B23</f>
        <v>a. Feedback Rating Negatif pada PLN Mobile - Gangguan</v>
      </c>
      <c r="C23" s="364" t="str">
        <f>T.BANGKIR!C23</f>
        <v>ò</v>
      </c>
      <c r="D23" s="53" t="str">
        <f>T.BANGKIR!D23</f>
        <v>%</v>
      </c>
      <c r="E23" s="61"/>
      <c r="F23" s="53"/>
      <c r="G23" s="89">
        <f>T.BANGKIR!G23</f>
        <v>0.09</v>
      </c>
      <c r="H23" s="89">
        <f>T.BANGKIR!H23</f>
        <v>0.09</v>
      </c>
      <c r="I23" s="142">
        <f>PI!AH61</f>
        <v>0</v>
      </c>
      <c r="J23" s="142">
        <f>PI!AI61</f>
        <v>0</v>
      </c>
      <c r="K23" s="142">
        <f>PI!AJ61</f>
        <v>0</v>
      </c>
      <c r="L23" s="142">
        <f>PI!AK61</f>
        <v>0</v>
      </c>
      <c r="M23" s="142">
        <f>PI!AL61</f>
        <v>0</v>
      </c>
      <c r="N23" s="142">
        <f>PI!AM61</f>
        <v>0</v>
      </c>
      <c r="O23" s="142">
        <f>PI!AN61</f>
        <v>0</v>
      </c>
      <c r="P23" s="142">
        <f>PI!AO61</f>
        <v>0</v>
      </c>
      <c r="Q23" s="142">
        <f>PI!AP61</f>
        <v>0</v>
      </c>
      <c r="R23" s="142">
        <f>PI!AQ61</f>
        <v>0</v>
      </c>
      <c r="S23" s="142">
        <f>PI!AR61</f>
        <v>0</v>
      </c>
      <c r="T23" s="142">
        <f>PI!AS61</f>
        <v>0</v>
      </c>
    </row>
    <row r="24" spans="1:20" ht="16.5">
      <c r="A24" s="51"/>
      <c r="B24" s="52" t="str">
        <f>T.BANGKIR!B24</f>
        <v>b. Pengaduan Gangguan Berulang pada PLN Mobile</v>
      </c>
      <c r="C24" s="364" t="str">
        <f>T.BANGKIR!C24</f>
        <v>ò</v>
      </c>
      <c r="D24" s="53" t="str">
        <f>T.BANGKIR!D24</f>
        <v>%</v>
      </c>
      <c r="E24" s="61"/>
      <c r="F24" s="53"/>
      <c r="G24" s="89">
        <f>T.BANGKIR!G24</f>
        <v>0.04</v>
      </c>
      <c r="H24" s="89">
        <f>T.BANGKIR!H24</f>
        <v>0.04</v>
      </c>
      <c r="I24" s="142">
        <f>PI!AH83</f>
        <v>0</v>
      </c>
      <c r="J24" s="142">
        <f>PI!AI83</f>
        <v>0</v>
      </c>
      <c r="K24" s="142">
        <f>PI!AJ83</f>
        <v>0</v>
      </c>
      <c r="L24" s="142">
        <f>PI!AK83</f>
        <v>0</v>
      </c>
      <c r="M24" s="142">
        <f>PI!AL83</f>
        <v>0</v>
      </c>
      <c r="N24" s="142">
        <f>PI!AM83</f>
        <v>0</v>
      </c>
      <c r="O24" s="142">
        <f>PI!AN83</f>
        <v>0</v>
      </c>
      <c r="P24" s="142">
        <f>PI!AO83</f>
        <v>0</v>
      </c>
      <c r="Q24" s="142">
        <f>PI!AP83</f>
        <v>0</v>
      </c>
      <c r="R24" s="142">
        <f>PI!AQ83</f>
        <v>0</v>
      </c>
      <c r="S24" s="142">
        <f>PI!AR83</f>
        <v>3.0969340353050479E-2</v>
      </c>
      <c r="T24" s="142">
        <f>PI!AS83</f>
        <v>3.0969340353050479E-2</v>
      </c>
    </row>
    <row r="25" spans="1:20" ht="37.9" customHeight="1">
      <c r="A25" s="51"/>
      <c r="B25" s="52" t="str">
        <f>T.BANGKIR!B25</f>
        <v>c. Rating PLN Mobile</v>
      </c>
      <c r="C25" s="364" t="str">
        <f>T.BANGKIR!C25</f>
        <v>ñ</v>
      </c>
      <c r="D25" s="53" t="str">
        <f>T.BANGKIR!D25</f>
        <v>Rating</v>
      </c>
      <c r="E25" s="61"/>
      <c r="F25" s="53"/>
      <c r="G25" s="89">
        <f>T.BANGKIR!G25</f>
        <v>4.9000000000000004</v>
      </c>
      <c r="H25" s="89">
        <f>T.BANGKIR!H25</f>
        <v>4.9000000000000004</v>
      </c>
      <c r="I25" s="142">
        <f>PI!AH97</f>
        <v>4.91</v>
      </c>
      <c r="J25" s="142">
        <f>PI!AI97</f>
        <v>4.91</v>
      </c>
      <c r="K25" s="142">
        <f>PI!AJ97</f>
        <v>4.91</v>
      </c>
      <c r="L25" s="142">
        <f>PI!AK97</f>
        <v>4.91</v>
      </c>
      <c r="M25" s="142">
        <f>PI!AL97</f>
        <v>4.9000000000000004</v>
      </c>
      <c r="N25" s="142">
        <f>PI!AM97</f>
        <v>4.9000000000000004</v>
      </c>
      <c r="O25" s="142">
        <f>PI!AN97</f>
        <v>4.9000000000000004</v>
      </c>
      <c r="P25" s="142">
        <f>PI!AO97</f>
        <v>4.9000000000000004</v>
      </c>
      <c r="Q25" s="142">
        <f>PI!AP97</f>
        <v>4.9000000000000004</v>
      </c>
      <c r="R25" s="142">
        <f>PI!AQ97</f>
        <v>4.9000000000000004</v>
      </c>
      <c r="S25" s="142">
        <f>PI!AR97</f>
        <v>4.9000000000000004</v>
      </c>
      <c r="T25" s="142">
        <f>PI!AS97</f>
        <v>4.9000000000000004</v>
      </c>
    </row>
    <row r="26" spans="1:20" ht="33">
      <c r="A26" s="51"/>
      <c r="B26" s="52" t="str">
        <f>T.BANGKIR!B26</f>
        <v>d. Jumlah Kali Transaksi Keuangan melalui PLN Mobile</v>
      </c>
      <c r="C26" s="364" t="str">
        <f>T.BANGKIR!C26</f>
        <v>ñ</v>
      </c>
      <c r="D26" s="53" t="str">
        <f>T.BANGKIR!D26</f>
        <v>Kali Transaksi</v>
      </c>
      <c r="E26" s="61"/>
      <c r="F26" s="53"/>
      <c r="G26" s="89">
        <f>T.BANGKIR!G26</f>
        <v>4912</v>
      </c>
      <c r="H26" s="89">
        <f>T.BANGKIR!H26</f>
        <v>9824</v>
      </c>
      <c r="I26" s="142">
        <f>PI!AH104</f>
        <v>293</v>
      </c>
      <c r="J26" s="142">
        <f>PI!AI104</f>
        <v>515</v>
      </c>
      <c r="K26" s="142">
        <f>PI!AJ104</f>
        <v>2124</v>
      </c>
      <c r="L26" s="142">
        <f>PI!AK104</f>
        <v>3968</v>
      </c>
      <c r="M26" s="142">
        <f>PI!AL104</f>
        <v>5435</v>
      </c>
      <c r="N26" s="142">
        <f>PI!AM104</f>
        <v>6265</v>
      </c>
      <c r="O26" s="142">
        <f>PI!AN104</f>
        <v>7241</v>
      </c>
      <c r="P26" s="142">
        <f>PI!AO104</f>
        <v>8114</v>
      </c>
      <c r="Q26" s="142">
        <f>PI!AP104</f>
        <v>9488</v>
      </c>
      <c r="R26" s="142">
        <f>PI!AQ104</f>
        <v>10474</v>
      </c>
      <c r="S26" s="142">
        <f>PI!AR104</f>
        <v>0</v>
      </c>
      <c r="T26" s="142">
        <f>PI!AS104</f>
        <v>0</v>
      </c>
    </row>
    <row r="27" spans="1:20" ht="16.5">
      <c r="A27" s="51">
        <f>T.BANGKIR!A27</f>
        <v>6</v>
      </c>
      <c r="B27" s="267" t="str">
        <f>T.BANGKIR!B27</f>
        <v>Dispatch Respon Time</v>
      </c>
      <c r="C27" s="364"/>
      <c r="D27" s="53"/>
      <c r="E27" s="61"/>
      <c r="F27" s="53">
        <f>T.BANGKIR!F27</f>
        <v>3</v>
      </c>
      <c r="G27" s="89"/>
      <c r="H27" s="89"/>
      <c r="I27" s="142"/>
      <c r="J27" s="142"/>
      <c r="K27" s="142"/>
      <c r="L27" s="142"/>
      <c r="M27" s="142"/>
      <c r="N27" s="142"/>
      <c r="O27" s="142"/>
      <c r="P27" s="142"/>
      <c r="Q27" s="142"/>
      <c r="R27" s="142"/>
      <c r="S27" s="142"/>
      <c r="T27" s="142"/>
    </row>
    <row r="28" spans="1:20" ht="33">
      <c r="A28" s="51"/>
      <c r="B28" s="52" t="str">
        <f>T.BANGKIR!B28</f>
        <v>a. Response Time atas Gangguan (diluar Clear Tamper)</v>
      </c>
      <c r="C28" s="364" t="str">
        <f>T.BANGKIR!C28</f>
        <v>ò</v>
      </c>
      <c r="D28" s="53" t="str">
        <f>T.BANGKIR!D28</f>
        <v>Menit</v>
      </c>
      <c r="E28" s="61"/>
      <c r="F28" s="53"/>
      <c r="G28" s="89">
        <f>T.BANGKIR!G28</f>
        <v>30</v>
      </c>
      <c r="H28" s="89">
        <f>T.BANGKIR!H28</f>
        <v>30</v>
      </c>
      <c r="I28" s="142">
        <f>PI!AH117</f>
        <v>5.9774038461538472</v>
      </c>
      <c r="J28" s="142">
        <f>PI!AI117</f>
        <v>5.9760125291375301</v>
      </c>
      <c r="K28" s="142">
        <f>PI!AJ117</f>
        <v>6.0147331635906918</v>
      </c>
      <c r="L28" s="142">
        <f>PI!AK117</f>
        <v>6.009756374524521</v>
      </c>
      <c r="M28" s="142">
        <f>PI!AL117</f>
        <v>7.465805099619617</v>
      </c>
      <c r="N28" s="142">
        <f>PI!AM117</f>
        <v>7.5801323675968462</v>
      </c>
      <c r="O28" s="142">
        <f>PI!AN117</f>
        <v>7.6617947018662962</v>
      </c>
      <c r="P28" s="142">
        <f>PI!AO117</f>
        <v>7.9087392340137761</v>
      </c>
      <c r="Q28" s="142">
        <f>PI!AP117</f>
        <v>8.3605463442592161</v>
      </c>
      <c r="R28" s="142">
        <f>PI!AQ117</f>
        <v>8.5487728209444054</v>
      </c>
      <c r="S28" s="142">
        <f>PI!AR117</f>
        <v>8.5487728209444054</v>
      </c>
      <c r="T28" s="142">
        <f>PI!AS117</f>
        <v>8.5487728209444054</v>
      </c>
    </row>
    <row r="29" spans="1:20" ht="33">
      <c r="A29" s="51"/>
      <c r="B29" s="52" t="str">
        <f>T.BANGKIR!B29</f>
        <v>b. Success Rate Auto Dispatch Gangguan Individual (diluar Clear Tamper)</v>
      </c>
      <c r="C29" s="364" t="str">
        <f>T.BANGKIR!C29</f>
        <v>ñ</v>
      </c>
      <c r="D29" s="53" t="str">
        <f>T.BANGKIR!D29</f>
        <v>%</v>
      </c>
      <c r="E29" s="61"/>
      <c r="F29" s="53"/>
      <c r="G29" s="89">
        <f>T.BANGKIR!G29</f>
        <v>0</v>
      </c>
      <c r="H29" s="89">
        <f>T.BANGKIR!H29</f>
        <v>0</v>
      </c>
      <c r="I29" s="142">
        <f>PI!AH133</f>
        <v>0</v>
      </c>
      <c r="J29" s="142">
        <f>PI!AI133</f>
        <v>0</v>
      </c>
      <c r="K29" s="142">
        <f>PI!AJ133</f>
        <v>0</v>
      </c>
      <c r="L29" s="142">
        <f>PI!AK133</f>
        <v>0</v>
      </c>
      <c r="M29" s="142">
        <f>PI!AL133</f>
        <v>0</v>
      </c>
      <c r="N29" s="142">
        <f>PI!AM133</f>
        <v>0</v>
      </c>
      <c r="O29" s="142">
        <f>PI!AN133</f>
        <v>0</v>
      </c>
      <c r="P29" s="142">
        <f>PI!AO133</f>
        <v>0</v>
      </c>
      <c r="Q29" s="142">
        <f>PI!AP133</f>
        <v>0</v>
      </c>
      <c r="R29" s="142">
        <f>PI!AQ133</f>
        <v>0</v>
      </c>
      <c r="S29" s="142">
        <f>PI!AR133</f>
        <v>0</v>
      </c>
      <c r="T29" s="142">
        <f>PI!AS133</f>
        <v>0</v>
      </c>
    </row>
    <row r="30" spans="1:20" ht="16.5">
      <c r="A30" s="51">
        <f>T.BANGKIR!A30</f>
        <v>7</v>
      </c>
      <c r="B30" s="267" t="str">
        <f>T.BANGKIR!B30</f>
        <v>Sistem Recovery :</v>
      </c>
      <c r="C30" s="364"/>
      <c r="D30" s="53"/>
      <c r="E30" s="61"/>
      <c r="F30" s="53">
        <f>T.BANGKIR!F30</f>
        <v>6</v>
      </c>
      <c r="G30" s="89"/>
      <c r="H30" s="89"/>
      <c r="I30" s="142"/>
      <c r="J30" s="142"/>
      <c r="K30" s="142"/>
      <c r="L30" s="142"/>
      <c r="M30" s="142"/>
      <c r="N30" s="142"/>
      <c r="O30" s="142"/>
      <c r="P30" s="142"/>
      <c r="Q30" s="142"/>
      <c r="R30" s="142"/>
      <c r="S30" s="142"/>
      <c r="T30" s="142"/>
    </row>
    <row r="31" spans="1:20" ht="16.5">
      <c r="A31" s="51"/>
      <c r="B31" s="52" t="str">
        <f>T.BANGKIR!B31</f>
        <v>a. Recovery Time Gangguan Meluas TM</v>
      </c>
      <c r="C31" s="364" t="str">
        <f>T.BANGKIR!C31</f>
        <v>ñ</v>
      </c>
      <c r="D31" s="53" t="str">
        <f>T.BANGKIR!D31</f>
        <v>%</v>
      </c>
      <c r="E31" s="61"/>
      <c r="F31" s="53"/>
      <c r="G31" s="89">
        <f>T.BANGKIR!G31</f>
        <v>100</v>
      </c>
      <c r="H31" s="89">
        <f>T.BANGKIR!H31</f>
        <v>100</v>
      </c>
      <c r="I31" s="142">
        <f>PI!AH151</f>
        <v>110</v>
      </c>
      <c r="J31" s="142">
        <f>PI!AI151</f>
        <v>110</v>
      </c>
      <c r="K31" s="142">
        <f>PI!AJ151</f>
        <v>110</v>
      </c>
      <c r="L31" s="142">
        <f>PI!AK151</f>
        <v>110</v>
      </c>
      <c r="M31" s="142">
        <f>PI!AL151</f>
        <v>110</v>
      </c>
      <c r="N31" s="142">
        <f>PI!AM151</f>
        <v>110</v>
      </c>
      <c r="O31" s="142">
        <f>PI!AN151</f>
        <v>110</v>
      </c>
      <c r="P31" s="142">
        <f>PI!AO151</f>
        <v>110</v>
      </c>
      <c r="Q31" s="142">
        <f>PI!AP151</f>
        <v>110</v>
      </c>
      <c r="R31" s="142">
        <f>PI!AQ151</f>
        <v>110</v>
      </c>
      <c r="S31" s="142">
        <f>PI!AR151</f>
        <v>0</v>
      </c>
      <c r="T31" s="142">
        <f>PI!AS151</f>
        <v>0</v>
      </c>
    </row>
    <row r="32" spans="1:20" ht="16.5">
      <c r="A32" s="51"/>
      <c r="B32" s="52" t="str">
        <f>T.BANGKIR!B32</f>
        <v>b. Penormalan Siaga 1 Gangguan TM</v>
      </c>
      <c r="C32" s="364" t="str">
        <f>T.BANGKIR!C32</f>
        <v>ñ</v>
      </c>
      <c r="D32" s="53" t="str">
        <f>T.BANGKIR!D32</f>
        <v>%</v>
      </c>
      <c r="E32" s="61"/>
      <c r="F32" s="53"/>
      <c r="G32" s="89">
        <f>T.BANGKIR!G32</f>
        <v>100</v>
      </c>
      <c r="H32" s="89">
        <f>T.BANGKIR!H32</f>
        <v>100</v>
      </c>
      <c r="I32" s="142">
        <f>PI!AH173</f>
        <v>110</v>
      </c>
      <c r="J32" s="142">
        <f>PI!AI173</f>
        <v>110</v>
      </c>
      <c r="K32" s="142">
        <f>PI!AJ173</f>
        <v>110</v>
      </c>
      <c r="L32" s="142">
        <f>PI!AK173</f>
        <v>110</v>
      </c>
      <c r="M32" s="142">
        <f>PI!AL173</f>
        <v>110</v>
      </c>
      <c r="N32" s="142">
        <f>PI!AM173</f>
        <v>110</v>
      </c>
      <c r="O32" s="142">
        <f>PI!AN173</f>
        <v>110</v>
      </c>
      <c r="P32" s="142">
        <f>PI!AO173</f>
        <v>110</v>
      </c>
      <c r="Q32" s="142">
        <f>PI!AP173</f>
        <v>110</v>
      </c>
      <c r="R32" s="142">
        <f>PI!AQ173</f>
        <v>110</v>
      </c>
      <c r="S32" s="142">
        <f>PI!AR173</f>
        <v>0</v>
      </c>
      <c r="T32" s="142">
        <f>PI!AS173</f>
        <v>0</v>
      </c>
    </row>
    <row r="33" spans="1:23" ht="16.5">
      <c r="A33" s="51">
        <f>T.BANGKIR!A33</f>
        <v>8</v>
      </c>
      <c r="B33" s="267" t="str">
        <f>T.BANGKIR!B33</f>
        <v>Percepatan Penyambungan Pelanggan</v>
      </c>
      <c r="C33" s="364"/>
      <c r="D33" s="53"/>
      <c r="E33" s="61"/>
      <c r="F33" s="53">
        <f>T.BANGKIR!F33</f>
        <v>10</v>
      </c>
      <c r="G33" s="89"/>
      <c r="H33" s="89"/>
      <c r="I33" s="142"/>
      <c r="J33" s="142"/>
      <c r="K33" s="142"/>
      <c r="L33" s="142"/>
      <c r="M33" s="142"/>
      <c r="N33" s="142"/>
      <c r="O33" s="142"/>
      <c r="P33" s="142"/>
      <c r="Q33" s="142"/>
      <c r="R33" s="142"/>
      <c r="S33" s="142"/>
      <c r="T33" s="142"/>
    </row>
    <row r="34" spans="1:23" ht="16.5">
      <c r="A34" s="51"/>
      <c r="B34" s="52" t="str">
        <f>T.BANGKIR!B34</f>
        <v>a. Penambahan Daya Tersambung</v>
      </c>
      <c r="C34" s="364" t="str">
        <f>T.BANGKIR!C34</f>
        <v>ñ</v>
      </c>
      <c r="D34" s="53" t="str">
        <f>T.BANGKIR!D34</f>
        <v>MVA</v>
      </c>
      <c r="E34" s="61"/>
      <c r="F34" s="53"/>
      <c r="G34" s="89">
        <f>T.BANGKIR!G34</f>
        <v>0.62</v>
      </c>
      <c r="H34" s="89">
        <f>T.BANGKIR!H34</f>
        <v>1.57</v>
      </c>
      <c r="I34" s="142">
        <f>PI!AH196</f>
        <v>0.23050000000000001</v>
      </c>
      <c r="J34" s="142">
        <f>PI!AI196</f>
        <v>0.27365</v>
      </c>
      <c r="K34" s="142">
        <f>PI!AJ196</f>
        <v>0.34379999999999999</v>
      </c>
      <c r="L34" s="142">
        <f>PI!AK196</f>
        <v>0.45839999999999997</v>
      </c>
      <c r="M34" s="142">
        <f>PI!AL196</f>
        <v>0.52405000000000002</v>
      </c>
      <c r="N34" s="142">
        <f>PI!AM196</f>
        <v>0.58365</v>
      </c>
      <c r="O34" s="142">
        <f>PI!AN196</f>
        <v>0.65820000000000001</v>
      </c>
      <c r="P34" s="142">
        <f>PI!AO196</f>
        <v>0.76949999999999996</v>
      </c>
      <c r="Q34" s="142">
        <f>PI!AP196</f>
        <v>0.86299999999999999</v>
      </c>
      <c r="R34" s="142">
        <f>PI!AQ196</f>
        <v>0.9304</v>
      </c>
      <c r="S34" s="142">
        <f>PI!AR196</f>
        <v>0</v>
      </c>
      <c r="T34" s="142">
        <f>PI!AS196</f>
        <v>0</v>
      </c>
    </row>
    <row r="35" spans="1:23" ht="16.5">
      <c r="A35" s="51"/>
      <c r="B35" s="52" t="str">
        <f>T.BANGKIR!B35</f>
        <v>b. Penambahan Jumlah Pelanggan</v>
      </c>
      <c r="C35" s="364" t="str">
        <f>T.BANGKIR!C35</f>
        <v>ñ</v>
      </c>
      <c r="D35" s="53" t="str">
        <f>T.BANGKIR!D35</f>
        <v>Pelanggan</v>
      </c>
      <c r="E35" s="61"/>
      <c r="F35" s="53"/>
      <c r="G35" s="88">
        <f>T.BANGKIR!G35</f>
        <v>556</v>
      </c>
      <c r="H35" s="88">
        <f>T.BANGKIR!H35</f>
        <v>1280</v>
      </c>
      <c r="I35" s="88">
        <f>PI!AH202</f>
        <v>168</v>
      </c>
      <c r="J35" s="88">
        <f>PI!AI202</f>
        <v>214</v>
      </c>
      <c r="K35" s="88">
        <f>PI!AJ202</f>
        <v>261</v>
      </c>
      <c r="L35" s="88">
        <f>PI!AK202</f>
        <v>312</v>
      </c>
      <c r="M35" s="88">
        <f>PI!AL202</f>
        <v>365</v>
      </c>
      <c r="N35" s="88">
        <f>PI!AM202</f>
        <v>424</v>
      </c>
      <c r="O35" s="88">
        <f>PI!AN202</f>
        <v>462</v>
      </c>
      <c r="P35" s="88">
        <f>PI!AO202</f>
        <v>500</v>
      </c>
      <c r="Q35" s="88">
        <f>PI!AP202</f>
        <v>557</v>
      </c>
      <c r="R35" s="88">
        <f>PI!AQ202</f>
        <v>618</v>
      </c>
      <c r="S35" s="88">
        <f>PI!AR202</f>
        <v>0</v>
      </c>
      <c r="T35" s="88">
        <f>PI!AS202</f>
        <v>0</v>
      </c>
    </row>
    <row r="36" spans="1:23" ht="16.5">
      <c r="A36" s="51"/>
      <c r="B36" s="52" t="str">
        <f>T.BANGKIR!B36</f>
        <v>c. Jumlah Penambahan Pelanggan Produk Tematik</v>
      </c>
      <c r="C36" s="364" t="str">
        <f>T.BANGKIR!C36</f>
        <v>ñ</v>
      </c>
      <c r="D36" s="53" t="str">
        <f>T.BANGKIR!D36</f>
        <v>Pelanggan</v>
      </c>
      <c r="E36" s="61"/>
      <c r="F36" s="53"/>
      <c r="G36" s="89">
        <f>T.BANGKIR!G36</f>
        <v>90</v>
      </c>
      <c r="H36" s="89">
        <f>T.BANGKIR!H36</f>
        <v>150</v>
      </c>
      <c r="I36" s="142">
        <f>PI!AH208</f>
        <v>17</v>
      </c>
      <c r="J36" s="142">
        <f>PI!AI208</f>
        <v>18</v>
      </c>
      <c r="K36" s="142">
        <f>PI!AJ208</f>
        <v>34</v>
      </c>
      <c r="L36" s="142">
        <f>PI!AK208</f>
        <v>34</v>
      </c>
      <c r="M36" s="142">
        <f>PI!AL208</f>
        <v>50</v>
      </c>
      <c r="N36" s="142">
        <f>PI!AM208</f>
        <v>99</v>
      </c>
      <c r="O36" s="142">
        <f>PI!AN208</f>
        <v>99</v>
      </c>
      <c r="P36" s="142">
        <f>PI!AO208</f>
        <v>133</v>
      </c>
      <c r="Q36" s="142">
        <f>PI!AP208</f>
        <v>138</v>
      </c>
      <c r="R36" s="142">
        <f>PI!AQ208</f>
        <v>146</v>
      </c>
      <c r="S36" s="142">
        <f>PI!AR208</f>
        <v>0</v>
      </c>
      <c r="T36" s="142">
        <f>PI!AS208</f>
        <v>0</v>
      </c>
    </row>
    <row r="37" spans="1:23" ht="30" customHeight="1">
      <c r="A37" s="51"/>
      <c r="B37" s="52" t="str">
        <f>T.BANGKIR!B37</f>
        <v>d. Implementasi Kesesuaian Sektor Bisnis sesuai KBLI 2020</v>
      </c>
      <c r="C37" s="364" t="str">
        <f>T.BANGKIR!C37</f>
        <v>ñ</v>
      </c>
      <c r="D37" s="53" t="str">
        <f>T.BANGKIR!D37</f>
        <v>Pelanggan</v>
      </c>
      <c r="E37" s="61"/>
      <c r="F37" s="53"/>
      <c r="G37" s="89">
        <f>T.BANGKIR!G37</f>
        <v>0</v>
      </c>
      <c r="H37" s="89">
        <f>T.BANGKIR!H37</f>
        <v>0</v>
      </c>
      <c r="I37" s="142">
        <f>PI!AH214</f>
        <v>0</v>
      </c>
      <c r="J37" s="142">
        <f>PI!AI214</f>
        <v>0</v>
      </c>
      <c r="K37" s="142">
        <f>PI!AJ214</f>
        <v>0</v>
      </c>
      <c r="L37" s="142">
        <f>PI!AK214</f>
        <v>0</v>
      </c>
      <c r="M37" s="142">
        <f>PI!AL214</f>
        <v>0</v>
      </c>
      <c r="N37" s="142">
        <f>PI!AM214</f>
        <v>0</v>
      </c>
      <c r="O37" s="142">
        <f>PI!AN214</f>
        <v>0</v>
      </c>
      <c r="P37" s="142">
        <f>PI!AO214</f>
        <v>0</v>
      </c>
      <c r="Q37" s="142">
        <f>PI!AP214</f>
        <v>0</v>
      </c>
      <c r="R37" s="142">
        <f>PI!AQ214</f>
        <v>0</v>
      </c>
      <c r="S37" s="142">
        <f>PI!AR214</f>
        <v>0</v>
      </c>
      <c r="T37" s="142">
        <f>PI!AS214</f>
        <v>0</v>
      </c>
    </row>
    <row r="38" spans="1:23" ht="16.5">
      <c r="A38" s="51">
        <f>T.BANGKIR!A38</f>
        <v>9</v>
      </c>
      <c r="B38" s="267" t="str">
        <f>T.BANGKIR!B38</f>
        <v>Percepatan Penyambungan Pelanggan Lisdes</v>
      </c>
      <c r="C38" s="364"/>
      <c r="D38" s="53"/>
      <c r="E38" s="61" t="e">
        <f>#REF!</f>
        <v>#REF!</v>
      </c>
      <c r="F38" s="53">
        <f>T.BANGKIR!F38</f>
        <v>4</v>
      </c>
      <c r="G38" s="89"/>
      <c r="H38" s="89"/>
      <c r="I38" s="226"/>
      <c r="J38" s="226"/>
      <c r="K38" s="226"/>
      <c r="L38" s="226"/>
      <c r="M38" s="226"/>
      <c r="N38" s="226"/>
      <c r="O38" s="226"/>
      <c r="P38" s="226"/>
      <c r="Q38" s="226"/>
      <c r="R38" s="226"/>
      <c r="S38" s="226"/>
      <c r="T38" s="226"/>
    </row>
    <row r="39" spans="1:23" ht="33">
      <c r="A39" s="51"/>
      <c r="B39" s="52" t="str">
        <f>T.BANGKIR!B39</f>
        <v>a. Penambahan Jumlah Pelanggan Rumah Tangga Lisdes</v>
      </c>
      <c r="C39" s="364" t="str">
        <f>T.BANGKIR!C39</f>
        <v>ñ</v>
      </c>
      <c r="D39" s="53" t="str">
        <f>T.BANGKIR!D39</f>
        <v>Pelanggan</v>
      </c>
      <c r="E39" s="61"/>
      <c r="F39" s="53"/>
      <c r="G39" s="89">
        <f>T.BANGKIR!G39</f>
        <v>4</v>
      </c>
      <c r="H39" s="89">
        <f>T.BANGKIR!H39</f>
        <v>128</v>
      </c>
      <c r="I39" s="88">
        <f>PI!AH220</f>
        <v>35</v>
      </c>
      <c r="J39" s="88">
        <f>PI!AI220</f>
        <v>44</v>
      </c>
      <c r="K39" s="88">
        <f>PI!AJ220</f>
        <v>48</v>
      </c>
      <c r="L39" s="88">
        <f>PI!AK220</f>
        <v>53</v>
      </c>
      <c r="M39" s="88">
        <f>PI!AL220</f>
        <v>54</v>
      </c>
      <c r="N39" s="88">
        <f>PI!AM220</f>
        <v>54</v>
      </c>
      <c r="O39" s="88">
        <f>PI!AN220</f>
        <v>54</v>
      </c>
      <c r="P39" s="88">
        <f>PI!AO220</f>
        <v>54</v>
      </c>
      <c r="Q39" s="88">
        <f>PI!AP220</f>
        <v>54</v>
      </c>
      <c r="R39" s="88">
        <f>PI!AQ220</f>
        <v>57</v>
      </c>
      <c r="S39" s="88">
        <f>PI!AR220</f>
        <v>0</v>
      </c>
      <c r="T39" s="88">
        <f>PI!AS220</f>
        <v>0</v>
      </c>
    </row>
    <row r="40" spans="1:23" ht="33">
      <c r="A40" s="51"/>
      <c r="B40" s="52" t="str">
        <f>T.BANGKIR!B40</f>
        <v>b. Peningkatan kWh Penjualan dari Pelanggan Rumah Tangga Lisdes</v>
      </c>
      <c r="C40" s="364" t="str">
        <f>T.BANGKIR!C40</f>
        <v>ñ</v>
      </c>
      <c r="D40" s="53" t="str">
        <f>T.BANGKIR!D40</f>
        <v>kWh</v>
      </c>
      <c r="E40" s="61" t="e">
        <f>#REF!</f>
        <v>#REF!</v>
      </c>
      <c r="F40" s="53"/>
      <c r="G40" s="89">
        <f>T.BANGKIR!G40</f>
        <v>162</v>
      </c>
      <c r="H40" s="89">
        <f>T.BANGKIR!H40</f>
        <v>17110.491000000002</v>
      </c>
      <c r="I40" s="142">
        <f>PI!AH226</f>
        <v>8530</v>
      </c>
      <c r="J40" s="142">
        <f>PI!AI226</f>
        <v>14226.8</v>
      </c>
      <c r="K40" s="142">
        <f>PI!AJ226</f>
        <v>14800.400000000001</v>
      </c>
      <c r="L40" s="142">
        <f>PI!AK226</f>
        <v>15733.2</v>
      </c>
      <c r="M40" s="142">
        <f>PI!AL226</f>
        <v>17680.300000000003</v>
      </c>
      <c r="N40" s="142">
        <f>PI!AM226</f>
        <v>18973.800000000003</v>
      </c>
      <c r="O40" s="142">
        <f>PI!AN226</f>
        <v>20717.900000000001</v>
      </c>
      <c r="P40" s="142">
        <f>PI!AO226</f>
        <v>22466.2</v>
      </c>
      <c r="Q40" s="142">
        <f>PI!AP226</f>
        <v>24409.8</v>
      </c>
      <c r="R40" s="142">
        <f>PI!AQ226</f>
        <v>26906.6</v>
      </c>
      <c r="S40" s="142">
        <f>PI!AR226</f>
        <v>0</v>
      </c>
      <c r="T40" s="142">
        <f>PI!AS226</f>
        <v>0</v>
      </c>
    </row>
    <row r="41" spans="1:23" ht="16.5">
      <c r="A41" s="51">
        <f>T.BANGKIR!A41</f>
        <v>10</v>
      </c>
      <c r="B41" s="267" t="str">
        <f>T.BANGKIR!B41</f>
        <v>Pengelolaan Pembacaan Meter</v>
      </c>
      <c r="C41" s="364"/>
      <c r="D41" s="53"/>
      <c r="E41" s="61" t="e">
        <f>#REF!</f>
        <v>#REF!</v>
      </c>
      <c r="F41" s="53">
        <f>T.BANGKIR!F41</f>
        <v>8</v>
      </c>
      <c r="G41" s="89"/>
      <c r="H41" s="89"/>
      <c r="I41" s="142"/>
      <c r="J41" s="142"/>
      <c r="K41" s="142"/>
      <c r="L41" s="142"/>
      <c r="M41" s="142"/>
      <c r="N41" s="142"/>
      <c r="O41" s="142"/>
      <c r="P41" s="142"/>
      <c r="Q41" s="142"/>
      <c r="R41" s="142"/>
      <c r="S41" s="142"/>
      <c r="T41" s="142"/>
    </row>
    <row r="42" spans="1:23" ht="16.5">
      <c r="A42" s="51"/>
      <c r="B42" s="52" t="str">
        <f>T.BANGKIR!B42</f>
        <v>a. Jumlah Pengguna Swa Cam</v>
      </c>
      <c r="C42" s="364" t="str">
        <f>T.BANGKIR!C42</f>
        <v>ñ</v>
      </c>
      <c r="D42" s="53" t="str">
        <f>T.BANGKIR!D42</f>
        <v>Pelanggan</v>
      </c>
      <c r="E42" s="61" t="e">
        <f>#REF!</f>
        <v>#REF!</v>
      </c>
      <c r="F42" s="53"/>
      <c r="G42" s="89">
        <f>T.BANGKIR!G42</f>
        <v>12</v>
      </c>
      <c r="H42" s="89">
        <f>T.BANGKIR!H42</f>
        <v>12</v>
      </c>
      <c r="I42" s="142">
        <f>PI!AH236</f>
        <v>21</v>
      </c>
      <c r="J42" s="142">
        <f>PI!AI236</f>
        <v>22</v>
      </c>
      <c r="K42" s="142">
        <f>PI!AJ236</f>
        <v>22.5</v>
      </c>
      <c r="L42" s="142">
        <f>PI!AK236</f>
        <v>22</v>
      </c>
      <c r="M42" s="142">
        <f>PI!AL236</f>
        <v>22</v>
      </c>
      <c r="N42" s="142">
        <f>PI!AM236</f>
        <v>22.666666666666668</v>
      </c>
      <c r="O42" s="142">
        <f>PI!AN236</f>
        <v>26.285714285714285</v>
      </c>
      <c r="P42" s="142">
        <f>PI!AO236</f>
        <v>32.25</v>
      </c>
      <c r="Q42" s="142">
        <f>PI!AP236</f>
        <v>37.222222222222221</v>
      </c>
      <c r="R42" s="142">
        <f>PI!AQ236</f>
        <v>39</v>
      </c>
      <c r="S42" s="142">
        <f>PI!AR236</f>
        <v>39</v>
      </c>
      <c r="T42" s="142">
        <f>PI!AS236</f>
        <v>39</v>
      </c>
    </row>
    <row r="43" spans="1:23" ht="33">
      <c r="A43" s="51"/>
      <c r="B43" s="52" t="str">
        <f>T.BANGKIR!B43</f>
        <v>b. Tindak Lanjut LBKB (Laporan Bulanan Kelainan Baca Meter)</v>
      </c>
      <c r="C43" s="364" t="str">
        <f>T.BANGKIR!C43</f>
        <v>ò</v>
      </c>
      <c r="D43" s="53" t="str">
        <f>T.BANGKIR!D43</f>
        <v>Pelanggan</v>
      </c>
      <c r="E43" s="61" t="e">
        <f>#REF!</f>
        <v>#REF!</v>
      </c>
      <c r="F43" s="53"/>
      <c r="G43" s="89">
        <f>T.BANGKIR!G43</f>
        <v>0</v>
      </c>
      <c r="H43" s="89">
        <f>T.BANGKIR!H43</f>
        <v>0</v>
      </c>
      <c r="I43" s="142">
        <v>0</v>
      </c>
      <c r="J43" s="142">
        <v>0</v>
      </c>
      <c r="K43" s="142">
        <v>0</v>
      </c>
      <c r="L43" s="142">
        <v>0</v>
      </c>
      <c r="M43" s="142">
        <v>0</v>
      </c>
      <c r="N43" s="142">
        <v>0</v>
      </c>
      <c r="O43" s="142">
        <v>0</v>
      </c>
      <c r="P43" s="142">
        <v>0</v>
      </c>
      <c r="Q43" s="142">
        <v>0</v>
      </c>
      <c r="R43" s="142">
        <v>0</v>
      </c>
      <c r="S43" s="142">
        <v>0</v>
      </c>
      <c r="T43" s="142">
        <v>0</v>
      </c>
      <c r="V43" s="21"/>
      <c r="W43" s="21"/>
    </row>
    <row r="44" spans="1:23" ht="16.5">
      <c r="A44" s="51">
        <f>T.BANGKIR!A44</f>
        <v>11</v>
      </c>
      <c r="B44" s="267" t="str">
        <f>T.BANGKIR!B44</f>
        <v>Sisa Stand Bongkar Migrasi</v>
      </c>
      <c r="C44" s="364" t="str">
        <f>T.BANGKIR!C44</f>
        <v>ñ</v>
      </c>
      <c r="D44" s="53"/>
      <c r="E44" s="61"/>
      <c r="F44" s="53">
        <f>T.BANGKIR!F44</f>
        <v>3</v>
      </c>
      <c r="G44" s="89">
        <f>T.BANGKIR!G44</f>
        <v>100</v>
      </c>
      <c r="H44" s="89">
        <f>T.BANGKIR!H44</f>
        <v>100</v>
      </c>
      <c r="I44" s="142">
        <f>PI!AH252</f>
        <v>100</v>
      </c>
      <c r="J44" s="142">
        <f>PI!AI252</f>
        <v>100</v>
      </c>
      <c r="K44" s="142">
        <f>PI!AJ252</f>
        <v>100</v>
      </c>
      <c r="L44" s="142">
        <f>PI!AK252</f>
        <v>100</v>
      </c>
      <c r="M44" s="142">
        <f>PI!AL252</f>
        <v>100</v>
      </c>
      <c r="N44" s="142">
        <f>PI!AM252</f>
        <v>100</v>
      </c>
      <c r="O44" s="142">
        <f>PI!AN252</f>
        <v>100</v>
      </c>
      <c r="P44" s="142">
        <f>PI!AO252</f>
        <v>100</v>
      </c>
      <c r="Q44" s="142">
        <f>PI!AP252</f>
        <v>100</v>
      </c>
      <c r="R44" s="142">
        <f>PI!AQ252</f>
        <v>100</v>
      </c>
      <c r="S44" s="142">
        <f>PI!AR252</f>
        <v>100</v>
      </c>
      <c r="T44" s="142">
        <f>PI!AS252</f>
        <v>100</v>
      </c>
    </row>
    <row r="45" spans="1:23" ht="16.5">
      <c r="A45" s="51">
        <f>T.BANGKIR!A45</f>
        <v>12</v>
      </c>
      <c r="B45" s="267" t="str">
        <f>T.BANGKIR!B45</f>
        <v>Percepatan Cash In</v>
      </c>
      <c r="C45" s="364"/>
      <c r="D45" s="53" t="str">
        <f>T.BANGKIR!D45</f>
        <v>%</v>
      </c>
      <c r="E45" s="61"/>
      <c r="F45" s="53">
        <f>T.BANGKIR!F45</f>
        <v>9</v>
      </c>
      <c r="G45" s="89"/>
      <c r="H45" s="89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2"/>
    </row>
    <row r="46" spans="1:23" ht="33">
      <c r="A46" s="51"/>
      <c r="B46" s="52" t="str">
        <f>T.BANGKIR!B46</f>
        <v>a. Persentase Rata-Rata Saldo Tanggal 20 Non Kogol 1 dan Non Kogol 2</v>
      </c>
      <c r="C46" s="364" t="str">
        <f>T.BANGKIR!C46</f>
        <v>ò</v>
      </c>
      <c r="D46" s="53" t="str">
        <f>T.BANGKIR!D46</f>
        <v>Rp. Juta</v>
      </c>
      <c r="E46" s="61"/>
      <c r="F46" s="53"/>
      <c r="G46" s="89">
        <f>T.BANGKIR!G46</f>
        <v>16</v>
      </c>
      <c r="H46" s="89">
        <f>T.BANGKIR!H46</f>
        <v>16</v>
      </c>
      <c r="I46" s="142">
        <f>PI!AH270</f>
        <v>2.0411350000000001</v>
      </c>
      <c r="J46" s="142">
        <f>PI!AI270</f>
        <v>1.3961895000000002</v>
      </c>
      <c r="K46" s="142">
        <f>PI!AJ270</f>
        <v>1.3391616666666668</v>
      </c>
      <c r="L46" s="142">
        <f>PI!AK270</f>
        <v>1.0043712500000002</v>
      </c>
      <c r="M46" s="142">
        <f>PI!AL270</f>
        <v>0.80349700000000013</v>
      </c>
      <c r="N46" s="142">
        <f>PI!AM270</f>
        <v>0.6695808333333334</v>
      </c>
      <c r="O46" s="142">
        <f>PI!AN270</f>
        <v>0.57392642857142862</v>
      </c>
      <c r="P46" s="142">
        <f>PI!AO270</f>
        <v>0.50218562500000008</v>
      </c>
      <c r="Q46" s="142">
        <f>PI!AP270</f>
        <v>0.44638722222222227</v>
      </c>
      <c r="R46" s="142">
        <f>PI!AQ270</f>
        <v>0.40174850000000006</v>
      </c>
      <c r="S46" s="142">
        <f>PI!AR270</f>
        <v>0.40174850000000006</v>
      </c>
      <c r="T46" s="142">
        <f>PI!AS270</f>
        <v>0.40174850000000006</v>
      </c>
    </row>
    <row r="47" spans="1:23" ht="33">
      <c r="A47" s="51"/>
      <c r="B47" s="52" t="str">
        <f>T.BANGKIR!B47</f>
        <v>b. Pencapaian Saldo Rata-Rata Akhir Bulan Non Kogol 1 dan Non Kogol 2</v>
      </c>
      <c r="C47" s="364" t="str">
        <f>T.BANGKIR!C47</f>
        <v>ò</v>
      </c>
      <c r="D47" s="53" t="str">
        <f>T.BANGKIR!D47</f>
        <v>Rp. Juta</v>
      </c>
      <c r="E47" s="61"/>
      <c r="F47" s="53"/>
      <c r="G47" s="89">
        <f>T.BANGKIR!G47</f>
        <v>2.72</v>
      </c>
      <c r="H47" s="89">
        <f>T.BANGKIR!H47</f>
        <v>2.72</v>
      </c>
      <c r="I47" s="142">
        <f>PI!AH292</f>
        <v>2.0411350000000001</v>
      </c>
      <c r="J47" s="142">
        <f>PI!AI292</f>
        <v>1.0205675000000001</v>
      </c>
      <c r="K47" s="142">
        <f>PI!AJ292</f>
        <v>0.68037833333333342</v>
      </c>
      <c r="L47" s="142">
        <f>PI!AK292</f>
        <v>0.51028375000000004</v>
      </c>
      <c r="M47" s="142">
        <f>PI!AL292</f>
        <v>0.40822700000000001</v>
      </c>
      <c r="N47" s="142">
        <f>PI!AM292</f>
        <v>0.34018916666666671</v>
      </c>
      <c r="O47" s="142">
        <f>PI!AN292</f>
        <v>0.29159071428571431</v>
      </c>
      <c r="P47" s="142">
        <f>PI!AO292</f>
        <v>0.25514187500000002</v>
      </c>
      <c r="Q47" s="142">
        <f>PI!AP292</f>
        <v>0.22679277777777779</v>
      </c>
      <c r="R47" s="142">
        <f>PI!AQ292</f>
        <v>0.2041135</v>
      </c>
      <c r="S47" s="142">
        <f>PI!AR292</f>
        <v>0.2041135</v>
      </c>
      <c r="T47" s="142">
        <f>PI!AS292</f>
        <v>0.2041135</v>
      </c>
    </row>
    <row r="48" spans="1:23" ht="16.5">
      <c r="A48" s="51"/>
      <c r="B48" s="52" t="str">
        <f>T.BANGKIR!B48</f>
        <v>c. Pencapaian Pelunasan PRR</v>
      </c>
      <c r="C48" s="364" t="str">
        <f>T.BANGKIR!C48</f>
        <v>ñ</v>
      </c>
      <c r="D48" s="53" t="str">
        <f>T.BANGKIR!D48</f>
        <v>Rp. Juta</v>
      </c>
      <c r="E48" s="61"/>
      <c r="F48" s="53"/>
      <c r="G48" s="89">
        <f>T.BANGKIR!G45</f>
        <v>0</v>
      </c>
      <c r="H48" s="89">
        <f>T.BANGKIR!H45</f>
        <v>0</v>
      </c>
      <c r="I48" s="142">
        <f>PI!AH315</f>
        <v>0</v>
      </c>
      <c r="J48" s="142">
        <f>PI!AI315</f>
        <v>0</v>
      </c>
      <c r="K48" s="142">
        <f>PI!AJ315</f>
        <v>0</v>
      </c>
      <c r="L48" s="142">
        <f>PI!AK315</f>
        <v>0</v>
      </c>
      <c r="M48" s="142">
        <f>PI!AL315</f>
        <v>0</v>
      </c>
      <c r="N48" s="142">
        <f>PI!AM315</f>
        <v>0</v>
      </c>
      <c r="O48" s="142">
        <f>PI!AN315</f>
        <v>0</v>
      </c>
      <c r="P48" s="142">
        <f>PI!AO315</f>
        <v>0</v>
      </c>
      <c r="Q48" s="142">
        <f>PI!AP315</f>
        <v>0</v>
      </c>
      <c r="R48" s="142">
        <f>PI!AQ315</f>
        <v>0</v>
      </c>
      <c r="S48" s="142">
        <f>PI!AR315</f>
        <v>0</v>
      </c>
      <c r="T48" s="142">
        <f>PI!AS315</f>
        <v>0</v>
      </c>
    </row>
    <row r="49" spans="1:20" ht="16.5">
      <c r="A49" s="51">
        <f>T.BANGKIR!A49</f>
        <v>13</v>
      </c>
      <c r="B49" s="267" t="str">
        <f>T.BANGKIR!B49</f>
        <v>Kepatuhan :</v>
      </c>
      <c r="C49" s="364"/>
      <c r="D49" s="53"/>
      <c r="E49" s="61" t="e">
        <f>#REF!</f>
        <v>#REF!</v>
      </c>
      <c r="F49" s="53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</row>
    <row r="50" spans="1:20" ht="36" customHeight="1">
      <c r="A50" s="51"/>
      <c r="B50" s="52" t="str">
        <f>T.BANGKIR!B50</f>
        <v>a. Pengelolaan K3, Keamanan dan Lingkungan Hidup</v>
      </c>
      <c r="C50" s="364"/>
      <c r="D50" s="53"/>
      <c r="E50" s="61" t="e">
        <f>#REF!</f>
        <v>#REF!</v>
      </c>
      <c r="F50" s="53" t="str">
        <f>T.BANGKIR!F50</f>
        <v>Max-8</v>
      </c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</row>
    <row r="51" spans="1:20" ht="24.6" customHeight="1">
      <c r="A51" s="51"/>
      <c r="B51" s="52" t="str">
        <f>T.BANGKIR!B51</f>
        <v>b. Maturity Level Implementasi Sistem Manajemen Anti Penyuapan (SMAP)</v>
      </c>
      <c r="C51" s="364"/>
      <c r="D51" s="53"/>
      <c r="E51" s="61" t="e">
        <f>#REF!</f>
        <v>#REF!</v>
      </c>
      <c r="F51" s="53" t="str">
        <f>T.BANGKIR!F51</f>
        <v>Max-4</v>
      </c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</row>
    <row r="52" spans="1:20" ht="33">
      <c r="A52" s="51"/>
      <c r="B52" s="52" t="str">
        <f>T.BANGKIR!B52</f>
        <v>c. Ketepatan penyampaian pelaporan dan
Akurasi Data Kinerja</v>
      </c>
      <c r="C52" s="364"/>
      <c r="D52" s="53"/>
      <c r="E52" s="61" t="e">
        <f>#REF!</f>
        <v>#REF!</v>
      </c>
      <c r="F52" s="53" t="str">
        <f>T.BANGKIR!F52</f>
        <v>Max-10</v>
      </c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111"/>
    </row>
    <row r="53" spans="1:20" ht="16.5">
      <c r="A53" s="51"/>
      <c r="B53" s="52" t="str">
        <f>T.BANGKIR!B53</f>
        <v>d. Tindak Lanjut Temuan Auditor</v>
      </c>
      <c r="C53" s="364"/>
      <c r="D53" s="53"/>
      <c r="E53" s="61"/>
      <c r="F53" s="53" t="str">
        <f>T.BANGKIR!F53</f>
        <v>Max-5</v>
      </c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</row>
    <row r="54" spans="1:20" ht="33">
      <c r="A54" s="51"/>
      <c r="B54" s="52" t="str">
        <f>T.BANGKIR!B54</f>
        <v>e. Pencapaian Beyond RKAP</v>
      </c>
      <c r="C54" s="364"/>
      <c r="D54" s="53"/>
      <c r="E54" s="61" t="e">
        <f>#REF!</f>
        <v>#REF!</v>
      </c>
      <c r="F54" s="53" t="str">
        <f>T.BANGKIR!F54</f>
        <v>Max-2
Max+2</v>
      </c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</row>
    <row r="55" spans="1:20" s="156" customFormat="1" ht="15" customHeight="1">
      <c r="A55" s="54"/>
      <c r="B55" s="55" t="str">
        <f>T.TOLIS!B55</f>
        <v>TOTAL BOBOT</v>
      </c>
      <c r="C55" s="365"/>
      <c r="D55" s="129"/>
      <c r="E55" s="55"/>
      <c r="F55" s="139">
        <f>F7+F17</f>
        <v>100</v>
      </c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</row>
    <row r="57" spans="1:20">
      <c r="A57" s="2"/>
      <c r="B57" s="3" t="s">
        <v>368</v>
      </c>
      <c r="C57" s="367"/>
      <c r="D57" s="4">
        <f>COUNTA(D8:D54)</f>
        <v>30</v>
      </c>
      <c r="E57" s="2"/>
      <c r="F57" s="4"/>
      <c r="G57" s="4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r="59" spans="1:20">
      <c r="A59" s="63" t="s">
        <v>369</v>
      </c>
      <c r="B59" s="26"/>
      <c r="C59" s="368"/>
      <c r="D59" s="25"/>
      <c r="E59" s="25"/>
      <c r="F59" s="25"/>
      <c r="G59" s="25"/>
      <c r="H59" s="25"/>
      <c r="I59" s="25"/>
      <c r="J59" s="25"/>
      <c r="K59" s="25"/>
      <c r="L59" s="25"/>
      <c r="M59" s="25"/>
      <c r="Q59" s="25"/>
      <c r="S59" s="25"/>
    </row>
    <row r="60" spans="1:20">
      <c r="A60" s="25">
        <v>3</v>
      </c>
      <c r="B60" s="64" t="s">
        <v>370</v>
      </c>
      <c r="C60" s="368"/>
      <c r="D60" s="25"/>
      <c r="E60" s="25"/>
      <c r="F60" s="25"/>
      <c r="G60" s="25"/>
      <c r="H60" s="25"/>
      <c r="I60" s="25"/>
      <c r="J60" s="25"/>
      <c r="K60" s="25"/>
      <c r="L60" s="25"/>
      <c r="M60" s="25"/>
      <c r="Q60" s="25"/>
      <c r="S60" s="25"/>
    </row>
    <row r="61" spans="1:20">
      <c r="A61" s="25">
        <v>1</v>
      </c>
      <c r="B61" s="64" t="s">
        <v>371</v>
      </c>
      <c r="C61" s="368"/>
      <c r="D61" s="25"/>
      <c r="E61" s="25"/>
      <c r="F61" s="25"/>
      <c r="G61" s="25"/>
      <c r="H61" s="25"/>
      <c r="I61" s="25"/>
      <c r="J61" s="25"/>
      <c r="K61" s="25"/>
      <c r="L61" s="25"/>
      <c r="M61" s="25"/>
      <c r="Q61" s="25"/>
      <c r="S61" s="25"/>
    </row>
    <row r="62" spans="1:20">
      <c r="A62" s="25"/>
      <c r="B62" s="26"/>
      <c r="C62" s="368"/>
      <c r="D62" s="25"/>
      <c r="E62" s="25"/>
      <c r="F62" s="25"/>
      <c r="G62" s="25"/>
      <c r="H62" s="25"/>
      <c r="I62" s="25"/>
      <c r="J62" s="25"/>
      <c r="K62" s="25"/>
      <c r="L62" s="25"/>
      <c r="M62" s="25"/>
      <c r="Q62" s="25"/>
      <c r="S62" s="25"/>
    </row>
    <row r="63" spans="1:20">
      <c r="A63" s="25"/>
      <c r="B63" s="26"/>
      <c r="C63" s="368"/>
      <c r="D63" s="25"/>
      <c r="E63" s="25"/>
      <c r="F63" s="25"/>
      <c r="G63" s="25"/>
      <c r="H63" s="25"/>
      <c r="I63" s="25"/>
      <c r="J63" s="25"/>
      <c r="K63" s="25"/>
      <c r="L63" s="25"/>
      <c r="M63" s="25"/>
      <c r="Q63" s="25"/>
      <c r="S63" s="25"/>
    </row>
    <row r="64" spans="1:20">
      <c r="A64" s="24"/>
      <c r="B64" s="23"/>
      <c r="C64" s="368"/>
      <c r="D64" s="24"/>
      <c r="E64" s="24"/>
      <c r="F64" s="24"/>
      <c r="G64" s="24"/>
      <c r="H64" s="24"/>
      <c r="I64" s="24"/>
      <c r="J64" s="24"/>
      <c r="K64" s="24"/>
      <c r="L64" s="24"/>
      <c r="M64" s="24"/>
    </row>
    <row r="65" spans="17:19">
      <c r="Q65" s="24"/>
      <c r="S65" s="24"/>
    </row>
  </sheetData>
  <mergeCells count="9">
    <mergeCell ref="H4:H5"/>
    <mergeCell ref="I4:T4"/>
    <mergeCell ref="B6:C6"/>
    <mergeCell ref="A4:A5"/>
    <mergeCell ref="B4:C5"/>
    <mergeCell ref="D4:D5"/>
    <mergeCell ref="E4:E5"/>
    <mergeCell ref="F4:F5"/>
    <mergeCell ref="G4:G5"/>
  </mergeCells>
  <conditionalFormatting sqref="A60">
    <cfRule type="iconSet" priority="3">
      <iconSet iconSet="3ArrowsGray" showValue="0">
        <cfvo type="percent" val="0"/>
        <cfvo type="num" val="2"/>
        <cfvo type="num" val="3"/>
      </iconSet>
    </cfRule>
    <cfRule type="iconSet" priority="5">
      <iconSet iconSet="3ArrowsGray" showValue="0">
        <cfvo type="percent" val="0"/>
        <cfvo type="num" val="2"/>
        <cfvo type="num" val="3"/>
      </iconSet>
    </cfRule>
    <cfRule type="iconSet" priority="7">
      <iconSet iconSet="3ArrowsGray" showValue="0">
        <cfvo type="percent" val="0"/>
        <cfvo type="num" val="2"/>
        <cfvo type="num" val="3"/>
      </iconSet>
    </cfRule>
    <cfRule type="iconSet" priority="9">
      <iconSet iconSet="3ArrowsGray" showValue="0">
        <cfvo type="percent" val="0"/>
        <cfvo type="num" val="2"/>
        <cfvo type="num" val="3"/>
      </iconSet>
    </cfRule>
  </conditionalFormatting>
  <conditionalFormatting sqref="A61">
    <cfRule type="iconSet" priority="2">
      <iconSet iconSet="3ArrowsGray" showValue="0">
        <cfvo type="percent" val="0"/>
        <cfvo type="num" val="2"/>
        <cfvo type="num" val="3"/>
      </iconSet>
    </cfRule>
    <cfRule type="iconSet" priority="4">
      <iconSet iconSet="3ArrowsGray" showValue="0">
        <cfvo type="percent" val="0"/>
        <cfvo type="num" val="2"/>
        <cfvo type="num" val="3"/>
      </iconSet>
    </cfRule>
    <cfRule type="iconSet" priority="6">
      <iconSet iconSet="3ArrowsGray" showValue="0">
        <cfvo type="percent" val="0"/>
        <cfvo type="num" val="2"/>
        <cfvo type="num" val="3"/>
      </iconSet>
    </cfRule>
    <cfRule type="iconSet" priority="8">
      <iconSet iconSet="3ArrowsGray" showValue="0">
        <cfvo type="percent" val="0"/>
        <cfvo type="num" val="2"/>
        <cfvo type="num" val="3"/>
      </iconSet>
    </cfRule>
  </conditionalFormatting>
  <conditionalFormatting sqref="C8:C16">
    <cfRule type="iconSet" priority="48418">
      <iconSet iconSet="3ArrowsGray" showValue="0">
        <cfvo type="percent" val="0"/>
        <cfvo type="num" val="2"/>
        <cfvo type="num" val="3"/>
      </iconSet>
    </cfRule>
    <cfRule type="iconSet" priority="48419">
      <iconSet iconSet="3ArrowsGray" showValue="0">
        <cfvo type="percent" val="0"/>
        <cfvo type="num" val="2"/>
        <cfvo type="num" val="3"/>
      </iconSet>
    </cfRule>
  </conditionalFormatting>
  <conditionalFormatting sqref="C18:C54">
    <cfRule type="iconSet" priority="47753">
      <iconSet iconSet="3ArrowsGray" showValue="0">
        <cfvo type="percent" val="0"/>
        <cfvo type="num" val="2"/>
        <cfvo type="num" val="3"/>
      </iconSet>
    </cfRule>
  </conditionalFormatting>
  <conditionalFormatting sqref="C56">
    <cfRule type="iconSet" priority="12">
      <iconSet iconSet="3ArrowsGray" showValue="0">
        <cfvo type="percent" val="0"/>
        <cfvo type="num" val="2"/>
        <cfvo type="num" val="3"/>
      </iconSet>
    </cfRule>
    <cfRule type="iconSet" priority="14">
      <iconSet iconSet="3ArrowsGray" showValue="0">
        <cfvo type="percent" val="0"/>
        <cfvo type="num" val="2"/>
        <cfvo type="num" val="3"/>
      </iconSet>
    </cfRule>
  </conditionalFormatting>
  <conditionalFormatting sqref="C57">
    <cfRule type="iconSet" priority="18">
      <iconSet iconSet="3ArrowsGray" showValue="0">
        <cfvo type="percent" val="0"/>
        <cfvo type="num" val="2"/>
        <cfvo type="num" val="3"/>
      </iconSet>
    </cfRule>
  </conditionalFormatting>
  <conditionalFormatting sqref="D56 H56">
    <cfRule type="iconSet" priority="13">
      <iconSet iconSet="3ArrowsGray" showValue="0">
        <cfvo type="percent" val="0"/>
        <cfvo type="num" val="2"/>
        <cfvo type="num" val="3"/>
      </iconSet>
    </cfRule>
  </conditionalFormatting>
  <conditionalFormatting sqref="D56">
    <cfRule type="iconSet" priority="16">
      <iconSet iconSet="3ArrowsGray" showValue="0">
        <cfvo type="percent" val="0"/>
        <cfvo type="num" val="2"/>
        <cfvo type="num" val="3"/>
      </iconSet>
    </cfRule>
  </conditionalFormatting>
  <conditionalFormatting sqref="E56">
    <cfRule type="iconSet" priority="15">
      <iconSet iconSet="3ArrowsGray" showValue="0">
        <cfvo type="percent" val="0"/>
        <cfvo type="num" val="2"/>
        <cfvo type="num" val="3"/>
      </iconSet>
    </cfRule>
  </conditionalFormatting>
  <conditionalFormatting sqref="H56">
    <cfRule type="iconSet" priority="11">
      <iconSet iconSet="3ArrowsGray" showValue="0">
        <cfvo type="percent" val="0"/>
        <cfvo type="num" val="2"/>
        <cfvo type="num" val="3"/>
      </iconSet>
    </cfRule>
  </conditionalFormatting>
  <conditionalFormatting sqref="H57:T57">
    <cfRule type="iconSet" priority="17">
      <iconSet iconSet="3ArrowsGray" showValue="0">
        <cfvo type="percent" val="0"/>
        <cfvo type="num" val="2"/>
        <cfvo type="num" val="3"/>
      </iconSet>
    </cfRule>
    <cfRule type="iconSet" priority="19">
      <iconSet iconSet="3ArrowsGray" showValue="0">
        <cfvo type="percent" val="0"/>
        <cfvo type="num" val="2"/>
        <cfvo type="num" val="3"/>
      </iconSet>
    </cfRule>
  </conditionalFormatting>
  <conditionalFormatting sqref="I56:T56">
    <cfRule type="iconSet" priority="10">
      <iconSet iconSet="3ArrowsGray" showValue="0">
        <cfvo type="percent" val="0"/>
        <cfvo type="num" val="2"/>
        <cfvo type="num" val="3"/>
      </iconSet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10000" scale="40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50"/>
    <pageSetUpPr fitToPage="1"/>
  </sheetPr>
  <dimension ref="A1:W65"/>
  <sheetViews>
    <sheetView workbookViewId="0"/>
  </sheetViews>
  <sheetFormatPr defaultColWidth="9.140625" defaultRowHeight="15"/>
  <cols>
    <col min="1" max="1" width="5.5703125" customWidth="1"/>
    <col min="2" max="2" width="47.85546875" customWidth="1"/>
    <col min="3" max="3" width="9.7109375" style="366" customWidth="1"/>
    <col min="4" max="4" width="11.7109375" customWidth="1"/>
    <col min="5" max="5" width="113.5703125" hidden="1" customWidth="1"/>
    <col min="6" max="6" width="7.7109375" bestFit="1" customWidth="1"/>
    <col min="7" max="7" width="11" customWidth="1"/>
    <col min="8" max="8" width="12" bestFit="1" customWidth="1"/>
    <col min="9" max="20" width="12.140625" customWidth="1"/>
    <col min="21" max="21" width="13.28515625" bestFit="1" customWidth="1"/>
  </cols>
  <sheetData>
    <row r="1" spans="1:22" s="30" customFormat="1" ht="15.75">
      <c r="A1" s="28"/>
      <c r="B1" s="29" t="s">
        <v>270</v>
      </c>
      <c r="C1" s="362"/>
      <c r="D1" s="28"/>
      <c r="E1" s="28"/>
      <c r="I1" s="22"/>
      <c r="U1" s="31"/>
      <c r="V1" s="31"/>
    </row>
    <row r="2" spans="1:22" s="30" customFormat="1" ht="15.75">
      <c r="A2" s="28"/>
      <c r="B2" s="29" t="s">
        <v>123</v>
      </c>
      <c r="C2" s="362"/>
      <c r="D2" s="28"/>
      <c r="E2" s="28"/>
      <c r="U2" s="31"/>
      <c r="V2" s="31"/>
    </row>
    <row r="3" spans="1:22" s="30" customFormat="1" ht="15.75">
      <c r="A3" s="28"/>
      <c r="B3" s="29" t="s">
        <v>378</v>
      </c>
      <c r="C3" s="362"/>
      <c r="D3" s="28"/>
      <c r="E3" s="28"/>
      <c r="U3" s="31"/>
      <c r="V3" s="31"/>
    </row>
    <row r="4" spans="1:22" ht="15" customHeight="1">
      <c r="A4" s="812" t="s">
        <v>8</v>
      </c>
      <c r="B4" s="814" t="s">
        <v>9</v>
      </c>
      <c r="C4" s="815"/>
      <c r="D4" s="790" t="s">
        <v>93</v>
      </c>
      <c r="E4" s="795" t="s">
        <v>271</v>
      </c>
      <c r="F4" s="790" t="s">
        <v>99</v>
      </c>
      <c r="G4" s="790" t="s">
        <v>373</v>
      </c>
      <c r="H4" s="790" t="s">
        <v>374</v>
      </c>
      <c r="I4" s="807" t="s">
        <v>375</v>
      </c>
      <c r="J4" s="808"/>
      <c r="K4" s="808"/>
      <c r="L4" s="808"/>
      <c r="M4" s="808"/>
      <c r="N4" s="808"/>
      <c r="O4" s="808"/>
      <c r="P4" s="808"/>
      <c r="Q4" s="808"/>
      <c r="R4" s="808"/>
      <c r="S4" s="808"/>
      <c r="T4" s="809"/>
    </row>
    <row r="5" spans="1:22" ht="15" customHeight="1">
      <c r="A5" s="813"/>
      <c r="B5" s="816"/>
      <c r="C5" s="817"/>
      <c r="D5" s="791"/>
      <c r="E5" s="796"/>
      <c r="F5" s="791"/>
      <c r="G5" s="791"/>
      <c r="H5" s="791"/>
      <c r="I5" s="424" t="s">
        <v>94</v>
      </c>
      <c r="J5" s="424" t="s">
        <v>95</v>
      </c>
      <c r="K5" s="424" t="s">
        <v>96</v>
      </c>
      <c r="L5" s="424" t="s">
        <v>488</v>
      </c>
      <c r="M5" s="424" t="s">
        <v>489</v>
      </c>
      <c r="N5" s="424" t="s">
        <v>490</v>
      </c>
      <c r="O5" s="424" t="s">
        <v>491</v>
      </c>
      <c r="P5" s="424" t="s">
        <v>165</v>
      </c>
      <c r="Q5" s="424" t="s">
        <v>167</v>
      </c>
      <c r="R5" s="424" t="s">
        <v>492</v>
      </c>
      <c r="S5" s="424" t="s">
        <v>171</v>
      </c>
      <c r="T5" s="424" t="s">
        <v>493</v>
      </c>
    </row>
    <row r="6" spans="1:22" ht="15" customHeight="1">
      <c r="A6" s="427">
        <v>1</v>
      </c>
      <c r="B6" s="810">
        <v>2</v>
      </c>
      <c r="C6" s="811"/>
      <c r="D6" s="455">
        <v>3</v>
      </c>
      <c r="E6" s="425">
        <v>4</v>
      </c>
      <c r="F6" s="455">
        <v>4</v>
      </c>
      <c r="G6" s="455">
        <v>5</v>
      </c>
      <c r="H6" s="424">
        <v>6</v>
      </c>
      <c r="I6" s="455">
        <v>7</v>
      </c>
      <c r="J6" s="424">
        <v>8</v>
      </c>
      <c r="K6" s="455">
        <v>9</v>
      </c>
      <c r="L6" s="424">
        <v>10</v>
      </c>
      <c r="M6" s="455">
        <v>11</v>
      </c>
      <c r="N6" s="424">
        <v>12</v>
      </c>
      <c r="O6" s="455">
        <v>13</v>
      </c>
      <c r="P6" s="424">
        <v>14</v>
      </c>
      <c r="Q6" s="455">
        <v>15</v>
      </c>
      <c r="R6" s="424">
        <v>16</v>
      </c>
      <c r="S6" s="455">
        <v>17</v>
      </c>
      <c r="T6" s="424">
        <v>18</v>
      </c>
    </row>
    <row r="7" spans="1:22" ht="15" customHeight="1">
      <c r="A7" s="47" t="s">
        <v>267</v>
      </c>
      <c r="B7" s="48" t="str">
        <f>T.TOLIS!B7</f>
        <v>Key Performance Indicators</v>
      </c>
      <c r="C7" s="363"/>
      <c r="D7" s="50"/>
      <c r="E7" s="48"/>
      <c r="F7" s="62">
        <f>SUM(F8:F16)</f>
        <v>40</v>
      </c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</row>
    <row r="8" spans="1:22" ht="16.5">
      <c r="A8" s="51">
        <f>T.LEOK!A8</f>
        <v>1</v>
      </c>
      <c r="B8" s="267" t="str">
        <f>T.LEOK!B8</f>
        <v>Penjualan Tenaga Listrik</v>
      </c>
      <c r="C8" s="364" t="str">
        <f>T.LEOK!C8</f>
        <v>ñ</v>
      </c>
      <c r="D8" s="53" t="str">
        <f>T.LEOK!D8</f>
        <v>GWh</v>
      </c>
      <c r="E8" s="53" t="str">
        <f>T.LEOK!E8</f>
        <v>Total penjualan tenaga listrik</v>
      </c>
      <c r="F8" s="53">
        <f>T.LEOK!F8</f>
        <v>14</v>
      </c>
      <c r="G8" s="268">
        <f>T.LEOK!G8</f>
        <v>25.92</v>
      </c>
      <c r="H8" s="268">
        <f>T.LEOK!H8</f>
        <v>52.76</v>
      </c>
      <c r="I8" s="89">
        <f>KPI!AH11</f>
        <v>5.0476841700000001</v>
      </c>
      <c r="J8" s="89">
        <f>KPI!AI11</f>
        <v>9.2606318190000003</v>
      </c>
      <c r="K8" s="89">
        <f>KPI!AJ11</f>
        <v>13.557085798000001</v>
      </c>
      <c r="L8" s="89">
        <f>KPI!AK11</f>
        <v>17.302419342</v>
      </c>
      <c r="M8" s="89">
        <f>KPI!AL11</f>
        <v>21.423936208000001</v>
      </c>
      <c r="N8" s="89">
        <f>KPI!AM11</f>
        <v>25.687128249000001</v>
      </c>
      <c r="O8" s="89">
        <f>KPI!AN11</f>
        <v>30.000446562</v>
      </c>
      <c r="P8" s="89">
        <f>KPI!AO11</f>
        <v>34.460204871000002</v>
      </c>
      <c r="Q8" s="89">
        <f>KPI!AP11</f>
        <v>38.821155293000004</v>
      </c>
      <c r="R8" s="89">
        <f>KPI!AQ11</f>
        <v>43.327762199000006</v>
      </c>
      <c r="S8" s="89">
        <f>KPI!AR11</f>
        <v>0</v>
      </c>
      <c r="T8" s="89">
        <f>KPI!AS11</f>
        <v>0</v>
      </c>
    </row>
    <row r="9" spans="1:22" ht="15" customHeight="1">
      <c r="A9" s="51">
        <f>T.LEOK!A9</f>
        <v>2</v>
      </c>
      <c r="B9" s="267" t="str">
        <f>T.LEOK!B9</f>
        <v>Keandalan Sistem</v>
      </c>
      <c r="C9" s="364"/>
      <c r="D9" s="53"/>
      <c r="E9" s="61"/>
      <c r="F9" s="53">
        <f>T.LEOK!F9</f>
        <v>14</v>
      </c>
      <c r="G9" s="268"/>
      <c r="H9" s="268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111"/>
    </row>
    <row r="10" spans="1:22" ht="15" customHeight="1">
      <c r="A10" s="51"/>
      <c r="B10" s="52" t="str">
        <f>T.LEOK!B10</f>
        <v>a. SAIDI (sesuai kewenangan)</v>
      </c>
      <c r="C10" s="364" t="str">
        <f>T.LEOK!C10</f>
        <v>ò</v>
      </c>
      <c r="D10" s="53" t="str">
        <f>T.LEOK!D10</f>
        <v>Menit/plg</v>
      </c>
      <c r="E10" s="61" t="e">
        <f>#REF!</f>
        <v>#REF!</v>
      </c>
      <c r="F10" s="53"/>
      <c r="G10" s="268">
        <f>T.LEOK!G10</f>
        <v>151.34</v>
      </c>
      <c r="H10" s="268">
        <f>T.LEOK!H10</f>
        <v>302.68</v>
      </c>
      <c r="I10" s="89">
        <f>KPI!AH35</f>
        <v>26.386050020958503</v>
      </c>
      <c r="J10" s="89">
        <f>KPI!AI35</f>
        <v>30.397213941437048</v>
      </c>
      <c r="K10" s="89">
        <f>KPI!AJ35</f>
        <v>31.13457455677208</v>
      </c>
      <c r="L10" s="89">
        <f>KPI!AK35</f>
        <v>43.83850480755909</v>
      </c>
      <c r="M10" s="89">
        <f>KPI!AL35</f>
        <v>89.018717168924525</v>
      </c>
      <c r="N10" s="89">
        <f>KPI!AM35</f>
        <v>131.2654684786504</v>
      </c>
      <c r="O10" s="89">
        <f>KPI!AN35</f>
        <v>155.86345635553599</v>
      </c>
      <c r="P10" s="89">
        <f>KPI!AO35</f>
        <v>155.5875226039783</v>
      </c>
      <c r="Q10" s="89">
        <f>KPI!AP35</f>
        <v>167.87464569509299</v>
      </c>
      <c r="R10" s="89">
        <f>KPI!AQ35</f>
        <v>188.31124704347118</v>
      </c>
      <c r="S10" s="89">
        <f>KPI!AR35</f>
        <v>0</v>
      </c>
      <c r="T10" s="89">
        <f>KPI!AS35</f>
        <v>0</v>
      </c>
    </row>
    <row r="11" spans="1:22" ht="15" customHeight="1">
      <c r="A11" s="51"/>
      <c r="B11" s="52" t="str">
        <f>T.LEOK!B11</f>
        <v>b. SAIFI (sesuai kewenangan)</v>
      </c>
      <c r="C11" s="364" t="str">
        <f>T.LEOK!C11</f>
        <v>ò</v>
      </c>
      <c r="D11" s="53" t="str">
        <f>T.LEOK!D11</f>
        <v>Kali/plg</v>
      </c>
      <c r="E11" s="61"/>
      <c r="F11" s="53"/>
      <c r="G11" s="268">
        <f>T.LEOK!G11</f>
        <v>1.6</v>
      </c>
      <c r="H11" s="268">
        <f>T.LEOK!H11</f>
        <v>3.2</v>
      </c>
      <c r="I11" s="89">
        <f>KPI!AH57</f>
        <v>0.32815425457593966</v>
      </c>
      <c r="J11" s="89">
        <f>KPI!AI57</f>
        <v>0.36962638954670829</v>
      </c>
      <c r="K11" s="89">
        <f>KPI!AJ57</f>
        <v>0.45734452287000499</v>
      </c>
      <c r="L11" s="89">
        <f>KPI!AK57</f>
        <v>0.59691318684363659</v>
      </c>
      <c r="M11" s="89">
        <f>KPI!AL57</f>
        <v>1.0137959635056677</v>
      </c>
      <c r="N11" s="89">
        <f>KPI!AM57</f>
        <v>1.3611379110731316</v>
      </c>
      <c r="O11" s="89">
        <f>KPI!AN57</f>
        <v>1.6419338870249161</v>
      </c>
      <c r="P11" s="89">
        <f>KPI!AO57</f>
        <v>1.6472135459477231</v>
      </c>
      <c r="Q11" s="89">
        <f>KPI!AP57</f>
        <v>1.763059446765517</v>
      </c>
      <c r="R11" s="89">
        <f>KPI!AQ57</f>
        <v>2.1229372264361253</v>
      </c>
      <c r="S11" s="89">
        <f>KPI!AR57</f>
        <v>0</v>
      </c>
      <c r="T11" s="89">
        <f>KPI!AS57</f>
        <v>0</v>
      </c>
    </row>
    <row r="12" spans="1:22" ht="15" customHeight="1">
      <c r="A12" s="51"/>
      <c r="B12" s="52" t="str">
        <f>T.LEOK!B12</f>
        <v>c. ENS (sesuai kewenangan)</v>
      </c>
      <c r="C12" s="364" t="str">
        <f>T.LEOK!C12</f>
        <v>ò</v>
      </c>
      <c r="D12" s="53" t="str">
        <f>T.LEOK!D12</f>
        <v>MWh</v>
      </c>
      <c r="E12" s="61"/>
      <c r="F12" s="53"/>
      <c r="G12" s="268">
        <f>T.LEOK!G12</f>
        <v>14.69</v>
      </c>
      <c r="H12" s="268">
        <f>T.LEOK!H12</f>
        <v>29.39</v>
      </c>
      <c r="I12" s="89">
        <f>KPI!AH75</f>
        <v>2.7029999999999998</v>
      </c>
      <c r="J12" s="89">
        <f>KPI!AI75</f>
        <v>3.355</v>
      </c>
      <c r="K12" s="89">
        <f>KPI!AJ75</f>
        <v>3.5830000000000002</v>
      </c>
      <c r="L12" s="89">
        <f>KPI!AK75</f>
        <v>4.8600000000000003</v>
      </c>
      <c r="M12" s="89">
        <f>KPI!AL75</f>
        <v>8.0020000000000007</v>
      </c>
      <c r="N12" s="89">
        <f>KPI!AM75</f>
        <v>10.838000000000001</v>
      </c>
      <c r="O12" s="89">
        <f>KPI!AN75</f>
        <v>12.664000000000001</v>
      </c>
      <c r="P12" s="89">
        <f>KPI!AO75</f>
        <v>12.686000000000002</v>
      </c>
      <c r="Q12" s="89">
        <f>KPI!AP75</f>
        <v>14.169000000000002</v>
      </c>
      <c r="R12" s="89">
        <f>KPI!AQ75</f>
        <v>16.083000000000002</v>
      </c>
      <c r="S12" s="89">
        <f>KPI!AR75</f>
        <v>0</v>
      </c>
      <c r="T12" s="89">
        <f>KPI!AS75</f>
        <v>0</v>
      </c>
    </row>
    <row r="13" spans="1:22" ht="15" customHeight="1">
      <c r="A13" s="51">
        <f>T.LEOK!A13</f>
        <v>3</v>
      </c>
      <c r="B13" s="267" t="str">
        <f>T.LEOK!B13</f>
        <v>Efisiensi Jaringan Distribusi</v>
      </c>
      <c r="C13" s="364"/>
      <c r="D13" s="53"/>
      <c r="E13" s="61"/>
      <c r="F13" s="53">
        <f>T.LEOK!F13</f>
        <v>12</v>
      </c>
      <c r="G13" s="268"/>
      <c r="H13" s="268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111"/>
    </row>
    <row r="14" spans="1:22" ht="15" customHeight="1">
      <c r="A14" s="51"/>
      <c r="B14" s="52" t="str">
        <f>T.LEOK!B14</f>
        <v>a. Susut Distribusi Tanpa E-min (sesuai kewenangan)</v>
      </c>
      <c r="C14" s="364" t="str">
        <f>T.LEOK!C14</f>
        <v>ò</v>
      </c>
      <c r="D14" s="53" t="str">
        <f>T.LEOK!D14</f>
        <v>%</v>
      </c>
      <c r="E14" s="61"/>
      <c r="F14" s="53"/>
      <c r="G14" s="268">
        <f>T.LEOK!G14</f>
        <v>10.82</v>
      </c>
      <c r="H14" s="268">
        <f>T.LEOK!H14</f>
        <v>10.35</v>
      </c>
      <c r="I14" s="89">
        <f>KPI!AH93</f>
        <v>-13.955661650139845</v>
      </c>
      <c r="J14" s="89">
        <f>KPI!AI93</f>
        <v>-4.650942620126532</v>
      </c>
      <c r="K14" s="89">
        <f>KPI!AJ93</f>
        <v>2.653542683207148</v>
      </c>
      <c r="L14" s="89">
        <f>KPI!AK93</f>
        <v>7.3350255707589476</v>
      </c>
      <c r="M14" s="89">
        <f>KPI!AL93</f>
        <v>9.5498288721732809</v>
      </c>
      <c r="N14" s="89">
        <f>KPI!AM93</f>
        <v>9.8068621374288316</v>
      </c>
      <c r="O14" s="89">
        <f>KPI!AN93</f>
        <v>10.690451858883089</v>
      </c>
      <c r="P14" s="89">
        <f>KPI!AO93</f>
        <v>10.794904975039504</v>
      </c>
      <c r="Q14" s="89">
        <f>KPI!AP93</f>
        <v>11.082476818198327</v>
      </c>
      <c r="R14" s="89">
        <f>KPI!AQ93</f>
        <v>11.02411790225006</v>
      </c>
      <c r="S14" s="89">
        <f>KPI!AR93</f>
        <v>0</v>
      </c>
      <c r="T14" s="89">
        <f>KPI!AS93</f>
        <v>0</v>
      </c>
    </row>
    <row r="15" spans="1:22" ht="15" customHeight="1">
      <c r="A15" s="51"/>
      <c r="B15" s="52" t="str">
        <f>T.LEOK!B15</f>
        <v>b. Penyelesaian Temuan P2TL</v>
      </c>
      <c r="C15" s="364" t="str">
        <f>T.LEOK!C15</f>
        <v>ñ</v>
      </c>
      <c r="D15" s="53" t="str">
        <f>T.LEOK!D15</f>
        <v>%</v>
      </c>
      <c r="E15" s="61" t="e">
        <f>#REF!</f>
        <v>#REF!</v>
      </c>
      <c r="F15" s="53"/>
      <c r="G15" s="268">
        <f>T.LEOK!G15</f>
        <v>40</v>
      </c>
      <c r="H15" s="268">
        <f>T.LEOK!H15</f>
        <v>100</v>
      </c>
      <c r="I15" s="89">
        <f>KPI!AH117</f>
        <v>9.3707999999999991</v>
      </c>
      <c r="J15" s="89">
        <f>KPI!AI117</f>
        <v>9.7013333333333325</v>
      </c>
      <c r="K15" s="89">
        <f>KPI!AJ117</f>
        <v>16.819866666666666</v>
      </c>
      <c r="L15" s="89">
        <f>KPI!AK117</f>
        <v>24.103666666666665</v>
      </c>
      <c r="M15" s="89">
        <f>KPI!AL117</f>
        <v>31.534266666666667</v>
      </c>
      <c r="N15" s="89">
        <f>KPI!AM117</f>
        <v>45.771333333333331</v>
      </c>
      <c r="O15" s="89">
        <f>KPI!AN117</f>
        <v>53.532466666666664</v>
      </c>
      <c r="P15" s="89">
        <f>KPI!AO117</f>
        <v>66.910799999999995</v>
      </c>
      <c r="Q15" s="89">
        <f>KPI!AP117</f>
        <v>79.757666666666665</v>
      </c>
      <c r="R15" s="89">
        <f>KPI!AQ117</f>
        <v>86.000066666666669</v>
      </c>
      <c r="S15" s="89">
        <f>KPI!AR117</f>
        <v>86.000066666666669</v>
      </c>
      <c r="T15" s="89">
        <f>KPI!AS117</f>
        <v>86.000066666666669</v>
      </c>
    </row>
    <row r="16" spans="1:22" ht="15" customHeight="1">
      <c r="A16" s="51"/>
      <c r="B16" s="52" t="str">
        <f>T.LEOK!B16</f>
        <v>c. Penyelesaian Ganti Meter</v>
      </c>
      <c r="C16" s="364" t="str">
        <f>T.LEOK!C16</f>
        <v>ñ</v>
      </c>
      <c r="D16" s="53" t="str">
        <f>T.LEOK!D16</f>
        <v>Unit</v>
      </c>
      <c r="E16" s="61" t="e">
        <f>#REF!</f>
        <v>#REF!</v>
      </c>
      <c r="F16" s="53"/>
      <c r="G16" s="268">
        <f>T.LEOK!G16</f>
        <v>657</v>
      </c>
      <c r="H16" s="268">
        <f>T.LEOK!H16</f>
        <v>1091</v>
      </c>
      <c r="I16" s="89">
        <f>KPI!AH131</f>
        <v>0</v>
      </c>
      <c r="J16" s="89">
        <f>KPI!AI131</f>
        <v>94</v>
      </c>
      <c r="K16" s="89">
        <f>KPI!AJ131</f>
        <v>305</v>
      </c>
      <c r="L16" s="89">
        <f>KPI!AK131</f>
        <v>394</v>
      </c>
      <c r="M16" s="89">
        <f>KPI!AL131</f>
        <v>537</v>
      </c>
      <c r="N16" s="89">
        <f>KPI!AM131</f>
        <v>602</v>
      </c>
      <c r="O16" s="89">
        <f>KPI!AN131</f>
        <v>732</v>
      </c>
      <c r="P16" s="89">
        <f>KPI!AO131</f>
        <v>732</v>
      </c>
      <c r="Q16" s="89">
        <f>KPI!AP131</f>
        <v>1089</v>
      </c>
      <c r="R16" s="89">
        <f>KPI!AQ131</f>
        <v>1109</v>
      </c>
      <c r="S16" s="89">
        <f>KPI!AR131</f>
        <v>1109</v>
      </c>
      <c r="T16" s="89">
        <f>KPI!AS131</f>
        <v>1109</v>
      </c>
    </row>
    <row r="17" spans="1:20" ht="15" customHeight="1">
      <c r="A17" s="47" t="str">
        <f>T.LEOK!A17:B17</f>
        <v>II</v>
      </c>
      <c r="B17" s="48" t="str">
        <f>T.LEOK!B17</f>
        <v>Perfomance Indicators</v>
      </c>
      <c r="C17" s="363"/>
      <c r="D17" s="50"/>
      <c r="E17" s="48"/>
      <c r="F17" s="139">
        <f>SUM(F18:F54)</f>
        <v>60</v>
      </c>
      <c r="G17" s="139"/>
      <c r="H17" s="139"/>
      <c r="I17" s="139"/>
      <c r="J17" s="139"/>
      <c r="K17" s="139"/>
      <c r="L17" s="139"/>
      <c r="M17" s="139"/>
      <c r="N17" s="139"/>
      <c r="O17" s="139"/>
      <c r="P17" s="139"/>
      <c r="Q17" s="139"/>
      <c r="R17" s="139"/>
      <c r="S17" s="139"/>
      <c r="T17" s="168"/>
    </row>
    <row r="18" spans="1:20" ht="15" customHeight="1">
      <c r="A18" s="51">
        <f>T.LEOK!A18</f>
        <v>4</v>
      </c>
      <c r="B18" s="271" t="str">
        <f>T.LEOK!B18</f>
        <v>Keandalan Jaringan Distribusi</v>
      </c>
      <c r="C18" s="364"/>
      <c r="D18" s="53"/>
      <c r="E18" s="61"/>
      <c r="F18" s="53">
        <f>T.LEOK!F18</f>
        <v>9</v>
      </c>
      <c r="G18" s="89"/>
      <c r="H18" s="89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2"/>
      <c r="T18" s="95"/>
    </row>
    <row r="19" spans="1:20" ht="16.5">
      <c r="A19" s="51"/>
      <c r="B19" s="275" t="str">
        <f>T.LEOK!B19</f>
        <v>a. Gangguan TM &gt; 5 Menit</v>
      </c>
      <c r="C19" s="364" t="str">
        <f>T.LEOK!C19</f>
        <v>ò</v>
      </c>
      <c r="D19" s="53" t="str">
        <f>T.LEOK!D19</f>
        <v>Kali</v>
      </c>
      <c r="E19" s="61" t="e">
        <f>#REF!</f>
        <v>#REF!</v>
      </c>
      <c r="F19" s="53"/>
      <c r="G19" s="89">
        <f>T.LEOK!G19</f>
        <v>15.999999999999998</v>
      </c>
      <c r="H19" s="89">
        <f>T.LEOK!H19</f>
        <v>30</v>
      </c>
      <c r="I19" s="142">
        <f>PI!AH11</f>
        <v>2</v>
      </c>
      <c r="J19" s="142">
        <f>PI!AI11</f>
        <v>5</v>
      </c>
      <c r="K19" s="142">
        <f>PI!AJ11</f>
        <v>8</v>
      </c>
      <c r="L19" s="142">
        <f>PI!AK11</f>
        <v>10</v>
      </c>
      <c r="M19" s="142">
        <f>PI!AL11</f>
        <v>13</v>
      </c>
      <c r="N19" s="142">
        <f>PI!AM11</f>
        <v>13</v>
      </c>
      <c r="O19" s="142">
        <f>PI!AN11</f>
        <v>15</v>
      </c>
      <c r="P19" s="142">
        <f>PI!AO11</f>
        <v>15</v>
      </c>
      <c r="Q19" s="142">
        <f>PI!AP11</f>
        <v>16</v>
      </c>
      <c r="R19" s="142">
        <f>PI!AQ11</f>
        <v>20</v>
      </c>
      <c r="S19" s="142">
        <f>PI!AR11</f>
        <v>20</v>
      </c>
      <c r="T19" s="142">
        <f>PI!AS11</f>
        <v>20</v>
      </c>
    </row>
    <row r="20" spans="1:20" ht="16.5">
      <c r="A20" s="51"/>
      <c r="B20" s="275" t="str">
        <f>T.LEOK!B20</f>
        <v>b. Gangguan TM ≤ 5 Menit</v>
      </c>
      <c r="C20" s="364" t="str">
        <f>T.LEOK!C20</f>
        <v>ò</v>
      </c>
      <c r="D20" s="53" t="str">
        <f>T.LEOK!D20</f>
        <v>Kali</v>
      </c>
      <c r="E20" s="61" t="e">
        <f>#REF!</f>
        <v>#REF!</v>
      </c>
      <c r="F20" s="53"/>
      <c r="G20" s="89">
        <f>T.LEOK!G20</f>
        <v>22</v>
      </c>
      <c r="H20" s="89">
        <f>T.LEOK!H20</f>
        <v>44</v>
      </c>
      <c r="I20" s="142">
        <f>PI!AH12</f>
        <v>0</v>
      </c>
      <c r="J20" s="142">
        <f>PI!AI12</f>
        <v>2</v>
      </c>
      <c r="K20" s="142">
        <f>PI!AJ12</f>
        <v>3</v>
      </c>
      <c r="L20" s="142">
        <f>PI!AK12</f>
        <v>4</v>
      </c>
      <c r="M20" s="142">
        <f>PI!AL12</f>
        <v>15</v>
      </c>
      <c r="N20" s="142">
        <f>PI!AM12</f>
        <v>19</v>
      </c>
      <c r="O20" s="142">
        <f>PI!AN12</f>
        <v>20</v>
      </c>
      <c r="P20" s="142">
        <f>PI!AO12</f>
        <v>20</v>
      </c>
      <c r="Q20" s="142">
        <f>PI!AP12</f>
        <v>21</v>
      </c>
      <c r="R20" s="142">
        <f>PI!AQ12</f>
        <v>29</v>
      </c>
      <c r="S20" s="142">
        <f>PI!AR12</f>
        <v>29</v>
      </c>
      <c r="T20" s="142">
        <f>PI!AS12</f>
        <v>29</v>
      </c>
    </row>
    <row r="21" spans="1:20" ht="16.5">
      <c r="A21" s="51"/>
      <c r="B21" s="275" t="str">
        <f>T.LEOK!B21</f>
        <v>c. Kerusakan Peralatan Distribusi (PHB TM dan Trafo) Sesuai Kewenangan</v>
      </c>
      <c r="C21" s="364" t="str">
        <f>T.LEOK!C21</f>
        <v>ò</v>
      </c>
      <c r="D21" s="53" t="str">
        <f>T.LEOK!D21</f>
        <v>Unit</v>
      </c>
      <c r="E21" s="61" t="e">
        <f>#REF!</f>
        <v>#REF!</v>
      </c>
      <c r="F21" s="53"/>
      <c r="G21" s="89">
        <f>T.LEOK!G21</f>
        <v>1</v>
      </c>
      <c r="H21" s="89">
        <f>T.LEOK!H21</f>
        <v>1</v>
      </c>
      <c r="I21" s="142">
        <f>PI!AH36</f>
        <v>0</v>
      </c>
      <c r="J21" s="142">
        <f>PI!AI36</f>
        <v>0</v>
      </c>
      <c r="K21" s="142">
        <f>PI!AJ36</f>
        <v>0</v>
      </c>
      <c r="L21" s="142">
        <f>PI!AK36</f>
        <v>0</v>
      </c>
      <c r="M21" s="142">
        <f>PI!AL36</f>
        <v>0</v>
      </c>
      <c r="N21" s="142">
        <f>PI!AM36</f>
        <v>0</v>
      </c>
      <c r="O21" s="142">
        <f>PI!AN36</f>
        <v>0</v>
      </c>
      <c r="P21" s="142">
        <f>PI!AO36</f>
        <v>0</v>
      </c>
      <c r="Q21" s="142">
        <f>PI!AP36</f>
        <v>0</v>
      </c>
      <c r="R21" s="142">
        <f>PI!AQ36</f>
        <v>0</v>
      </c>
      <c r="S21" s="142">
        <f>PI!AR36</f>
        <v>0</v>
      </c>
      <c r="T21" s="142">
        <f>PI!AS36</f>
        <v>0</v>
      </c>
    </row>
    <row r="22" spans="1:20" ht="15" customHeight="1">
      <c r="A22" s="51">
        <f>T.LEOK!A22</f>
        <v>5</v>
      </c>
      <c r="B22" s="271" t="str">
        <f>T.LEOK!B22</f>
        <v>Peningkatan Layanan</v>
      </c>
      <c r="C22" s="364"/>
      <c r="D22" s="53"/>
      <c r="E22" s="61" t="e">
        <f>#REF!</f>
        <v>#REF!</v>
      </c>
      <c r="F22" s="53">
        <f>T.LEOK!F22</f>
        <v>8</v>
      </c>
      <c r="G22" s="89"/>
      <c r="H22" s="89"/>
      <c r="I22" s="226"/>
      <c r="J22" s="226"/>
      <c r="K22" s="226"/>
      <c r="L22" s="226"/>
      <c r="M22" s="226"/>
      <c r="N22" s="226"/>
      <c r="O22" s="226"/>
      <c r="P22" s="226"/>
      <c r="Q22" s="226"/>
      <c r="R22" s="226"/>
      <c r="S22" s="226"/>
      <c r="T22" s="226"/>
    </row>
    <row r="23" spans="1:20" ht="15" customHeight="1">
      <c r="A23" s="51"/>
      <c r="B23" s="275" t="str">
        <f>T.LEOK!B23</f>
        <v>a. Feedback Rating Negatif pada PLN Mobile - Gangguan</v>
      </c>
      <c r="C23" s="364" t="str">
        <f>T.LEOK!C23</f>
        <v>ò</v>
      </c>
      <c r="D23" s="53" t="str">
        <f>T.LEOK!D23</f>
        <v>%</v>
      </c>
      <c r="E23" s="61"/>
      <c r="F23" s="53"/>
      <c r="G23" s="89">
        <f>T.LEOK!G23</f>
        <v>0.09</v>
      </c>
      <c r="H23" s="89">
        <f>T.LEOK!H23</f>
        <v>0.09</v>
      </c>
      <c r="I23" s="226">
        <f>PI!AH55</f>
        <v>0</v>
      </c>
      <c r="J23" s="226">
        <f>PI!AI55</f>
        <v>0</v>
      </c>
      <c r="K23" s="226">
        <f>PI!AJ55</f>
        <v>0</v>
      </c>
      <c r="L23" s="226">
        <f>PI!AK55</f>
        <v>0</v>
      </c>
      <c r="M23" s="226">
        <f>PI!AL55</f>
        <v>0</v>
      </c>
      <c r="N23" s="226">
        <f>PI!AM55</f>
        <v>0</v>
      </c>
      <c r="O23" s="226">
        <f>PI!AN55</f>
        <v>0</v>
      </c>
      <c r="P23" s="226">
        <f>PI!AO55</f>
        <v>0</v>
      </c>
      <c r="Q23" s="226">
        <f>PI!AP55</f>
        <v>0</v>
      </c>
      <c r="R23" s="226">
        <f>PI!AQ55</f>
        <v>0</v>
      </c>
      <c r="S23" s="226">
        <f>PI!AR55</f>
        <v>0</v>
      </c>
      <c r="T23" s="226">
        <f>PI!AS55</f>
        <v>0</v>
      </c>
    </row>
    <row r="24" spans="1:20" ht="16.5">
      <c r="A24" s="51"/>
      <c r="B24" s="275" t="str">
        <f>T.LEOK!B24</f>
        <v>b. Pengaduan Gangguan Berulang pada PLN Mobile</v>
      </c>
      <c r="C24" s="364" t="str">
        <f>T.LEOK!C24</f>
        <v>ò</v>
      </c>
      <c r="D24" s="53" t="str">
        <f>T.LEOK!D24</f>
        <v>%</v>
      </c>
      <c r="E24" s="61"/>
      <c r="F24" s="53"/>
      <c r="G24" s="89">
        <f>T.LEOK!G24</f>
        <v>0.04</v>
      </c>
      <c r="H24" s="89">
        <f>T.LEOK!H24</f>
        <v>0.04</v>
      </c>
      <c r="I24" s="226">
        <f>PI!AH77</f>
        <v>0</v>
      </c>
      <c r="J24" s="226">
        <f>PI!AI77</f>
        <v>0</v>
      </c>
      <c r="K24" s="226">
        <f>PI!AJ77</f>
        <v>0</v>
      </c>
      <c r="L24" s="226">
        <f>PI!AK77</f>
        <v>0</v>
      </c>
      <c r="M24" s="226">
        <f>PI!AL77</f>
        <v>0</v>
      </c>
      <c r="N24" s="226">
        <f>PI!AM77</f>
        <v>0</v>
      </c>
      <c r="O24" s="226">
        <f>PI!AN77</f>
        <v>0</v>
      </c>
      <c r="P24" s="226">
        <f>PI!AO77</f>
        <v>0</v>
      </c>
      <c r="Q24" s="226">
        <f>PI!AP77</f>
        <v>0</v>
      </c>
      <c r="R24" s="226">
        <f>PI!AQ77</f>
        <v>0</v>
      </c>
      <c r="S24" s="226">
        <f>PI!AR77</f>
        <v>3.0349013657056147E-2</v>
      </c>
      <c r="T24" s="226">
        <f>PI!AS77</f>
        <v>3.0349013657056147E-2</v>
      </c>
    </row>
    <row r="25" spans="1:20" ht="15" customHeight="1">
      <c r="A25" s="51"/>
      <c r="B25" s="275" t="str">
        <f>T.LEOK!B25</f>
        <v>c. Rating PLN Mobile</v>
      </c>
      <c r="C25" s="364" t="str">
        <f>T.LEOK!C25</f>
        <v>ñ</v>
      </c>
      <c r="D25" s="53" t="str">
        <f>T.LEOK!D25</f>
        <v>Rating</v>
      </c>
      <c r="E25" s="61" t="e">
        <f>#REF!</f>
        <v>#REF!</v>
      </c>
      <c r="F25" s="53"/>
      <c r="G25" s="89">
        <f>T.LEOK!G25</f>
        <v>4.9000000000000004</v>
      </c>
      <c r="H25" s="89">
        <f>T.LEOK!H25</f>
        <v>4.9000000000000004</v>
      </c>
      <c r="I25" s="142">
        <f>PI!AH97</f>
        <v>4.91</v>
      </c>
      <c r="J25" s="142">
        <f>PI!AI97</f>
        <v>4.91</v>
      </c>
      <c r="K25" s="142">
        <f>PI!AJ97</f>
        <v>4.91</v>
      </c>
      <c r="L25" s="142">
        <f>PI!AK97</f>
        <v>4.91</v>
      </c>
      <c r="M25" s="142">
        <f>PI!AL97</f>
        <v>4.9000000000000004</v>
      </c>
      <c r="N25" s="142">
        <f>PI!AM97</f>
        <v>4.9000000000000004</v>
      </c>
      <c r="O25" s="142">
        <f>PI!AN97</f>
        <v>4.9000000000000004</v>
      </c>
      <c r="P25" s="142">
        <f>PI!AO97</f>
        <v>4.9000000000000004</v>
      </c>
      <c r="Q25" s="142">
        <f>PI!AP97</f>
        <v>4.9000000000000004</v>
      </c>
      <c r="R25" s="142">
        <f>PI!AQ97</f>
        <v>4.9000000000000004</v>
      </c>
      <c r="S25" s="142">
        <f>PI!AR97</f>
        <v>4.9000000000000004</v>
      </c>
      <c r="T25" s="142">
        <f>PI!AS97</f>
        <v>4.9000000000000004</v>
      </c>
    </row>
    <row r="26" spans="1:20" ht="15" customHeight="1">
      <c r="A26" s="51"/>
      <c r="B26" s="275" t="str">
        <f>T.LEOK!B26</f>
        <v>d. Jumlah Kali Transaksi Keuangan melalui PLN Mobile</v>
      </c>
      <c r="C26" s="364" t="str">
        <f>T.LEOK!C26</f>
        <v>ñ</v>
      </c>
      <c r="D26" s="53" t="str">
        <f>T.LEOK!D26</f>
        <v>Kali Transaksi</v>
      </c>
      <c r="E26" s="61" t="e">
        <f>#REF!</f>
        <v>#REF!</v>
      </c>
      <c r="F26" s="53"/>
      <c r="G26" s="89">
        <f>T.LEOK!G26</f>
        <v>10664</v>
      </c>
      <c r="H26" s="89">
        <f>T.LEOK!H26</f>
        <v>17774</v>
      </c>
      <c r="I26" s="142">
        <f>PI!AH103</f>
        <v>1054</v>
      </c>
      <c r="J26" s="142">
        <f>PI!AI103</f>
        <v>2171</v>
      </c>
      <c r="K26" s="142">
        <f>PI!AJ103</f>
        <v>5189</v>
      </c>
      <c r="L26" s="142">
        <f>PI!AK103</f>
        <v>7623</v>
      </c>
      <c r="M26" s="142">
        <f>PI!AL103</f>
        <v>10199</v>
      </c>
      <c r="N26" s="142">
        <f>PI!AM103</f>
        <v>12631</v>
      </c>
      <c r="O26" s="142">
        <f>PI!AN103</f>
        <v>15277</v>
      </c>
      <c r="P26" s="142">
        <f>PI!AO103</f>
        <v>16938</v>
      </c>
      <c r="Q26" s="142">
        <f>PI!AP103</f>
        <v>18553</v>
      </c>
      <c r="R26" s="142">
        <f>PI!AQ103</f>
        <v>20118</v>
      </c>
      <c r="S26" s="142">
        <f>PI!AR103</f>
        <v>0</v>
      </c>
      <c r="T26" s="142">
        <f>PI!AS103</f>
        <v>0</v>
      </c>
    </row>
    <row r="27" spans="1:20" ht="15" customHeight="1">
      <c r="A27" s="51">
        <f>T.LEOK!A27</f>
        <v>6</v>
      </c>
      <c r="B27" s="271" t="str">
        <f>T.LEOK!B27</f>
        <v>Dispatch Respon Time</v>
      </c>
      <c r="C27" s="364"/>
      <c r="D27" s="53"/>
      <c r="E27" s="61"/>
      <c r="F27" s="53">
        <f>T.LEOK!F27</f>
        <v>3</v>
      </c>
      <c r="G27" s="89"/>
      <c r="H27" s="89"/>
      <c r="I27" s="142"/>
      <c r="J27" s="142"/>
      <c r="K27" s="142"/>
      <c r="L27" s="142"/>
      <c r="M27" s="142"/>
      <c r="N27" s="142"/>
      <c r="O27" s="142"/>
      <c r="P27" s="142"/>
      <c r="Q27" s="142"/>
      <c r="R27" s="142"/>
      <c r="S27" s="142"/>
      <c r="T27" s="142"/>
    </row>
    <row r="28" spans="1:20" ht="15" customHeight="1">
      <c r="A28" s="51"/>
      <c r="B28" s="275" t="str">
        <f>T.LEOK!B28</f>
        <v>a. Response Time atas Gangguan (diluar Clear Tamper)</v>
      </c>
      <c r="C28" s="364" t="str">
        <f>T.LEOK!C28</f>
        <v>ò</v>
      </c>
      <c r="D28" s="53" t="str">
        <f>T.LEOK!D28</f>
        <v>Menit</v>
      </c>
      <c r="E28" s="61"/>
      <c r="F28" s="53"/>
      <c r="G28" s="89">
        <f>T.LEOK!G28</f>
        <v>30</v>
      </c>
      <c r="H28" s="89">
        <f>T.LEOK!H28</f>
        <v>30</v>
      </c>
      <c r="I28" s="142">
        <f>PI!AH115</f>
        <v>6.2834097859327196</v>
      </c>
      <c r="J28" s="142">
        <f>PI!AI115</f>
        <v>6.3765533778148438</v>
      </c>
      <c r="K28" s="142">
        <f>PI!AJ115</f>
        <v>6.4610717515751759</v>
      </c>
      <c r="L28" s="142">
        <f>PI!AK115</f>
        <v>6.5008917231226153</v>
      </c>
      <c r="M28" s="142">
        <f>PI!AL115</f>
        <v>7.8207133784980929</v>
      </c>
      <c r="N28" s="142">
        <f>PI!AM115</f>
        <v>7.9532516180450692</v>
      </c>
      <c r="O28" s="142">
        <f>PI!AN115</f>
        <v>8.0479217891500525</v>
      </c>
      <c r="P28" s="142">
        <f>PI!AO115</f>
        <v>8.3654567384501846</v>
      </c>
      <c r="Q28" s="142">
        <f>PI!AP115</f>
        <v>8.7027642371561775</v>
      </c>
      <c r="R28" s="142">
        <f>PI!AQ115</f>
        <v>8.973954579907625</v>
      </c>
      <c r="S28" s="142">
        <f>PI!AR115</f>
        <v>8.973954579907625</v>
      </c>
      <c r="T28" s="142">
        <f>PI!AS115</f>
        <v>8.973954579907625</v>
      </c>
    </row>
    <row r="29" spans="1:20" ht="15" customHeight="1">
      <c r="A29" s="51"/>
      <c r="B29" s="275" t="str">
        <f>T.LEOK!B29</f>
        <v>b. Success Rate Auto Dispatch Gangguan Individual (diluar Clear Tamper)</v>
      </c>
      <c r="C29" s="364" t="str">
        <f>T.LEOK!C29</f>
        <v>ñ</v>
      </c>
      <c r="D29" s="53" t="str">
        <f>T.LEOK!D29</f>
        <v>%</v>
      </c>
      <c r="E29" s="61"/>
      <c r="F29" s="53"/>
      <c r="G29" s="89">
        <f>T.LEOK!G29</f>
        <v>0</v>
      </c>
      <c r="H29" s="89">
        <f>T.LEOK!H29</f>
        <v>0</v>
      </c>
      <c r="I29" s="142">
        <f>PI!AH131</f>
        <v>0</v>
      </c>
      <c r="J29" s="142">
        <f>PI!AI131</f>
        <v>0</v>
      </c>
      <c r="K29" s="142">
        <f>PI!AJ131</f>
        <v>0</v>
      </c>
      <c r="L29" s="142">
        <f>PI!AK131</f>
        <v>0</v>
      </c>
      <c r="M29" s="142">
        <f>PI!AL131</f>
        <v>0</v>
      </c>
      <c r="N29" s="142">
        <f>PI!AM131</f>
        <v>0</v>
      </c>
      <c r="O29" s="142">
        <f>PI!AN131</f>
        <v>0</v>
      </c>
      <c r="P29" s="142">
        <f>PI!AO131</f>
        <v>0</v>
      </c>
      <c r="Q29" s="142">
        <f>PI!AP131</f>
        <v>0</v>
      </c>
      <c r="R29" s="142">
        <f>PI!AQ131</f>
        <v>0</v>
      </c>
      <c r="S29" s="142">
        <f>PI!AR131</f>
        <v>0</v>
      </c>
      <c r="T29" s="142">
        <f>PI!AS131</f>
        <v>0</v>
      </c>
    </row>
    <row r="30" spans="1:20" ht="16.5">
      <c r="A30" s="51">
        <f>T.LEOK!A30</f>
        <v>7</v>
      </c>
      <c r="B30" s="271" t="str">
        <f>T.LEOK!B30</f>
        <v>Sistem Recovery :</v>
      </c>
      <c r="C30" s="364"/>
      <c r="D30" s="53"/>
      <c r="E30" s="61" t="e">
        <f>#REF!</f>
        <v>#REF!</v>
      </c>
      <c r="F30" s="53">
        <f>T.LEOK!F30</f>
        <v>6</v>
      </c>
      <c r="G30" s="89"/>
      <c r="H30" s="89"/>
      <c r="I30" s="142"/>
      <c r="J30" s="142"/>
      <c r="K30" s="142"/>
      <c r="L30" s="142"/>
      <c r="M30" s="142"/>
      <c r="N30" s="142"/>
      <c r="O30" s="142"/>
      <c r="P30" s="142"/>
      <c r="Q30" s="142"/>
      <c r="R30" s="142"/>
      <c r="S30" s="142"/>
      <c r="T30" s="142"/>
    </row>
    <row r="31" spans="1:20" ht="16.5">
      <c r="A31" s="51"/>
      <c r="B31" s="275" t="str">
        <f>T.LEOK!B31</f>
        <v>a. Recovery Time Gangguan Meluas TM</v>
      </c>
      <c r="C31" s="364" t="str">
        <f>T.LEOK!C31</f>
        <v>ñ</v>
      </c>
      <c r="D31" s="53" t="str">
        <f>T.LEOK!D31</f>
        <v>%</v>
      </c>
      <c r="E31" s="61"/>
      <c r="F31" s="53"/>
      <c r="G31" s="89">
        <f>T.LEOK!G31</f>
        <v>100</v>
      </c>
      <c r="H31" s="89">
        <f>T.LEOK!H31</f>
        <v>100</v>
      </c>
      <c r="I31" s="142">
        <f>PI!AH148</f>
        <v>108.25</v>
      </c>
      <c r="J31" s="142">
        <f>PI!AI148</f>
        <v>84.25</v>
      </c>
      <c r="K31" s="142">
        <f>PI!AJ148</f>
        <v>101.25</v>
      </c>
      <c r="L31" s="142">
        <f>PI!AK148</f>
        <v>107</v>
      </c>
      <c r="M31" s="142">
        <f>PI!AL148</f>
        <v>109.5</v>
      </c>
      <c r="N31" s="142">
        <f>PI!AM148</f>
        <v>109.5</v>
      </c>
      <c r="O31" s="142">
        <f>PI!AN148</f>
        <v>109.5</v>
      </c>
      <c r="P31" s="142">
        <f>PI!AO148</f>
        <v>110</v>
      </c>
      <c r="Q31" s="142">
        <f>PI!AP148</f>
        <v>110</v>
      </c>
      <c r="R31" s="142">
        <f>PI!AQ148</f>
        <v>110</v>
      </c>
      <c r="S31" s="142">
        <f>PI!AR148</f>
        <v>0</v>
      </c>
      <c r="T31" s="142">
        <f>PI!AS148</f>
        <v>0</v>
      </c>
    </row>
    <row r="32" spans="1:20" ht="16.5">
      <c r="A32" s="51"/>
      <c r="B32" s="275" t="str">
        <f>T.LEOK!B32</f>
        <v>b. Penormalan Siaga 1 Gangguan TM</v>
      </c>
      <c r="C32" s="364" t="str">
        <f>T.LEOK!C32</f>
        <v>ñ</v>
      </c>
      <c r="D32" s="53" t="str">
        <f>T.LEOK!D32</f>
        <v>%</v>
      </c>
      <c r="E32" s="61"/>
      <c r="F32" s="53"/>
      <c r="G32" s="89">
        <f>T.LEOK!G32</f>
        <v>100</v>
      </c>
      <c r="H32" s="89">
        <f>T.LEOK!H32</f>
        <v>100</v>
      </c>
      <c r="I32" s="142">
        <f>PI!AH170</f>
        <v>110</v>
      </c>
      <c r="J32" s="142">
        <f>PI!AI170</f>
        <v>110</v>
      </c>
      <c r="K32" s="142">
        <f>PI!AJ170</f>
        <v>110</v>
      </c>
      <c r="L32" s="142">
        <f>PI!AK170</f>
        <v>110</v>
      </c>
      <c r="M32" s="142">
        <f>PI!AL170</f>
        <v>110</v>
      </c>
      <c r="N32" s="142">
        <f>PI!AM170</f>
        <v>110</v>
      </c>
      <c r="O32" s="142">
        <f>PI!AN170</f>
        <v>110</v>
      </c>
      <c r="P32" s="142">
        <f>PI!AO170</f>
        <v>110</v>
      </c>
      <c r="Q32" s="142">
        <f>PI!AP170</f>
        <v>110</v>
      </c>
      <c r="R32" s="142">
        <f>PI!AQ170</f>
        <v>110</v>
      </c>
      <c r="S32" s="142">
        <f>PI!AR170</f>
        <v>0</v>
      </c>
      <c r="T32" s="142">
        <f>PI!AS170</f>
        <v>0</v>
      </c>
    </row>
    <row r="33" spans="1:23" ht="14.45" customHeight="1">
      <c r="A33" s="51">
        <f>T.LEOK!A33</f>
        <v>8</v>
      </c>
      <c r="B33" s="271" t="str">
        <f>T.LEOK!B33</f>
        <v>Percepatan Penyambungan Pelanggan</v>
      </c>
      <c r="C33" s="364"/>
      <c r="D33" s="53"/>
      <c r="E33" s="61" t="e">
        <f>#REF!</f>
        <v>#REF!</v>
      </c>
      <c r="F33" s="53">
        <f>T.LEOK!F33</f>
        <v>10</v>
      </c>
      <c r="G33" s="89"/>
      <c r="H33" s="89"/>
      <c r="I33" s="142"/>
      <c r="J33" s="142"/>
      <c r="K33" s="142"/>
      <c r="L33" s="142"/>
      <c r="M33" s="142"/>
      <c r="N33" s="142"/>
      <c r="O33" s="142"/>
      <c r="P33" s="142"/>
      <c r="Q33" s="142"/>
      <c r="R33" s="142"/>
      <c r="S33" s="142"/>
      <c r="T33" s="142"/>
      <c r="V33" s="21"/>
      <c r="W33" s="21"/>
    </row>
    <row r="34" spans="1:23" ht="16.5">
      <c r="A34" s="51"/>
      <c r="B34" s="271" t="str">
        <f>T.LEOK!B34</f>
        <v>a. Penambahan Daya Tersambung</v>
      </c>
      <c r="C34" s="364" t="str">
        <f>T.LEOK!C34</f>
        <v>ñ</v>
      </c>
      <c r="D34" s="53" t="str">
        <f>T.LEOK!D34</f>
        <v>MVA</v>
      </c>
      <c r="E34" s="61"/>
      <c r="F34" s="53"/>
      <c r="G34" s="89">
        <f>T.LEOK!G34</f>
        <v>1.38</v>
      </c>
      <c r="H34" s="89">
        <f>T.LEOK!H34</f>
        <v>3.49</v>
      </c>
      <c r="I34" s="142">
        <f>PI!AH195</f>
        <v>0.11225</v>
      </c>
      <c r="J34" s="142">
        <f>PI!AI195</f>
        <v>0.23485</v>
      </c>
      <c r="K34" s="142">
        <f>PI!AJ195</f>
        <v>0.34660000000000002</v>
      </c>
      <c r="L34" s="142">
        <f>PI!AK195</f>
        <v>0.46213333333333334</v>
      </c>
      <c r="M34" s="142">
        <f>PI!AL195</f>
        <v>0.58793333333333331</v>
      </c>
      <c r="N34" s="142">
        <f>PI!AM195</f>
        <v>0.69793333333333329</v>
      </c>
      <c r="O34" s="142">
        <f>PI!AN195</f>
        <v>0.8138333333333333</v>
      </c>
      <c r="P34" s="142">
        <f>PI!AO195</f>
        <v>1.0222333333333333</v>
      </c>
      <c r="Q34" s="142">
        <f>PI!AP195</f>
        <v>1.1843333333333332</v>
      </c>
      <c r="R34" s="142">
        <f>PI!AQ195</f>
        <v>1.3987833333333333</v>
      </c>
      <c r="S34" s="142">
        <f>PI!AR195</f>
        <v>0</v>
      </c>
      <c r="T34" s="142">
        <f>PI!AS195</f>
        <v>0</v>
      </c>
    </row>
    <row r="35" spans="1:23" ht="16.5">
      <c r="A35" s="51"/>
      <c r="B35" s="275" t="str">
        <f>T.LEOK!B35</f>
        <v>b. Penambahan Jumlah Pelanggan</v>
      </c>
      <c r="C35" s="364" t="str">
        <f>T.LEOK!C35</f>
        <v>ñ</v>
      </c>
      <c r="D35" s="53" t="str">
        <f>T.LEOK!D35</f>
        <v>Pelanggan</v>
      </c>
      <c r="E35" s="61"/>
      <c r="F35" s="53"/>
      <c r="G35" s="89">
        <f>T.LEOK!G35</f>
        <v>1127</v>
      </c>
      <c r="H35" s="89">
        <f>T.LEOK!H35</f>
        <v>2594</v>
      </c>
      <c r="I35" s="142">
        <f>PI!AH201</f>
        <v>62</v>
      </c>
      <c r="J35" s="142">
        <f>PI!AI201</f>
        <v>170</v>
      </c>
      <c r="K35" s="142">
        <f>PI!AJ201</f>
        <v>263</v>
      </c>
      <c r="L35" s="142">
        <f>PI!AK201</f>
        <v>366</v>
      </c>
      <c r="M35" s="142">
        <f>PI!AL201</f>
        <v>447</v>
      </c>
      <c r="N35" s="142">
        <f>PI!AM201</f>
        <v>554</v>
      </c>
      <c r="O35" s="142">
        <f>PI!AN201</f>
        <v>639</v>
      </c>
      <c r="P35" s="142">
        <f>PI!AO201</f>
        <v>775</v>
      </c>
      <c r="Q35" s="142">
        <f>PI!AP201</f>
        <v>898</v>
      </c>
      <c r="R35" s="142">
        <f>PI!AQ201</f>
        <v>1060</v>
      </c>
      <c r="S35" s="142">
        <f>PI!AR201</f>
        <v>0</v>
      </c>
      <c r="T35" s="142">
        <f>PI!AS201</f>
        <v>0</v>
      </c>
    </row>
    <row r="36" spans="1:23" ht="16.5">
      <c r="A36" s="51"/>
      <c r="B36" s="275" t="str">
        <f>T.LEOK!B36</f>
        <v>c. Jumlah Penambahan Pelanggan Produk Tematik</v>
      </c>
      <c r="C36" s="364" t="str">
        <f>T.LEOK!C36</f>
        <v>ñ</v>
      </c>
      <c r="D36" s="53" t="str">
        <f>T.LEOK!D36</f>
        <v>Pelanggan</v>
      </c>
      <c r="E36" s="61"/>
      <c r="F36" s="53"/>
      <c r="G36" s="89">
        <f>T.LEOK!G36</f>
        <v>132</v>
      </c>
      <c r="H36" s="89">
        <f>T.LEOK!H36</f>
        <v>222</v>
      </c>
      <c r="I36" s="142">
        <f>PI!AH207</f>
        <v>19</v>
      </c>
      <c r="J36" s="142">
        <f>PI!AI207</f>
        <v>39</v>
      </c>
      <c r="K36" s="142">
        <f>PI!AJ207</f>
        <v>42</v>
      </c>
      <c r="L36" s="142">
        <f>PI!AK207</f>
        <v>42</v>
      </c>
      <c r="M36" s="142">
        <f>PI!AL207</f>
        <v>58</v>
      </c>
      <c r="N36" s="142">
        <f>PI!AM207</f>
        <v>68</v>
      </c>
      <c r="O36" s="142">
        <f>PI!AN207</f>
        <v>84</v>
      </c>
      <c r="P36" s="142">
        <f>PI!AO207</f>
        <v>108</v>
      </c>
      <c r="Q36" s="142">
        <f>PI!AP207</f>
        <v>118</v>
      </c>
      <c r="R36" s="142">
        <f>PI!AQ207</f>
        <v>143</v>
      </c>
      <c r="S36" s="142">
        <f>PI!AR207</f>
        <v>0</v>
      </c>
      <c r="T36" s="142">
        <f>PI!AS207</f>
        <v>0</v>
      </c>
    </row>
    <row r="37" spans="1:23" ht="15" customHeight="1">
      <c r="A37" s="51"/>
      <c r="B37" s="275" t="str">
        <f>T.LEOK!B37</f>
        <v>d. Implementasi Kesesuaian Sektor Bisnis sesuai KBLI 2020</v>
      </c>
      <c r="C37" s="364" t="str">
        <f>T.LEOK!C37</f>
        <v>ñ</v>
      </c>
      <c r="D37" s="53" t="str">
        <f>T.LEOK!D37</f>
        <v>Pelanggan</v>
      </c>
      <c r="E37" s="61" t="e">
        <f>#REF!</f>
        <v>#REF!</v>
      </c>
      <c r="F37" s="53"/>
      <c r="G37" s="89">
        <f>T.LEOK!G37</f>
        <v>0</v>
      </c>
      <c r="H37" s="89">
        <f>T.LEOK!H37</f>
        <v>0</v>
      </c>
      <c r="I37" s="142">
        <f>PI!AH208</f>
        <v>17</v>
      </c>
      <c r="J37" s="142">
        <f>PI!AI208</f>
        <v>18</v>
      </c>
      <c r="K37" s="142">
        <f>PI!AJ208</f>
        <v>34</v>
      </c>
      <c r="L37" s="142">
        <f>PI!AK208</f>
        <v>34</v>
      </c>
      <c r="M37" s="142">
        <f>PI!AL208</f>
        <v>50</v>
      </c>
      <c r="N37" s="142">
        <f>PI!AM208</f>
        <v>99</v>
      </c>
      <c r="O37" s="142">
        <f>PI!AN208</f>
        <v>99</v>
      </c>
      <c r="P37" s="142">
        <f>PI!AO208</f>
        <v>133</v>
      </c>
      <c r="Q37" s="142">
        <f>PI!AP208</f>
        <v>138</v>
      </c>
      <c r="R37" s="142">
        <f>PI!AQ208</f>
        <v>146</v>
      </c>
      <c r="S37" s="142">
        <f>PI!AR208</f>
        <v>0</v>
      </c>
      <c r="T37" s="142">
        <f>PI!AS208</f>
        <v>0</v>
      </c>
    </row>
    <row r="38" spans="1:23" ht="15" customHeight="1">
      <c r="A38" s="51">
        <f>T.LEOK!A38</f>
        <v>9</v>
      </c>
      <c r="B38" s="271" t="str">
        <f>T.LEOK!B38</f>
        <v>Percepatan Penyambungan Pelanggan Lisdes</v>
      </c>
      <c r="C38" s="364"/>
      <c r="D38" s="53"/>
      <c r="E38" s="61" t="e">
        <f>#REF!</f>
        <v>#REF!</v>
      </c>
      <c r="F38" s="53">
        <f>T.LEOK!F38</f>
        <v>4</v>
      </c>
      <c r="G38" s="89"/>
      <c r="H38" s="89"/>
      <c r="I38" s="154"/>
      <c r="J38" s="154"/>
      <c r="K38" s="154"/>
      <c r="L38" s="154"/>
      <c r="M38" s="154"/>
      <c r="N38" s="154"/>
      <c r="O38" s="154"/>
      <c r="P38" s="154"/>
      <c r="Q38" s="154"/>
      <c r="R38" s="154"/>
      <c r="S38" s="154"/>
      <c r="T38" s="154"/>
    </row>
    <row r="39" spans="1:23" s="156" customFormat="1" ht="33">
      <c r="A39" s="51"/>
      <c r="B39" s="52" t="str">
        <f>T.LEOK!B39</f>
        <v>a. Penambahan Jumlah Pelanggan Rumah Tangga Lisdes</v>
      </c>
      <c r="C39" s="364" t="str">
        <f>T.LEOK!C39</f>
        <v>ñ</v>
      </c>
      <c r="D39" s="53" t="str">
        <f>T.LEOK!D39</f>
        <v>Pelanggan</v>
      </c>
      <c r="E39" s="61" t="e">
        <f>#REF!</f>
        <v>#REF!</v>
      </c>
      <c r="F39" s="53"/>
      <c r="G39" s="89">
        <f>T.LEOK!G39</f>
        <v>26</v>
      </c>
      <c r="H39" s="89">
        <f>T.LEOK!H39</f>
        <v>37</v>
      </c>
      <c r="I39" s="225">
        <f>PI!AH219</f>
        <v>2</v>
      </c>
      <c r="J39" s="225">
        <f>PI!AI219</f>
        <v>2</v>
      </c>
      <c r="K39" s="225">
        <f>PI!AJ219</f>
        <v>3</v>
      </c>
      <c r="L39" s="225">
        <f>PI!AK219</f>
        <v>9</v>
      </c>
      <c r="M39" s="225">
        <f>PI!AL219</f>
        <v>11</v>
      </c>
      <c r="N39" s="225">
        <f>PI!AM219</f>
        <v>11</v>
      </c>
      <c r="O39" s="225">
        <f>PI!AN219</f>
        <v>13</v>
      </c>
      <c r="P39" s="225">
        <f>PI!AO219</f>
        <v>14</v>
      </c>
      <c r="Q39" s="225">
        <f>PI!AP219</f>
        <v>15</v>
      </c>
      <c r="R39" s="225">
        <f>PI!AQ219</f>
        <v>17</v>
      </c>
      <c r="S39" s="225">
        <f>PI!AR219</f>
        <v>0</v>
      </c>
      <c r="T39" s="225">
        <f>PI!AS219</f>
        <v>0</v>
      </c>
    </row>
    <row r="40" spans="1:23" ht="15" customHeight="1">
      <c r="A40" s="51"/>
      <c r="B40" s="275" t="str">
        <f>T.LEOK!B40</f>
        <v>b. Peningkatan kWh Penjualan dari Pelanggan Rumah Tangga Lisdes</v>
      </c>
      <c r="C40" s="364" t="str">
        <f>T.LEOK!C40</f>
        <v>ñ</v>
      </c>
      <c r="D40" s="53" t="str">
        <f>T.LEOK!D40</f>
        <v>kWh</v>
      </c>
      <c r="E40" s="61"/>
      <c r="F40" s="53"/>
      <c r="G40" s="89">
        <f>T.LEOK!G40</f>
        <v>3369.6</v>
      </c>
      <c r="H40" s="89">
        <f>T.LEOK!H40</f>
        <v>4795.2</v>
      </c>
      <c r="I40" s="225">
        <f>PI!AH225</f>
        <v>450.9</v>
      </c>
      <c r="J40" s="225">
        <f>PI!AI225</f>
        <v>962</v>
      </c>
      <c r="K40" s="225">
        <f>PI!AJ225</f>
        <v>977.7</v>
      </c>
      <c r="L40" s="225">
        <f>PI!AK225</f>
        <v>1322.5</v>
      </c>
      <c r="M40" s="225">
        <f>PI!AL225</f>
        <v>1472.9</v>
      </c>
      <c r="N40" s="225">
        <f>PI!AM225</f>
        <v>1760.1000000000001</v>
      </c>
      <c r="O40" s="225">
        <f>PI!AN225</f>
        <v>2503.7000000000003</v>
      </c>
      <c r="P40" s="225">
        <f>PI!AO225</f>
        <v>2848.1000000000004</v>
      </c>
      <c r="Q40" s="225">
        <f>PI!AP225</f>
        <v>3297.5000000000005</v>
      </c>
      <c r="R40" s="225">
        <f>PI!AQ225</f>
        <v>4031.7000000000007</v>
      </c>
      <c r="S40" s="225">
        <f>PI!AR225</f>
        <v>0</v>
      </c>
      <c r="T40" s="225">
        <f>PI!AS225</f>
        <v>0</v>
      </c>
    </row>
    <row r="41" spans="1:23" ht="15" customHeight="1">
      <c r="A41" s="51">
        <f>T.LEOK!A41</f>
        <v>10</v>
      </c>
      <c r="B41" s="271" t="str">
        <f>T.LEOK!B41</f>
        <v>Pengelolaan Pembacaan Meter</v>
      </c>
      <c r="C41" s="364"/>
      <c r="D41" s="53"/>
      <c r="E41" s="61"/>
      <c r="F41" s="53">
        <f>T.LEOK!F41</f>
        <v>8</v>
      </c>
      <c r="G41" s="89"/>
      <c r="H41" s="89"/>
      <c r="I41" s="225"/>
      <c r="J41" s="225"/>
      <c r="K41" s="225"/>
      <c r="L41" s="225"/>
      <c r="M41" s="225"/>
      <c r="N41" s="225"/>
      <c r="O41" s="225"/>
      <c r="P41" s="225"/>
      <c r="Q41" s="225"/>
      <c r="R41" s="225"/>
      <c r="S41" s="225"/>
      <c r="T41" s="225"/>
    </row>
    <row r="42" spans="1:23" ht="15" customHeight="1">
      <c r="A42" s="51"/>
      <c r="B42" s="275" t="str">
        <f>T.LEOK!B42</f>
        <v>a. Jumlah Pengguna Swa Cam</v>
      </c>
      <c r="C42" s="364" t="str">
        <f>T.LEOK!C42</f>
        <v>ñ</v>
      </c>
      <c r="D42" s="53" t="str">
        <f>T.LEOK!D42</f>
        <v>Pelanggan</v>
      </c>
      <c r="E42" s="61"/>
      <c r="F42" s="53"/>
      <c r="G42" s="89">
        <f>T.LEOK!G42</f>
        <v>1449</v>
      </c>
      <c r="H42" s="89">
        <f>T.LEOK!H42</f>
        <v>1449</v>
      </c>
      <c r="I42" s="225">
        <f>PI!AH235</f>
        <v>3652</v>
      </c>
      <c r="J42" s="225">
        <f>PI!AI235</f>
        <v>2886</v>
      </c>
      <c r="K42" s="225">
        <f>PI!AJ235</f>
        <v>2577.5</v>
      </c>
      <c r="L42" s="225">
        <f>PI!AK235</f>
        <v>2413</v>
      </c>
      <c r="M42" s="225">
        <f>PI!AL235</f>
        <v>2114.1999999999998</v>
      </c>
      <c r="N42" s="225">
        <f>PI!AM235</f>
        <v>2007.8333333333333</v>
      </c>
      <c r="O42" s="225">
        <f>PI!AN235</f>
        <v>1907.2857142857142</v>
      </c>
      <c r="P42" s="225">
        <f>PI!AO235</f>
        <v>1822.5</v>
      </c>
      <c r="Q42" s="225">
        <f>PI!AP235</f>
        <v>1775.3333333333333</v>
      </c>
      <c r="R42" s="225">
        <f>PI!AQ235</f>
        <v>1753.4</v>
      </c>
      <c r="S42" s="225">
        <f>PI!AR235</f>
        <v>1753.4</v>
      </c>
      <c r="T42" s="225">
        <f>PI!AS235</f>
        <v>1753.4</v>
      </c>
    </row>
    <row r="43" spans="1:23" ht="15" customHeight="1">
      <c r="A43" s="51"/>
      <c r="B43" s="275" t="str">
        <f>T.LEOK!B43</f>
        <v>b. Tindak Lanjut LBKB (Laporan Bulanan Kelainan Baca Meter)</v>
      </c>
      <c r="C43" s="364" t="str">
        <f>T.LEOK!C43</f>
        <v>ò</v>
      </c>
      <c r="D43" s="53" t="str">
        <f>T.LEOK!D43</f>
        <v>Pelanggan</v>
      </c>
      <c r="E43" s="61"/>
      <c r="F43" s="53"/>
      <c r="G43" s="89">
        <f>T.LEOK!G43</f>
        <v>0</v>
      </c>
      <c r="H43" s="89">
        <f>T.LEOK!H43</f>
        <v>0</v>
      </c>
      <c r="I43" s="225">
        <v>0</v>
      </c>
      <c r="J43" s="225">
        <v>0</v>
      </c>
      <c r="K43" s="225">
        <v>0</v>
      </c>
      <c r="L43" s="225">
        <v>0</v>
      </c>
      <c r="M43" s="225">
        <v>0</v>
      </c>
      <c r="N43" s="225">
        <v>0</v>
      </c>
      <c r="O43" s="225">
        <v>0</v>
      </c>
      <c r="P43" s="225">
        <v>0</v>
      </c>
      <c r="Q43" s="225">
        <v>0</v>
      </c>
      <c r="R43" s="225">
        <v>0</v>
      </c>
      <c r="S43" s="225">
        <v>0</v>
      </c>
      <c r="T43" s="225">
        <v>0</v>
      </c>
    </row>
    <row r="44" spans="1:23" ht="15" customHeight="1">
      <c r="A44" s="51">
        <f>T.LEOK!A44</f>
        <v>11</v>
      </c>
      <c r="B44" s="271" t="str">
        <f>T.LEOK!B44</f>
        <v>Sisa Stand Bongkar Migrasi</v>
      </c>
      <c r="C44" s="364" t="str">
        <f>T.LEOK!C44</f>
        <v>ñ</v>
      </c>
      <c r="D44" s="53"/>
      <c r="E44" s="61"/>
      <c r="F44" s="53">
        <f>T.LEOK!F44</f>
        <v>3</v>
      </c>
      <c r="G44" s="89">
        <f>T.LEOK!G44</f>
        <v>100</v>
      </c>
      <c r="H44" s="89">
        <f>T.LEOK!H44</f>
        <v>100</v>
      </c>
      <c r="I44" s="225">
        <f>PI!AH249</f>
        <v>100</v>
      </c>
      <c r="J44" s="225">
        <f>PI!AI249</f>
        <v>100</v>
      </c>
      <c r="K44" s="225">
        <f>PI!AJ249</f>
        <v>100</v>
      </c>
      <c r="L44" s="225">
        <f>PI!AK249</f>
        <v>100</v>
      </c>
      <c r="M44" s="225">
        <f>PI!AL249</f>
        <v>100</v>
      </c>
      <c r="N44" s="225">
        <f>PI!AM249</f>
        <v>100</v>
      </c>
      <c r="O44" s="225">
        <f>PI!AN249</f>
        <v>100</v>
      </c>
      <c r="P44" s="225">
        <f>PI!AO249</f>
        <v>100</v>
      </c>
      <c r="Q44" s="225">
        <f>PI!AP249</f>
        <v>100</v>
      </c>
      <c r="R44" s="225">
        <f>PI!AQ249</f>
        <v>100</v>
      </c>
      <c r="S44" s="225">
        <f>PI!AR249</f>
        <v>100</v>
      </c>
      <c r="T44" s="225">
        <f>PI!AS249</f>
        <v>100</v>
      </c>
    </row>
    <row r="45" spans="1:23" ht="27.6" customHeight="1">
      <c r="A45" s="51">
        <f>T.LEOK!A45</f>
        <v>12</v>
      </c>
      <c r="B45" s="267" t="str">
        <f>T.LEOK!B45</f>
        <v>Percepatan Cash In</v>
      </c>
      <c r="C45" s="364"/>
      <c r="D45" s="53" t="str">
        <f>T.LEOK!D45</f>
        <v>%</v>
      </c>
      <c r="E45" s="61"/>
      <c r="F45" s="53">
        <f>T.LEOK!F45</f>
        <v>9</v>
      </c>
      <c r="G45" s="89">
        <f>T.LEOK!G45</f>
        <v>0</v>
      </c>
      <c r="H45" s="89">
        <f>T.LEOK!H45</f>
        <v>0</v>
      </c>
      <c r="I45" s="225">
        <f>PI!AH213</f>
        <v>0</v>
      </c>
      <c r="J45" s="225">
        <f>PI!AI213</f>
        <v>0</v>
      </c>
      <c r="K45" s="225">
        <f>PI!AJ213</f>
        <v>0</v>
      </c>
      <c r="L45" s="225">
        <f>PI!AK213</f>
        <v>0</v>
      </c>
      <c r="M45" s="225">
        <f>PI!AL213</f>
        <v>0</v>
      </c>
      <c r="N45" s="225">
        <f>PI!AM213</f>
        <v>0</v>
      </c>
      <c r="O45" s="225">
        <f>PI!AN213</f>
        <v>0</v>
      </c>
      <c r="P45" s="225">
        <f>PI!AO213</f>
        <v>0</v>
      </c>
      <c r="Q45" s="225">
        <f>PI!AP213</f>
        <v>0</v>
      </c>
      <c r="R45" s="225">
        <f>PI!AQ213</f>
        <v>0</v>
      </c>
      <c r="S45" s="225">
        <f>PI!AR213</f>
        <v>0</v>
      </c>
      <c r="T45" s="225">
        <f>PI!AS213</f>
        <v>0</v>
      </c>
    </row>
    <row r="46" spans="1:23" ht="15" customHeight="1">
      <c r="A46" s="51"/>
      <c r="B46" s="271" t="str">
        <f>T.LEOK!B46</f>
        <v>a. Persentase Rata-Rata Saldo Tanggal 20 Non Kogol 1 dan Non Kogol 2</v>
      </c>
      <c r="C46" s="364" t="str">
        <f>T.LEOK!C46</f>
        <v>ò</v>
      </c>
      <c r="D46" s="53" t="str">
        <f>T.LEOK!D46</f>
        <v>Rp. Juta</v>
      </c>
      <c r="E46" s="61"/>
      <c r="F46" s="53"/>
      <c r="G46" s="89">
        <f>T.LEOK!G46</f>
        <v>354</v>
      </c>
      <c r="H46" s="89">
        <f>T.LEOK!H46</f>
        <v>354</v>
      </c>
      <c r="I46" s="225">
        <f>PI!AH267</f>
        <v>432.64853799999997</v>
      </c>
      <c r="J46" s="225">
        <f>PI!AI267</f>
        <v>262.09724999999997</v>
      </c>
      <c r="K46" s="225">
        <f>PI!AJ267</f>
        <v>203.27037699999997</v>
      </c>
      <c r="L46" s="225">
        <f>PI!AK267</f>
        <v>204.79259424999998</v>
      </c>
      <c r="M46" s="225">
        <f>PI!AL267</f>
        <v>203.12221959999997</v>
      </c>
      <c r="N46" s="225">
        <f>PI!AM267</f>
        <v>204.70423233333329</v>
      </c>
      <c r="O46" s="225">
        <f>PI!AN267</f>
        <v>207.58398814285712</v>
      </c>
      <c r="P46" s="225">
        <f>PI!AO267</f>
        <v>212.62195174999999</v>
      </c>
      <c r="Q46" s="225">
        <f>PI!AP267</f>
        <v>214.83072299999998</v>
      </c>
      <c r="R46" s="225">
        <f>PI!AQ267</f>
        <v>215.15237779999998</v>
      </c>
      <c r="S46" s="225">
        <f>PI!AR267</f>
        <v>215.15237779999998</v>
      </c>
      <c r="T46" s="225">
        <f>PI!AS267</f>
        <v>215.15237779999998</v>
      </c>
    </row>
    <row r="47" spans="1:23" ht="15" customHeight="1">
      <c r="A47" s="51"/>
      <c r="B47" s="271" t="str">
        <f>T.LEOK!B47</f>
        <v>b. Pencapaian Saldo Rata-Rata Akhir Bulan Non Kogol 1 dan Non Kogol 2</v>
      </c>
      <c r="C47" s="364" t="str">
        <f>T.LEOK!C47</f>
        <v>ò</v>
      </c>
      <c r="D47" s="53" t="str">
        <f>T.LEOK!D47</f>
        <v>Rp. Juta</v>
      </c>
      <c r="E47" s="61"/>
      <c r="F47" s="53"/>
      <c r="G47" s="89">
        <f>T.LEOK!G47</f>
        <v>4.17</v>
      </c>
      <c r="H47" s="89">
        <f>T.LEOK!H47</f>
        <v>4.17</v>
      </c>
      <c r="I47" s="225">
        <f>PI!AH289</f>
        <v>5.237749</v>
      </c>
      <c r="J47" s="225">
        <f>PI!AI289</f>
        <v>2.6188745</v>
      </c>
      <c r="K47" s="225">
        <f>PI!AJ289</f>
        <v>1.7459163333333334</v>
      </c>
      <c r="L47" s="225">
        <f>PI!AK289</f>
        <v>2.9689424999999998</v>
      </c>
      <c r="M47" s="225">
        <f>PI!AL289</f>
        <v>2.7957200000000002</v>
      </c>
      <c r="N47" s="225">
        <f>PI!AM289</f>
        <v>2.4672841666666669</v>
      </c>
      <c r="O47" s="225">
        <f>PI!AN289</f>
        <v>2.6471661428571429</v>
      </c>
      <c r="P47" s="225">
        <f>PI!AO289</f>
        <v>2.6505557500000001</v>
      </c>
      <c r="Q47" s="225">
        <f>PI!AP289</f>
        <v>2.399983555555556</v>
      </c>
      <c r="R47" s="225">
        <f>PI!AQ289</f>
        <v>2.2811970000000001</v>
      </c>
      <c r="S47" s="225">
        <f>PI!AR289</f>
        <v>2.2811970000000001</v>
      </c>
      <c r="T47" s="225">
        <f>PI!AS289</f>
        <v>2.2811970000000001</v>
      </c>
    </row>
    <row r="48" spans="1:23" ht="15" customHeight="1">
      <c r="A48" s="51"/>
      <c r="B48" s="271" t="str">
        <f>T.LEOK!B48</f>
        <v>c. Pencapaian Pelunasan PRR</v>
      </c>
      <c r="C48" s="364" t="str">
        <f>T.LEOK!C48</f>
        <v>ñ</v>
      </c>
      <c r="D48" s="53" t="str">
        <f>T.LEOK!D48</f>
        <v>Rp. Juta</v>
      </c>
      <c r="E48" s="61"/>
      <c r="F48" s="53"/>
      <c r="G48" s="89">
        <f>T.LEOK!G48</f>
        <v>0</v>
      </c>
      <c r="H48" s="89">
        <f>T.LEOK!H48</f>
        <v>0</v>
      </c>
      <c r="I48" s="225">
        <f>PI!AH312</f>
        <v>0</v>
      </c>
      <c r="J48" s="225">
        <f>PI!AI312</f>
        <v>0</v>
      </c>
      <c r="K48" s="225">
        <f>PI!AJ312</f>
        <v>0</v>
      </c>
      <c r="L48" s="225">
        <f>PI!AK312</f>
        <v>0</v>
      </c>
      <c r="M48" s="225">
        <f>PI!AL312</f>
        <v>0</v>
      </c>
      <c r="N48" s="225">
        <f>PI!AM312</f>
        <v>0</v>
      </c>
      <c r="O48" s="225">
        <f>PI!AN312</f>
        <v>0</v>
      </c>
      <c r="P48" s="225">
        <f>PI!AO312</f>
        <v>0</v>
      </c>
      <c r="Q48" s="225">
        <f>PI!AP312</f>
        <v>0</v>
      </c>
      <c r="R48" s="225">
        <f>PI!AQ312</f>
        <v>0</v>
      </c>
      <c r="S48" s="225">
        <f>PI!AR312</f>
        <v>0</v>
      </c>
      <c r="T48" s="225">
        <f>PI!AS312</f>
        <v>0</v>
      </c>
    </row>
    <row r="49" spans="1:20" ht="15" customHeight="1">
      <c r="A49" s="51">
        <f>T.LEOK!A49</f>
        <v>13</v>
      </c>
      <c r="B49" s="271" t="str">
        <f>T.LEOK!B49</f>
        <v>Kepatuhan :</v>
      </c>
      <c r="C49" s="364"/>
      <c r="D49" s="53"/>
      <c r="E49" s="61"/>
      <c r="F49" s="53"/>
      <c r="G49" s="89"/>
      <c r="H49" s="89"/>
      <c r="I49" s="225"/>
      <c r="J49" s="225"/>
      <c r="K49" s="225"/>
      <c r="L49" s="225"/>
      <c r="M49" s="225"/>
      <c r="N49" s="225"/>
      <c r="O49" s="225"/>
      <c r="P49" s="225"/>
      <c r="Q49" s="225"/>
      <c r="R49" s="225"/>
      <c r="S49" s="225"/>
      <c r="T49" s="225"/>
    </row>
    <row r="50" spans="1:20" ht="16.5">
      <c r="A50" s="51"/>
      <c r="B50" s="271" t="str">
        <f>T.LEOK!B50</f>
        <v>a. Pengelolaan K3, Keamanan dan Lingkungan Hidup</v>
      </c>
      <c r="C50" s="364"/>
      <c r="D50" s="53"/>
      <c r="E50" s="61" t="e">
        <f>#REF!</f>
        <v>#REF!</v>
      </c>
      <c r="F50" s="53" t="str">
        <f>T.LEOK!F50</f>
        <v>Max-8</v>
      </c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</row>
    <row r="51" spans="1:20" ht="14.45" customHeight="1">
      <c r="A51" s="51"/>
      <c r="B51" s="275" t="str">
        <f>T.LEOK!B51</f>
        <v>b. Maturity Level Implementasi Sistem Manajemen Anti Penyuapan (SMAP)</v>
      </c>
      <c r="C51" s="364"/>
      <c r="D51" s="53"/>
      <c r="E51" s="61" t="e">
        <f>#REF!</f>
        <v>#REF!</v>
      </c>
      <c r="F51" s="53" t="str">
        <f>T.LEOK!F51</f>
        <v>Max-4</v>
      </c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</row>
    <row r="52" spans="1:20" ht="25.9" customHeight="1">
      <c r="A52" s="51"/>
      <c r="B52" s="275" t="str">
        <f>T.LEOK!B52</f>
        <v>c. Ketepatan penyampaian pelaporan dan
Akurasi Data Kinerja</v>
      </c>
      <c r="C52" s="364"/>
      <c r="D52" s="53"/>
      <c r="E52" s="61" t="e">
        <f>#REF!</f>
        <v>#REF!</v>
      </c>
      <c r="F52" s="53" t="str">
        <f>T.LEOK!F52</f>
        <v>Max-10</v>
      </c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111"/>
    </row>
    <row r="53" spans="1:20" ht="16.5">
      <c r="A53" s="51"/>
      <c r="B53" s="275" t="str">
        <f>T.LEOK!B53</f>
        <v>d. Tindak Lanjut Temuan Auditor</v>
      </c>
      <c r="C53" s="364"/>
      <c r="D53" s="53"/>
      <c r="E53" s="61"/>
      <c r="F53" s="53" t="str">
        <f>T.LEOK!F53</f>
        <v>Max-5</v>
      </c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</row>
    <row r="54" spans="1:20" ht="27.6" customHeight="1">
      <c r="A54" s="51"/>
      <c r="B54" s="275" t="str">
        <f>T.LEOK!B54</f>
        <v>e. Pencapaian Beyond RKAP</v>
      </c>
      <c r="C54" s="364"/>
      <c r="D54" s="53"/>
      <c r="E54" s="61" t="e">
        <f>#REF!</f>
        <v>#REF!</v>
      </c>
      <c r="F54" s="53" t="str">
        <f>T.LEOK!F54</f>
        <v>Max-2
Max+2</v>
      </c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</row>
    <row r="55" spans="1:20" s="156" customFormat="1" ht="15" customHeight="1">
      <c r="A55" s="54"/>
      <c r="B55" s="55" t="str">
        <f>T.TOLIS!B55</f>
        <v>TOTAL BOBOT</v>
      </c>
      <c r="C55" s="365"/>
      <c r="D55" s="129"/>
      <c r="E55" s="55"/>
      <c r="F55" s="139">
        <f>F7+F17</f>
        <v>100</v>
      </c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68"/>
    </row>
    <row r="57" spans="1:20">
      <c r="A57" s="2"/>
      <c r="B57" s="3" t="s">
        <v>368</v>
      </c>
      <c r="C57" s="367"/>
      <c r="D57" s="4">
        <f>COUNTA(D8:D54)</f>
        <v>30</v>
      </c>
      <c r="E57" s="2"/>
      <c r="F57" s="4"/>
      <c r="G57" s="4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r="59" spans="1:20">
      <c r="A59" s="63" t="s">
        <v>369</v>
      </c>
      <c r="B59" s="26"/>
      <c r="C59" s="368"/>
      <c r="D59" s="25"/>
      <c r="E59" s="25"/>
      <c r="F59" s="25"/>
      <c r="G59" s="25"/>
      <c r="H59" s="25"/>
      <c r="I59" s="25"/>
      <c r="J59" s="25"/>
      <c r="K59" s="25"/>
      <c r="L59" s="25"/>
      <c r="M59" s="25"/>
      <c r="Q59" s="25"/>
      <c r="S59" s="25"/>
    </row>
    <row r="60" spans="1:20">
      <c r="A60" s="25">
        <v>3</v>
      </c>
      <c r="B60" s="64" t="s">
        <v>370</v>
      </c>
      <c r="C60" s="368"/>
      <c r="D60" s="25"/>
      <c r="E60" s="25"/>
      <c r="F60" s="25"/>
      <c r="G60" s="25"/>
      <c r="H60" s="25"/>
      <c r="I60" s="25"/>
      <c r="J60" s="25"/>
      <c r="K60" s="25"/>
      <c r="L60" s="25"/>
      <c r="M60" s="25"/>
      <c r="Q60" s="25"/>
      <c r="S60" s="25"/>
    </row>
    <row r="61" spans="1:20">
      <c r="A61" s="25">
        <v>1</v>
      </c>
      <c r="B61" s="64" t="s">
        <v>371</v>
      </c>
      <c r="C61" s="368"/>
      <c r="D61" s="25"/>
      <c r="E61" s="25"/>
      <c r="F61" s="25"/>
      <c r="G61" s="25"/>
      <c r="H61" s="25"/>
      <c r="I61" s="25"/>
      <c r="J61" s="25"/>
      <c r="K61" s="25"/>
      <c r="L61" s="25"/>
      <c r="M61" s="25"/>
      <c r="Q61" s="25"/>
      <c r="S61" s="25"/>
    </row>
    <row r="62" spans="1:20">
      <c r="A62" s="25"/>
      <c r="B62" s="26"/>
      <c r="C62" s="368"/>
      <c r="D62" s="25"/>
      <c r="E62" s="25"/>
      <c r="F62" s="25"/>
      <c r="G62" s="25"/>
      <c r="H62" s="25"/>
      <c r="I62" s="25"/>
      <c r="J62" s="25"/>
      <c r="K62" s="25"/>
      <c r="L62" s="25"/>
      <c r="M62" s="25"/>
      <c r="Q62" s="25"/>
      <c r="S62" s="25"/>
    </row>
    <row r="63" spans="1:20">
      <c r="A63" s="25"/>
      <c r="B63" s="26"/>
      <c r="C63" s="368"/>
      <c r="D63" s="25"/>
      <c r="E63" s="25"/>
      <c r="F63" s="25"/>
      <c r="G63" s="25"/>
      <c r="H63" s="25"/>
      <c r="I63" s="25"/>
      <c r="J63" s="25"/>
      <c r="K63" s="25"/>
      <c r="L63" s="25"/>
      <c r="M63" s="25"/>
      <c r="Q63" s="25"/>
      <c r="S63" s="25"/>
    </row>
    <row r="64" spans="1:20">
      <c r="A64" s="24"/>
      <c r="B64" s="23"/>
      <c r="C64" s="368"/>
      <c r="D64" s="24"/>
      <c r="E64" s="24"/>
      <c r="F64" s="24"/>
      <c r="G64" s="24"/>
      <c r="H64" s="24"/>
      <c r="I64" s="24"/>
      <c r="J64" s="24"/>
      <c r="K64" s="24"/>
      <c r="L64" s="24"/>
      <c r="M64" s="24"/>
    </row>
    <row r="65" spans="17:19">
      <c r="Q65" s="24"/>
      <c r="S65" s="24"/>
    </row>
  </sheetData>
  <mergeCells count="9">
    <mergeCell ref="H4:H5"/>
    <mergeCell ref="I4:T4"/>
    <mergeCell ref="B6:C6"/>
    <mergeCell ref="A4:A5"/>
    <mergeCell ref="B4:C5"/>
    <mergeCell ref="D4:D5"/>
    <mergeCell ref="E4:E5"/>
    <mergeCell ref="F4:F5"/>
    <mergeCell ref="G4:G5"/>
  </mergeCells>
  <conditionalFormatting sqref="A60">
    <cfRule type="iconSet" priority="3">
      <iconSet iconSet="3ArrowsGray" showValue="0">
        <cfvo type="percent" val="0"/>
        <cfvo type="num" val="2"/>
        <cfvo type="num" val="3"/>
      </iconSet>
    </cfRule>
    <cfRule type="iconSet" priority="5">
      <iconSet iconSet="3ArrowsGray" showValue="0">
        <cfvo type="percent" val="0"/>
        <cfvo type="num" val="2"/>
        <cfvo type="num" val="3"/>
      </iconSet>
    </cfRule>
    <cfRule type="iconSet" priority="7">
      <iconSet iconSet="3ArrowsGray" showValue="0">
        <cfvo type="percent" val="0"/>
        <cfvo type="num" val="2"/>
        <cfvo type="num" val="3"/>
      </iconSet>
    </cfRule>
    <cfRule type="iconSet" priority="9">
      <iconSet iconSet="3ArrowsGray" showValue="0">
        <cfvo type="percent" val="0"/>
        <cfvo type="num" val="2"/>
        <cfvo type="num" val="3"/>
      </iconSet>
    </cfRule>
  </conditionalFormatting>
  <conditionalFormatting sqref="A61">
    <cfRule type="iconSet" priority="2">
      <iconSet iconSet="3ArrowsGray" showValue="0">
        <cfvo type="percent" val="0"/>
        <cfvo type="num" val="2"/>
        <cfvo type="num" val="3"/>
      </iconSet>
    </cfRule>
    <cfRule type="iconSet" priority="4">
      <iconSet iconSet="3ArrowsGray" showValue="0">
        <cfvo type="percent" val="0"/>
        <cfvo type="num" val="2"/>
        <cfvo type="num" val="3"/>
      </iconSet>
    </cfRule>
    <cfRule type="iconSet" priority="6">
      <iconSet iconSet="3ArrowsGray" showValue="0">
        <cfvo type="percent" val="0"/>
        <cfvo type="num" val="2"/>
        <cfvo type="num" val="3"/>
      </iconSet>
    </cfRule>
    <cfRule type="iconSet" priority="8">
      <iconSet iconSet="3ArrowsGray" showValue="0">
        <cfvo type="percent" val="0"/>
        <cfvo type="num" val="2"/>
        <cfvo type="num" val="3"/>
      </iconSet>
    </cfRule>
  </conditionalFormatting>
  <conditionalFormatting sqref="C8:C16">
    <cfRule type="iconSet" priority="48410">
      <iconSet iconSet="3ArrowsGray" showValue="0">
        <cfvo type="percent" val="0"/>
        <cfvo type="num" val="2"/>
        <cfvo type="num" val="3"/>
      </iconSet>
    </cfRule>
    <cfRule type="iconSet" priority="48411">
      <iconSet iconSet="3ArrowsGray" showValue="0">
        <cfvo type="percent" val="0"/>
        <cfvo type="num" val="2"/>
        <cfvo type="num" val="3"/>
      </iconSet>
    </cfRule>
  </conditionalFormatting>
  <conditionalFormatting sqref="C18:C54">
    <cfRule type="iconSet" priority="47743">
      <iconSet iconSet="3ArrowsGray" showValue="0">
        <cfvo type="percent" val="0"/>
        <cfvo type="num" val="2"/>
        <cfvo type="num" val="3"/>
      </iconSet>
    </cfRule>
  </conditionalFormatting>
  <conditionalFormatting sqref="C56">
    <cfRule type="iconSet" priority="12">
      <iconSet iconSet="3ArrowsGray" showValue="0">
        <cfvo type="percent" val="0"/>
        <cfvo type="num" val="2"/>
        <cfvo type="num" val="3"/>
      </iconSet>
    </cfRule>
    <cfRule type="iconSet" priority="14">
      <iconSet iconSet="3ArrowsGray" showValue="0">
        <cfvo type="percent" val="0"/>
        <cfvo type="num" val="2"/>
        <cfvo type="num" val="3"/>
      </iconSet>
    </cfRule>
  </conditionalFormatting>
  <conditionalFormatting sqref="C57">
    <cfRule type="iconSet" priority="18">
      <iconSet iconSet="3ArrowsGray" showValue="0">
        <cfvo type="percent" val="0"/>
        <cfvo type="num" val="2"/>
        <cfvo type="num" val="3"/>
      </iconSet>
    </cfRule>
  </conditionalFormatting>
  <conditionalFormatting sqref="D56 H56">
    <cfRule type="iconSet" priority="13">
      <iconSet iconSet="3ArrowsGray" showValue="0">
        <cfvo type="percent" val="0"/>
        <cfvo type="num" val="2"/>
        <cfvo type="num" val="3"/>
      </iconSet>
    </cfRule>
  </conditionalFormatting>
  <conditionalFormatting sqref="D56">
    <cfRule type="iconSet" priority="16">
      <iconSet iconSet="3ArrowsGray" showValue="0">
        <cfvo type="percent" val="0"/>
        <cfvo type="num" val="2"/>
        <cfvo type="num" val="3"/>
      </iconSet>
    </cfRule>
  </conditionalFormatting>
  <conditionalFormatting sqref="E56">
    <cfRule type="iconSet" priority="15">
      <iconSet iconSet="3ArrowsGray" showValue="0">
        <cfvo type="percent" val="0"/>
        <cfvo type="num" val="2"/>
        <cfvo type="num" val="3"/>
      </iconSet>
    </cfRule>
  </conditionalFormatting>
  <conditionalFormatting sqref="H56">
    <cfRule type="iconSet" priority="11">
      <iconSet iconSet="3ArrowsGray" showValue="0">
        <cfvo type="percent" val="0"/>
        <cfvo type="num" val="2"/>
        <cfvo type="num" val="3"/>
      </iconSet>
    </cfRule>
  </conditionalFormatting>
  <conditionalFormatting sqref="H57:T57">
    <cfRule type="iconSet" priority="17">
      <iconSet iconSet="3ArrowsGray" showValue="0">
        <cfvo type="percent" val="0"/>
        <cfvo type="num" val="2"/>
        <cfvo type="num" val="3"/>
      </iconSet>
    </cfRule>
    <cfRule type="iconSet" priority="19">
      <iconSet iconSet="3ArrowsGray" showValue="0">
        <cfvo type="percent" val="0"/>
        <cfvo type="num" val="2"/>
        <cfvo type="num" val="3"/>
      </iconSet>
    </cfRule>
  </conditionalFormatting>
  <conditionalFormatting sqref="I56:T56">
    <cfRule type="iconSet" priority="10">
      <iconSet iconSet="3ArrowsGray" showValue="0">
        <cfvo type="percent" val="0"/>
        <cfvo type="num" val="2"/>
        <cfvo type="num" val="3"/>
      </iconSet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10000" scale="48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B050"/>
    <pageSetUpPr fitToPage="1"/>
  </sheetPr>
  <dimension ref="A1:W65"/>
  <sheetViews>
    <sheetView workbookViewId="0"/>
  </sheetViews>
  <sheetFormatPr defaultColWidth="9.140625" defaultRowHeight="15"/>
  <cols>
    <col min="1" max="1" width="5.5703125" customWidth="1"/>
    <col min="2" max="2" width="44.7109375" customWidth="1"/>
    <col min="3" max="3" width="4.140625" style="366" customWidth="1"/>
    <col min="4" max="4" width="12.42578125" customWidth="1"/>
    <col min="5" max="5" width="113.5703125" hidden="1" customWidth="1"/>
    <col min="6" max="6" width="7.7109375" bestFit="1" customWidth="1"/>
    <col min="7" max="7" width="11" customWidth="1"/>
    <col min="8" max="8" width="11.140625" customWidth="1"/>
    <col min="9" max="20" width="12.140625" customWidth="1"/>
    <col min="21" max="21" width="13.28515625" bestFit="1" customWidth="1"/>
  </cols>
  <sheetData>
    <row r="1" spans="1:22" s="30" customFormat="1" ht="15.75">
      <c r="A1" s="28"/>
      <c r="B1" s="29" t="s">
        <v>270</v>
      </c>
      <c r="C1" s="362"/>
      <c r="D1" s="28"/>
      <c r="E1" s="28"/>
      <c r="I1" s="22"/>
      <c r="U1" s="31"/>
      <c r="V1" s="31"/>
    </row>
    <row r="2" spans="1:22" s="30" customFormat="1" ht="15.75">
      <c r="A2" s="28"/>
      <c r="B2" s="29" t="s">
        <v>123</v>
      </c>
      <c r="C2" s="362"/>
      <c r="D2" s="28"/>
      <c r="E2" s="28"/>
      <c r="U2" s="31"/>
      <c r="V2" s="31"/>
    </row>
    <row r="3" spans="1:22" s="30" customFormat="1" ht="15.75">
      <c r="A3" s="28"/>
      <c r="B3" s="29" t="s">
        <v>379</v>
      </c>
      <c r="C3" s="362"/>
      <c r="D3" s="28"/>
      <c r="E3" s="28"/>
      <c r="U3" s="31"/>
      <c r="V3" s="31"/>
    </row>
    <row r="4" spans="1:22" ht="15" customHeight="1">
      <c r="A4" s="812" t="s">
        <v>8</v>
      </c>
      <c r="B4" s="814" t="s">
        <v>9</v>
      </c>
      <c r="C4" s="815"/>
      <c r="D4" s="790" t="s">
        <v>93</v>
      </c>
      <c r="E4" s="795" t="s">
        <v>271</v>
      </c>
      <c r="F4" s="790" t="s">
        <v>99</v>
      </c>
      <c r="G4" s="790" t="s">
        <v>373</v>
      </c>
      <c r="H4" s="790" t="s">
        <v>374</v>
      </c>
      <c r="I4" s="807" t="s">
        <v>377</v>
      </c>
      <c r="J4" s="808"/>
      <c r="K4" s="808"/>
      <c r="L4" s="808"/>
      <c r="M4" s="808"/>
      <c r="N4" s="808"/>
      <c r="O4" s="808"/>
      <c r="P4" s="808"/>
      <c r="Q4" s="808"/>
      <c r="R4" s="808"/>
      <c r="S4" s="808"/>
      <c r="T4" s="809"/>
    </row>
    <row r="5" spans="1:22" ht="15" customHeight="1">
      <c r="A5" s="813"/>
      <c r="B5" s="816"/>
      <c r="C5" s="817"/>
      <c r="D5" s="791"/>
      <c r="E5" s="796"/>
      <c r="F5" s="791"/>
      <c r="G5" s="791"/>
      <c r="H5" s="791"/>
      <c r="I5" s="424" t="s">
        <v>94</v>
      </c>
      <c r="J5" s="424" t="s">
        <v>95</v>
      </c>
      <c r="K5" s="424" t="s">
        <v>96</v>
      </c>
      <c r="L5" s="424" t="s">
        <v>488</v>
      </c>
      <c r="M5" s="424" t="s">
        <v>489</v>
      </c>
      <c r="N5" s="424" t="s">
        <v>490</v>
      </c>
      <c r="O5" s="424" t="s">
        <v>491</v>
      </c>
      <c r="P5" s="424" t="s">
        <v>165</v>
      </c>
      <c r="Q5" s="424" t="s">
        <v>167</v>
      </c>
      <c r="R5" s="424" t="s">
        <v>492</v>
      </c>
      <c r="S5" s="424" t="s">
        <v>171</v>
      </c>
      <c r="T5" s="424" t="s">
        <v>493</v>
      </c>
    </row>
    <row r="6" spans="1:22" ht="15" customHeight="1">
      <c r="A6" s="427">
        <v>1</v>
      </c>
      <c r="B6" s="810">
        <v>2</v>
      </c>
      <c r="C6" s="811"/>
      <c r="D6" s="455">
        <v>3</v>
      </c>
      <c r="E6" s="425">
        <v>4</v>
      </c>
      <c r="F6" s="455">
        <v>4</v>
      </c>
      <c r="G6" s="455">
        <v>5</v>
      </c>
      <c r="H6" s="424">
        <v>6</v>
      </c>
      <c r="I6" s="427">
        <v>7</v>
      </c>
      <c r="J6" s="424">
        <v>8</v>
      </c>
      <c r="K6" s="455">
        <v>9</v>
      </c>
      <c r="L6" s="424">
        <v>10</v>
      </c>
      <c r="M6" s="455">
        <v>11</v>
      </c>
      <c r="N6" s="424">
        <v>12</v>
      </c>
      <c r="O6" s="455">
        <v>13</v>
      </c>
      <c r="P6" s="424">
        <v>14</v>
      </c>
      <c r="Q6" s="455">
        <v>15</v>
      </c>
      <c r="R6" s="424">
        <v>16</v>
      </c>
      <c r="S6" s="455">
        <v>17</v>
      </c>
      <c r="T6" s="424">
        <v>18</v>
      </c>
    </row>
    <row r="7" spans="1:22" ht="15" customHeight="1">
      <c r="A7" s="47" t="s">
        <v>267</v>
      </c>
      <c r="B7" s="48" t="str">
        <f>T.TOLIS!B7</f>
        <v>Key Performance Indicators</v>
      </c>
      <c r="C7" s="363"/>
      <c r="D7" s="50"/>
      <c r="E7" s="48"/>
      <c r="F7" s="62">
        <f>SUM(F8:F16)</f>
        <v>40</v>
      </c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260"/>
    </row>
    <row r="8" spans="1:22" ht="16.5">
      <c r="A8" s="51">
        <f>T.MOUTONG!A8</f>
        <v>1</v>
      </c>
      <c r="B8" s="267" t="str">
        <f>T.MOUTONG!B8</f>
        <v>Penjualan Tenaga Listrik</v>
      </c>
      <c r="C8" s="364" t="str">
        <f>T.MOUTONG!C8</f>
        <v>ñ</v>
      </c>
      <c r="D8" s="53" t="str">
        <f>T.MOUTONG!D8</f>
        <v>GWh</v>
      </c>
      <c r="E8" s="61" t="e">
        <f>#REF!</f>
        <v>#REF!</v>
      </c>
      <c r="F8" s="53">
        <f>T.MOUTONG!F8</f>
        <v>14</v>
      </c>
      <c r="G8" s="89">
        <f>T.MOUTONG!G8</f>
        <v>17.11</v>
      </c>
      <c r="H8" s="89">
        <f>T.MOUTONG!H8</f>
        <v>34.83</v>
      </c>
      <c r="I8" s="89">
        <f>KPI!AH17</f>
        <v>3.2428241830000002</v>
      </c>
      <c r="J8" s="89">
        <f>KPI!AI17</f>
        <v>5.7889627060000004</v>
      </c>
      <c r="K8" s="89">
        <f>KPI!AJ17</f>
        <v>8.5049774920000001</v>
      </c>
      <c r="L8" s="89">
        <f>KPI!AK17</f>
        <v>10.994418871000001</v>
      </c>
      <c r="M8" s="89">
        <f>KPI!AL17</f>
        <v>13.792614825000001</v>
      </c>
      <c r="N8" s="89">
        <f>KPI!AM17</f>
        <v>16.607850453000001</v>
      </c>
      <c r="O8" s="89">
        <f>KPI!AN17</f>
        <v>19.324304726000001</v>
      </c>
      <c r="P8" s="89">
        <f>KPI!AO17</f>
        <v>21.942900960000003</v>
      </c>
      <c r="Q8" s="89">
        <f>KPI!AP17</f>
        <v>24.667147634000003</v>
      </c>
      <c r="R8" s="89">
        <f>KPI!AQ17</f>
        <v>27.439910184000002</v>
      </c>
      <c r="S8" s="89">
        <f>KPI!AR17</f>
        <v>0</v>
      </c>
      <c r="T8" s="89">
        <f>KPI!AS17</f>
        <v>0</v>
      </c>
    </row>
    <row r="9" spans="1:22" ht="15" customHeight="1">
      <c r="A9" s="51">
        <f>T.MOUTONG!A9</f>
        <v>2</v>
      </c>
      <c r="B9" s="267" t="str">
        <f>T.MOUTONG!B9</f>
        <v>Keandalan Sistem</v>
      </c>
      <c r="C9" s="364"/>
      <c r="D9" s="53">
        <f>T.MOUTONG!D9</f>
        <v>0</v>
      </c>
      <c r="E9" s="61"/>
      <c r="F9" s="53">
        <f>T.MOUTONG!F9</f>
        <v>14</v>
      </c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111"/>
    </row>
    <row r="10" spans="1:22" ht="15" customHeight="1">
      <c r="A10" s="51"/>
      <c r="B10" s="52" t="str">
        <f>T.MOUTONG!B10</f>
        <v>a. SAIDI (sesuai kewenangan)</v>
      </c>
      <c r="C10" s="364" t="str">
        <f>T.MOUTONG!C10</f>
        <v>ò</v>
      </c>
      <c r="D10" s="53" t="str">
        <f>T.MOUTONG!D10</f>
        <v>Menit/plg</v>
      </c>
      <c r="E10" s="61" t="e">
        <f>#REF!</f>
        <v>#REF!</v>
      </c>
      <c r="F10" s="53"/>
      <c r="G10" s="89">
        <f>T.MOUTONG!G10</f>
        <v>103.85</v>
      </c>
      <c r="H10" s="89">
        <f>T.MOUTONG!H10</f>
        <v>207.7</v>
      </c>
      <c r="I10" s="89">
        <f>KPI!AH41</f>
        <v>0.92438209165273988</v>
      </c>
      <c r="J10" s="89">
        <f>KPI!AI41</f>
        <v>1.3442828353631824</v>
      </c>
      <c r="K10" s="89">
        <f>KPI!AJ41</f>
        <v>2.4056408238226421</v>
      </c>
      <c r="L10" s="89">
        <f>KPI!AK41</f>
        <v>15.731639601885805</v>
      </c>
      <c r="M10" s="89">
        <f>KPI!AL41</f>
        <v>55.858462611120792</v>
      </c>
      <c r="N10" s="89">
        <f>KPI!AM41</f>
        <v>73.554834782608694</v>
      </c>
      <c r="O10" s="89">
        <f>KPI!AN41</f>
        <v>90.279628585065311</v>
      </c>
      <c r="P10" s="89">
        <f>KPI!AO41</f>
        <v>90.410040317336467</v>
      </c>
      <c r="Q10" s="89">
        <f>KPI!AP41</f>
        <v>94.163549824758789</v>
      </c>
      <c r="R10" s="89">
        <f>KPI!AQ41</f>
        <v>105.67082560896746</v>
      </c>
      <c r="S10" s="89">
        <f>KPI!AR41</f>
        <v>0</v>
      </c>
      <c r="T10" s="89">
        <f>KPI!AS41</f>
        <v>0</v>
      </c>
    </row>
    <row r="11" spans="1:22" ht="15" customHeight="1">
      <c r="A11" s="51"/>
      <c r="B11" s="52" t="str">
        <f>T.MOUTONG!B11</f>
        <v>b. SAIFI (sesuai kewenangan)</v>
      </c>
      <c r="C11" s="364" t="str">
        <f>T.MOUTONG!C11</f>
        <v>ò</v>
      </c>
      <c r="D11" s="53" t="str">
        <f>T.MOUTONG!D11</f>
        <v>Kali/plg</v>
      </c>
      <c r="E11" s="61" t="e">
        <f>#REF!</f>
        <v>#REF!</v>
      </c>
      <c r="F11" s="53"/>
      <c r="G11" s="89">
        <f>T.MOUTONG!G11</f>
        <v>1.02</v>
      </c>
      <c r="H11" s="89">
        <f>T.MOUTONG!H11</f>
        <v>2.0499999999999998</v>
      </c>
      <c r="I11" s="89">
        <f>KPI!AH63</f>
        <v>1.8647198522297476E-2</v>
      </c>
      <c r="J11" s="89">
        <f>KPI!AI63</f>
        <v>5.9712608428984494E-2</v>
      </c>
      <c r="K11" s="89">
        <f>KPI!AJ63</f>
        <v>0.16476452840089204</v>
      </c>
      <c r="L11" s="89">
        <f>KPI!AK63</f>
        <v>0.3115505500261917</v>
      </c>
      <c r="M11" s="89">
        <f>KPI!AL63</f>
        <v>0.59399511940038352</v>
      </c>
      <c r="N11" s="89">
        <f>KPI!AM63</f>
        <v>0.7974347826086956</v>
      </c>
      <c r="O11" s="89">
        <f>KPI!AN63</f>
        <v>1.0018223629973533</v>
      </c>
      <c r="P11" s="89">
        <f>KPI!AO63</f>
        <v>1.0083669311137122</v>
      </c>
      <c r="Q11" s="89">
        <f>KPI!AP63</f>
        <v>1.0747263207996192</v>
      </c>
      <c r="R11" s="89">
        <f>KPI!AQ63</f>
        <v>1.3467988790687648</v>
      </c>
      <c r="S11" s="89">
        <f>KPI!AR63</f>
        <v>0</v>
      </c>
      <c r="T11" s="89">
        <f>KPI!AS63</f>
        <v>0</v>
      </c>
    </row>
    <row r="12" spans="1:22" ht="15" customHeight="1">
      <c r="A12" s="51"/>
      <c r="B12" s="52" t="str">
        <f>T.MOUTONG!B12</f>
        <v>c. ENS (sesuai kewenangan)</v>
      </c>
      <c r="C12" s="364" t="str">
        <f>T.MOUTONG!C12</f>
        <v>ò</v>
      </c>
      <c r="D12" s="53" t="str">
        <f>T.MOUTONG!D12</f>
        <v>MWh</v>
      </c>
      <c r="E12" s="61" t="e">
        <f>#REF!</f>
        <v>#REF!</v>
      </c>
      <c r="F12" s="53"/>
      <c r="G12" s="89">
        <f>T.MOUTONG!G12</f>
        <v>5.17</v>
      </c>
      <c r="H12" s="89">
        <f>T.MOUTONG!H12</f>
        <v>10.34</v>
      </c>
      <c r="I12" s="89">
        <f>KPI!AH77</f>
        <v>0.154</v>
      </c>
      <c r="J12" s="89">
        <f>KPI!AI77</f>
        <v>0.17499999999999999</v>
      </c>
      <c r="K12" s="89">
        <f>KPI!AJ77</f>
        <v>0.24199999999999999</v>
      </c>
      <c r="L12" s="89">
        <f>KPI!AK77</f>
        <v>0.88700000000000001</v>
      </c>
      <c r="M12" s="89">
        <f>KPI!AL77</f>
        <v>3.0979999999999999</v>
      </c>
      <c r="N12" s="89">
        <f>KPI!AM77</f>
        <v>4.1280000000000001</v>
      </c>
      <c r="O12" s="89">
        <f>KPI!AN77</f>
        <v>4.9930000000000003</v>
      </c>
      <c r="P12" s="89">
        <f>KPI!AO77</f>
        <v>5.0020000000000007</v>
      </c>
      <c r="Q12" s="89">
        <f>KPI!AP77</f>
        <v>5.2640000000000011</v>
      </c>
      <c r="R12" s="89">
        <f>KPI!AQ77</f>
        <v>5.8870000000000013</v>
      </c>
      <c r="S12" s="89">
        <f>KPI!AR77</f>
        <v>0</v>
      </c>
      <c r="T12" s="89">
        <f>KPI!AS77</f>
        <v>0</v>
      </c>
    </row>
    <row r="13" spans="1:22" ht="15" customHeight="1">
      <c r="A13" s="51">
        <f>T.MOUTONG!A13</f>
        <v>3</v>
      </c>
      <c r="B13" s="267" t="str">
        <f>T.MOUTONG!B13</f>
        <v>Efisiensi Jaringan Distribusi</v>
      </c>
      <c r="C13" s="364"/>
      <c r="D13" s="53">
        <f>T.MOUTONG!D13</f>
        <v>0</v>
      </c>
      <c r="E13" s="61"/>
      <c r="F13" s="53">
        <f>T.MOUTONG!F13</f>
        <v>12</v>
      </c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111"/>
    </row>
    <row r="14" spans="1:22" ht="15" customHeight="1">
      <c r="A14" s="51"/>
      <c r="B14" s="52" t="str">
        <f>T.MOUTONG!B14</f>
        <v>a. Susut Distribusi Tanpa E-min (sesuai kewenangan)</v>
      </c>
      <c r="C14" s="364" t="str">
        <f>T.MOUTONG!C14</f>
        <v>ò</v>
      </c>
      <c r="D14" s="53" t="str">
        <f>T.MOUTONG!D14</f>
        <v>%</v>
      </c>
      <c r="E14" s="61"/>
      <c r="F14" s="53"/>
      <c r="G14" s="89">
        <f>T.MOUTONG!G14</f>
        <v>10.039999999999999</v>
      </c>
      <c r="H14" s="89">
        <f>T.MOUTONG!H14</f>
        <v>9.6</v>
      </c>
      <c r="I14" s="89">
        <f>KPI!AH101</f>
        <v>-12.631806947440765</v>
      </c>
      <c r="J14" s="89">
        <f>KPI!AI101</f>
        <v>-4.8323047376231782</v>
      </c>
      <c r="K14" s="89">
        <f>KPI!AJ101</f>
        <v>2.4670830796497727</v>
      </c>
      <c r="L14" s="89">
        <f>KPI!AK101</f>
        <v>7.3814707844409595</v>
      </c>
      <c r="M14" s="89">
        <f>KPI!AL101</f>
        <v>9.2717188915289448</v>
      </c>
      <c r="N14" s="89">
        <f>KPI!AM101</f>
        <v>9.4679601842999137</v>
      </c>
      <c r="O14" s="89">
        <f>KPI!AN101</f>
        <v>9.4971667817519112</v>
      </c>
      <c r="P14" s="89">
        <f>KPI!AO101</f>
        <v>9.7770328229887475</v>
      </c>
      <c r="Q14" s="89">
        <f>KPI!AP101</f>
        <v>9.9033668486832145</v>
      </c>
      <c r="R14" s="89">
        <f>KPI!AQ101</f>
        <v>10.094916190258923</v>
      </c>
      <c r="S14" s="89">
        <f>KPI!AR101</f>
        <v>0</v>
      </c>
      <c r="T14" s="89">
        <f>KPI!AS101</f>
        <v>0</v>
      </c>
    </row>
    <row r="15" spans="1:22" ht="15" customHeight="1">
      <c r="A15" s="51"/>
      <c r="B15" s="52" t="str">
        <f>T.MOUTONG!B15</f>
        <v>b. Penyelesaian Temuan P2TL</v>
      </c>
      <c r="C15" s="364" t="str">
        <f>T.MOUTONG!C15</f>
        <v>ñ</v>
      </c>
      <c r="D15" s="53" t="str">
        <f>T.MOUTONG!D15</f>
        <v>%</v>
      </c>
      <c r="E15" s="61"/>
      <c r="F15" s="53"/>
      <c r="G15" s="89">
        <f>T.MOUTONG!G15</f>
        <v>25.000000000000007</v>
      </c>
      <c r="H15" s="89">
        <f>T.MOUTONG!H15</f>
        <v>100</v>
      </c>
      <c r="I15" s="89">
        <f>KPI!AH121</f>
        <v>0</v>
      </c>
      <c r="J15" s="89">
        <f>KPI!AI121</f>
        <v>0</v>
      </c>
      <c r="K15" s="89">
        <f>KPI!AJ121</f>
        <v>1.2395</v>
      </c>
      <c r="L15" s="89">
        <f>KPI!AK121</f>
        <v>1.2395</v>
      </c>
      <c r="M15" s="89">
        <f>KPI!AL121</f>
        <v>9.9145000000000003</v>
      </c>
      <c r="N15" s="89">
        <f>KPI!AM121</f>
        <v>25.887499999999999</v>
      </c>
      <c r="O15" s="89">
        <f>KPI!AN121</f>
        <v>87.801500000000004</v>
      </c>
      <c r="P15" s="89">
        <f>KPI!AO121</f>
        <v>87.801500000000004</v>
      </c>
      <c r="Q15" s="89">
        <f>KPI!AP121</f>
        <v>89.040999999999997</v>
      </c>
      <c r="R15" s="89">
        <f>KPI!AQ121</f>
        <v>89.040999999999997</v>
      </c>
      <c r="S15" s="89">
        <f>KPI!AR121</f>
        <v>89.040999999999997</v>
      </c>
      <c r="T15" s="89">
        <f>KPI!AS121</f>
        <v>89.040999999999997</v>
      </c>
    </row>
    <row r="16" spans="1:22" ht="15" customHeight="1">
      <c r="A16" s="51"/>
      <c r="B16" s="52" t="str">
        <f>T.MOUTONG!B16</f>
        <v>c. Penyelesaian Ganti Meter</v>
      </c>
      <c r="C16" s="364" t="str">
        <f>T.MOUTONG!C16</f>
        <v>ñ</v>
      </c>
      <c r="D16" s="53" t="str">
        <f>T.MOUTONG!D16</f>
        <v>Unit</v>
      </c>
      <c r="E16" s="61" t="e">
        <f>#REF!</f>
        <v>#REF!</v>
      </c>
      <c r="F16" s="53"/>
      <c r="G16" s="89">
        <f>T.MOUTONG!G16</f>
        <v>244</v>
      </c>
      <c r="H16" s="89">
        <f>T.MOUTONG!H16</f>
        <v>698</v>
      </c>
      <c r="I16" s="89">
        <f>KPI!AH133</f>
        <v>0</v>
      </c>
      <c r="J16" s="89">
        <f>KPI!AI133</f>
        <v>73</v>
      </c>
      <c r="K16" s="89">
        <f>KPI!AJ133</f>
        <v>243</v>
      </c>
      <c r="L16" s="89">
        <f>KPI!AK133</f>
        <v>292</v>
      </c>
      <c r="M16" s="89">
        <f>KPI!AL133</f>
        <v>345</v>
      </c>
      <c r="N16" s="89">
        <f>KPI!AM133</f>
        <v>369</v>
      </c>
      <c r="O16" s="89">
        <f>KPI!AN133</f>
        <v>420</v>
      </c>
      <c r="P16" s="89">
        <f>KPI!AO133</f>
        <v>510</v>
      </c>
      <c r="Q16" s="89">
        <f>KPI!AP133</f>
        <v>641</v>
      </c>
      <c r="R16" s="89">
        <f>KPI!AQ133</f>
        <v>690</v>
      </c>
      <c r="S16" s="89">
        <f>KPI!AR133</f>
        <v>690</v>
      </c>
      <c r="T16" s="89">
        <f>KPI!AS133</f>
        <v>690</v>
      </c>
    </row>
    <row r="17" spans="1:20" ht="15" customHeight="1">
      <c r="A17" s="47" t="str">
        <f>T.MOUTONG!A17</f>
        <v>II</v>
      </c>
      <c r="B17" s="269" t="str">
        <f>T.MOUTONG!B17</f>
        <v>Perfomance Indicators</v>
      </c>
      <c r="C17" s="365"/>
      <c r="D17" s="50"/>
      <c r="E17" s="48"/>
      <c r="F17" s="139">
        <f>SUM(F18:F54)</f>
        <v>60</v>
      </c>
      <c r="G17" s="139"/>
      <c r="H17" s="139"/>
      <c r="I17" s="139"/>
      <c r="J17" s="139"/>
      <c r="K17" s="139"/>
      <c r="L17" s="139"/>
      <c r="M17" s="139"/>
      <c r="N17" s="139"/>
      <c r="O17" s="139"/>
      <c r="P17" s="139"/>
      <c r="Q17" s="139"/>
      <c r="R17" s="139"/>
      <c r="S17" s="139"/>
      <c r="T17" s="168"/>
    </row>
    <row r="18" spans="1:20" ht="15" customHeight="1">
      <c r="A18" s="51">
        <f>T.MOUTONG!A18</f>
        <v>4</v>
      </c>
      <c r="B18" s="267" t="str">
        <f>T.MOUTONG!B18</f>
        <v>Keandalan Jaringan Distribusi</v>
      </c>
      <c r="C18" s="364"/>
      <c r="D18" s="53"/>
      <c r="E18" s="61"/>
      <c r="F18" s="53">
        <f>T.MOUTONG!F18</f>
        <v>9</v>
      </c>
      <c r="G18" s="89"/>
      <c r="H18" s="89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2"/>
      <c r="T18" s="95"/>
    </row>
    <row r="19" spans="1:20" ht="16.5">
      <c r="A19" s="51"/>
      <c r="B19" s="52" t="str">
        <f>T.MOUTONG!B19</f>
        <v>a. Gangguan TM &gt; 5 Menit</v>
      </c>
      <c r="C19" s="364" t="str">
        <f>T.MOUTONG!C19</f>
        <v>ò</v>
      </c>
      <c r="D19" s="53" t="str">
        <f>T.MOUTONG!D19</f>
        <v>Kali</v>
      </c>
      <c r="E19" s="61" t="e">
        <f>#REF!</f>
        <v>#REF!</v>
      </c>
      <c r="F19" s="53"/>
      <c r="G19" s="89">
        <f>T.MOUTONG!G19</f>
        <v>6</v>
      </c>
      <c r="H19" s="89">
        <f>T.MOUTONG!H19</f>
        <v>12</v>
      </c>
      <c r="I19" s="142">
        <f>PI!AH17</f>
        <v>0</v>
      </c>
      <c r="J19" s="142">
        <f>PI!AI17</f>
        <v>1</v>
      </c>
      <c r="K19" s="142">
        <f>PI!AJ17</f>
        <v>2</v>
      </c>
      <c r="L19" s="142">
        <f>PI!AK17</f>
        <v>3</v>
      </c>
      <c r="M19" s="142">
        <f>PI!AL17</f>
        <v>4</v>
      </c>
      <c r="N19" s="142">
        <f>PI!AM17</f>
        <v>5</v>
      </c>
      <c r="O19" s="142">
        <f>PI!AN17</f>
        <v>7</v>
      </c>
      <c r="P19" s="142">
        <f>PI!AO17</f>
        <v>7</v>
      </c>
      <c r="Q19" s="142">
        <f>PI!AP17</f>
        <v>7</v>
      </c>
      <c r="R19" s="142">
        <f>PI!AQ17</f>
        <v>9</v>
      </c>
      <c r="S19" s="142">
        <f>PI!AR17</f>
        <v>9</v>
      </c>
      <c r="T19" s="142">
        <f>PI!AS17</f>
        <v>9</v>
      </c>
    </row>
    <row r="20" spans="1:20" ht="16.5">
      <c r="A20" s="51"/>
      <c r="B20" s="52" t="str">
        <f>T.MOUTONG!B20</f>
        <v>b. Gangguan TM ≤ 5 Menit</v>
      </c>
      <c r="C20" s="364" t="str">
        <f>T.MOUTONG!C20</f>
        <v>ò</v>
      </c>
      <c r="D20" s="53" t="str">
        <f>T.MOUTONG!D20</f>
        <v>Kali</v>
      </c>
      <c r="E20" s="61" t="e">
        <f>#REF!</f>
        <v>#REF!</v>
      </c>
      <c r="F20" s="53"/>
      <c r="G20" s="89">
        <f>T.MOUTONG!G20</f>
        <v>10</v>
      </c>
      <c r="H20" s="89">
        <f>T.MOUTONG!H20</f>
        <v>20</v>
      </c>
      <c r="I20" s="142">
        <f>PI!AH18</f>
        <v>0</v>
      </c>
      <c r="J20" s="142">
        <f>PI!AI86</f>
        <v>0</v>
      </c>
      <c r="K20" s="142">
        <f>PI!AJ86</f>
        <v>0</v>
      </c>
      <c r="L20" s="142">
        <f>PI!AK86</f>
        <v>0</v>
      </c>
      <c r="M20" s="142">
        <f>PI!AL86</f>
        <v>0</v>
      </c>
      <c r="N20" s="142">
        <f>PI!AM86</f>
        <v>0</v>
      </c>
      <c r="O20" s="142">
        <f>PI!AN86</f>
        <v>0</v>
      </c>
      <c r="P20" s="142">
        <f>PI!AO86</f>
        <v>0</v>
      </c>
      <c r="Q20" s="142">
        <f>PI!AP86</f>
        <v>0</v>
      </c>
      <c r="R20" s="142">
        <f>PI!AQ86</f>
        <v>0</v>
      </c>
      <c r="S20" s="142">
        <f>PI!AR86</f>
        <v>0</v>
      </c>
      <c r="T20" s="142">
        <f>PI!AS86</f>
        <v>0</v>
      </c>
    </row>
    <row r="21" spans="1:20" ht="33">
      <c r="A21" s="51"/>
      <c r="B21" s="52" t="str">
        <f>T.MOUTONG!B21</f>
        <v>c. Kerusakan Peralatan Distribusi (PHB TM dan Trafo) Sesuai Kewenangan</v>
      </c>
      <c r="C21" s="364" t="str">
        <f>T.MOUTONG!C21</f>
        <v>ò</v>
      </c>
      <c r="D21" s="53" t="str">
        <f>T.MOUTONG!D21</f>
        <v>Unit</v>
      </c>
      <c r="E21" s="61" t="e">
        <f>#REF!</f>
        <v>#REF!</v>
      </c>
      <c r="F21" s="53"/>
      <c r="G21" s="89">
        <f>T.MOUTONG!G21</f>
        <v>1</v>
      </c>
      <c r="H21" s="89">
        <f>T.MOUTONG!H21</f>
        <v>1</v>
      </c>
      <c r="I21" s="142">
        <f>PI!AH42</f>
        <v>0</v>
      </c>
      <c r="J21" s="142">
        <f>PI!AI42</f>
        <v>0</v>
      </c>
      <c r="K21" s="142">
        <f>PI!AJ42</f>
        <v>0</v>
      </c>
      <c r="L21" s="142">
        <f>PI!AK42</f>
        <v>0</v>
      </c>
      <c r="M21" s="142">
        <f>PI!AL42</f>
        <v>0</v>
      </c>
      <c r="N21" s="142">
        <f>PI!AM42</f>
        <v>0</v>
      </c>
      <c r="O21" s="142">
        <f>PI!AN42</f>
        <v>0</v>
      </c>
      <c r="P21" s="142">
        <f>PI!AO42</f>
        <v>0</v>
      </c>
      <c r="Q21" s="142">
        <f>PI!AP42</f>
        <v>0</v>
      </c>
      <c r="R21" s="142">
        <f>PI!AQ42</f>
        <v>0</v>
      </c>
      <c r="S21" s="142">
        <f>PI!AR42</f>
        <v>0</v>
      </c>
      <c r="T21" s="142">
        <f>PI!AS42</f>
        <v>0</v>
      </c>
    </row>
    <row r="22" spans="1:20" ht="16.5">
      <c r="A22" s="51">
        <f>T.MOUTONG!A22</f>
        <v>5</v>
      </c>
      <c r="B22" s="267" t="str">
        <f>T.MOUTONG!B22</f>
        <v>Peningkatan Layanan</v>
      </c>
      <c r="C22" s="364"/>
      <c r="D22" s="53"/>
      <c r="E22" s="61" t="e">
        <f>#REF!</f>
        <v>#REF!</v>
      </c>
      <c r="F22" s="53">
        <f>T.MOUTONG!F22</f>
        <v>8</v>
      </c>
      <c r="G22" s="89"/>
      <c r="H22" s="89"/>
      <c r="I22" s="226"/>
      <c r="J22" s="226"/>
      <c r="K22" s="226"/>
      <c r="L22" s="226"/>
      <c r="M22" s="226"/>
      <c r="N22" s="226"/>
      <c r="O22" s="226"/>
      <c r="P22" s="226"/>
      <c r="Q22" s="226"/>
      <c r="R22" s="226"/>
      <c r="S22" s="226"/>
      <c r="T22" s="226"/>
    </row>
    <row r="23" spans="1:20" ht="33">
      <c r="A23" s="51"/>
      <c r="B23" s="52" t="str">
        <f>T.MOUTONG!B23</f>
        <v>a. Feedback Rating Negatif pada PLN Mobile - Gangguan</v>
      </c>
      <c r="C23" s="364" t="str">
        <f>T.MOUTONG!C23</f>
        <v>ò</v>
      </c>
      <c r="D23" s="53" t="str">
        <f>T.MOUTONG!D23</f>
        <v>%</v>
      </c>
      <c r="E23" s="61"/>
      <c r="F23" s="53"/>
      <c r="G23" s="89">
        <f>T.MOUTONG!G23</f>
        <v>0.09</v>
      </c>
      <c r="H23" s="89">
        <f>T.MOUTONG!H23</f>
        <v>0.09</v>
      </c>
      <c r="I23" s="226">
        <f>PI!AH64</f>
        <v>0</v>
      </c>
      <c r="J23" s="226">
        <f>PI!AI64</f>
        <v>0</v>
      </c>
      <c r="K23" s="226">
        <f>PI!AJ64</f>
        <v>0</v>
      </c>
      <c r="L23" s="226">
        <f>PI!AK64</f>
        <v>0</v>
      </c>
      <c r="M23" s="226">
        <f>PI!AL64</f>
        <v>0</v>
      </c>
      <c r="N23" s="226">
        <f>PI!AM64</f>
        <v>0</v>
      </c>
      <c r="O23" s="226">
        <f>PI!AN64</f>
        <v>0</v>
      </c>
      <c r="P23" s="226">
        <f>PI!AO64</f>
        <v>0</v>
      </c>
      <c r="Q23" s="226">
        <f>PI!AP64</f>
        <v>0</v>
      </c>
      <c r="R23" s="226">
        <f>PI!AQ64</f>
        <v>0</v>
      </c>
      <c r="S23" s="226">
        <f>PI!AR64</f>
        <v>0</v>
      </c>
      <c r="T23" s="226">
        <f>PI!AS64</f>
        <v>0</v>
      </c>
    </row>
    <row r="24" spans="1:20" ht="16.5">
      <c r="A24" s="51"/>
      <c r="B24" s="52" t="str">
        <f>T.MOUTONG!B24</f>
        <v>b. Pengaduan Gangguan Berulang pada PLN Mobile</v>
      </c>
      <c r="C24" s="364" t="str">
        <f>T.MOUTONG!C24</f>
        <v>ò</v>
      </c>
      <c r="D24" s="53" t="str">
        <f>T.MOUTONG!D24</f>
        <v>%</v>
      </c>
      <c r="E24" s="61"/>
      <c r="F24" s="53"/>
      <c r="G24" s="89">
        <f>T.MOUTONG!G24</f>
        <v>0.04</v>
      </c>
      <c r="H24" s="89">
        <f>T.MOUTONG!H24</f>
        <v>0.04</v>
      </c>
      <c r="I24" s="226">
        <f>PI!AH86</f>
        <v>0</v>
      </c>
      <c r="J24" s="226">
        <f>PI!AI86</f>
        <v>0</v>
      </c>
      <c r="K24" s="226">
        <f>PI!AJ86</f>
        <v>0</v>
      </c>
      <c r="L24" s="226">
        <f>PI!AK86</f>
        <v>0</v>
      </c>
      <c r="M24" s="226">
        <f>PI!AL86</f>
        <v>0</v>
      </c>
      <c r="N24" s="226">
        <f>PI!AM86</f>
        <v>0</v>
      </c>
      <c r="O24" s="226">
        <f>PI!AN86</f>
        <v>0</v>
      </c>
      <c r="P24" s="226">
        <f>PI!AO86</f>
        <v>0</v>
      </c>
      <c r="Q24" s="226">
        <f>PI!AP86</f>
        <v>0</v>
      </c>
      <c r="R24" s="226">
        <f>PI!AQ86</f>
        <v>0</v>
      </c>
      <c r="S24" s="226">
        <f>PI!AR86</f>
        <v>0</v>
      </c>
      <c r="T24" s="226">
        <f>PI!AS86</f>
        <v>0</v>
      </c>
    </row>
    <row r="25" spans="1:20" ht="15" customHeight="1">
      <c r="A25" s="51"/>
      <c r="B25" s="52" t="str">
        <f>T.MOUTONG!B25</f>
        <v>c. Rating PLN Mobile</v>
      </c>
      <c r="C25" s="364" t="str">
        <f>T.MOUTONG!C25</f>
        <v>ñ</v>
      </c>
      <c r="D25" s="53" t="str">
        <f>T.MOUTONG!D25</f>
        <v>Rating</v>
      </c>
      <c r="E25" s="61" t="e">
        <f>#REF!</f>
        <v>#REF!</v>
      </c>
      <c r="F25" s="53"/>
      <c r="G25" s="89">
        <f>T.MOUTONG!G25</f>
        <v>4.9000000000000004</v>
      </c>
      <c r="H25" s="89">
        <f>T.MOUTONG!H25</f>
        <v>4.9000000000000004</v>
      </c>
      <c r="I25" s="142">
        <f>PI!AH97</f>
        <v>4.91</v>
      </c>
      <c r="J25" s="142">
        <f>PI!AI97</f>
        <v>4.91</v>
      </c>
      <c r="K25" s="142">
        <f>PI!AJ97</f>
        <v>4.91</v>
      </c>
      <c r="L25" s="142">
        <f>PI!AK97</f>
        <v>4.91</v>
      </c>
      <c r="M25" s="142">
        <f>PI!AL97</f>
        <v>4.9000000000000004</v>
      </c>
      <c r="N25" s="142">
        <f>PI!AM97</f>
        <v>4.9000000000000004</v>
      </c>
      <c r="O25" s="142">
        <f>PI!AN97</f>
        <v>4.9000000000000004</v>
      </c>
      <c r="P25" s="142">
        <f>PI!AO97</f>
        <v>4.9000000000000004</v>
      </c>
      <c r="Q25" s="142">
        <f>PI!AP97</f>
        <v>4.9000000000000004</v>
      </c>
      <c r="R25" s="142">
        <f>PI!AQ97</f>
        <v>4.9000000000000004</v>
      </c>
      <c r="S25" s="142">
        <f>PI!AR97</f>
        <v>4.9000000000000004</v>
      </c>
      <c r="T25" s="142">
        <f>PI!AS97</f>
        <v>4.9000000000000004</v>
      </c>
    </row>
    <row r="26" spans="1:20" ht="15" customHeight="1">
      <c r="A26" s="51"/>
      <c r="B26" s="52" t="str">
        <f>T.MOUTONG!B26</f>
        <v>d. Jumlah Kali Transaksi Keuangan melalui PLN Mobile</v>
      </c>
      <c r="C26" s="364" t="str">
        <f>T.MOUTONG!C26</f>
        <v>ñ</v>
      </c>
      <c r="D26" s="53" t="str">
        <f>T.MOUTONG!D26</f>
        <v>Kali Transaksi</v>
      </c>
      <c r="E26" s="61" t="e">
        <f>#REF!</f>
        <v>#REF!</v>
      </c>
      <c r="F26" s="53"/>
      <c r="G26" s="89">
        <f>T.MOUTONG!G26</f>
        <v>5762</v>
      </c>
      <c r="H26" s="89">
        <f>T.MOUTONG!H26</f>
        <v>9603</v>
      </c>
      <c r="I26" s="142">
        <f>PI!AH105</f>
        <v>239</v>
      </c>
      <c r="J26" s="142">
        <f>PI!AI105</f>
        <v>627</v>
      </c>
      <c r="K26" s="142">
        <f>PI!AJ105</f>
        <v>2370</v>
      </c>
      <c r="L26" s="142">
        <f>PI!AK105</f>
        <v>4148</v>
      </c>
      <c r="M26" s="142">
        <f>PI!AL105</f>
        <v>6272</v>
      </c>
      <c r="N26" s="142">
        <f>PI!AM105</f>
        <v>8671</v>
      </c>
      <c r="O26" s="142">
        <f>PI!AN105</f>
        <v>10672</v>
      </c>
      <c r="P26" s="142">
        <f>PI!AO105</f>
        <v>12244</v>
      </c>
      <c r="Q26" s="142">
        <f>PI!AP105</f>
        <v>13302</v>
      </c>
      <c r="R26" s="142">
        <f>PI!AQ105</f>
        <v>14361</v>
      </c>
      <c r="S26" s="142">
        <f>PI!AR105</f>
        <v>0</v>
      </c>
      <c r="T26" s="142">
        <f>PI!AS105</f>
        <v>0</v>
      </c>
    </row>
    <row r="27" spans="1:20" ht="15" customHeight="1">
      <c r="A27" s="51">
        <f>T.MOUTONG!A27</f>
        <v>6</v>
      </c>
      <c r="B27" s="267" t="str">
        <f>T.MOUTONG!B27</f>
        <v>Dispatch Respon Time</v>
      </c>
      <c r="C27" s="364"/>
      <c r="D27" s="53"/>
      <c r="E27" s="61"/>
      <c r="F27" s="53">
        <f>T.MOUTONG!F27</f>
        <v>3</v>
      </c>
      <c r="G27" s="89"/>
      <c r="H27" s="89"/>
      <c r="I27" s="142"/>
      <c r="J27" s="142"/>
      <c r="K27" s="142"/>
      <c r="L27" s="142"/>
      <c r="M27" s="142"/>
      <c r="N27" s="142"/>
      <c r="O27" s="142"/>
      <c r="P27" s="142"/>
      <c r="Q27" s="142"/>
      <c r="R27" s="142"/>
      <c r="S27" s="142"/>
      <c r="T27" s="142"/>
    </row>
    <row r="28" spans="1:20" ht="15" customHeight="1">
      <c r="A28" s="51"/>
      <c r="B28" s="52" t="str">
        <f>T.MOUTONG!B28</f>
        <v>a. Response Time atas Gangguan (diluar Clear Tamper)</v>
      </c>
      <c r="C28" s="364" t="str">
        <f>T.MOUTONG!C28</f>
        <v>ò</v>
      </c>
      <c r="D28" s="53" t="str">
        <f>T.MOUTONG!D28</f>
        <v>Menit</v>
      </c>
      <c r="E28" s="61"/>
      <c r="F28" s="53"/>
      <c r="G28" s="89">
        <f>T.MOUTONG!G28</f>
        <v>30</v>
      </c>
      <c r="H28" s="89">
        <f>T.MOUTONG!H28</f>
        <v>30</v>
      </c>
      <c r="I28" s="142">
        <f>PI!AH119</f>
        <v>8.5426282051281994</v>
      </c>
      <c r="J28" s="142">
        <f>PI!AI119</f>
        <v>8.1045451864086786</v>
      </c>
      <c r="K28" s="142">
        <f>PI!AJ119</f>
        <v>7.9316219028642303</v>
      </c>
      <c r="L28" s="142">
        <f>PI!AK119</f>
        <v>7.9007510275380373</v>
      </c>
      <c r="M28" s="142">
        <f>PI!AL119</f>
        <v>9.1246008220304304</v>
      </c>
      <c r="N28" s="142">
        <f>PI!AM119</f>
        <v>9.1038201985687532</v>
      </c>
      <c r="O28" s="142">
        <f>PI!AN119</f>
        <v>9.0889768960961259</v>
      </c>
      <c r="P28" s="142">
        <f>PI!AO119</f>
        <v>9.1740044587045002</v>
      </c>
      <c r="Q28" s="142">
        <f>PI!AP119</f>
        <v>9.260615768181351</v>
      </c>
      <c r="R28" s="142">
        <f>PI!AQ119</f>
        <v>9.5630914886605147</v>
      </c>
      <c r="S28" s="142">
        <f>PI!AR119</f>
        <v>9.5630914886605147</v>
      </c>
      <c r="T28" s="142">
        <f>PI!AS119</f>
        <v>9.5630914886605147</v>
      </c>
    </row>
    <row r="29" spans="1:20" ht="34.9" customHeight="1">
      <c r="A29" s="51"/>
      <c r="B29" s="52" t="str">
        <f>T.MOUTONG!B29</f>
        <v>b. Success Rate Auto Dispatch Gangguan Individual (diluar Clear Tamper)</v>
      </c>
      <c r="C29" s="364" t="str">
        <f>T.MOUTONG!C29</f>
        <v>ñ</v>
      </c>
      <c r="D29" s="53" t="str">
        <f>T.MOUTONG!D29</f>
        <v>%</v>
      </c>
      <c r="E29" s="61"/>
      <c r="F29" s="53"/>
      <c r="G29" s="89">
        <f>T.MOUTONG!G29</f>
        <v>0</v>
      </c>
      <c r="H29" s="89">
        <f>T.MOUTONG!H29</f>
        <v>0</v>
      </c>
      <c r="I29" s="142">
        <f>PI!AH135</f>
        <v>0</v>
      </c>
      <c r="J29" s="142">
        <f>PI!AI135</f>
        <v>0</v>
      </c>
      <c r="K29" s="142">
        <f>PI!AJ135</f>
        <v>0</v>
      </c>
      <c r="L29" s="142">
        <f>PI!AK135</f>
        <v>0</v>
      </c>
      <c r="M29" s="142">
        <f>PI!AL135</f>
        <v>0</v>
      </c>
      <c r="N29" s="142">
        <f>PI!AM135</f>
        <v>0</v>
      </c>
      <c r="O29" s="142">
        <f>PI!AN135</f>
        <v>0</v>
      </c>
      <c r="P29" s="142">
        <f>PI!AO135</f>
        <v>0</v>
      </c>
      <c r="Q29" s="142">
        <f>PI!AP135</f>
        <v>0</v>
      </c>
      <c r="R29" s="142">
        <f>PI!AQ135</f>
        <v>0</v>
      </c>
      <c r="S29" s="142">
        <f>PI!AR135</f>
        <v>0</v>
      </c>
      <c r="T29" s="142">
        <f>PI!AS135</f>
        <v>0</v>
      </c>
    </row>
    <row r="30" spans="1:20" ht="15" customHeight="1">
      <c r="A30" s="51">
        <f>T.MOUTONG!A30</f>
        <v>7</v>
      </c>
      <c r="B30" s="267" t="str">
        <f>T.MOUTONG!B30</f>
        <v>Sistem Recovery :</v>
      </c>
      <c r="C30" s="364"/>
      <c r="D30" s="53"/>
      <c r="E30" s="61"/>
      <c r="F30" s="53">
        <f>T.MOUTONG!F30</f>
        <v>6</v>
      </c>
      <c r="G30" s="89"/>
      <c r="H30" s="89"/>
      <c r="I30" s="142"/>
      <c r="J30" s="142"/>
      <c r="K30" s="142"/>
      <c r="L30" s="142"/>
      <c r="M30" s="142"/>
      <c r="N30" s="142"/>
      <c r="O30" s="142"/>
      <c r="P30" s="142"/>
      <c r="Q30" s="142"/>
      <c r="R30" s="142"/>
      <c r="S30" s="142"/>
      <c r="T30" s="142"/>
    </row>
    <row r="31" spans="1:20" ht="16.5">
      <c r="A31" s="51"/>
      <c r="B31" s="52" t="str">
        <f>T.MOUTONG!B31</f>
        <v>a. Recovery Time Gangguan Meluas TM</v>
      </c>
      <c r="C31" s="364" t="str">
        <f>T.MOUTONG!C31</f>
        <v>ñ</v>
      </c>
      <c r="D31" s="53" t="str">
        <f>T.MOUTONG!D31</f>
        <v>%</v>
      </c>
      <c r="E31" s="61" t="e">
        <f>#REF!</f>
        <v>#REF!</v>
      </c>
      <c r="F31" s="53"/>
      <c r="G31" s="89">
        <f>T.MOUTONG!G31</f>
        <v>100</v>
      </c>
      <c r="H31" s="89">
        <f>T.MOUTONG!H31</f>
        <v>100</v>
      </c>
      <c r="I31" s="142">
        <f>PI!AH154</f>
        <v>110</v>
      </c>
      <c r="J31" s="142">
        <f>PI!AI154</f>
        <v>110</v>
      </c>
      <c r="K31" s="142">
        <f>PI!AJ154</f>
        <v>110</v>
      </c>
      <c r="L31" s="142">
        <f>PI!AK154</f>
        <v>110</v>
      </c>
      <c r="M31" s="142">
        <f>PI!AL154</f>
        <v>110</v>
      </c>
      <c r="N31" s="142">
        <f>PI!AM154</f>
        <v>110</v>
      </c>
      <c r="O31" s="142">
        <f>PI!AN154</f>
        <v>110</v>
      </c>
      <c r="P31" s="142">
        <f>PI!AO154</f>
        <v>110</v>
      </c>
      <c r="Q31" s="142">
        <f>PI!AP154</f>
        <v>110</v>
      </c>
      <c r="R31" s="142">
        <f>PI!AQ154</f>
        <v>110</v>
      </c>
      <c r="S31" s="142">
        <f>PI!AR154</f>
        <v>0</v>
      </c>
      <c r="T31" s="142">
        <f>PI!AS154</f>
        <v>0</v>
      </c>
    </row>
    <row r="32" spans="1:20" ht="16.5">
      <c r="A32" s="51"/>
      <c r="B32" s="52" t="str">
        <f>T.MOUTONG!B32</f>
        <v>b. Penormalan Siaga 1 Gangguan TM</v>
      </c>
      <c r="C32" s="364" t="str">
        <f>T.MOUTONG!C32</f>
        <v>ñ</v>
      </c>
      <c r="D32" s="53" t="str">
        <f>T.MOUTONG!D32</f>
        <v>%</v>
      </c>
      <c r="E32" s="61"/>
      <c r="F32" s="53"/>
      <c r="G32" s="89">
        <f>T.MOUTONG!G32</f>
        <v>100</v>
      </c>
      <c r="H32" s="89">
        <f>T.MOUTONG!H32</f>
        <v>100</v>
      </c>
      <c r="I32" s="142">
        <f>PI!AH176</f>
        <v>110</v>
      </c>
      <c r="J32" s="142">
        <f>PI!AI176</f>
        <v>110</v>
      </c>
      <c r="K32" s="142">
        <f>PI!AJ176</f>
        <v>110</v>
      </c>
      <c r="L32" s="142">
        <f>PI!AK176</f>
        <v>110</v>
      </c>
      <c r="M32" s="142">
        <f>PI!AL176</f>
        <v>110</v>
      </c>
      <c r="N32" s="142">
        <f>PI!AM176</f>
        <v>110</v>
      </c>
      <c r="O32" s="142">
        <f>PI!AN176</f>
        <v>110</v>
      </c>
      <c r="P32" s="142">
        <f>PI!AO176</f>
        <v>110</v>
      </c>
      <c r="Q32" s="142">
        <f>PI!AP176</f>
        <v>110</v>
      </c>
      <c r="R32" s="142">
        <f>PI!AQ176</f>
        <v>110</v>
      </c>
      <c r="S32" s="142">
        <f>PI!AR176</f>
        <v>0</v>
      </c>
      <c r="T32" s="142">
        <f>PI!AS176</f>
        <v>0</v>
      </c>
    </row>
    <row r="33" spans="1:23" ht="14.45" customHeight="1">
      <c r="A33" s="51">
        <f>T.MOUTONG!A33</f>
        <v>8</v>
      </c>
      <c r="B33" s="267" t="str">
        <f>T.MOUTONG!B33</f>
        <v>Percepatan Penyambungan Pelanggan</v>
      </c>
      <c r="C33" s="364"/>
      <c r="D33" s="53"/>
      <c r="E33" s="61" t="e">
        <f>#REF!</f>
        <v>#REF!</v>
      </c>
      <c r="F33" s="53">
        <f>T.MOUTONG!F33</f>
        <v>10</v>
      </c>
      <c r="G33" s="89"/>
      <c r="H33" s="89"/>
      <c r="I33" s="142"/>
      <c r="J33" s="142"/>
      <c r="K33" s="142"/>
      <c r="L33" s="142"/>
      <c r="M33" s="142"/>
      <c r="N33" s="142"/>
      <c r="O33" s="142"/>
      <c r="P33" s="142"/>
      <c r="Q33" s="142"/>
      <c r="R33" s="142"/>
      <c r="S33" s="142"/>
      <c r="T33" s="142"/>
      <c r="V33" s="21"/>
      <c r="W33" s="21"/>
    </row>
    <row r="34" spans="1:23" ht="14.45" customHeight="1">
      <c r="A34" s="51"/>
      <c r="B34" s="52" t="str">
        <f>T.MOUTONG!B34</f>
        <v>a. Penambahan Daya Tersambung</v>
      </c>
      <c r="C34" s="364" t="str">
        <f>T.MOUTONG!C34</f>
        <v>ñ</v>
      </c>
      <c r="D34" s="53" t="str">
        <f>T.MOUTONG!D34</f>
        <v>MVA</v>
      </c>
      <c r="E34" s="61"/>
      <c r="F34" s="53"/>
      <c r="G34" s="89">
        <f>T.MOUTONG!G34</f>
        <v>0.5</v>
      </c>
      <c r="H34" s="89">
        <f>T.MOUTONG!H34</f>
        <v>1.26</v>
      </c>
      <c r="I34" s="142">
        <f>PI!AH197</f>
        <v>5.4449999999999998E-2</v>
      </c>
      <c r="J34" s="142">
        <f>PI!AI197</f>
        <v>0.13190000000000002</v>
      </c>
      <c r="K34" s="142">
        <f>PI!AJ197</f>
        <v>0.18990000000000001</v>
      </c>
      <c r="L34" s="142">
        <f>PI!AK197</f>
        <v>0.25319999999999998</v>
      </c>
      <c r="M34" s="142">
        <f>PI!AL197</f>
        <v>0.29535</v>
      </c>
      <c r="N34" s="142">
        <f>PI!AM197</f>
        <v>0.3518</v>
      </c>
      <c r="O34" s="142">
        <f>PI!AN197</f>
        <v>0.39565</v>
      </c>
      <c r="P34" s="142">
        <f>PI!AO197</f>
        <v>0.4476</v>
      </c>
      <c r="Q34" s="142">
        <f>PI!AP197</f>
        <v>0.53025</v>
      </c>
      <c r="R34" s="142">
        <f>PI!AQ197</f>
        <v>0.80374999999999996</v>
      </c>
      <c r="S34" s="142">
        <f>PI!AR197</f>
        <v>0</v>
      </c>
      <c r="T34" s="142">
        <f>PI!AS197</f>
        <v>0</v>
      </c>
      <c r="V34" s="21"/>
      <c r="W34" s="21"/>
    </row>
    <row r="35" spans="1:23" ht="14.45" customHeight="1">
      <c r="A35" s="51"/>
      <c r="B35" s="52" t="str">
        <f>T.MOUTONG!B35</f>
        <v>b. Penambahan Jumlah Pelanggan</v>
      </c>
      <c r="C35" s="364" t="str">
        <f>T.MOUTONG!C35</f>
        <v>ñ</v>
      </c>
      <c r="D35" s="53" t="str">
        <f>T.MOUTONG!D35</f>
        <v>Pelanggan</v>
      </c>
      <c r="E35" s="61"/>
      <c r="F35" s="53"/>
      <c r="G35" s="89">
        <f>T.MOUTONG!G35</f>
        <v>748</v>
      </c>
      <c r="H35" s="89">
        <f>T.MOUTONG!H35</f>
        <v>1721</v>
      </c>
      <c r="I35" s="142">
        <f>PI!AH203</f>
        <v>84</v>
      </c>
      <c r="J35" s="142">
        <f>PI!AI203</f>
        <v>172</v>
      </c>
      <c r="K35" s="142">
        <f>PI!AJ203</f>
        <v>215</v>
      </c>
      <c r="L35" s="142">
        <f>PI!AK203</f>
        <v>254</v>
      </c>
      <c r="M35" s="142">
        <f>PI!AL203</f>
        <v>294</v>
      </c>
      <c r="N35" s="142">
        <f>PI!AM203</f>
        <v>346</v>
      </c>
      <c r="O35" s="142">
        <f>PI!AN203</f>
        <v>393</v>
      </c>
      <c r="P35" s="142">
        <f>PI!AO203</f>
        <v>413</v>
      </c>
      <c r="Q35" s="142">
        <f>PI!AP203</f>
        <v>457</v>
      </c>
      <c r="R35" s="142">
        <f>PI!AQ203</f>
        <v>541</v>
      </c>
      <c r="S35" s="142">
        <f>PI!AR203</f>
        <v>0</v>
      </c>
      <c r="T35" s="142">
        <f>PI!AS203</f>
        <v>0</v>
      </c>
      <c r="V35" s="21"/>
      <c r="W35" s="21"/>
    </row>
    <row r="36" spans="1:23" ht="14.45" customHeight="1">
      <c r="A36" s="51"/>
      <c r="B36" s="52" t="str">
        <f>T.MOUTONG!B36</f>
        <v>c. Jumlah Penambahan Pelanggan Produk Tematik</v>
      </c>
      <c r="C36" s="364" t="str">
        <f>T.MOUTONG!C36</f>
        <v>ñ</v>
      </c>
      <c r="D36" s="53" t="str">
        <f>T.MOUTONG!D36</f>
        <v>Pelanggan</v>
      </c>
      <c r="E36" s="61"/>
      <c r="F36" s="53"/>
      <c r="G36" s="89">
        <f>T.MOUTONG!G36</f>
        <v>90</v>
      </c>
      <c r="H36" s="89">
        <f>T.MOUTONG!H36</f>
        <v>150</v>
      </c>
      <c r="I36" s="142">
        <f>PI!AH209</f>
        <v>8</v>
      </c>
      <c r="J36" s="142">
        <f>PI!AI209</f>
        <v>12</v>
      </c>
      <c r="K36" s="142">
        <f>PI!AJ209</f>
        <v>33</v>
      </c>
      <c r="L36" s="142">
        <f>PI!AK209</f>
        <v>33</v>
      </c>
      <c r="M36" s="142">
        <f>PI!AL209</f>
        <v>42</v>
      </c>
      <c r="N36" s="142">
        <f>PI!AM209</f>
        <v>42</v>
      </c>
      <c r="O36" s="142">
        <f>PI!AN209</f>
        <v>42</v>
      </c>
      <c r="P36" s="142">
        <f>PI!AO209</f>
        <v>68</v>
      </c>
      <c r="Q36" s="142">
        <f>PI!AP209</f>
        <v>78</v>
      </c>
      <c r="R36" s="142">
        <f>PI!AQ209</f>
        <v>82</v>
      </c>
      <c r="S36" s="142">
        <f>PI!AR209</f>
        <v>0</v>
      </c>
      <c r="T36" s="142">
        <f>PI!AS209</f>
        <v>0</v>
      </c>
      <c r="V36" s="21"/>
      <c r="W36" s="21"/>
    </row>
    <row r="37" spans="1:23" ht="27" customHeight="1">
      <c r="A37" s="51"/>
      <c r="B37" s="52" t="str">
        <f>T.MOUTONG!B37</f>
        <v>d. Implementasi Kesesuaian Sektor Bisnis sesuai KBLI 2020</v>
      </c>
      <c r="C37" s="364" t="str">
        <f>T.MOUTONG!C37</f>
        <v>ñ</v>
      </c>
      <c r="D37" s="53" t="str">
        <f>T.MOUTONG!D37</f>
        <v>Pelanggan</v>
      </c>
      <c r="E37" s="61"/>
      <c r="F37" s="53"/>
      <c r="G37" s="89">
        <f>T.MOUTONG!G37</f>
        <v>2</v>
      </c>
      <c r="H37" s="89">
        <f>T.MOUTONG!H37</f>
        <v>2</v>
      </c>
      <c r="I37" s="142">
        <f>PI!AH215</f>
        <v>0</v>
      </c>
      <c r="J37" s="142">
        <f>PI!AI215</f>
        <v>0</v>
      </c>
      <c r="K37" s="142">
        <f>PI!AJ215</f>
        <v>0</v>
      </c>
      <c r="L37" s="142">
        <f>PI!AK215</f>
        <v>2</v>
      </c>
      <c r="M37" s="142">
        <f>PI!AL215</f>
        <v>2</v>
      </c>
      <c r="N37" s="142">
        <f>PI!AM215</f>
        <v>2</v>
      </c>
      <c r="O37" s="142">
        <f>PI!AN215</f>
        <v>2</v>
      </c>
      <c r="P37" s="142">
        <f>PI!AO215</f>
        <v>2</v>
      </c>
      <c r="Q37" s="142">
        <f>PI!AP215</f>
        <v>2</v>
      </c>
      <c r="R37" s="142">
        <f>PI!AQ215</f>
        <v>2</v>
      </c>
      <c r="S37" s="142">
        <f>PI!AR215</f>
        <v>0</v>
      </c>
      <c r="T37" s="142">
        <f>PI!AS215</f>
        <v>0</v>
      </c>
      <c r="V37" s="21"/>
      <c r="W37" s="21"/>
    </row>
    <row r="38" spans="1:23" ht="16.5">
      <c r="A38" s="51">
        <f>T.MOUTONG!A38</f>
        <v>9</v>
      </c>
      <c r="B38" s="267" t="str">
        <f>T.MOUTONG!B38</f>
        <v>Percepatan Penyambungan Pelanggan Lisdes</v>
      </c>
      <c r="C38" s="364"/>
      <c r="D38" s="53"/>
      <c r="E38" s="61"/>
      <c r="F38" s="53">
        <f>T.MOUTONG!F38</f>
        <v>4</v>
      </c>
      <c r="G38" s="89"/>
      <c r="H38" s="89"/>
      <c r="I38" s="142"/>
      <c r="J38" s="142"/>
      <c r="K38" s="142"/>
      <c r="L38" s="142"/>
      <c r="M38" s="142"/>
      <c r="N38" s="142"/>
      <c r="O38" s="142"/>
      <c r="P38" s="142"/>
      <c r="Q38" s="142"/>
      <c r="R38" s="142"/>
      <c r="S38" s="142"/>
      <c r="T38" s="142"/>
      <c r="V38" s="21"/>
      <c r="W38" s="21"/>
    </row>
    <row r="39" spans="1:23" ht="33">
      <c r="A39" s="51"/>
      <c r="B39" s="52" t="str">
        <f>T.MOUTONG!B39</f>
        <v>a. Penambahan Jumlah Pelanggan Rumah Tangga Lisdes</v>
      </c>
      <c r="C39" s="364" t="str">
        <f>T.MOUTONG!C39</f>
        <v>ñ</v>
      </c>
      <c r="D39" s="53" t="str">
        <f>T.MOUTONG!D39</f>
        <v>Pelanggan</v>
      </c>
      <c r="E39" s="61"/>
      <c r="F39" s="53"/>
      <c r="G39" s="89">
        <f>T.MOUTONG!G39</f>
        <v>0</v>
      </c>
      <c r="H39" s="89">
        <f>T.MOUTONG!H39</f>
        <v>0</v>
      </c>
      <c r="I39" s="142">
        <f>PI!AH221</f>
        <v>1</v>
      </c>
      <c r="J39" s="142">
        <f>PI!AI221</f>
        <v>2</v>
      </c>
      <c r="K39" s="142">
        <f>PI!AJ221</f>
        <v>3</v>
      </c>
      <c r="L39" s="142">
        <f>PI!AK221</f>
        <v>3</v>
      </c>
      <c r="M39" s="142">
        <f>PI!AL221</f>
        <v>3</v>
      </c>
      <c r="N39" s="142">
        <f>PI!AM221</f>
        <v>3</v>
      </c>
      <c r="O39" s="142">
        <f>PI!AN221</f>
        <v>5</v>
      </c>
      <c r="P39" s="142">
        <f>PI!AO221</f>
        <v>5</v>
      </c>
      <c r="Q39" s="142">
        <f>PI!AP221</f>
        <v>6</v>
      </c>
      <c r="R39" s="142">
        <f>PI!AQ221</f>
        <v>8</v>
      </c>
      <c r="S39" s="142">
        <f>PI!AR221</f>
        <v>0</v>
      </c>
      <c r="T39" s="142">
        <f>PI!AS221</f>
        <v>0</v>
      </c>
      <c r="V39" s="21"/>
      <c r="W39" s="21"/>
    </row>
    <row r="40" spans="1:23" ht="33">
      <c r="A40" s="51"/>
      <c r="B40" s="52" t="str">
        <f>T.MOUTONG!B40</f>
        <v>b. Peningkatan kWh Penjualan dari Pelanggan Rumah Tangga Lisdes</v>
      </c>
      <c r="C40" s="364" t="str">
        <f>T.MOUTONG!C40</f>
        <v>ñ</v>
      </c>
      <c r="D40" s="53" t="str">
        <f>T.MOUTONG!D40</f>
        <v>kWh</v>
      </c>
      <c r="E40" s="61"/>
      <c r="F40" s="53"/>
      <c r="G40" s="89">
        <f>T.MOUTONG!G40</f>
        <v>0</v>
      </c>
      <c r="H40" s="89">
        <f>T.MOUTONG!H40</f>
        <v>0</v>
      </c>
      <c r="I40" s="142">
        <f>PI!AH227</f>
        <v>219.1</v>
      </c>
      <c r="J40" s="142">
        <f>PI!AI227</f>
        <v>369.4</v>
      </c>
      <c r="K40" s="142">
        <f>PI!AJ227</f>
        <v>519.70000000000005</v>
      </c>
      <c r="L40" s="142">
        <f>PI!AK227</f>
        <v>519.70000000000005</v>
      </c>
      <c r="M40" s="142">
        <f>PI!AL227</f>
        <v>854.8</v>
      </c>
      <c r="N40" s="142">
        <f>PI!AM227</f>
        <v>1114.8</v>
      </c>
      <c r="O40" s="142">
        <f>PI!AN227</f>
        <v>1913.8</v>
      </c>
      <c r="P40" s="142">
        <f>PI!AO227</f>
        <v>2098.6</v>
      </c>
      <c r="Q40" s="142">
        <f>PI!AP227</f>
        <v>2342.6999999999998</v>
      </c>
      <c r="R40" s="142">
        <f>PI!AQ227</f>
        <v>3088.1</v>
      </c>
      <c r="S40" s="142">
        <f>PI!AR227</f>
        <v>0</v>
      </c>
      <c r="T40" s="142">
        <f>PI!AS227</f>
        <v>0</v>
      </c>
      <c r="V40" s="21"/>
      <c r="W40" s="21"/>
    </row>
    <row r="41" spans="1:23" ht="14.45" customHeight="1">
      <c r="A41" s="51">
        <f>T.MOUTONG!A41</f>
        <v>10</v>
      </c>
      <c r="B41" s="267" t="str">
        <f>T.MOUTONG!B41</f>
        <v>Pengelolaan Pembacaan Meter</v>
      </c>
      <c r="C41" s="364"/>
      <c r="D41" s="53"/>
      <c r="E41" s="61"/>
      <c r="F41" s="53">
        <f>T.MOUTONG!F41</f>
        <v>8</v>
      </c>
      <c r="G41" s="89"/>
      <c r="H41" s="89"/>
      <c r="I41" s="142"/>
      <c r="J41" s="142"/>
      <c r="K41" s="142"/>
      <c r="L41" s="142"/>
      <c r="M41" s="142"/>
      <c r="N41" s="142"/>
      <c r="O41" s="142"/>
      <c r="P41" s="142"/>
      <c r="Q41" s="142"/>
      <c r="R41" s="142"/>
      <c r="S41" s="142"/>
      <c r="T41" s="142"/>
      <c r="V41" s="21"/>
      <c r="W41" s="21"/>
    </row>
    <row r="42" spans="1:23" ht="18" customHeight="1">
      <c r="A42" s="51"/>
      <c r="B42" s="52" t="str">
        <f>T.MOUTONG!B42</f>
        <v>a. Jumlah Pengguna Swa Cam</v>
      </c>
      <c r="C42" s="364" t="str">
        <f>T.MOUTONG!C42</f>
        <v>ñ</v>
      </c>
      <c r="D42" s="53" t="str">
        <f>T.MOUTONG!D42</f>
        <v>Pelanggan</v>
      </c>
      <c r="E42" s="61"/>
      <c r="F42" s="53"/>
      <c r="G42" s="89">
        <f>T.MOUTONG!G42</f>
        <v>414</v>
      </c>
      <c r="H42" s="89">
        <f>T.MOUTONG!H42</f>
        <v>414</v>
      </c>
      <c r="I42" s="142">
        <f>PI!AH237</f>
        <v>1084</v>
      </c>
      <c r="J42" s="142">
        <f>PI!AI237</f>
        <v>786</v>
      </c>
      <c r="K42" s="142">
        <f>PI!AJ237</f>
        <v>585</v>
      </c>
      <c r="L42" s="142">
        <f>PI!AK237</f>
        <v>687.25</v>
      </c>
      <c r="M42" s="142">
        <f>PI!AL237</f>
        <v>654.20000000000005</v>
      </c>
      <c r="N42" s="142">
        <f>PI!AM237</f>
        <v>635.16666666666663</v>
      </c>
      <c r="O42" s="142">
        <f>PI!AN237</f>
        <v>617.71428571428567</v>
      </c>
      <c r="P42" s="142">
        <f>PI!AO237</f>
        <v>606.75</v>
      </c>
      <c r="Q42" s="142">
        <f>PI!AP237</f>
        <v>599.44444444444446</v>
      </c>
      <c r="R42" s="142">
        <f>PI!AQ237</f>
        <v>589.9</v>
      </c>
      <c r="S42" s="142">
        <f>PI!AR237</f>
        <v>589.9</v>
      </c>
      <c r="T42" s="142">
        <f>PI!AS237</f>
        <v>589.9</v>
      </c>
      <c r="V42" s="21"/>
      <c r="W42" s="21"/>
    </row>
    <row r="43" spans="1:23" ht="27" customHeight="1">
      <c r="A43" s="51"/>
      <c r="B43" s="52" t="str">
        <f>T.MOUTONG!B43</f>
        <v>b. Tindak Lanjut LBKB (Laporan Bulanan Kelainan Baca Meter)</v>
      </c>
      <c r="C43" s="364" t="str">
        <f>T.MOUTONG!C43</f>
        <v>ò</v>
      </c>
      <c r="D43" s="53" t="str">
        <f>T.MOUTONG!D43</f>
        <v>Pelanggan</v>
      </c>
      <c r="E43" s="61"/>
      <c r="F43" s="53"/>
      <c r="G43" s="89">
        <f>T.MOUTONG!G43</f>
        <v>0</v>
      </c>
      <c r="H43" s="89">
        <f>T.MOUTONG!H43</f>
        <v>0</v>
      </c>
      <c r="I43" s="142">
        <v>0</v>
      </c>
      <c r="J43" s="142">
        <v>0</v>
      </c>
      <c r="K43" s="142">
        <v>0</v>
      </c>
      <c r="L43" s="142">
        <v>0</v>
      </c>
      <c r="M43" s="142">
        <v>0</v>
      </c>
      <c r="N43" s="142">
        <v>0</v>
      </c>
      <c r="O43" s="142">
        <v>0</v>
      </c>
      <c r="P43" s="142">
        <v>0</v>
      </c>
      <c r="Q43" s="142">
        <v>0</v>
      </c>
      <c r="R43" s="142">
        <v>0</v>
      </c>
      <c r="S43" s="142">
        <v>0</v>
      </c>
      <c r="T43" s="142">
        <v>0</v>
      </c>
      <c r="V43" s="21"/>
      <c r="W43" s="21"/>
    </row>
    <row r="44" spans="1:23" ht="16.5">
      <c r="A44" s="51">
        <f>T.MOUTONG!A44</f>
        <v>11</v>
      </c>
      <c r="B44" s="267" t="str">
        <f>T.MOUTONG!B44</f>
        <v>Sisa Stand Bongkar Migrasi</v>
      </c>
      <c r="C44" s="364" t="str">
        <f>T.MOUTONG!C44</f>
        <v>ñ</v>
      </c>
      <c r="D44" s="53"/>
      <c r="E44" s="61"/>
      <c r="F44" s="53">
        <f>T.MOUTONG!F44</f>
        <v>3</v>
      </c>
      <c r="G44" s="89">
        <f>T.MOUTONG!G44</f>
        <v>100</v>
      </c>
      <c r="H44" s="89">
        <f>T.MOUTONG!H44</f>
        <v>100</v>
      </c>
      <c r="I44" s="142">
        <f>PI!AH255</f>
        <v>100</v>
      </c>
      <c r="J44" s="142">
        <f>PI!AI255</f>
        <v>100</v>
      </c>
      <c r="K44" s="142">
        <f>PI!AJ255</f>
        <v>100</v>
      </c>
      <c r="L44" s="142">
        <f>PI!AK255</f>
        <v>100</v>
      </c>
      <c r="M44" s="142">
        <f>PI!AL255</f>
        <v>100</v>
      </c>
      <c r="N44" s="142">
        <f>PI!AM255</f>
        <v>100</v>
      </c>
      <c r="O44" s="142">
        <f>PI!AN255</f>
        <v>100</v>
      </c>
      <c r="P44" s="142">
        <f>PI!AO255</f>
        <v>100</v>
      </c>
      <c r="Q44" s="142">
        <f>PI!AP255</f>
        <v>100</v>
      </c>
      <c r="R44" s="142">
        <f>PI!AQ255</f>
        <v>100</v>
      </c>
      <c r="S44" s="142">
        <f>PI!AR255</f>
        <v>100</v>
      </c>
      <c r="T44" s="142">
        <f>PI!AS255</f>
        <v>100</v>
      </c>
    </row>
    <row r="45" spans="1:23" ht="16.5">
      <c r="A45" s="51">
        <f>T.MOUTONG!A45</f>
        <v>12</v>
      </c>
      <c r="B45" s="267" t="str">
        <f>T.MOUTONG!B45</f>
        <v>Percepatan Cash In</v>
      </c>
      <c r="C45" s="364"/>
      <c r="D45" s="53" t="str">
        <f>T.MOUTONG!D45</f>
        <v>%</v>
      </c>
      <c r="E45" s="61"/>
      <c r="F45" s="53">
        <f>T.MOUTONG!F45</f>
        <v>9</v>
      </c>
      <c r="G45" s="89"/>
      <c r="H45" s="89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2"/>
    </row>
    <row r="46" spans="1:23" ht="33">
      <c r="A46" s="51"/>
      <c r="B46" s="52" t="str">
        <f>T.MOUTONG!B46</f>
        <v>a. Persentase Rata-Rata Saldo Tanggal 20 Non Kogol 1 dan Non Kogol 2</v>
      </c>
      <c r="C46" s="364" t="str">
        <f>T.MOUTONG!C46</f>
        <v>ò</v>
      </c>
      <c r="D46" s="53" t="str">
        <f>T.MOUTONG!D46</f>
        <v>Rp. Juta</v>
      </c>
      <c r="E46" s="61"/>
      <c r="F46" s="53"/>
      <c r="G46" s="89">
        <f>T.MOUTONG!G46</f>
        <v>213</v>
      </c>
      <c r="H46" s="89">
        <f>T.MOUTONG!H46</f>
        <v>213</v>
      </c>
      <c r="I46" s="142">
        <f>PI!AH273</f>
        <v>217.87441899999999</v>
      </c>
      <c r="J46" s="142">
        <f>PI!AI273</f>
        <v>221.28408049999999</v>
      </c>
      <c r="K46" s="142">
        <f>PI!AJ273</f>
        <v>249.64832133333334</v>
      </c>
      <c r="L46" s="142">
        <f>PI!AK273</f>
        <v>257.82090475000001</v>
      </c>
      <c r="M46" s="142">
        <f>PI!AL273</f>
        <v>261.50575980000002</v>
      </c>
      <c r="N46" s="142">
        <f>PI!AM273</f>
        <v>292.92861650000003</v>
      </c>
      <c r="O46" s="142">
        <f>PI!AN273</f>
        <v>283.552346</v>
      </c>
      <c r="P46" s="142">
        <f>PI!AO273</f>
        <v>258.82594562500003</v>
      </c>
      <c r="Q46" s="142">
        <f>PI!AP273</f>
        <v>239.46162522222227</v>
      </c>
      <c r="R46" s="142">
        <f>PI!AQ273</f>
        <v>239.46162522222227</v>
      </c>
      <c r="S46" s="142">
        <f>PI!AR273</f>
        <v>239.46162522222227</v>
      </c>
      <c r="T46" s="142">
        <f>PI!AS273</f>
        <v>239.46162522222227</v>
      </c>
    </row>
    <row r="47" spans="1:23" ht="33">
      <c r="A47" s="51"/>
      <c r="B47" s="52" t="str">
        <f>T.MOUTONG!B47</f>
        <v>b. Pencapaian Saldo Rata-Rata Akhir Bulan Non Kogol 1 dan Non Kogol 2</v>
      </c>
      <c r="C47" s="364" t="str">
        <f>T.MOUTONG!C47</f>
        <v>ò</v>
      </c>
      <c r="D47" s="53" t="str">
        <f>T.MOUTONG!D47</f>
        <v>Rp. Juta</v>
      </c>
      <c r="E47" s="61"/>
      <c r="F47" s="53"/>
      <c r="G47" s="89">
        <f>T.MOUTONG!G47</f>
        <v>96.04</v>
      </c>
      <c r="H47" s="89">
        <f>T.MOUTONG!H47</f>
        <v>96.04</v>
      </c>
      <c r="I47" s="142">
        <f>PI!AH295</f>
        <v>148.600922</v>
      </c>
      <c r="J47" s="142">
        <f>PI!AI295</f>
        <v>169.88312250000001</v>
      </c>
      <c r="K47" s="142">
        <f>PI!AJ295</f>
        <v>162.62208166666667</v>
      </c>
      <c r="L47" s="142">
        <f>PI!AK295</f>
        <v>172.87793300000001</v>
      </c>
      <c r="M47" s="142">
        <f>PI!AL295</f>
        <v>168.37847600000001</v>
      </c>
      <c r="N47" s="142">
        <f>PI!AM295</f>
        <v>156.22762766666668</v>
      </c>
      <c r="O47" s="142">
        <f>PI!AN295</f>
        <v>134.73275485714285</v>
      </c>
      <c r="P47" s="142">
        <f>PI!AO295</f>
        <v>118.46785025</v>
      </c>
      <c r="Q47" s="142">
        <f>PI!AP295</f>
        <v>106.06112455555555</v>
      </c>
      <c r="R47" s="142">
        <f>PI!AQ295</f>
        <v>95.613041799999991</v>
      </c>
      <c r="S47" s="142">
        <f>PI!AR295</f>
        <v>95.613041799999991</v>
      </c>
      <c r="T47" s="142">
        <f>PI!AS295</f>
        <v>95.613041799999991</v>
      </c>
    </row>
    <row r="48" spans="1:23" ht="22.9" customHeight="1">
      <c r="A48" s="51"/>
      <c r="B48" s="52" t="str">
        <f>T.MOUTONG!B48</f>
        <v>c. Pencapaian Pelunasan PRR</v>
      </c>
      <c r="C48" s="364" t="str">
        <f>T.MOUTONG!C48</f>
        <v>ñ</v>
      </c>
      <c r="D48" s="53" t="str">
        <f>T.MOUTONG!D48</f>
        <v>Rp. Juta</v>
      </c>
      <c r="E48" s="61"/>
      <c r="F48" s="53"/>
      <c r="G48" s="89">
        <f>T.MOUTONG!G48</f>
        <v>2.04</v>
      </c>
      <c r="H48" s="89">
        <f>T.MOUTONG!H48</f>
        <v>5.0999999999999996</v>
      </c>
      <c r="I48" s="142">
        <f>PI!AH318</f>
        <v>0</v>
      </c>
      <c r="J48" s="142">
        <f>PI!AI318</f>
        <v>0</v>
      </c>
      <c r="K48" s="142">
        <f>PI!AJ318</f>
        <v>1.539625</v>
      </c>
      <c r="L48" s="142">
        <f>PI!AK318</f>
        <v>1.539625</v>
      </c>
      <c r="M48" s="142">
        <f>PI!AL318</f>
        <v>2.7871760000000001</v>
      </c>
      <c r="N48" s="142">
        <f>PI!AM318</f>
        <v>2.7871760000000001</v>
      </c>
      <c r="O48" s="142">
        <f>PI!AN318</f>
        <v>2.7871760000000001</v>
      </c>
      <c r="P48" s="142">
        <f>PI!AO318</f>
        <v>2.7871760000000001</v>
      </c>
      <c r="Q48" s="142">
        <f>PI!AP318</f>
        <v>4.3891640000000001</v>
      </c>
      <c r="R48" s="142">
        <f>PI!AQ318</f>
        <v>4.3891640000000001</v>
      </c>
      <c r="S48" s="142">
        <f>PI!AR318</f>
        <v>0</v>
      </c>
      <c r="T48" s="142">
        <f>PI!AS318</f>
        <v>0</v>
      </c>
    </row>
    <row r="49" spans="1:20" ht="15" customHeight="1">
      <c r="A49" s="51">
        <f>T.MOUTONG!A49</f>
        <v>13</v>
      </c>
      <c r="B49" s="267" t="str">
        <f>T.MOUTONG!B49</f>
        <v>Kepatuhan :</v>
      </c>
      <c r="C49" s="364"/>
      <c r="D49" s="53"/>
      <c r="E49" s="61" t="e">
        <f>#REF!</f>
        <v>#REF!</v>
      </c>
      <c r="F49" s="53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</row>
    <row r="50" spans="1:20" ht="16.5">
      <c r="A50" s="51"/>
      <c r="B50" s="52" t="str">
        <f>T.MOUTONG!B50</f>
        <v>a. Pengelolaan K3, Keamanan dan Lingkungan Hidup</v>
      </c>
      <c r="C50" s="364"/>
      <c r="D50" s="53"/>
      <c r="E50" s="61" t="e">
        <f>#REF!</f>
        <v>#REF!</v>
      </c>
      <c r="F50" s="53" t="str">
        <f>T.MOUTONG!F50</f>
        <v>Max-8</v>
      </c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</row>
    <row r="51" spans="1:20" ht="25.9" customHeight="1">
      <c r="A51" s="51"/>
      <c r="B51" s="52" t="str">
        <f>T.MOUTONG!B51</f>
        <v>b. Maturity Level Implementasi Sistem Manajemen Anti Penyuapan (SMAP)</v>
      </c>
      <c r="C51" s="364"/>
      <c r="D51" s="53"/>
      <c r="E51" s="61" t="e">
        <f>#REF!</f>
        <v>#REF!</v>
      </c>
      <c r="F51" s="53" t="str">
        <f>T.MOUTONG!F51</f>
        <v>Max-4</v>
      </c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</row>
    <row r="52" spans="1:20" ht="25.9" customHeight="1">
      <c r="A52" s="51"/>
      <c r="B52" s="52" t="str">
        <f>T.MOUTONG!B52</f>
        <v>c. Ketepatan penyampaian pelaporan dan
Akurasi Data Kinerja</v>
      </c>
      <c r="C52" s="364"/>
      <c r="D52" s="53"/>
      <c r="E52" s="61" t="e">
        <f>#REF!</f>
        <v>#REF!</v>
      </c>
      <c r="F52" s="53" t="str">
        <f>T.MOUTONG!F52</f>
        <v>Max-10</v>
      </c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111"/>
    </row>
    <row r="53" spans="1:20" ht="16.5">
      <c r="A53" s="51"/>
      <c r="B53" s="52" t="str">
        <f>T.MOUTONG!B53</f>
        <v>d. Tindak Lanjut Temuan Auditor</v>
      </c>
      <c r="C53" s="364"/>
      <c r="D53" s="53"/>
      <c r="E53" s="61"/>
      <c r="F53" s="53" t="str">
        <f>T.MOUTONG!F53</f>
        <v>Max-5</v>
      </c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</row>
    <row r="54" spans="1:20" ht="15" customHeight="1">
      <c r="A54" s="51"/>
      <c r="B54" s="52" t="str">
        <f>T.MOUTONG!B54</f>
        <v>e. Pencapaian Beyond RKAP</v>
      </c>
      <c r="C54" s="364"/>
      <c r="D54" s="53"/>
      <c r="E54" s="61" t="e">
        <f>#REF!</f>
        <v>#REF!</v>
      </c>
      <c r="F54" s="53" t="str">
        <f>T.MOUTONG!F54</f>
        <v>Max-2
Max+2</v>
      </c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</row>
    <row r="55" spans="1:20" s="156" customFormat="1" ht="15" customHeight="1">
      <c r="A55" s="54"/>
      <c r="B55" s="55" t="str">
        <f>T.TOLIS!B55</f>
        <v>TOTAL BOBOT</v>
      </c>
      <c r="C55" s="365"/>
      <c r="D55" s="129"/>
      <c r="E55" s="55"/>
      <c r="F55" s="139">
        <f>F7+F17</f>
        <v>100</v>
      </c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</row>
    <row r="57" spans="1:20">
      <c r="A57" s="2"/>
      <c r="B57" s="3" t="s">
        <v>368</v>
      </c>
      <c r="C57" s="367"/>
      <c r="D57" s="4">
        <f>COUNTA(D8:D54)</f>
        <v>32</v>
      </c>
      <c r="E57" s="2"/>
      <c r="F57" s="4"/>
      <c r="G57" s="4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r="59" spans="1:20">
      <c r="A59" s="63" t="s">
        <v>369</v>
      </c>
      <c r="B59" s="26"/>
      <c r="C59" s="368"/>
      <c r="D59" s="25"/>
      <c r="E59" s="25"/>
      <c r="F59" s="25"/>
      <c r="G59" s="25"/>
      <c r="H59" s="25"/>
      <c r="I59" s="25"/>
      <c r="J59" s="25"/>
      <c r="K59" s="25"/>
      <c r="L59" s="25"/>
      <c r="M59" s="25"/>
      <c r="Q59" s="25"/>
      <c r="S59" s="25"/>
    </row>
    <row r="60" spans="1:20">
      <c r="A60" s="25">
        <v>3</v>
      </c>
      <c r="B60" s="64" t="s">
        <v>370</v>
      </c>
      <c r="C60" s="368"/>
      <c r="D60" s="25"/>
      <c r="E60" s="25"/>
      <c r="F60" s="25"/>
      <c r="G60" s="25"/>
      <c r="H60" s="25"/>
      <c r="I60" s="25"/>
      <c r="J60" s="25"/>
      <c r="K60" s="25"/>
      <c r="L60" s="25"/>
      <c r="M60" s="25"/>
      <c r="Q60" s="25"/>
      <c r="S60" s="25"/>
    </row>
    <row r="61" spans="1:20">
      <c r="A61" s="25">
        <v>1</v>
      </c>
      <c r="B61" s="64" t="s">
        <v>371</v>
      </c>
      <c r="C61" s="368"/>
      <c r="D61" s="25"/>
      <c r="E61" s="25"/>
      <c r="F61" s="25"/>
      <c r="G61" s="25"/>
      <c r="H61" s="25"/>
      <c r="I61" s="25"/>
      <c r="J61" s="25"/>
      <c r="K61" s="25"/>
      <c r="L61" s="25"/>
      <c r="M61" s="25"/>
      <c r="Q61" s="25"/>
      <c r="S61" s="25"/>
    </row>
    <row r="62" spans="1:20">
      <c r="A62" s="25"/>
      <c r="B62" s="26"/>
      <c r="C62" s="368"/>
      <c r="D62" s="25"/>
      <c r="E62" s="25"/>
      <c r="F62" s="25"/>
      <c r="G62" s="25"/>
      <c r="H62" s="25"/>
      <c r="I62" s="25"/>
      <c r="J62" s="25"/>
      <c r="K62" s="25"/>
      <c r="L62" s="25"/>
      <c r="M62" s="25"/>
      <c r="Q62" s="25"/>
      <c r="S62" s="25"/>
    </row>
    <row r="63" spans="1:20">
      <c r="A63" s="25"/>
      <c r="B63" s="26"/>
      <c r="C63" s="368"/>
      <c r="D63" s="25"/>
      <c r="E63" s="25"/>
      <c r="F63" s="25"/>
      <c r="G63" s="25"/>
      <c r="H63" s="25"/>
      <c r="I63" s="25"/>
      <c r="J63" s="25"/>
      <c r="K63" s="25"/>
      <c r="L63" s="25"/>
      <c r="M63" s="25"/>
      <c r="Q63" s="25"/>
      <c r="S63" s="25"/>
    </row>
    <row r="64" spans="1:20">
      <c r="A64" s="24"/>
      <c r="B64" s="23"/>
      <c r="C64" s="368"/>
      <c r="D64" s="24"/>
      <c r="E64" s="24"/>
      <c r="F64" s="24"/>
      <c r="G64" s="24"/>
      <c r="H64" s="24"/>
      <c r="I64" s="24"/>
      <c r="J64" s="24"/>
      <c r="K64" s="24"/>
      <c r="L64" s="24"/>
      <c r="M64" s="24"/>
    </row>
    <row r="65" spans="17:19">
      <c r="Q65" s="24"/>
      <c r="S65" s="24"/>
    </row>
  </sheetData>
  <mergeCells count="9">
    <mergeCell ref="H4:H5"/>
    <mergeCell ref="I4:T4"/>
    <mergeCell ref="B6:C6"/>
    <mergeCell ref="A4:A5"/>
    <mergeCell ref="B4:C5"/>
    <mergeCell ref="D4:D5"/>
    <mergeCell ref="E4:E5"/>
    <mergeCell ref="F4:F5"/>
    <mergeCell ref="G4:G5"/>
  </mergeCells>
  <conditionalFormatting sqref="A60">
    <cfRule type="iconSet" priority="3">
      <iconSet iconSet="3ArrowsGray" showValue="0">
        <cfvo type="percent" val="0"/>
        <cfvo type="num" val="2"/>
        <cfvo type="num" val="3"/>
      </iconSet>
    </cfRule>
    <cfRule type="iconSet" priority="5">
      <iconSet iconSet="3ArrowsGray" showValue="0">
        <cfvo type="percent" val="0"/>
        <cfvo type="num" val="2"/>
        <cfvo type="num" val="3"/>
      </iconSet>
    </cfRule>
    <cfRule type="iconSet" priority="7">
      <iconSet iconSet="3ArrowsGray" showValue="0">
        <cfvo type="percent" val="0"/>
        <cfvo type="num" val="2"/>
        <cfvo type="num" val="3"/>
      </iconSet>
    </cfRule>
    <cfRule type="iconSet" priority="9">
      <iconSet iconSet="3ArrowsGray" showValue="0">
        <cfvo type="percent" val="0"/>
        <cfvo type="num" val="2"/>
        <cfvo type="num" val="3"/>
      </iconSet>
    </cfRule>
  </conditionalFormatting>
  <conditionalFormatting sqref="A61">
    <cfRule type="iconSet" priority="2">
      <iconSet iconSet="3ArrowsGray" showValue="0">
        <cfvo type="percent" val="0"/>
        <cfvo type="num" val="2"/>
        <cfvo type="num" val="3"/>
      </iconSet>
    </cfRule>
    <cfRule type="iconSet" priority="4">
      <iconSet iconSet="3ArrowsGray" showValue="0">
        <cfvo type="percent" val="0"/>
        <cfvo type="num" val="2"/>
        <cfvo type="num" val="3"/>
      </iconSet>
    </cfRule>
    <cfRule type="iconSet" priority="6">
      <iconSet iconSet="3ArrowsGray" showValue="0">
        <cfvo type="percent" val="0"/>
        <cfvo type="num" val="2"/>
        <cfvo type="num" val="3"/>
      </iconSet>
    </cfRule>
    <cfRule type="iconSet" priority="8">
      <iconSet iconSet="3ArrowsGray" showValue="0">
        <cfvo type="percent" val="0"/>
        <cfvo type="num" val="2"/>
        <cfvo type="num" val="3"/>
      </iconSet>
    </cfRule>
  </conditionalFormatting>
  <conditionalFormatting sqref="C8:C16">
    <cfRule type="iconSet" priority="48435">
      <iconSet iconSet="3ArrowsGray" showValue="0">
        <cfvo type="percent" val="0"/>
        <cfvo type="num" val="2"/>
        <cfvo type="num" val="3"/>
      </iconSet>
    </cfRule>
    <cfRule type="iconSet" priority="48436">
      <iconSet iconSet="3ArrowsGray" showValue="0">
        <cfvo type="percent" val="0"/>
        <cfvo type="num" val="2"/>
        <cfvo type="num" val="3"/>
      </iconSet>
    </cfRule>
  </conditionalFormatting>
  <conditionalFormatting sqref="C18:C54">
    <cfRule type="iconSet" priority="47759">
      <iconSet iconSet="3ArrowsGray" showValue="0">
        <cfvo type="percent" val="0"/>
        <cfvo type="num" val="2"/>
        <cfvo type="num" val="3"/>
      </iconSet>
    </cfRule>
  </conditionalFormatting>
  <conditionalFormatting sqref="C56">
    <cfRule type="iconSet" priority="12">
      <iconSet iconSet="3ArrowsGray" showValue="0">
        <cfvo type="percent" val="0"/>
        <cfvo type="num" val="2"/>
        <cfvo type="num" val="3"/>
      </iconSet>
    </cfRule>
    <cfRule type="iconSet" priority="14">
      <iconSet iconSet="3ArrowsGray" showValue="0">
        <cfvo type="percent" val="0"/>
        <cfvo type="num" val="2"/>
        <cfvo type="num" val="3"/>
      </iconSet>
    </cfRule>
  </conditionalFormatting>
  <conditionalFormatting sqref="C57">
    <cfRule type="iconSet" priority="18">
      <iconSet iconSet="3ArrowsGray" showValue="0">
        <cfvo type="percent" val="0"/>
        <cfvo type="num" val="2"/>
        <cfvo type="num" val="3"/>
      </iconSet>
    </cfRule>
  </conditionalFormatting>
  <conditionalFormatting sqref="D56 H56">
    <cfRule type="iconSet" priority="13">
      <iconSet iconSet="3ArrowsGray" showValue="0">
        <cfvo type="percent" val="0"/>
        <cfvo type="num" val="2"/>
        <cfvo type="num" val="3"/>
      </iconSet>
    </cfRule>
  </conditionalFormatting>
  <conditionalFormatting sqref="D56">
    <cfRule type="iconSet" priority="16">
      <iconSet iconSet="3ArrowsGray" showValue="0">
        <cfvo type="percent" val="0"/>
        <cfvo type="num" val="2"/>
        <cfvo type="num" val="3"/>
      </iconSet>
    </cfRule>
  </conditionalFormatting>
  <conditionalFormatting sqref="E56">
    <cfRule type="iconSet" priority="15">
      <iconSet iconSet="3ArrowsGray" showValue="0">
        <cfvo type="percent" val="0"/>
        <cfvo type="num" val="2"/>
        <cfvo type="num" val="3"/>
      </iconSet>
    </cfRule>
  </conditionalFormatting>
  <conditionalFormatting sqref="H56">
    <cfRule type="iconSet" priority="11">
      <iconSet iconSet="3ArrowsGray" showValue="0">
        <cfvo type="percent" val="0"/>
        <cfvo type="num" val="2"/>
        <cfvo type="num" val="3"/>
      </iconSet>
    </cfRule>
  </conditionalFormatting>
  <conditionalFormatting sqref="H57:T57">
    <cfRule type="iconSet" priority="17">
      <iconSet iconSet="3ArrowsGray" showValue="0">
        <cfvo type="percent" val="0"/>
        <cfvo type="num" val="2"/>
        <cfvo type="num" val="3"/>
      </iconSet>
    </cfRule>
    <cfRule type="iconSet" priority="19">
      <iconSet iconSet="3ArrowsGray" showValue="0">
        <cfvo type="percent" val="0"/>
        <cfvo type="num" val="2"/>
        <cfvo type="num" val="3"/>
      </iconSet>
    </cfRule>
  </conditionalFormatting>
  <conditionalFormatting sqref="I56:T56">
    <cfRule type="iconSet" priority="10">
      <iconSet iconSet="3ArrowsGray" showValue="0">
        <cfvo type="percent" val="0"/>
        <cfvo type="num" val="2"/>
        <cfvo type="num" val="3"/>
      </iconSet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10000" scale="43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50"/>
    <pageSetUpPr fitToPage="1"/>
  </sheetPr>
  <dimension ref="A1:W65"/>
  <sheetViews>
    <sheetView workbookViewId="0"/>
  </sheetViews>
  <sheetFormatPr defaultColWidth="9.140625" defaultRowHeight="15"/>
  <cols>
    <col min="1" max="1" width="5.5703125" customWidth="1"/>
    <col min="2" max="2" width="44.7109375" customWidth="1"/>
    <col min="3" max="3" width="4.140625" style="366" customWidth="1"/>
    <col min="4" max="4" width="12.42578125" customWidth="1"/>
    <col min="5" max="5" width="113.5703125" hidden="1" customWidth="1"/>
    <col min="6" max="6" width="7.7109375" bestFit="1" customWidth="1"/>
    <col min="7" max="7" width="11" customWidth="1"/>
    <col min="8" max="8" width="11.140625" customWidth="1"/>
    <col min="9" max="20" width="12.140625" customWidth="1"/>
    <col min="21" max="21" width="13.28515625" bestFit="1" customWidth="1"/>
  </cols>
  <sheetData>
    <row r="1" spans="1:22" s="30" customFormat="1" ht="15.75">
      <c r="A1" s="28"/>
      <c r="B1" s="29" t="s">
        <v>270</v>
      </c>
      <c r="C1" s="362"/>
      <c r="D1" s="28"/>
      <c r="E1" s="28"/>
      <c r="I1" s="22"/>
      <c r="U1" s="31"/>
      <c r="V1" s="31"/>
    </row>
    <row r="2" spans="1:22" s="30" customFormat="1" ht="15.75">
      <c r="A2" s="28"/>
      <c r="B2" s="29" t="s">
        <v>123</v>
      </c>
      <c r="C2" s="362"/>
      <c r="D2" s="28"/>
      <c r="E2" s="28"/>
      <c r="U2" s="31"/>
      <c r="V2" s="31"/>
    </row>
    <row r="3" spans="1:22" s="30" customFormat="1" ht="15.75">
      <c r="A3" s="28"/>
      <c r="B3" s="29" t="s">
        <v>380</v>
      </c>
      <c r="C3" s="362"/>
      <c r="D3" s="28"/>
      <c r="E3" s="28"/>
      <c r="U3" s="31"/>
      <c r="V3" s="31"/>
    </row>
    <row r="4" spans="1:22" ht="15" customHeight="1">
      <c r="A4" s="812" t="s">
        <v>8</v>
      </c>
      <c r="B4" s="814" t="s">
        <v>9</v>
      </c>
      <c r="C4" s="815"/>
      <c r="D4" s="790" t="s">
        <v>93</v>
      </c>
      <c r="E4" s="795" t="s">
        <v>271</v>
      </c>
      <c r="F4" s="790" t="s">
        <v>99</v>
      </c>
      <c r="G4" s="790" t="s">
        <v>373</v>
      </c>
      <c r="H4" s="790" t="s">
        <v>374</v>
      </c>
      <c r="I4" s="807" t="s">
        <v>377</v>
      </c>
      <c r="J4" s="808"/>
      <c r="K4" s="808"/>
      <c r="L4" s="808"/>
      <c r="M4" s="808"/>
      <c r="N4" s="808"/>
      <c r="O4" s="808"/>
      <c r="P4" s="808"/>
      <c r="Q4" s="808"/>
      <c r="R4" s="808"/>
      <c r="S4" s="808"/>
      <c r="T4" s="809"/>
    </row>
    <row r="5" spans="1:22" ht="15" customHeight="1">
      <c r="A5" s="813"/>
      <c r="B5" s="816"/>
      <c r="C5" s="817"/>
      <c r="D5" s="791"/>
      <c r="E5" s="796"/>
      <c r="F5" s="791"/>
      <c r="G5" s="791"/>
      <c r="H5" s="791"/>
      <c r="I5" s="424" t="s">
        <v>94</v>
      </c>
      <c r="J5" s="424" t="s">
        <v>95</v>
      </c>
      <c r="K5" s="424" t="s">
        <v>96</v>
      </c>
      <c r="L5" s="424" t="s">
        <v>488</v>
      </c>
      <c r="M5" s="424" t="s">
        <v>489</v>
      </c>
      <c r="N5" s="424" t="s">
        <v>490</v>
      </c>
      <c r="O5" s="424" t="s">
        <v>491</v>
      </c>
      <c r="P5" s="424" t="s">
        <v>165</v>
      </c>
      <c r="Q5" s="424" t="s">
        <v>167</v>
      </c>
      <c r="R5" s="424" t="s">
        <v>492</v>
      </c>
      <c r="S5" s="424" t="s">
        <v>171</v>
      </c>
      <c r="T5" s="424" t="s">
        <v>493</v>
      </c>
    </row>
    <row r="6" spans="1:22" ht="15" customHeight="1">
      <c r="A6" s="427">
        <v>1</v>
      </c>
      <c r="B6" s="810">
        <v>2</v>
      </c>
      <c r="C6" s="811"/>
      <c r="D6" s="455">
        <v>3</v>
      </c>
      <c r="E6" s="425">
        <v>4</v>
      </c>
      <c r="F6" s="455">
        <v>4</v>
      </c>
      <c r="G6" s="455">
        <v>5</v>
      </c>
      <c r="H6" s="424">
        <v>6</v>
      </c>
      <c r="I6" s="427">
        <v>7</v>
      </c>
      <c r="J6" s="424">
        <v>8</v>
      </c>
      <c r="K6" s="455">
        <v>9</v>
      </c>
      <c r="L6" s="424">
        <v>10</v>
      </c>
      <c r="M6" s="455">
        <v>11</v>
      </c>
      <c r="N6" s="424">
        <v>12</v>
      </c>
      <c r="O6" s="455">
        <v>13</v>
      </c>
      <c r="P6" s="424">
        <v>14</v>
      </c>
      <c r="Q6" s="455">
        <v>15</v>
      </c>
      <c r="R6" s="424">
        <v>16</v>
      </c>
      <c r="S6" s="455">
        <v>17</v>
      </c>
      <c r="T6" s="424">
        <v>18</v>
      </c>
    </row>
    <row r="7" spans="1:22" ht="15" customHeight="1">
      <c r="A7" s="47" t="s">
        <v>267</v>
      </c>
      <c r="B7" s="48" t="str">
        <f>T.TOLIS!B7</f>
        <v>Key Performance Indicators</v>
      </c>
      <c r="C7" s="363"/>
      <c r="D7" s="50"/>
      <c r="E7" s="48"/>
      <c r="F7" s="62">
        <f>SUM(F8:F16)</f>
        <v>40</v>
      </c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260"/>
    </row>
    <row r="8" spans="1:22" ht="16.5">
      <c r="A8" s="51">
        <f>T.KOTARAYA!A8</f>
        <v>1</v>
      </c>
      <c r="B8" s="267" t="str">
        <f>T.KOTARAYA!B8</f>
        <v>Penjualan Tenaga Listrik</v>
      </c>
      <c r="C8" s="364" t="str">
        <f>T.KOTARAYA!C8</f>
        <v>ñ</v>
      </c>
      <c r="D8" s="53" t="str">
        <f>T.KOTARAYA!D8</f>
        <v>GWh</v>
      </c>
      <c r="E8" s="61" t="e">
        <f>#REF!</f>
        <v>#REF!</v>
      </c>
      <c r="F8" s="53">
        <f>T.KOTARAYA!F8</f>
        <v>14</v>
      </c>
      <c r="G8" s="89">
        <f>T.KOTARAYA!G8</f>
        <v>17.68</v>
      </c>
      <c r="H8" s="89">
        <f>T.KOTARAYA!H8</f>
        <v>35.99</v>
      </c>
      <c r="I8" s="89">
        <f>KPI!AH20</f>
        <v>3.8265327429999996</v>
      </c>
      <c r="J8" s="89">
        <f>KPI!AI20</f>
        <v>6.8866293559999994</v>
      </c>
      <c r="K8" s="89">
        <f>KPI!AJ20</f>
        <v>9.8826701059999991</v>
      </c>
      <c r="L8" s="89">
        <f>KPI!AK20</f>
        <v>12.415903127999998</v>
      </c>
      <c r="M8" s="89">
        <f>KPI!AL20</f>
        <v>15.194438718999997</v>
      </c>
      <c r="N8" s="89">
        <f>KPI!AM20</f>
        <v>18.081826379999995</v>
      </c>
      <c r="O8" s="89">
        <f>KPI!AN20</f>
        <v>21.134440472999994</v>
      </c>
      <c r="P8" s="89">
        <f>KPI!AO20</f>
        <v>24.063353978999995</v>
      </c>
      <c r="Q8" s="89">
        <f>KPI!AP20</f>
        <v>26.957476767999996</v>
      </c>
      <c r="R8" s="89">
        <f>KPI!AQ20</f>
        <v>30.078666773999995</v>
      </c>
      <c r="S8" s="89">
        <f>KPI!AR20</f>
        <v>0</v>
      </c>
      <c r="T8" s="89">
        <f>KPI!AS20</f>
        <v>0</v>
      </c>
    </row>
    <row r="9" spans="1:22" ht="15" customHeight="1">
      <c r="A9" s="51">
        <f>T.KOTARAYA!A9</f>
        <v>2</v>
      </c>
      <c r="B9" s="267" t="str">
        <f>T.KOTARAYA!B9</f>
        <v>Keandalan Sistem</v>
      </c>
      <c r="C9" s="364"/>
      <c r="D9" s="53"/>
      <c r="E9" s="61"/>
      <c r="F9" s="53">
        <f>T.KOTARAYA!F9</f>
        <v>14</v>
      </c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111"/>
    </row>
    <row r="10" spans="1:22" ht="15" customHeight="1">
      <c r="A10" s="51"/>
      <c r="B10" s="52" t="str">
        <f>T.KOTARAYA!B10</f>
        <v>a. SAIDI (sesuai kewenangan)</v>
      </c>
      <c r="C10" s="364" t="str">
        <f>T.KOTARAYA!C10</f>
        <v>ò</v>
      </c>
      <c r="D10" s="53" t="str">
        <f>T.KOTARAYA!D10</f>
        <v>Menit/plg</v>
      </c>
      <c r="E10" s="61" t="e">
        <f>#REF!</f>
        <v>#REF!</v>
      </c>
      <c r="F10" s="53"/>
      <c r="G10" s="89">
        <f>T.KOTARAYA!G10</f>
        <v>422.13578461538452</v>
      </c>
      <c r="H10" s="89">
        <f>T.KOTARAYA!H10</f>
        <v>844.27156923076882</v>
      </c>
      <c r="I10" s="89">
        <f>KPI!AH44</f>
        <v>1.331227143437627</v>
      </c>
      <c r="J10" s="89">
        <f>KPI!AI44</f>
        <v>1.7393945530019237</v>
      </c>
      <c r="K10" s="89">
        <f>KPI!AJ44</f>
        <v>3.5206724949562878</v>
      </c>
      <c r="L10" s="89">
        <f>KPI!AK44</f>
        <v>5.2966133458269189</v>
      </c>
      <c r="M10" s="89">
        <f>KPI!AL44</f>
        <v>42.734803349234411</v>
      </c>
      <c r="N10" s="89">
        <f>KPI!AM44</f>
        <v>53.015522745411005</v>
      </c>
      <c r="O10" s="89">
        <f>KPI!AN44</f>
        <v>95.901216238608114</v>
      </c>
      <c r="P10" s="89">
        <f>KPI!AO44</f>
        <v>110.25374950403385</v>
      </c>
      <c r="Q10" s="89">
        <f>KPI!AP44</f>
        <v>109.91086827726943</v>
      </c>
      <c r="R10" s="89">
        <f>KPI!AQ44</f>
        <v>116.23594563615524</v>
      </c>
      <c r="S10" s="89">
        <f>KPI!AR44</f>
        <v>0</v>
      </c>
      <c r="T10" s="89">
        <f>KPI!AS44</f>
        <v>0</v>
      </c>
    </row>
    <row r="11" spans="1:22" ht="15" customHeight="1">
      <c r="A11" s="51"/>
      <c r="B11" s="52" t="str">
        <f>T.KOTARAYA!B11</f>
        <v>b. SAIFI (sesuai kewenangan)</v>
      </c>
      <c r="C11" s="364" t="str">
        <f>T.KOTARAYA!C11</f>
        <v>ò</v>
      </c>
      <c r="D11" s="53" t="str">
        <f>T.KOTARAYA!D11</f>
        <v>Kali/plg</v>
      </c>
      <c r="E11" s="61" t="e">
        <f>#REF!</f>
        <v>#REF!</v>
      </c>
      <c r="F11" s="53"/>
      <c r="G11" s="89">
        <f>T.KOTARAYA!G11</f>
        <v>1.31</v>
      </c>
      <c r="H11" s="89">
        <f>T.KOTARAYA!H11</f>
        <v>2.62</v>
      </c>
      <c r="I11" s="89">
        <f>KPI!AH66</f>
        <v>6.3795205201137753E-2</v>
      </c>
      <c r="J11" s="89">
        <f>KPI!AI66</f>
        <v>8.2076203975566128E-2</v>
      </c>
      <c r="K11" s="89">
        <f>KPI!AJ66</f>
        <v>0.23930733019502354</v>
      </c>
      <c r="L11" s="89">
        <f>KPI!AK66</f>
        <v>0.39170738237065794</v>
      </c>
      <c r="M11" s="89">
        <f>KPI!AL66</f>
        <v>0.84358007805984592</v>
      </c>
      <c r="N11" s="89">
        <f>KPI!AM66</f>
        <v>1.0790103750997606</v>
      </c>
      <c r="O11" s="89">
        <f>KPI!AN66</f>
        <v>1.3599005799502899</v>
      </c>
      <c r="P11" s="89">
        <f>KPI!AO66</f>
        <v>1.4534783758762069</v>
      </c>
      <c r="Q11" s="89">
        <f>KPI!AP66</f>
        <v>1.452438944111645</v>
      </c>
      <c r="R11" s="89">
        <f>KPI!AQ66</f>
        <v>1.5039462911413133</v>
      </c>
      <c r="S11" s="89">
        <f>KPI!AR66</f>
        <v>0</v>
      </c>
      <c r="T11" s="89">
        <f>KPI!AS66</f>
        <v>0</v>
      </c>
    </row>
    <row r="12" spans="1:22" ht="15" customHeight="1">
      <c r="A12" s="51"/>
      <c r="B12" s="52" t="str">
        <f>T.KOTARAYA!B12</f>
        <v>c. ENS (sesuai kewenangan)</v>
      </c>
      <c r="C12" s="364" t="str">
        <f>T.KOTARAYA!C12</f>
        <v>ò</v>
      </c>
      <c r="D12" s="53" t="str">
        <f>T.KOTARAYA!D12</f>
        <v>MWh</v>
      </c>
      <c r="E12" s="61" t="e">
        <f>#REF!</f>
        <v>#REF!</v>
      </c>
      <c r="F12" s="53"/>
      <c r="G12" s="89">
        <f>T.KOTARAYA!G12</f>
        <v>6.3</v>
      </c>
      <c r="H12" s="89">
        <f>T.KOTARAYA!H12</f>
        <v>12.6</v>
      </c>
      <c r="I12" s="89">
        <f>KPI!AH78</f>
        <v>8.2000000000000003E-2</v>
      </c>
      <c r="J12" s="89">
        <f>KPI!AI78</f>
        <v>0.10600000000000001</v>
      </c>
      <c r="K12" s="89">
        <f>KPI!AJ78</f>
        <v>0.21900000000000003</v>
      </c>
      <c r="L12" s="89">
        <f>KPI!AK78</f>
        <v>0.30600000000000005</v>
      </c>
      <c r="M12" s="89">
        <f>KPI!AL78</f>
        <v>1.962</v>
      </c>
      <c r="N12" s="89">
        <f>KPI!AM78</f>
        <v>2.4239999999999999</v>
      </c>
      <c r="O12" s="89">
        <f>KPI!AN78</f>
        <v>4.2130000000000001</v>
      </c>
      <c r="P12" s="89">
        <f>KPI!AO78</f>
        <v>4.7990000000000004</v>
      </c>
      <c r="Q12" s="89">
        <f>KPI!AP78</f>
        <v>4.8029999999999999</v>
      </c>
      <c r="R12" s="89">
        <f>KPI!AQ78</f>
        <v>5.1120000000000001</v>
      </c>
      <c r="S12" s="89">
        <f>KPI!AR78</f>
        <v>0</v>
      </c>
      <c r="T12" s="89">
        <f>KPI!AS78</f>
        <v>0</v>
      </c>
    </row>
    <row r="13" spans="1:22" ht="15" customHeight="1">
      <c r="A13" s="51">
        <f>T.KOTARAYA!A13</f>
        <v>3</v>
      </c>
      <c r="B13" s="267" t="str">
        <f>T.KOTARAYA!B13</f>
        <v>Efisiensi Jaringan Distribusi</v>
      </c>
      <c r="C13" s="364"/>
      <c r="D13" s="53"/>
      <c r="E13" s="61"/>
      <c r="F13" s="53">
        <f>T.KOTARAYA!F13</f>
        <v>12</v>
      </c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111"/>
    </row>
    <row r="14" spans="1:22" ht="15" customHeight="1">
      <c r="A14" s="51"/>
      <c r="B14" s="52" t="str">
        <f>T.KOTARAYA!B14</f>
        <v>a. Susut Distribusi Tanpa E-min (sesuai kewenangan)</v>
      </c>
      <c r="C14" s="364" t="str">
        <f>T.KOTARAYA!C14</f>
        <v>ò</v>
      </c>
      <c r="D14" s="53" t="str">
        <f>T.KOTARAYA!D14</f>
        <v>%</v>
      </c>
      <c r="E14" s="61"/>
      <c r="F14" s="53"/>
      <c r="G14" s="89">
        <f>T.KOTARAYA!G14</f>
        <v>6.53</v>
      </c>
      <c r="H14" s="89">
        <f>T.KOTARAYA!H14</f>
        <v>6.25</v>
      </c>
      <c r="I14" s="89">
        <f>KPI!AH105</f>
        <v>-19.545105319366737</v>
      </c>
      <c r="J14" s="89">
        <f>KPI!AI105</f>
        <v>-12.482892240818543</v>
      </c>
      <c r="K14" s="89">
        <f>KPI!AJ105</f>
        <v>-3.658603530244986</v>
      </c>
      <c r="L14" s="89">
        <f>KPI!AK105</f>
        <v>2.6133052700012485</v>
      </c>
      <c r="M14" s="89">
        <f>KPI!AL105</f>
        <v>5.1738350593882574</v>
      </c>
      <c r="N14" s="89">
        <f>KPI!AM105</f>
        <v>-9.6744978307337881</v>
      </c>
      <c r="O14" s="89">
        <f>KPI!AN105</f>
        <v>-7.4007255182904936</v>
      </c>
      <c r="P14" s="89">
        <f>KPI!AO105</f>
        <v>-5.423386120709992</v>
      </c>
      <c r="Q14" s="89">
        <f>KPI!AP105</f>
        <v>-3.9737177716277801</v>
      </c>
      <c r="R14" s="89">
        <f>KPI!AQ105</f>
        <v>-2.8846261129859885</v>
      </c>
      <c r="S14" s="89">
        <f>KPI!AR105</f>
        <v>0</v>
      </c>
      <c r="T14" s="89">
        <f>KPI!AS105</f>
        <v>0</v>
      </c>
    </row>
    <row r="15" spans="1:22" ht="15" customHeight="1">
      <c r="A15" s="51"/>
      <c r="B15" s="52" t="str">
        <f>T.KOTARAYA!B15</f>
        <v>b. Penyelesaian Temuan P2TL</v>
      </c>
      <c r="C15" s="364" t="str">
        <f>T.KOTARAYA!C15</f>
        <v>ñ</v>
      </c>
      <c r="D15" s="53" t="str">
        <f>T.KOTARAYA!D15</f>
        <v>%</v>
      </c>
      <c r="E15" s="61"/>
      <c r="F15" s="53"/>
      <c r="G15" s="89">
        <f>T.KOTARAYA!G15</f>
        <v>21.052631578947366</v>
      </c>
      <c r="H15" s="89">
        <f>T.KOTARAYA!H15</f>
        <v>100</v>
      </c>
      <c r="I15" s="89">
        <f>KPI!AH123</f>
        <v>0</v>
      </c>
      <c r="J15" s="89">
        <f>KPI!AI123</f>
        <v>1.3772222222222221</v>
      </c>
      <c r="K15" s="89">
        <f>KPI!AJ123</f>
        <v>1.6577777777777778</v>
      </c>
      <c r="L15" s="89">
        <f>KPI!AK123</f>
        <v>3.77</v>
      </c>
      <c r="M15" s="89">
        <f>KPI!AL123</f>
        <v>3.77</v>
      </c>
      <c r="N15" s="89">
        <f>KPI!AM123</f>
        <v>29.850555555555555</v>
      </c>
      <c r="O15" s="89">
        <f>KPI!AN123</f>
        <v>111.56055555555555</v>
      </c>
      <c r="P15" s="89">
        <f>KPI!AO123</f>
        <v>117.32444444444444</v>
      </c>
      <c r="Q15" s="89">
        <f>KPI!AP123</f>
        <v>118.70166666666667</v>
      </c>
      <c r="R15" s="89">
        <f>KPI!AQ123</f>
        <v>120.07888888888888</v>
      </c>
      <c r="S15" s="89">
        <f>KPI!AR123</f>
        <v>120.07888888888888</v>
      </c>
      <c r="T15" s="89">
        <f>KPI!AS123</f>
        <v>120.07888888888888</v>
      </c>
    </row>
    <row r="16" spans="1:22" ht="15" customHeight="1">
      <c r="A16" s="51"/>
      <c r="B16" s="52" t="str">
        <f>T.KOTARAYA!B16</f>
        <v>d. Penyelesaian Ganti Meter</v>
      </c>
      <c r="C16" s="364" t="str">
        <f>T.KOTARAYA!C16</f>
        <v>ñ</v>
      </c>
      <c r="D16" s="53" t="str">
        <f>T.KOTARAYA!D16</f>
        <v>Unit</v>
      </c>
      <c r="E16" s="61" t="e">
        <f>#REF!</f>
        <v>#REF!</v>
      </c>
      <c r="F16" s="53"/>
      <c r="G16" s="89">
        <f>T.KOTARAYA!G16</f>
        <v>262</v>
      </c>
      <c r="H16" s="89">
        <f>T.KOTARAYA!H16</f>
        <v>688</v>
      </c>
      <c r="I16" s="89">
        <f>KPI!AH134</f>
        <v>3</v>
      </c>
      <c r="J16" s="89">
        <f>KPI!AI134</f>
        <v>4</v>
      </c>
      <c r="K16" s="89">
        <f>KPI!AJ134</f>
        <v>143</v>
      </c>
      <c r="L16" s="89">
        <f>KPI!AK134</f>
        <v>321</v>
      </c>
      <c r="M16" s="89">
        <f>KPI!AL134</f>
        <v>384</v>
      </c>
      <c r="N16" s="89">
        <f>KPI!AM134</f>
        <v>466</v>
      </c>
      <c r="O16" s="89">
        <f>KPI!AN134</f>
        <v>552</v>
      </c>
      <c r="P16" s="89">
        <f>KPI!AO134</f>
        <v>560</v>
      </c>
      <c r="Q16" s="89">
        <f>KPI!AP134</f>
        <v>682</v>
      </c>
      <c r="R16" s="89">
        <f>KPI!AQ134</f>
        <v>684</v>
      </c>
      <c r="S16" s="89">
        <f>KPI!AR134</f>
        <v>684</v>
      </c>
      <c r="T16" s="89">
        <f>KPI!AS134</f>
        <v>684</v>
      </c>
    </row>
    <row r="17" spans="1:20" ht="15" customHeight="1">
      <c r="A17" s="47" t="str">
        <f>T.KOTARAYA!A17</f>
        <v>II</v>
      </c>
      <c r="B17" s="48" t="str">
        <f>T.KOTARAYA!B17</f>
        <v>Perfomance Indicators</v>
      </c>
      <c r="C17" s="363"/>
      <c r="D17" s="50"/>
      <c r="E17" s="48"/>
      <c r="F17" s="139">
        <f>SUM(F18:F54)</f>
        <v>60</v>
      </c>
      <c r="G17" s="139"/>
      <c r="H17" s="139"/>
      <c r="I17" s="139"/>
      <c r="J17" s="139"/>
      <c r="K17" s="139"/>
      <c r="L17" s="139"/>
      <c r="M17" s="139"/>
      <c r="N17" s="139"/>
      <c r="O17" s="139"/>
      <c r="P17" s="139"/>
      <c r="Q17" s="139"/>
      <c r="R17" s="139"/>
      <c r="S17" s="139"/>
      <c r="T17" s="168"/>
    </row>
    <row r="18" spans="1:20" ht="15" customHeight="1">
      <c r="A18" s="51">
        <f>T.KOTARAYA!A18</f>
        <v>4</v>
      </c>
      <c r="B18" s="267" t="str">
        <f>T.KOTARAYA!B18</f>
        <v>Keandalan Jaringan Distribusi</v>
      </c>
      <c r="C18" s="364"/>
      <c r="D18" s="53"/>
      <c r="E18" s="61"/>
      <c r="F18" s="53">
        <f>T.KOTARAYA!F18</f>
        <v>9</v>
      </c>
      <c r="G18" s="89"/>
      <c r="H18" s="89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2"/>
      <c r="T18" s="95"/>
    </row>
    <row r="19" spans="1:20" ht="16.5">
      <c r="A19" s="51"/>
      <c r="B19" s="52" t="str">
        <f>T.KOTARAYA!B19</f>
        <v>a. Gangguan TM &gt; 5 Menit</v>
      </c>
      <c r="C19" s="364" t="str">
        <f>T.KOTARAYA!C19</f>
        <v>ò</v>
      </c>
      <c r="D19" s="53" t="str">
        <f>T.KOTARAYA!D19</f>
        <v>Kali</v>
      </c>
      <c r="E19" s="61" t="e">
        <f>#REF!</f>
        <v>#REF!</v>
      </c>
      <c r="F19" s="53"/>
      <c r="G19" s="89">
        <f>T.KOTARAYA!G19</f>
        <v>14.000000000000002</v>
      </c>
      <c r="H19" s="89">
        <f>T.KOTARAYA!H19</f>
        <v>26</v>
      </c>
      <c r="I19" s="142">
        <f>PI!AH20</f>
        <v>1</v>
      </c>
      <c r="J19" s="142">
        <f>PI!AI20</f>
        <v>1</v>
      </c>
      <c r="K19" s="142">
        <f>PI!AJ20</f>
        <v>6</v>
      </c>
      <c r="L19" s="142">
        <f>PI!AK20</f>
        <v>7</v>
      </c>
      <c r="M19" s="142">
        <f>PI!AL20</f>
        <v>9</v>
      </c>
      <c r="N19" s="142">
        <f>PI!AM20</f>
        <v>11</v>
      </c>
      <c r="O19" s="142">
        <f>PI!AN20</f>
        <v>11</v>
      </c>
      <c r="P19" s="142">
        <f>PI!AO20</f>
        <v>11</v>
      </c>
      <c r="Q19" s="142">
        <f>PI!AP20</f>
        <v>11</v>
      </c>
      <c r="R19" s="142">
        <f>PI!AQ20</f>
        <v>11</v>
      </c>
      <c r="S19" s="142">
        <f>PI!AR20</f>
        <v>11</v>
      </c>
      <c r="T19" s="142">
        <f>PI!AS20</f>
        <v>11</v>
      </c>
    </row>
    <row r="20" spans="1:20" ht="16.5">
      <c r="A20" s="51"/>
      <c r="B20" s="52" t="str">
        <f>T.KOTARAYA!B20</f>
        <v>b. Gangguan TM ≤ 5 Menit</v>
      </c>
      <c r="C20" s="364" t="str">
        <f>T.KOTARAYA!C20</f>
        <v>ò</v>
      </c>
      <c r="D20" s="53" t="str">
        <f>T.KOTARAYA!D20</f>
        <v>Kali</v>
      </c>
      <c r="E20" s="61" t="e">
        <f>#REF!</f>
        <v>#REF!</v>
      </c>
      <c r="F20" s="53"/>
      <c r="G20" s="89">
        <f>T.KOTARAYA!G20</f>
        <v>10</v>
      </c>
      <c r="H20" s="89">
        <f>T.KOTARAYA!H20</f>
        <v>20</v>
      </c>
      <c r="I20" s="142">
        <f>PI!AH21</f>
        <v>1</v>
      </c>
      <c r="J20" s="142">
        <f>PI!AI21</f>
        <v>4</v>
      </c>
      <c r="K20" s="142">
        <f>PI!AJ21</f>
        <v>4</v>
      </c>
      <c r="L20" s="142">
        <f>PI!AK21</f>
        <v>4</v>
      </c>
      <c r="M20" s="142">
        <f>PI!AL21</f>
        <v>6</v>
      </c>
      <c r="N20" s="142">
        <f>PI!AM21</f>
        <v>7</v>
      </c>
      <c r="O20" s="142">
        <f>PI!AN21</f>
        <v>10</v>
      </c>
      <c r="P20" s="142">
        <f>PI!AO21</f>
        <v>10</v>
      </c>
      <c r="Q20" s="142">
        <f>PI!AP21</f>
        <v>12</v>
      </c>
      <c r="R20" s="142">
        <f>PI!AQ21</f>
        <v>12</v>
      </c>
      <c r="S20" s="142">
        <f>PI!AR21</f>
        <v>12</v>
      </c>
      <c r="T20" s="142">
        <f>PI!AS21</f>
        <v>12</v>
      </c>
    </row>
    <row r="21" spans="1:20" ht="33">
      <c r="A21" s="51"/>
      <c r="B21" s="52" t="str">
        <f>T.KOTARAYA!B21</f>
        <v>c. Kerusakan Peralatan Distribusi (PHB TM dan Trafo) Sesuai Kewenangan</v>
      </c>
      <c r="C21" s="364" t="str">
        <f>T.KOTARAYA!C21</f>
        <v>ò</v>
      </c>
      <c r="D21" s="53" t="str">
        <f>T.KOTARAYA!D21</f>
        <v>Unit</v>
      </c>
      <c r="E21" s="61" t="e">
        <f>#REF!</f>
        <v>#REF!</v>
      </c>
      <c r="F21" s="53"/>
      <c r="G21" s="89">
        <f>T.KOTARAYA!G21</f>
        <v>1</v>
      </c>
      <c r="H21" s="89">
        <f>T.KOTARAYA!H21</f>
        <v>1</v>
      </c>
      <c r="I21" s="142">
        <f>PI!AH45</f>
        <v>0</v>
      </c>
      <c r="J21" s="142">
        <f>PI!AI45</f>
        <v>0</v>
      </c>
      <c r="K21" s="142">
        <f>PI!AJ45</f>
        <v>0</v>
      </c>
      <c r="L21" s="142">
        <f>PI!AK45</f>
        <v>0</v>
      </c>
      <c r="M21" s="142">
        <f>PI!AL45</f>
        <v>0</v>
      </c>
      <c r="N21" s="142">
        <f>PI!AM45</f>
        <v>0</v>
      </c>
      <c r="O21" s="142">
        <f>PI!AN45</f>
        <v>0</v>
      </c>
      <c r="P21" s="142">
        <f>PI!AO45</f>
        <v>0</v>
      </c>
      <c r="Q21" s="142">
        <f>PI!AP45</f>
        <v>0</v>
      </c>
      <c r="R21" s="142">
        <f>PI!AQ45</f>
        <v>0</v>
      </c>
      <c r="S21" s="142">
        <f>PI!AR45</f>
        <v>0</v>
      </c>
      <c r="T21" s="142">
        <f>PI!AS45</f>
        <v>0</v>
      </c>
    </row>
    <row r="22" spans="1:20" ht="16.5">
      <c r="A22" s="51">
        <f>T.KOTARAYA!A22</f>
        <v>5</v>
      </c>
      <c r="B22" s="267" t="str">
        <f>T.KOTARAYA!B22</f>
        <v>Peningkatan Layanan</v>
      </c>
      <c r="C22" s="364"/>
      <c r="D22" s="53"/>
      <c r="E22" s="61" t="e">
        <f>#REF!</f>
        <v>#REF!</v>
      </c>
      <c r="F22" s="53">
        <f>T.KOTARAYA!F22</f>
        <v>8</v>
      </c>
      <c r="G22" s="89"/>
      <c r="H22" s="89"/>
      <c r="I22" s="226"/>
      <c r="J22" s="226"/>
      <c r="K22" s="226"/>
      <c r="L22" s="226"/>
      <c r="M22" s="226"/>
      <c r="N22" s="226"/>
      <c r="O22" s="226"/>
      <c r="P22" s="226"/>
      <c r="Q22" s="226"/>
      <c r="R22" s="226"/>
      <c r="S22" s="226"/>
      <c r="T22" s="226"/>
    </row>
    <row r="23" spans="1:20" ht="33">
      <c r="A23" s="51"/>
      <c r="B23" s="52" t="str">
        <f>T.KOTARAYA!B23</f>
        <v>a. Feedback Rating Negatif pada PLN Mobile - Gangguan</v>
      </c>
      <c r="C23" s="364" t="str">
        <f>T.KOTARAYA!C23</f>
        <v>ò</v>
      </c>
      <c r="D23" s="53" t="str">
        <f>T.KOTARAYA!D23</f>
        <v>%</v>
      </c>
      <c r="E23" s="61"/>
      <c r="F23" s="53"/>
      <c r="G23" s="89">
        <f>T.KOTARAYA!G23</f>
        <v>0.09</v>
      </c>
      <c r="H23" s="89">
        <f>T.KOTARAYA!H23</f>
        <v>0.09</v>
      </c>
      <c r="I23" s="226">
        <f>PI!AH67</f>
        <v>0</v>
      </c>
      <c r="J23" s="226">
        <f>PI!AI67</f>
        <v>0</v>
      </c>
      <c r="K23" s="226">
        <f>PI!AJ67</f>
        <v>0</v>
      </c>
      <c r="L23" s="226">
        <f>PI!AK67</f>
        <v>0</v>
      </c>
      <c r="M23" s="226">
        <f>PI!AL67</f>
        <v>0</v>
      </c>
      <c r="N23" s="226">
        <f>PI!AM67</f>
        <v>0</v>
      </c>
      <c r="O23" s="226">
        <f>PI!AN67</f>
        <v>0</v>
      </c>
      <c r="P23" s="226">
        <f>PI!AO67</f>
        <v>0</v>
      </c>
      <c r="Q23" s="226">
        <f>PI!AP67</f>
        <v>0</v>
      </c>
      <c r="R23" s="226">
        <f>PI!AQ67</f>
        <v>0</v>
      </c>
      <c r="S23" s="226">
        <f>PI!AR67</f>
        <v>0</v>
      </c>
      <c r="T23" s="226">
        <f>PI!AS67</f>
        <v>0</v>
      </c>
    </row>
    <row r="24" spans="1:20" ht="16.5">
      <c r="A24" s="51"/>
      <c r="B24" s="52" t="str">
        <f>T.KOTARAYA!B24</f>
        <v>b. Pengaduan Gangguan Berulang pada PLN Mobile</v>
      </c>
      <c r="C24" s="364" t="str">
        <f>T.KOTARAYA!C24</f>
        <v>ò</v>
      </c>
      <c r="D24" s="53" t="str">
        <f>T.KOTARAYA!D24</f>
        <v>%</v>
      </c>
      <c r="E24" s="61"/>
      <c r="F24" s="53"/>
      <c r="G24" s="89">
        <f>T.KOTARAYA!G24</f>
        <v>0.04</v>
      </c>
      <c r="H24" s="89">
        <f>T.KOTARAYA!H24</f>
        <v>0.04</v>
      </c>
      <c r="I24" s="88">
        <f>PI!AH89</f>
        <v>0</v>
      </c>
      <c r="J24" s="88">
        <f>PI!AI89</f>
        <v>0</v>
      </c>
      <c r="K24" s="88">
        <f>PI!AJ89</f>
        <v>0</v>
      </c>
      <c r="L24" s="88">
        <f>PI!AK89</f>
        <v>0</v>
      </c>
      <c r="M24" s="88">
        <f>PI!AL89</f>
        <v>0</v>
      </c>
      <c r="N24" s="88">
        <f>PI!AM89</f>
        <v>0</v>
      </c>
      <c r="O24" s="88">
        <f>PI!AN89</f>
        <v>0</v>
      </c>
      <c r="P24" s="88">
        <f>PI!AO89</f>
        <v>0</v>
      </c>
      <c r="Q24" s="88">
        <f>PI!AP89</f>
        <v>0</v>
      </c>
      <c r="R24" s="88">
        <f>PI!AQ89</f>
        <v>0</v>
      </c>
      <c r="S24" s="88">
        <f>PI!AR89</f>
        <v>0</v>
      </c>
      <c r="T24" s="88">
        <f>PI!AS89</f>
        <v>0</v>
      </c>
    </row>
    <row r="25" spans="1:20" ht="15" customHeight="1">
      <c r="A25" s="51"/>
      <c r="B25" s="52" t="str">
        <f>T.KOTARAYA!B25</f>
        <v>c. Rating PLN Mobile</v>
      </c>
      <c r="C25" s="364" t="str">
        <f>T.KOTARAYA!C25</f>
        <v>ñ</v>
      </c>
      <c r="D25" s="53" t="str">
        <f>T.KOTARAYA!D25</f>
        <v>Rating</v>
      </c>
      <c r="E25" s="61" t="e">
        <f>#REF!</f>
        <v>#REF!</v>
      </c>
      <c r="F25" s="53"/>
      <c r="G25" s="89">
        <f>T.KOTARAYA!G25</f>
        <v>4.9000000000000004</v>
      </c>
      <c r="H25" s="89">
        <f>T.KOTARAYA!H25</f>
        <v>4.9000000000000004</v>
      </c>
      <c r="I25" s="142">
        <f>PI!AH97</f>
        <v>4.91</v>
      </c>
      <c r="J25" s="142">
        <f>PI!AI97</f>
        <v>4.91</v>
      </c>
      <c r="K25" s="142">
        <f>PI!AJ97</f>
        <v>4.91</v>
      </c>
      <c r="L25" s="142">
        <f>PI!AK97</f>
        <v>4.91</v>
      </c>
      <c r="M25" s="142">
        <f>PI!AL97</f>
        <v>4.9000000000000004</v>
      </c>
      <c r="N25" s="142">
        <f>PI!AM97</f>
        <v>4.9000000000000004</v>
      </c>
      <c r="O25" s="142">
        <f>PI!AN97</f>
        <v>4.9000000000000004</v>
      </c>
      <c r="P25" s="142">
        <f>PI!AO97</f>
        <v>4.9000000000000004</v>
      </c>
      <c r="Q25" s="142">
        <f>PI!AP97</f>
        <v>4.9000000000000004</v>
      </c>
      <c r="R25" s="142">
        <f>PI!AQ97</f>
        <v>4.9000000000000004</v>
      </c>
      <c r="S25" s="142">
        <f>PI!AR97</f>
        <v>4.9000000000000004</v>
      </c>
      <c r="T25" s="142">
        <f>PI!AS97</f>
        <v>4.9000000000000004</v>
      </c>
    </row>
    <row r="26" spans="1:20" ht="15" customHeight="1">
      <c r="A26" s="51"/>
      <c r="B26" s="52" t="str">
        <f>T.KOTARAYA!B26</f>
        <v>d. Jumlah Kali Transaksi Keuangan melalui PLN Mobile</v>
      </c>
      <c r="C26" s="364" t="str">
        <f>T.KOTARAYA!C26</f>
        <v>ñ</v>
      </c>
      <c r="D26" s="53" t="str">
        <f>T.KOTARAYA!D26</f>
        <v>Kali Transaksi</v>
      </c>
      <c r="E26" s="61" t="e">
        <f>#REF!</f>
        <v>#REF!</v>
      </c>
      <c r="F26" s="53"/>
      <c r="G26" s="89">
        <f>T.KOTARAYA!G26</f>
        <v>6091</v>
      </c>
      <c r="H26" s="89">
        <f>T.KOTARAYA!H26</f>
        <v>10152</v>
      </c>
      <c r="I26" s="142">
        <f>PI!AH106</f>
        <v>336</v>
      </c>
      <c r="J26" s="142">
        <f>PI!AI106</f>
        <v>836</v>
      </c>
      <c r="K26" s="142">
        <f>PI!AJ106</f>
        <v>2820</v>
      </c>
      <c r="L26" s="142">
        <f>PI!AK106</f>
        <v>4572</v>
      </c>
      <c r="M26" s="142">
        <f>PI!AL106</f>
        <v>6041</v>
      </c>
      <c r="N26" s="142">
        <f>PI!AM106</f>
        <v>7188</v>
      </c>
      <c r="O26" s="142">
        <f>PI!AN106</f>
        <v>8105</v>
      </c>
      <c r="P26" s="142">
        <f>PI!AO106</f>
        <v>9165</v>
      </c>
      <c r="Q26" s="142">
        <f>PI!AP106</f>
        <v>10638</v>
      </c>
      <c r="R26" s="142">
        <f>PI!AQ106</f>
        <v>12112</v>
      </c>
      <c r="S26" s="142">
        <f>PI!AR106</f>
        <v>0</v>
      </c>
      <c r="T26" s="142">
        <f>PI!AS106</f>
        <v>0</v>
      </c>
    </row>
    <row r="27" spans="1:20" ht="15" customHeight="1">
      <c r="A27" s="51">
        <f>T.KOTARAYA!A27</f>
        <v>6</v>
      </c>
      <c r="B27" s="267" t="str">
        <f>T.KOTARAYA!B27</f>
        <v>Dispatch Respon Time</v>
      </c>
      <c r="C27" s="364"/>
      <c r="D27" s="53"/>
      <c r="E27" s="61"/>
      <c r="F27" s="53">
        <f>T.KOTARAYA!F27</f>
        <v>3</v>
      </c>
      <c r="G27" s="89"/>
      <c r="H27" s="89"/>
      <c r="I27" s="142"/>
      <c r="J27" s="142"/>
      <c r="K27" s="142"/>
      <c r="L27" s="142"/>
      <c r="M27" s="142"/>
      <c r="N27" s="142"/>
      <c r="O27" s="142"/>
      <c r="P27" s="142"/>
      <c r="Q27" s="142"/>
      <c r="R27" s="142"/>
      <c r="S27" s="142"/>
      <c r="T27" s="142"/>
    </row>
    <row r="28" spans="1:20" ht="15" customHeight="1">
      <c r="A28" s="51"/>
      <c r="B28" s="52" t="str">
        <f>T.KOTARAYA!B28</f>
        <v>a. Response Time atas Gangguan (diluar Clear Tamper)</v>
      </c>
      <c r="C28" s="364" t="str">
        <f>T.KOTARAYA!C28</f>
        <v>ò</v>
      </c>
      <c r="D28" s="53" t="str">
        <f>T.KOTARAYA!D28</f>
        <v>Menit</v>
      </c>
      <c r="E28" s="61"/>
      <c r="F28" s="53"/>
      <c r="G28" s="89">
        <f>T.KOTARAYA!G28</f>
        <v>30</v>
      </c>
      <c r="H28" s="89">
        <f>T.KOTARAYA!H28</f>
        <v>30</v>
      </c>
      <c r="I28" s="142">
        <f>PI!AH121</f>
        <v>11.382941176470585</v>
      </c>
      <c r="J28" s="142">
        <f>PI!AI121</f>
        <v>10.881982520490874</v>
      </c>
      <c r="K28" s="142">
        <f>PI!AJ121</f>
        <v>10.424033237555745</v>
      </c>
      <c r="L28" s="142">
        <f>PI!AK121</f>
        <v>10.116471960890049</v>
      </c>
      <c r="M28" s="142">
        <f>PI!AL121</f>
        <v>10.76317756871204</v>
      </c>
      <c r="N28" s="142">
        <f>PI!AM121</f>
        <v>10.848403791187893</v>
      </c>
      <c r="O28" s="142">
        <f>PI!AN121</f>
        <v>10.909279664384931</v>
      </c>
      <c r="P28" s="142">
        <f>PI!AO121</f>
        <v>11.043343816369179</v>
      </c>
      <c r="Q28" s="142">
        <f>PI!AP121</f>
        <v>10.932176444057575</v>
      </c>
      <c r="R28" s="142">
        <f>PI!AQ121</f>
        <v>10.841825871895164</v>
      </c>
      <c r="S28" s="142">
        <f>PI!AR121</f>
        <v>10.841825871895164</v>
      </c>
      <c r="T28" s="142">
        <f>PI!AS121</f>
        <v>10.841825871895164</v>
      </c>
    </row>
    <row r="29" spans="1:20" ht="31.15" customHeight="1">
      <c r="A29" s="51"/>
      <c r="B29" s="52" t="str">
        <f>T.KOTARAYA!B29</f>
        <v>b. Success Rate Auto Dispatch Gangguan Individual (diluar Clear Tamper)</v>
      </c>
      <c r="C29" s="364" t="str">
        <f>T.KOTARAYA!C29</f>
        <v>ñ</v>
      </c>
      <c r="D29" s="53" t="str">
        <f>T.KOTARAYA!D29</f>
        <v>%</v>
      </c>
      <c r="E29" s="61"/>
      <c r="F29" s="53"/>
      <c r="G29" s="89">
        <f>T.KOTARAYA!G29</f>
        <v>0</v>
      </c>
      <c r="H29" s="89">
        <f>T.KOTARAYA!H29</f>
        <v>0</v>
      </c>
      <c r="I29" s="142">
        <f>PI!AH137</f>
        <v>0</v>
      </c>
      <c r="J29" s="142">
        <f>PI!AI137</f>
        <v>0</v>
      </c>
      <c r="K29" s="142">
        <f>PI!AJ137</f>
        <v>0</v>
      </c>
      <c r="L29" s="142">
        <f>PI!AK137</f>
        <v>0</v>
      </c>
      <c r="M29" s="142">
        <f>PI!AL137</f>
        <v>0</v>
      </c>
      <c r="N29" s="142">
        <f>PI!AM137</f>
        <v>0</v>
      </c>
      <c r="O29" s="142">
        <f>PI!AN137</f>
        <v>0</v>
      </c>
      <c r="P29" s="142">
        <f>PI!AO137</f>
        <v>0</v>
      </c>
      <c r="Q29" s="142">
        <f>PI!AP137</f>
        <v>0</v>
      </c>
      <c r="R29" s="142">
        <f>PI!AQ137</f>
        <v>0</v>
      </c>
      <c r="S29" s="142">
        <f>PI!AR137</f>
        <v>0</v>
      </c>
      <c r="T29" s="142">
        <f>PI!AS137</f>
        <v>0</v>
      </c>
    </row>
    <row r="30" spans="1:20" ht="15" customHeight="1">
      <c r="A30" s="51">
        <f>T.KOTARAYA!A30</f>
        <v>7</v>
      </c>
      <c r="B30" s="267" t="str">
        <f>T.KOTARAYA!B30</f>
        <v>Sistem Recovery :</v>
      </c>
      <c r="C30" s="364"/>
      <c r="D30" s="53"/>
      <c r="E30" s="61"/>
      <c r="F30" s="53">
        <f>T.KOTARAYA!F30</f>
        <v>6</v>
      </c>
      <c r="G30" s="89"/>
      <c r="H30" s="89"/>
      <c r="I30" s="142"/>
      <c r="J30" s="142"/>
      <c r="K30" s="142"/>
      <c r="L30" s="142"/>
      <c r="M30" s="142"/>
      <c r="N30" s="142"/>
      <c r="O30" s="142"/>
      <c r="P30" s="142"/>
      <c r="Q30" s="142"/>
      <c r="R30" s="142"/>
      <c r="S30" s="142"/>
      <c r="T30" s="142"/>
    </row>
    <row r="31" spans="1:20" ht="16.5">
      <c r="A31" s="51"/>
      <c r="B31" s="52" t="str">
        <f>T.KOTARAYA!B31</f>
        <v>a. Recovery Time Gangguan Meluas TM</v>
      </c>
      <c r="C31" s="364" t="str">
        <f>T.KOTARAYA!C31</f>
        <v>ñ</v>
      </c>
      <c r="D31" s="53" t="str">
        <f>T.KOTARAYA!D31</f>
        <v>%</v>
      </c>
      <c r="E31" s="61" t="e">
        <f>#REF!</f>
        <v>#REF!</v>
      </c>
      <c r="F31" s="53"/>
      <c r="G31" s="89">
        <f>T.KOTARAYA!G31</f>
        <v>100</v>
      </c>
      <c r="H31" s="89">
        <f>T.KOTARAYA!H31</f>
        <v>100</v>
      </c>
      <c r="I31" s="142">
        <f>PI!AH157</f>
        <v>110</v>
      </c>
      <c r="J31" s="142">
        <f>PI!AI157</f>
        <v>110</v>
      </c>
      <c r="K31" s="142">
        <f>PI!AJ157</f>
        <v>110</v>
      </c>
      <c r="L31" s="142">
        <f>PI!AK157</f>
        <v>110</v>
      </c>
      <c r="M31" s="142">
        <f>PI!AL157</f>
        <v>110</v>
      </c>
      <c r="N31" s="142">
        <f>PI!AM157</f>
        <v>110</v>
      </c>
      <c r="O31" s="142">
        <f>PI!AN157</f>
        <v>110</v>
      </c>
      <c r="P31" s="142">
        <f>PI!AO157</f>
        <v>110</v>
      </c>
      <c r="Q31" s="142">
        <f>PI!AP157</f>
        <v>110</v>
      </c>
      <c r="R31" s="142">
        <f>PI!AQ157</f>
        <v>110</v>
      </c>
      <c r="S31" s="142">
        <f>PI!AR157</f>
        <v>0</v>
      </c>
      <c r="T31" s="142">
        <f>PI!AS157</f>
        <v>0</v>
      </c>
    </row>
    <row r="32" spans="1:20" ht="16.5">
      <c r="A32" s="51"/>
      <c r="B32" s="52" t="str">
        <f>T.KOTARAYA!B32</f>
        <v>b. Penormalan Siaga 1 Gangguan TM</v>
      </c>
      <c r="C32" s="364" t="str">
        <f>T.KOTARAYA!C32</f>
        <v>ñ</v>
      </c>
      <c r="D32" s="53" t="str">
        <f>T.KOTARAYA!D32</f>
        <v>%</v>
      </c>
      <c r="E32" s="61"/>
      <c r="F32" s="53"/>
      <c r="G32" s="89">
        <f>T.KOTARAYA!G32</f>
        <v>100</v>
      </c>
      <c r="H32" s="89">
        <f>T.KOTARAYA!H32</f>
        <v>100</v>
      </c>
      <c r="I32" s="142">
        <f>PI!AH179</f>
        <v>110</v>
      </c>
      <c r="J32" s="142">
        <f>PI!AH179</f>
        <v>110</v>
      </c>
      <c r="K32" s="142">
        <f>PI!AI179</f>
        <v>110</v>
      </c>
      <c r="L32" s="142">
        <f>PI!AJ179</f>
        <v>110</v>
      </c>
      <c r="M32" s="142">
        <f>PI!AK179</f>
        <v>110</v>
      </c>
      <c r="N32" s="142">
        <f>PI!AL179</f>
        <v>110</v>
      </c>
      <c r="O32" s="142">
        <f>PI!AM179</f>
        <v>110</v>
      </c>
      <c r="P32" s="142">
        <f>PI!AN179</f>
        <v>110</v>
      </c>
      <c r="Q32" s="142">
        <f>PI!AO179</f>
        <v>110</v>
      </c>
      <c r="R32" s="142">
        <f>PI!AP179</f>
        <v>110</v>
      </c>
      <c r="S32" s="142">
        <f>PI!AQ179</f>
        <v>110</v>
      </c>
      <c r="T32" s="142">
        <f>PI!AR179</f>
        <v>0</v>
      </c>
    </row>
    <row r="33" spans="1:23" ht="14.45" customHeight="1">
      <c r="A33" s="51">
        <f>T.KOTARAYA!A33</f>
        <v>8</v>
      </c>
      <c r="B33" s="267" t="str">
        <f>T.KOTARAYA!B33</f>
        <v>Percepatan Penyambungan Pelanggan</v>
      </c>
      <c r="C33" s="364"/>
      <c r="D33" s="53"/>
      <c r="E33" s="61" t="e">
        <f>#REF!</f>
        <v>#REF!</v>
      </c>
      <c r="F33" s="53">
        <f>T.KOTARAYA!F33</f>
        <v>10</v>
      </c>
      <c r="G33" s="89"/>
      <c r="H33" s="89"/>
      <c r="I33" s="142"/>
      <c r="J33" s="142"/>
      <c r="K33" s="142"/>
      <c r="L33" s="142"/>
      <c r="M33" s="142"/>
      <c r="N33" s="142"/>
      <c r="O33" s="142"/>
      <c r="P33" s="142"/>
      <c r="Q33" s="142"/>
      <c r="R33" s="142"/>
      <c r="S33" s="142"/>
      <c r="T33" s="142"/>
      <c r="V33" s="21"/>
      <c r="W33" s="21"/>
    </row>
    <row r="34" spans="1:23" ht="14.45" customHeight="1">
      <c r="A34" s="51"/>
      <c r="B34" s="52" t="str">
        <f>T.KOTARAYA!B34</f>
        <v>a. Penambahan Daya Tersambung</v>
      </c>
      <c r="C34" s="364" t="str">
        <f>T.KOTARAYA!C34</f>
        <v>ñ</v>
      </c>
      <c r="D34" s="53" t="str">
        <f>T.KOTARAYA!D34</f>
        <v>MVA</v>
      </c>
      <c r="E34" s="61"/>
      <c r="F34" s="53"/>
      <c r="G34" s="89">
        <f>T.KOTARAYA!G34</f>
        <v>0.97</v>
      </c>
      <c r="H34" s="89">
        <f>T.KOTARAYA!H34</f>
        <v>2.46</v>
      </c>
      <c r="I34" s="142">
        <f>PI!AH198</f>
        <v>0.13285</v>
      </c>
      <c r="J34" s="142">
        <f>PI!AI198</f>
        <v>0.24404999999999999</v>
      </c>
      <c r="K34" s="142">
        <f>PI!AJ198</f>
        <v>0.38155</v>
      </c>
      <c r="L34" s="142">
        <f>PI!AK198</f>
        <v>0.57810000000000006</v>
      </c>
      <c r="M34" s="142">
        <f>PI!AL198</f>
        <v>0.72620000000000007</v>
      </c>
      <c r="N34" s="142">
        <f>PI!AM198</f>
        <v>0.87740000000000007</v>
      </c>
      <c r="O34" s="142">
        <f>PI!AN198</f>
        <v>1.0797000000000001</v>
      </c>
      <c r="P34" s="142">
        <f>PI!AO198</f>
        <v>1.2073500000000001</v>
      </c>
      <c r="Q34" s="142">
        <f>PI!AP198</f>
        <v>1.3872000000000002</v>
      </c>
      <c r="R34" s="142">
        <f>PI!AQ198</f>
        <v>1.6339000000000001</v>
      </c>
      <c r="S34" s="142">
        <f>PI!AR198</f>
        <v>0</v>
      </c>
      <c r="T34" s="142">
        <f>PI!AS198</f>
        <v>0</v>
      </c>
      <c r="V34" s="21"/>
      <c r="W34" s="21"/>
    </row>
    <row r="35" spans="1:23" ht="14.45" customHeight="1">
      <c r="A35" s="51"/>
      <c r="B35" s="52" t="str">
        <f>T.KOTARAYA!B35</f>
        <v>b. Penambahan Jumlah Pelanggan</v>
      </c>
      <c r="C35" s="364" t="str">
        <f>T.KOTARAYA!C35</f>
        <v>ñ</v>
      </c>
      <c r="D35" s="53" t="str">
        <f>T.KOTARAYA!D35</f>
        <v>Pelanggan</v>
      </c>
      <c r="E35" s="61"/>
      <c r="F35" s="53"/>
      <c r="G35" s="89">
        <f>T.KOTARAYA!G35</f>
        <v>1093</v>
      </c>
      <c r="H35" s="89">
        <f>T.KOTARAYA!H35</f>
        <v>2517</v>
      </c>
      <c r="I35" s="142">
        <f>PI!AH204</f>
        <v>114</v>
      </c>
      <c r="J35" s="142">
        <f>PI!AI204</f>
        <v>213</v>
      </c>
      <c r="K35" s="142">
        <f>PI!AJ204</f>
        <v>322</v>
      </c>
      <c r="L35" s="142">
        <f>PI!AK204</f>
        <v>464</v>
      </c>
      <c r="M35" s="142">
        <f>PI!AL204</f>
        <v>559</v>
      </c>
      <c r="N35" s="142">
        <f>PI!AM204</f>
        <v>654</v>
      </c>
      <c r="O35" s="142">
        <f>PI!AN204</f>
        <v>757</v>
      </c>
      <c r="P35" s="142">
        <f>PI!AO204</f>
        <v>826</v>
      </c>
      <c r="Q35" s="142">
        <f>PI!AP204</f>
        <v>964</v>
      </c>
      <c r="R35" s="142">
        <f>PI!AQ204</f>
        <v>1117</v>
      </c>
      <c r="S35" s="142">
        <f>PI!AR204</f>
        <v>0</v>
      </c>
      <c r="T35" s="142">
        <f>PI!AS204</f>
        <v>0</v>
      </c>
      <c r="V35" s="21"/>
      <c r="W35" s="21"/>
    </row>
    <row r="36" spans="1:23" ht="16.5">
      <c r="A36" s="51"/>
      <c r="B36" s="52" t="str">
        <f>T.KOTARAYA!B36</f>
        <v>c. Jumlah Penambahan Pelanggan Produk Tematik</v>
      </c>
      <c r="C36" s="364" t="str">
        <f>T.KOTARAYA!C36</f>
        <v>ñ</v>
      </c>
      <c r="D36" s="53" t="str">
        <f>T.KOTARAYA!D36</f>
        <v>Pelanggan</v>
      </c>
      <c r="E36" s="61"/>
      <c r="F36" s="53"/>
      <c r="G36" s="89">
        <f>T.KOTARAYA!G36</f>
        <v>120</v>
      </c>
      <c r="H36" s="89">
        <f>T.KOTARAYA!H36</f>
        <v>198</v>
      </c>
      <c r="I36" s="142">
        <f>PI!AH210</f>
        <v>28</v>
      </c>
      <c r="J36" s="142">
        <f>PI!AI210</f>
        <v>40</v>
      </c>
      <c r="K36" s="142">
        <f>PI!AJ210</f>
        <v>64</v>
      </c>
      <c r="L36" s="142">
        <f>PI!AK210</f>
        <v>64</v>
      </c>
      <c r="M36" s="142">
        <f>PI!AL210</f>
        <v>97</v>
      </c>
      <c r="N36" s="142">
        <f>PI!AM210</f>
        <v>138</v>
      </c>
      <c r="O36" s="142">
        <f>PI!AN210</f>
        <v>144</v>
      </c>
      <c r="P36" s="142">
        <f>PI!AO210</f>
        <v>175</v>
      </c>
      <c r="Q36" s="142">
        <f>PI!AP210</f>
        <v>198</v>
      </c>
      <c r="R36" s="142">
        <f>PI!AQ210</f>
        <v>218</v>
      </c>
      <c r="S36" s="142">
        <f>PI!AR210</f>
        <v>0</v>
      </c>
      <c r="T36" s="142">
        <f>PI!AS210</f>
        <v>0</v>
      </c>
    </row>
    <row r="37" spans="1:23" ht="33" customHeight="1">
      <c r="A37" s="51"/>
      <c r="B37" s="52" t="str">
        <f>T.KOTARAYA!B37</f>
        <v>d. Implementasi Kesesuaian Sektor Bisnis sesuai KBLI 2020</v>
      </c>
      <c r="C37" s="364" t="str">
        <f>T.KOTARAYA!C37</f>
        <v>ñ</v>
      </c>
      <c r="D37" s="53" t="str">
        <f>T.KOTARAYA!D37</f>
        <v>Pelanggan</v>
      </c>
      <c r="E37" s="61" t="e">
        <f>#REF!</f>
        <v>#REF!</v>
      </c>
      <c r="F37" s="53"/>
      <c r="G37" s="89">
        <f>T.KOTARAYA!G37</f>
        <v>0</v>
      </c>
      <c r="H37" s="89">
        <f>T.KOTARAYA!H37</f>
        <v>0</v>
      </c>
      <c r="I37" s="142">
        <f>PI!AH216</f>
        <v>0</v>
      </c>
      <c r="J37" s="142">
        <f>PI!AI216</f>
        <v>0</v>
      </c>
      <c r="K37" s="142">
        <f>PI!AJ216</f>
        <v>0</v>
      </c>
      <c r="L37" s="142">
        <f>PI!AK216</f>
        <v>0</v>
      </c>
      <c r="M37" s="142">
        <f>PI!AL216</f>
        <v>0</v>
      </c>
      <c r="N37" s="142">
        <f>PI!AM216</f>
        <v>0</v>
      </c>
      <c r="O37" s="142">
        <f>PI!AN216</f>
        <v>0</v>
      </c>
      <c r="P37" s="142">
        <f>PI!AO216</f>
        <v>0</v>
      </c>
      <c r="Q37" s="142">
        <f>PI!AP216</f>
        <v>0</v>
      </c>
      <c r="R37" s="142">
        <f>PI!AQ216</f>
        <v>0</v>
      </c>
      <c r="S37" s="142">
        <f>PI!AR216</f>
        <v>0</v>
      </c>
      <c r="T37" s="142">
        <f>PI!AS216</f>
        <v>0</v>
      </c>
    </row>
    <row r="38" spans="1:23" ht="16.5">
      <c r="A38" s="51">
        <f>T.KOTARAYA!A38</f>
        <v>9</v>
      </c>
      <c r="B38" s="267" t="str">
        <f>T.KOTARAYA!B38</f>
        <v>Percepatan Penyambungan Pelanggan Lisdes</v>
      </c>
      <c r="C38" s="364"/>
      <c r="D38" s="53"/>
      <c r="E38" s="61" t="e">
        <f>#REF!</f>
        <v>#REF!</v>
      </c>
      <c r="F38" s="53">
        <f>T.KOTARAYA!F38</f>
        <v>4</v>
      </c>
      <c r="G38" s="89"/>
      <c r="H38" s="89"/>
      <c r="I38" s="154"/>
      <c r="J38" s="154"/>
      <c r="K38" s="154"/>
      <c r="L38" s="154"/>
      <c r="M38" s="154"/>
      <c r="N38" s="154"/>
      <c r="O38" s="154"/>
      <c r="P38" s="154"/>
      <c r="Q38" s="154"/>
      <c r="R38" s="154"/>
      <c r="S38" s="154"/>
      <c r="T38" s="154"/>
    </row>
    <row r="39" spans="1:23" s="156" customFormat="1" ht="33">
      <c r="A39" s="51"/>
      <c r="B39" s="52" t="str">
        <f>T.KOTARAYA!B39</f>
        <v>a. Penambahan Jumlah Pelanggan Rumah Tangga Lisdes</v>
      </c>
      <c r="C39" s="364" t="str">
        <f>T.KOTARAYA!C39</f>
        <v>ñ</v>
      </c>
      <c r="D39" s="53" t="str">
        <f>T.KOTARAYA!D39</f>
        <v>Pelanggan</v>
      </c>
      <c r="E39" s="61" t="e">
        <f>#REF!</f>
        <v>#REF!</v>
      </c>
      <c r="F39" s="53"/>
      <c r="G39" s="89">
        <f>T.KOTARAYA!G39</f>
        <v>3</v>
      </c>
      <c r="H39" s="89">
        <f>T.KOTARAYA!H39</f>
        <v>123</v>
      </c>
      <c r="I39" s="225">
        <f>PI!AH222</f>
        <v>12</v>
      </c>
      <c r="J39" s="225">
        <f>PI!AI222</f>
        <v>21</v>
      </c>
      <c r="K39" s="225">
        <f>PI!AJ222</f>
        <v>26</v>
      </c>
      <c r="L39" s="225">
        <f>PI!AK222</f>
        <v>38</v>
      </c>
      <c r="M39" s="225">
        <f>PI!AL222</f>
        <v>56</v>
      </c>
      <c r="N39" s="225">
        <f>PI!AM222</f>
        <v>64</v>
      </c>
      <c r="O39" s="225">
        <f>PI!AN222</f>
        <v>68</v>
      </c>
      <c r="P39" s="225">
        <f>PI!AO222</f>
        <v>75</v>
      </c>
      <c r="Q39" s="225">
        <f>PI!AP222</f>
        <v>83</v>
      </c>
      <c r="R39" s="225">
        <f>PI!AQ222</f>
        <v>92</v>
      </c>
      <c r="S39" s="225">
        <f>PI!AR222</f>
        <v>0</v>
      </c>
      <c r="T39" s="225">
        <f>PI!AS222</f>
        <v>0</v>
      </c>
    </row>
    <row r="40" spans="1:23" ht="33">
      <c r="A40" s="51"/>
      <c r="B40" s="52" t="str">
        <f>T.KOTARAYA!B40</f>
        <v>b. Peningkatan kWh Penjualan dari Pelanggan Rumah Tangga Lisdes</v>
      </c>
      <c r="C40" s="364" t="str">
        <f>T.KOTARAYA!C40</f>
        <v>ñ</v>
      </c>
      <c r="D40" s="53" t="str">
        <f>T.KOTARAYA!D40</f>
        <v>kWh</v>
      </c>
      <c r="E40" s="61"/>
      <c r="F40" s="53"/>
      <c r="G40" s="89">
        <f>T.KOTARAYA!G40</f>
        <v>121.5</v>
      </c>
      <c r="H40" s="89">
        <f>T.KOTARAYA!H40</f>
        <v>16442.113000000001</v>
      </c>
      <c r="I40" s="225">
        <f>PI!AH228</f>
        <v>2884.1</v>
      </c>
      <c r="J40" s="225">
        <f>PI!AI228</f>
        <v>7313.2000000000007</v>
      </c>
      <c r="K40" s="225">
        <f>PI!AJ228</f>
        <v>8164.0000000000018</v>
      </c>
      <c r="L40" s="225">
        <f>PI!AK228</f>
        <v>10604.7</v>
      </c>
      <c r="M40" s="225">
        <f>PI!AL228</f>
        <v>14422.2</v>
      </c>
      <c r="N40" s="225">
        <f>PI!AM228</f>
        <v>18369.099999999999</v>
      </c>
      <c r="O40" s="225">
        <f>PI!AN228</f>
        <v>21815.199999999997</v>
      </c>
      <c r="P40" s="225">
        <f>PI!AO228</f>
        <v>25685.599999999999</v>
      </c>
      <c r="Q40" s="225">
        <f>PI!AP228</f>
        <v>30036.1</v>
      </c>
      <c r="R40" s="225">
        <f>PI!AQ228</f>
        <v>35842.799999999996</v>
      </c>
      <c r="S40" s="225">
        <f>PI!AR228</f>
        <v>0</v>
      </c>
      <c r="T40" s="225">
        <f>PI!AS228</f>
        <v>0</v>
      </c>
    </row>
    <row r="41" spans="1:23" ht="15" customHeight="1">
      <c r="A41" s="51">
        <f>T.KOTARAYA!A41</f>
        <v>10</v>
      </c>
      <c r="B41" s="267" t="str">
        <f>T.KOTARAYA!B41</f>
        <v>Pengelolaan Pembacaan Meter</v>
      </c>
      <c r="C41" s="364"/>
      <c r="D41" s="53"/>
      <c r="E41" s="61"/>
      <c r="F41" s="53">
        <f>T.KOTARAYA!F41</f>
        <v>8</v>
      </c>
      <c r="G41" s="89"/>
      <c r="H41" s="89"/>
      <c r="I41" s="225"/>
      <c r="J41" s="225"/>
      <c r="K41" s="225"/>
      <c r="L41" s="225"/>
      <c r="M41" s="225"/>
      <c r="N41" s="225"/>
      <c r="O41" s="225"/>
      <c r="P41" s="225"/>
      <c r="Q41" s="225"/>
      <c r="R41" s="225"/>
      <c r="S41" s="225"/>
      <c r="T41" s="225"/>
    </row>
    <row r="42" spans="1:23" ht="15" customHeight="1">
      <c r="A42" s="51"/>
      <c r="B42" s="52" t="str">
        <f>T.KOTARAYA!B42</f>
        <v>a. Jumlah Pengguna Swa Cam</v>
      </c>
      <c r="C42" s="364" t="str">
        <f>T.KOTARAYA!C42</f>
        <v>ñ</v>
      </c>
      <c r="D42" s="53" t="str">
        <f>T.KOTARAYA!D42</f>
        <v>Pelanggan</v>
      </c>
      <c r="E42" s="61"/>
      <c r="F42" s="53"/>
      <c r="G42" s="89">
        <f>T.KOTARAYA!G42</f>
        <v>743</v>
      </c>
      <c r="H42" s="89">
        <f>T.KOTARAYA!H42</f>
        <v>743</v>
      </c>
      <c r="I42" s="225">
        <f>PI!AH238</f>
        <v>2044</v>
      </c>
      <c r="J42" s="225">
        <f>PI!AI238</f>
        <v>1820</v>
      </c>
      <c r="K42" s="225">
        <f>PI!AJ238</f>
        <v>2257</v>
      </c>
      <c r="L42" s="225">
        <f>PI!AK238</f>
        <v>1771</v>
      </c>
      <c r="M42" s="225">
        <f>PI!AL238</f>
        <v>1611.6</v>
      </c>
      <c r="N42" s="225">
        <f>PI!AM238</f>
        <v>1552.1666666666667</v>
      </c>
      <c r="O42" s="225">
        <f>PI!AN238</f>
        <v>1439.4285714285713</v>
      </c>
      <c r="P42" s="225">
        <f>PI!AO238</f>
        <v>1347.125</v>
      </c>
      <c r="Q42" s="225">
        <f>PI!AP238</f>
        <v>1302.3333333333333</v>
      </c>
      <c r="R42" s="225">
        <f>PI!AQ238</f>
        <v>1255.5</v>
      </c>
      <c r="S42" s="225">
        <f>PI!AR238</f>
        <v>1255.5</v>
      </c>
      <c r="T42" s="225">
        <f>PI!AS238</f>
        <v>1255.5</v>
      </c>
    </row>
    <row r="43" spans="1:23" ht="25.15" customHeight="1">
      <c r="A43" s="51"/>
      <c r="B43" s="52" t="str">
        <f>T.KOTARAYA!B43</f>
        <v>b. Tindak Lanjut LBKB (Laporan Bulanan Kelainan Baca Meter)</v>
      </c>
      <c r="C43" s="364" t="str">
        <f>T.KOTARAYA!C43</f>
        <v>ò</v>
      </c>
      <c r="D43" s="53" t="str">
        <f>T.KOTARAYA!D43</f>
        <v>Pelanggan</v>
      </c>
      <c r="E43" s="61"/>
      <c r="F43" s="53"/>
      <c r="G43" s="89"/>
      <c r="H43" s="89"/>
      <c r="I43" s="225"/>
      <c r="J43" s="225"/>
      <c r="K43" s="225"/>
      <c r="L43" s="225"/>
      <c r="M43" s="225"/>
      <c r="N43" s="225"/>
      <c r="O43" s="225"/>
      <c r="P43" s="225"/>
      <c r="Q43" s="225"/>
      <c r="R43" s="225"/>
      <c r="S43" s="225"/>
      <c r="T43" s="225"/>
    </row>
    <row r="44" spans="1:23" ht="15" customHeight="1">
      <c r="A44" s="51">
        <f>T.KOTARAYA!A44</f>
        <v>11</v>
      </c>
      <c r="B44" s="267" t="str">
        <f>T.KOTARAYA!B44</f>
        <v>Sisa Stand Bongkar Migrasi</v>
      </c>
      <c r="C44" s="364" t="str">
        <f>T.KOTARAYA!C44</f>
        <v>ñ</v>
      </c>
      <c r="D44" s="53" t="str">
        <f>T.KOTARAYA!D44</f>
        <v>%</v>
      </c>
      <c r="E44" s="61"/>
      <c r="F44" s="53">
        <f>T.KOTARAYA!F44</f>
        <v>3</v>
      </c>
      <c r="G44" s="89">
        <f>T.KOTARAYA!G44</f>
        <v>100</v>
      </c>
      <c r="H44" s="89">
        <f>T.KOTARAYA!H44</f>
        <v>100</v>
      </c>
      <c r="I44" s="225">
        <f>PI!AH258</f>
        <v>100</v>
      </c>
      <c r="J44" s="225">
        <f>PI!AI258</f>
        <v>100</v>
      </c>
      <c r="K44" s="225">
        <f>PI!AJ258</f>
        <v>100</v>
      </c>
      <c r="L44" s="225">
        <f>PI!AK258</f>
        <v>100</v>
      </c>
      <c r="M44" s="225">
        <f>PI!AL258</f>
        <v>100</v>
      </c>
      <c r="N44" s="225">
        <f>PI!AM258</f>
        <v>100</v>
      </c>
      <c r="O44" s="225">
        <f>PI!AN258</f>
        <v>100</v>
      </c>
      <c r="P44" s="225">
        <f>PI!AO258</f>
        <v>100</v>
      </c>
      <c r="Q44" s="225">
        <f>PI!AP258</f>
        <v>100</v>
      </c>
      <c r="R44" s="225">
        <f>PI!AQ258</f>
        <v>100</v>
      </c>
      <c r="S44" s="225">
        <f>PI!AR258</f>
        <v>100</v>
      </c>
      <c r="T44" s="225">
        <f>PI!AS258</f>
        <v>100</v>
      </c>
    </row>
    <row r="45" spans="1:23" ht="27.6" customHeight="1">
      <c r="A45" s="51">
        <f>T.KOTARAYA!A45</f>
        <v>12</v>
      </c>
      <c r="B45" s="267" t="str">
        <f>T.KOTARAYA!B45</f>
        <v>Percepatan Cash In</v>
      </c>
      <c r="C45" s="364"/>
      <c r="D45" s="53" t="str">
        <f>T.KOTARAYA!D45</f>
        <v>%</v>
      </c>
      <c r="E45" s="61"/>
      <c r="F45" s="53">
        <f>T.KOTARAYA!F45</f>
        <v>9</v>
      </c>
      <c r="G45" s="89"/>
      <c r="H45" s="89"/>
      <c r="I45" s="225"/>
      <c r="J45" s="225"/>
      <c r="K45" s="225"/>
      <c r="L45" s="225"/>
      <c r="M45" s="225"/>
      <c r="N45" s="225"/>
      <c r="O45" s="225"/>
      <c r="P45" s="225"/>
      <c r="Q45" s="225"/>
      <c r="R45" s="225"/>
      <c r="S45" s="225"/>
      <c r="T45" s="225"/>
    </row>
    <row r="46" spans="1:23" ht="27.6" customHeight="1">
      <c r="A46" s="51"/>
      <c r="B46" s="52" t="str">
        <f>T.KOTARAYA!B46</f>
        <v>a. Persentase Rata-Rata Saldo Tanggal 20 Non Kogol 1 dan Non Kogol 2</v>
      </c>
      <c r="C46" s="364" t="str">
        <f>T.KOTARAYA!C46</f>
        <v>ò</v>
      </c>
      <c r="D46" s="53" t="str">
        <f>T.KOTARAYA!D46</f>
        <v>Rp. Juta</v>
      </c>
      <c r="E46" s="61"/>
      <c r="F46" s="53"/>
      <c r="G46" s="89">
        <f>T.KOTARAYA!G46</f>
        <v>289</v>
      </c>
      <c r="H46" s="89">
        <f>T.KOTARAYA!H46</f>
        <v>289</v>
      </c>
      <c r="I46" s="225">
        <f>PI!AH276</f>
        <v>336.80340699999999</v>
      </c>
      <c r="J46" s="225">
        <f>PI!AI276</f>
        <v>358.99369799999999</v>
      </c>
      <c r="K46" s="225">
        <f>PI!AJ276</f>
        <v>383.11416499999996</v>
      </c>
      <c r="L46" s="225">
        <f>PI!AK276</f>
        <v>389.12921399999993</v>
      </c>
      <c r="M46" s="225">
        <f>PI!AL276</f>
        <v>390.48137859999997</v>
      </c>
      <c r="N46" s="225">
        <f>PI!AM276</f>
        <v>381.68486200000001</v>
      </c>
      <c r="O46" s="225">
        <f>PI!AN276</f>
        <v>374.00701100000003</v>
      </c>
      <c r="P46" s="225">
        <f>PI!AO276</f>
        <v>333.715638625</v>
      </c>
      <c r="Q46" s="225">
        <f>PI!AP276</f>
        <v>303.05131788888889</v>
      </c>
      <c r="R46" s="225">
        <f>PI!AQ276</f>
        <v>303.05131788888889</v>
      </c>
      <c r="S46" s="225">
        <f>PI!AR276</f>
        <v>303.05131788888889</v>
      </c>
      <c r="T46" s="225">
        <f>PI!AS276</f>
        <v>303.05131788888889</v>
      </c>
    </row>
    <row r="47" spans="1:23" ht="33.6" customHeight="1">
      <c r="A47" s="51"/>
      <c r="B47" s="52" t="str">
        <f>T.KOTARAYA!B47</f>
        <v>b. Pencapaian Saldo Rata-Rata Akhir Bulan Non Kogol 1 dan Non Kogol 2</v>
      </c>
      <c r="C47" s="364" t="str">
        <f>T.KOTARAYA!C47</f>
        <v>ò</v>
      </c>
      <c r="D47" s="53" t="str">
        <f>T.KOTARAYA!D47</f>
        <v>Rp. Juta</v>
      </c>
      <c r="E47" s="61"/>
      <c r="F47" s="53"/>
      <c r="G47" s="89">
        <f>T.KOTARAYA!G44</f>
        <v>100</v>
      </c>
      <c r="H47" s="89">
        <f>T.KOTARAYA!H44</f>
        <v>100</v>
      </c>
      <c r="I47" s="280">
        <f>PI!AH298</f>
        <v>271.73677099999998</v>
      </c>
      <c r="J47" s="280">
        <f>PI!AI298</f>
        <v>306.05932250000001</v>
      </c>
      <c r="K47" s="280">
        <f>PI!AJ298</f>
        <v>294.37288166666667</v>
      </c>
      <c r="L47" s="280">
        <f>PI!AK298</f>
        <v>305.78675425</v>
      </c>
      <c r="M47" s="280">
        <f>PI!AL298</f>
        <v>298.83761319999996</v>
      </c>
      <c r="N47" s="280">
        <f>PI!AM298</f>
        <v>282.74577833333336</v>
      </c>
      <c r="O47" s="280">
        <f>PI!AN298</f>
        <v>242.35352428571429</v>
      </c>
      <c r="P47" s="280">
        <f>PI!AO298</f>
        <v>212.05933375000001</v>
      </c>
      <c r="Q47" s="280">
        <f>PI!AP298</f>
        <v>188.49718555555557</v>
      </c>
      <c r="R47" s="280">
        <f>PI!AQ298</f>
        <v>169.64746700000001</v>
      </c>
      <c r="S47" s="280">
        <f>PI!AR298</f>
        <v>154.22497000000001</v>
      </c>
      <c r="T47" s="280">
        <f>PI!AS298</f>
        <v>141.37288916666668</v>
      </c>
    </row>
    <row r="48" spans="1:23" ht="33.6" customHeight="1">
      <c r="A48" s="51"/>
      <c r="B48" s="52" t="str">
        <f>T.KOTARAYA!B48</f>
        <v>c. Pencapaian Pelunasan PRR</v>
      </c>
      <c r="C48" s="364" t="str">
        <f>T.KOTARAYA!C48</f>
        <v>ñ</v>
      </c>
      <c r="D48" s="53" t="str">
        <f>T.KOTARAYA!D48</f>
        <v>Rp. Juta</v>
      </c>
      <c r="E48" s="61"/>
      <c r="F48" s="53"/>
      <c r="G48" s="89">
        <f>T.KOTARAYA!G45</f>
        <v>0</v>
      </c>
      <c r="H48" s="89">
        <f>T.KOTARAYA!H45</f>
        <v>0</v>
      </c>
      <c r="I48" s="280">
        <f>PI!AH321</f>
        <v>0</v>
      </c>
      <c r="J48" s="280">
        <f>PI!AI321</f>
        <v>0</v>
      </c>
      <c r="K48" s="280">
        <f>PI!AJ321</f>
        <v>0</v>
      </c>
      <c r="L48" s="280">
        <f>PI!AK321</f>
        <v>0</v>
      </c>
      <c r="M48" s="280">
        <f>PI!AL321</f>
        <v>0</v>
      </c>
      <c r="N48" s="280">
        <f>PI!AM321</f>
        <v>0</v>
      </c>
      <c r="O48" s="280">
        <f>PI!AN321</f>
        <v>0</v>
      </c>
      <c r="P48" s="280">
        <f>PI!AO321</f>
        <v>0</v>
      </c>
      <c r="Q48" s="280">
        <f>PI!AP321</f>
        <v>0</v>
      </c>
      <c r="R48" s="280">
        <f>PI!AQ321</f>
        <v>0</v>
      </c>
      <c r="S48" s="280">
        <f>PI!AR321</f>
        <v>0</v>
      </c>
      <c r="T48" s="280">
        <f>PI!AS321</f>
        <v>0</v>
      </c>
    </row>
    <row r="49" spans="1:20" ht="15" customHeight="1">
      <c r="A49" s="51">
        <f>T.KOTARAYA!A49</f>
        <v>13</v>
      </c>
      <c r="B49" s="267" t="str">
        <f>T.KOTARAYA!B49</f>
        <v>Kepatuhan :</v>
      </c>
      <c r="C49" s="364"/>
      <c r="D49" s="53"/>
      <c r="E49" s="61"/>
      <c r="F49" s="53"/>
      <c r="G49" s="89"/>
      <c r="H49" s="89"/>
      <c r="I49" s="225"/>
      <c r="J49" s="225"/>
      <c r="K49" s="225"/>
      <c r="L49" s="225"/>
      <c r="M49" s="225"/>
      <c r="N49" s="225"/>
      <c r="O49" s="225"/>
      <c r="P49" s="225"/>
      <c r="Q49" s="225"/>
      <c r="R49" s="225"/>
      <c r="S49" s="225"/>
      <c r="T49" s="225"/>
    </row>
    <row r="50" spans="1:20" ht="26.45" customHeight="1">
      <c r="A50" s="51"/>
      <c r="B50" s="52" t="str">
        <f>T.KOTARAYA!B50</f>
        <v>a. Pengelolaan K3, Keamanan dan Lingkungan Hidup</v>
      </c>
      <c r="C50" s="364"/>
      <c r="D50" s="53"/>
      <c r="E50" s="61" t="e">
        <f>#REF!</f>
        <v>#REF!</v>
      </c>
      <c r="F50" s="53" t="str">
        <f>T.KOTARAYA!F50</f>
        <v>Max-8</v>
      </c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</row>
    <row r="51" spans="1:20" ht="35.450000000000003" customHeight="1">
      <c r="A51" s="51"/>
      <c r="B51" s="52" t="str">
        <f>T.KOTARAYA!B51</f>
        <v>b. Maturity Level Implementasi Sistem Manajemen Anti Penyuapan (SMAP)</v>
      </c>
      <c r="C51" s="364"/>
      <c r="D51" s="53"/>
      <c r="E51" s="61" t="e">
        <f>#REF!</f>
        <v>#REF!</v>
      </c>
      <c r="F51" s="53" t="str">
        <f>T.KOTARAYA!F51</f>
        <v>Max-4</v>
      </c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</row>
    <row r="52" spans="1:20" ht="33">
      <c r="A52" s="51"/>
      <c r="B52" s="52" t="str">
        <f>T.KOTARAYA!B52</f>
        <v>c. Ketepatan penyampaian pelaporan dan Akurasi Data Kinerja</v>
      </c>
      <c r="C52" s="364"/>
      <c r="D52" s="53"/>
      <c r="E52" s="61" t="e">
        <f>#REF!</f>
        <v>#REF!</v>
      </c>
      <c r="F52" s="53" t="str">
        <f>T.KOTARAYA!F52</f>
        <v>Max-10</v>
      </c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111"/>
    </row>
    <row r="53" spans="1:20" ht="16.5">
      <c r="A53" s="51"/>
      <c r="B53" s="52" t="str">
        <f>T.KOTARAYA!B53</f>
        <v>d. Tindak Lanjut Temuan Auditor</v>
      </c>
      <c r="C53" s="364"/>
      <c r="D53" s="53"/>
      <c r="E53" s="61"/>
      <c r="F53" s="53" t="str">
        <f>T.KOTARAYA!F53</f>
        <v>Max-5</v>
      </c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</row>
    <row r="54" spans="1:20" ht="15" customHeight="1">
      <c r="A54" s="51"/>
      <c r="B54" s="52" t="str">
        <f>T.KOTARAYA!B54</f>
        <v>e. Pencapaian Beyond RKAP</v>
      </c>
      <c r="C54" s="364"/>
      <c r="D54" s="53"/>
      <c r="E54" s="61" t="e">
        <f>#REF!</f>
        <v>#REF!</v>
      </c>
      <c r="F54" s="53" t="str">
        <f>T.KOTARAYA!F54</f>
        <v>Max-2
Max+2</v>
      </c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</row>
    <row r="55" spans="1:20" s="156" customFormat="1" ht="15" customHeight="1">
      <c r="A55" s="54"/>
      <c r="B55" s="55" t="str">
        <f>T.TOLIS!B55</f>
        <v>TOTAL BOBOT</v>
      </c>
      <c r="C55" s="365"/>
      <c r="D55" s="129"/>
      <c r="E55" s="55"/>
      <c r="F55" s="139">
        <f>F7+F17</f>
        <v>100</v>
      </c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</row>
    <row r="57" spans="1:20">
      <c r="A57" s="2"/>
      <c r="B57" s="3" t="s">
        <v>368</v>
      </c>
      <c r="C57" s="367"/>
      <c r="D57" s="4">
        <f>COUNTA(D8:D54)</f>
        <v>31</v>
      </c>
      <c r="E57" s="2"/>
      <c r="F57" s="4"/>
      <c r="G57" s="4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r="59" spans="1:20">
      <c r="A59" s="63" t="s">
        <v>369</v>
      </c>
      <c r="B59" s="26"/>
      <c r="C59" s="368"/>
      <c r="D59" s="25"/>
      <c r="E59" s="25"/>
      <c r="F59" s="25"/>
      <c r="G59" s="25"/>
      <c r="H59" s="25"/>
      <c r="I59" s="25"/>
      <c r="J59" s="25"/>
      <c r="K59" s="25"/>
      <c r="L59" s="25"/>
      <c r="M59" s="25"/>
      <c r="Q59" s="25"/>
      <c r="S59" s="25"/>
    </row>
    <row r="60" spans="1:20">
      <c r="A60" s="25">
        <v>3</v>
      </c>
      <c r="B60" s="64" t="s">
        <v>370</v>
      </c>
      <c r="C60" s="368"/>
      <c r="D60" s="25"/>
      <c r="E60" s="25"/>
      <c r="F60" s="25"/>
      <c r="G60" s="25"/>
      <c r="H60" s="25"/>
      <c r="I60" s="25"/>
      <c r="J60" s="25"/>
      <c r="K60" s="25"/>
      <c r="L60" s="25"/>
      <c r="M60" s="25"/>
      <c r="Q60" s="25"/>
      <c r="S60" s="25"/>
    </row>
    <row r="61" spans="1:20">
      <c r="A61" s="25">
        <v>1</v>
      </c>
      <c r="B61" s="64" t="s">
        <v>371</v>
      </c>
      <c r="C61" s="368"/>
      <c r="D61" s="25"/>
      <c r="E61" s="25"/>
      <c r="F61" s="25"/>
      <c r="G61" s="25"/>
      <c r="H61" s="25"/>
      <c r="I61" s="25"/>
      <c r="J61" s="25"/>
      <c r="K61" s="25"/>
      <c r="L61" s="25"/>
      <c r="M61" s="25"/>
      <c r="Q61" s="25"/>
      <c r="S61" s="25"/>
    </row>
    <row r="62" spans="1:20">
      <c r="A62" s="25"/>
      <c r="B62" s="26"/>
      <c r="C62" s="368"/>
      <c r="D62" s="25"/>
      <c r="E62" s="25"/>
      <c r="F62" s="25"/>
      <c r="G62" s="25"/>
      <c r="H62" s="25"/>
      <c r="I62" s="25"/>
      <c r="J62" s="25"/>
      <c r="K62" s="25"/>
      <c r="L62" s="25"/>
      <c r="M62" s="25"/>
      <c r="Q62" s="25"/>
      <c r="S62" s="25"/>
    </row>
    <row r="63" spans="1:20">
      <c r="A63" s="25"/>
      <c r="B63" s="26"/>
      <c r="C63" s="368"/>
      <c r="D63" s="25"/>
      <c r="E63" s="25"/>
      <c r="F63" s="25"/>
      <c r="G63" s="25"/>
      <c r="H63" s="25"/>
      <c r="I63" s="25"/>
      <c r="J63" s="25"/>
      <c r="K63" s="25"/>
      <c r="L63" s="25"/>
      <c r="M63" s="25"/>
      <c r="Q63" s="25"/>
      <c r="S63" s="25"/>
    </row>
    <row r="64" spans="1:20">
      <c r="A64" s="24"/>
      <c r="B64" s="23"/>
      <c r="C64" s="368"/>
      <c r="D64" s="24"/>
      <c r="E64" s="24"/>
      <c r="F64" s="24"/>
      <c r="G64" s="24"/>
      <c r="H64" s="24"/>
      <c r="I64" s="24"/>
      <c r="J64" s="24"/>
      <c r="K64" s="24"/>
      <c r="L64" s="24"/>
      <c r="M64" s="24"/>
    </row>
    <row r="65" spans="17:19">
      <c r="Q65" s="24"/>
      <c r="S65" s="24"/>
    </row>
  </sheetData>
  <mergeCells count="9">
    <mergeCell ref="H4:H5"/>
    <mergeCell ref="I4:T4"/>
    <mergeCell ref="B6:C6"/>
    <mergeCell ref="A4:A5"/>
    <mergeCell ref="B4:C5"/>
    <mergeCell ref="D4:D5"/>
    <mergeCell ref="E4:E5"/>
    <mergeCell ref="F4:F5"/>
    <mergeCell ref="G4:G5"/>
  </mergeCells>
  <conditionalFormatting sqref="A60">
    <cfRule type="iconSet" priority="3">
      <iconSet iconSet="3ArrowsGray" showValue="0">
        <cfvo type="percent" val="0"/>
        <cfvo type="num" val="2"/>
        <cfvo type="num" val="3"/>
      </iconSet>
    </cfRule>
    <cfRule type="iconSet" priority="5">
      <iconSet iconSet="3ArrowsGray" showValue="0">
        <cfvo type="percent" val="0"/>
        <cfvo type="num" val="2"/>
        <cfvo type="num" val="3"/>
      </iconSet>
    </cfRule>
    <cfRule type="iconSet" priority="7">
      <iconSet iconSet="3ArrowsGray" showValue="0">
        <cfvo type="percent" val="0"/>
        <cfvo type="num" val="2"/>
        <cfvo type="num" val="3"/>
      </iconSet>
    </cfRule>
    <cfRule type="iconSet" priority="9">
      <iconSet iconSet="3ArrowsGray" showValue="0">
        <cfvo type="percent" val="0"/>
        <cfvo type="num" val="2"/>
        <cfvo type="num" val="3"/>
      </iconSet>
    </cfRule>
  </conditionalFormatting>
  <conditionalFormatting sqref="A61">
    <cfRule type="iconSet" priority="2">
      <iconSet iconSet="3ArrowsGray" showValue="0">
        <cfvo type="percent" val="0"/>
        <cfvo type="num" val="2"/>
        <cfvo type="num" val="3"/>
      </iconSet>
    </cfRule>
    <cfRule type="iconSet" priority="4">
      <iconSet iconSet="3ArrowsGray" showValue="0">
        <cfvo type="percent" val="0"/>
        <cfvo type="num" val="2"/>
        <cfvo type="num" val="3"/>
      </iconSet>
    </cfRule>
    <cfRule type="iconSet" priority="6">
      <iconSet iconSet="3ArrowsGray" showValue="0">
        <cfvo type="percent" val="0"/>
        <cfvo type="num" val="2"/>
        <cfvo type="num" val="3"/>
      </iconSet>
    </cfRule>
    <cfRule type="iconSet" priority="8">
      <iconSet iconSet="3ArrowsGray" showValue="0">
        <cfvo type="percent" val="0"/>
        <cfvo type="num" val="2"/>
        <cfvo type="num" val="3"/>
      </iconSet>
    </cfRule>
  </conditionalFormatting>
  <conditionalFormatting sqref="C8:C16">
    <cfRule type="iconSet" priority="48441">
      <iconSet iconSet="3ArrowsGray" showValue="0">
        <cfvo type="percent" val="0"/>
        <cfvo type="num" val="2"/>
        <cfvo type="num" val="3"/>
      </iconSet>
    </cfRule>
    <cfRule type="iconSet" priority="48442">
      <iconSet iconSet="3ArrowsGray" showValue="0">
        <cfvo type="percent" val="0"/>
        <cfvo type="num" val="2"/>
        <cfvo type="num" val="3"/>
      </iconSet>
    </cfRule>
  </conditionalFormatting>
  <conditionalFormatting sqref="C18:C54">
    <cfRule type="iconSet" priority="47765">
      <iconSet iconSet="3ArrowsGray" showValue="0">
        <cfvo type="percent" val="0"/>
        <cfvo type="num" val="2"/>
        <cfvo type="num" val="3"/>
      </iconSet>
    </cfRule>
  </conditionalFormatting>
  <conditionalFormatting sqref="C56">
    <cfRule type="iconSet" priority="12">
      <iconSet iconSet="3ArrowsGray" showValue="0">
        <cfvo type="percent" val="0"/>
        <cfvo type="num" val="2"/>
        <cfvo type="num" val="3"/>
      </iconSet>
    </cfRule>
    <cfRule type="iconSet" priority="14">
      <iconSet iconSet="3ArrowsGray" showValue="0">
        <cfvo type="percent" val="0"/>
        <cfvo type="num" val="2"/>
        <cfvo type="num" val="3"/>
      </iconSet>
    </cfRule>
  </conditionalFormatting>
  <conditionalFormatting sqref="C57">
    <cfRule type="iconSet" priority="18">
      <iconSet iconSet="3ArrowsGray" showValue="0">
        <cfvo type="percent" val="0"/>
        <cfvo type="num" val="2"/>
        <cfvo type="num" val="3"/>
      </iconSet>
    </cfRule>
  </conditionalFormatting>
  <conditionalFormatting sqref="D56 H56">
    <cfRule type="iconSet" priority="13">
      <iconSet iconSet="3ArrowsGray" showValue="0">
        <cfvo type="percent" val="0"/>
        <cfvo type="num" val="2"/>
        <cfvo type="num" val="3"/>
      </iconSet>
    </cfRule>
  </conditionalFormatting>
  <conditionalFormatting sqref="D56">
    <cfRule type="iconSet" priority="16">
      <iconSet iconSet="3ArrowsGray" showValue="0">
        <cfvo type="percent" val="0"/>
        <cfvo type="num" val="2"/>
        <cfvo type="num" val="3"/>
      </iconSet>
    </cfRule>
  </conditionalFormatting>
  <conditionalFormatting sqref="E56">
    <cfRule type="iconSet" priority="15">
      <iconSet iconSet="3ArrowsGray" showValue="0">
        <cfvo type="percent" val="0"/>
        <cfvo type="num" val="2"/>
        <cfvo type="num" val="3"/>
      </iconSet>
    </cfRule>
  </conditionalFormatting>
  <conditionalFormatting sqref="H56">
    <cfRule type="iconSet" priority="11">
      <iconSet iconSet="3ArrowsGray" showValue="0">
        <cfvo type="percent" val="0"/>
        <cfvo type="num" val="2"/>
        <cfvo type="num" val="3"/>
      </iconSet>
    </cfRule>
  </conditionalFormatting>
  <conditionalFormatting sqref="H57:T57">
    <cfRule type="iconSet" priority="17">
      <iconSet iconSet="3ArrowsGray" showValue="0">
        <cfvo type="percent" val="0"/>
        <cfvo type="num" val="2"/>
        <cfvo type="num" val="3"/>
      </iconSet>
    </cfRule>
    <cfRule type="iconSet" priority="19">
      <iconSet iconSet="3ArrowsGray" showValue="0">
        <cfvo type="percent" val="0"/>
        <cfvo type="num" val="2"/>
        <cfvo type="num" val="3"/>
      </iconSet>
    </cfRule>
  </conditionalFormatting>
  <conditionalFormatting sqref="I56:T56">
    <cfRule type="iconSet" priority="10">
      <iconSet iconSet="3ArrowsGray" showValue="0">
        <cfvo type="percent" val="0"/>
        <cfvo type="num" val="2"/>
        <cfvo type="num" val="3"/>
      </iconSet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10000" scale="42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2D050"/>
    <pageSetUpPr fitToPage="1"/>
  </sheetPr>
  <dimension ref="A1:CH80"/>
  <sheetViews>
    <sheetView tabSelected="1" topLeftCell="AK1" zoomScale="70" zoomScaleNormal="70" workbookViewId="0">
      <selection activeCell="BC24" sqref="BC24"/>
    </sheetView>
  </sheetViews>
  <sheetFormatPr defaultColWidth="8.85546875" defaultRowHeight="15"/>
  <cols>
    <col min="1" max="1" width="5.7109375" style="28" customWidth="1"/>
    <col min="2" max="2" width="57.7109375" style="30" customWidth="1"/>
    <col min="3" max="3" width="2.85546875" style="30" customWidth="1"/>
    <col min="4" max="4" width="14.7109375" style="28" customWidth="1"/>
    <col min="5" max="5" width="127.7109375" style="28" hidden="1" customWidth="1"/>
    <col min="6" max="6" width="11.28515625" style="30" bestFit="1" customWidth="1"/>
    <col min="7" max="20" width="10.7109375" style="30" customWidth="1"/>
    <col min="21" max="21" width="15.7109375" style="31" customWidth="1"/>
    <col min="22" max="22" width="15.7109375" style="30" customWidth="1"/>
    <col min="23" max="23" width="8.28515625" style="30" customWidth="1"/>
    <col min="24" max="24" width="57.7109375" style="30" customWidth="1"/>
    <col min="25" max="25" width="2.85546875" style="30" customWidth="1"/>
    <col min="26" max="26" width="14.7109375" style="30" customWidth="1"/>
    <col min="27" max="27" width="0" style="30" hidden="1" customWidth="1"/>
    <col min="28" max="28" width="11.85546875" style="30" bestFit="1" customWidth="1"/>
    <col min="29" max="29" width="11.28515625" style="30" customWidth="1"/>
    <col min="30" max="30" width="12" style="30" bestFit="1" customWidth="1"/>
    <col min="31" max="42" width="10.7109375" style="30" customWidth="1"/>
    <col min="43" max="44" width="8.85546875" style="30" customWidth="1"/>
    <col min="45" max="45" width="8.28515625" style="30" customWidth="1"/>
    <col min="46" max="46" width="57.7109375" style="30" customWidth="1"/>
    <col min="47" max="47" width="9.42578125" style="30" bestFit="1" customWidth="1"/>
    <col min="48" max="48" width="14.7109375" style="30" customWidth="1"/>
    <col min="49" max="49" width="0" style="30" hidden="1" customWidth="1"/>
    <col min="50" max="50" width="11.85546875" style="30" bestFit="1" customWidth="1"/>
    <col min="51" max="51" width="11.28515625" style="30" customWidth="1"/>
    <col min="52" max="52" width="12" style="30" bestFit="1" customWidth="1"/>
    <col min="53" max="64" width="10.7109375" style="30" customWidth="1"/>
    <col min="65" max="66" width="8.85546875" style="30"/>
    <col min="67" max="67" width="8.28515625" style="30" customWidth="1"/>
    <col min="68" max="68" width="57.7109375" style="30" customWidth="1"/>
    <col min="69" max="69" width="2.85546875" style="30" customWidth="1"/>
    <col min="70" max="70" width="14.7109375" style="30" customWidth="1"/>
    <col min="71" max="71" width="0" style="30" hidden="1" customWidth="1"/>
    <col min="72" max="72" width="11.85546875" style="30" bestFit="1" customWidth="1"/>
    <col min="73" max="73" width="11.28515625" style="30" customWidth="1"/>
    <col min="74" max="74" width="12" style="30" bestFit="1" customWidth="1"/>
    <col min="75" max="86" width="10.7109375" style="30" customWidth="1"/>
    <col min="87" max="16384" width="8.85546875" style="30"/>
  </cols>
  <sheetData>
    <row r="1" spans="1:86" ht="15.75">
      <c r="B1" s="29" t="s">
        <v>270</v>
      </c>
      <c r="C1" s="28"/>
      <c r="I1" s="22"/>
      <c r="W1" s="28"/>
      <c r="X1" s="29" t="s">
        <v>270</v>
      </c>
      <c r="AS1" s="28"/>
      <c r="AT1" s="29" t="s">
        <v>270</v>
      </c>
      <c r="BO1" s="28"/>
      <c r="BP1" s="29" t="s">
        <v>270</v>
      </c>
    </row>
    <row r="2" spans="1:86" ht="15.75">
      <c r="B2" s="29" t="s">
        <v>123</v>
      </c>
      <c r="C2" s="28"/>
      <c r="W2" s="28"/>
      <c r="X2" s="29" t="s">
        <v>123</v>
      </c>
      <c r="AS2" s="28"/>
      <c r="AT2" s="29" t="s">
        <v>123</v>
      </c>
      <c r="BO2" s="28"/>
      <c r="BP2" s="29" t="s">
        <v>123</v>
      </c>
    </row>
    <row r="3" spans="1:86" ht="15.75">
      <c r="B3" s="29" t="s">
        <v>124</v>
      </c>
      <c r="C3" s="28"/>
      <c r="W3" s="28"/>
      <c r="X3" s="29" t="s">
        <v>124</v>
      </c>
      <c r="AS3" s="28"/>
      <c r="AT3" s="29" t="s">
        <v>124</v>
      </c>
      <c r="BO3" s="28"/>
      <c r="BP3" s="29" t="s">
        <v>124</v>
      </c>
    </row>
    <row r="4" spans="1:86" s="192" customFormat="1" ht="15" customHeight="1">
      <c r="A4" s="801" t="s">
        <v>8</v>
      </c>
      <c r="B4" s="803" t="s">
        <v>9</v>
      </c>
      <c r="C4" s="804"/>
      <c r="D4" s="801" t="s">
        <v>93</v>
      </c>
      <c r="E4" s="801" t="s">
        <v>271</v>
      </c>
      <c r="F4" s="801" t="s">
        <v>99</v>
      </c>
      <c r="G4" s="797" t="s">
        <v>100</v>
      </c>
      <c r="H4" s="797"/>
      <c r="I4" s="798" t="s">
        <v>381</v>
      </c>
      <c r="J4" s="799"/>
      <c r="K4" s="799"/>
      <c r="L4" s="799"/>
      <c r="M4" s="799"/>
      <c r="N4" s="799"/>
      <c r="O4" s="799"/>
      <c r="P4" s="799"/>
      <c r="Q4" s="799"/>
      <c r="R4" s="799"/>
      <c r="S4" s="799"/>
      <c r="T4" s="800"/>
      <c r="U4" s="191"/>
      <c r="W4" s="801" t="s">
        <v>8</v>
      </c>
      <c r="X4" s="803" t="s">
        <v>9</v>
      </c>
      <c r="Y4" s="804"/>
      <c r="Z4" s="801" t="s">
        <v>93</v>
      </c>
      <c r="AA4" s="801" t="s">
        <v>271</v>
      </c>
      <c r="AB4" s="801" t="s">
        <v>99</v>
      </c>
      <c r="AC4" s="797" t="s">
        <v>254</v>
      </c>
      <c r="AD4" s="797"/>
      <c r="AE4" s="798" t="s">
        <v>479</v>
      </c>
      <c r="AF4" s="799"/>
      <c r="AG4" s="799"/>
      <c r="AH4" s="799"/>
      <c r="AI4" s="799"/>
      <c r="AJ4" s="799"/>
      <c r="AK4" s="799"/>
      <c r="AL4" s="799"/>
      <c r="AM4" s="799"/>
      <c r="AN4" s="799"/>
      <c r="AO4" s="799"/>
      <c r="AP4" s="800"/>
      <c r="AQ4" s="866" t="s">
        <v>502</v>
      </c>
      <c r="AR4" s="867"/>
      <c r="AS4" s="801" t="s">
        <v>8</v>
      </c>
      <c r="AT4" s="803" t="s">
        <v>9</v>
      </c>
      <c r="AU4" s="804"/>
      <c r="AV4" s="801" t="s">
        <v>93</v>
      </c>
      <c r="AW4" s="801" t="s">
        <v>271</v>
      </c>
      <c r="AX4" s="801" t="s">
        <v>99</v>
      </c>
      <c r="AY4" s="797" t="s">
        <v>102</v>
      </c>
      <c r="AZ4" s="797"/>
      <c r="BA4" s="798" t="s">
        <v>482</v>
      </c>
      <c r="BB4" s="799"/>
      <c r="BC4" s="799"/>
      <c r="BD4" s="799"/>
      <c r="BE4" s="799"/>
      <c r="BF4" s="799"/>
      <c r="BG4" s="799"/>
      <c r="BH4" s="799"/>
      <c r="BI4" s="799"/>
      <c r="BJ4" s="799"/>
      <c r="BK4" s="799"/>
      <c r="BL4" s="800"/>
      <c r="BO4" s="801" t="s">
        <v>8</v>
      </c>
      <c r="BP4" s="803" t="s">
        <v>9</v>
      </c>
      <c r="BQ4" s="804"/>
      <c r="BR4" s="801" t="s">
        <v>93</v>
      </c>
      <c r="BS4" s="801" t="s">
        <v>271</v>
      </c>
      <c r="BT4" s="801" t="s">
        <v>99</v>
      </c>
      <c r="BU4" s="797" t="s">
        <v>102</v>
      </c>
      <c r="BV4" s="797"/>
      <c r="BW4" s="798" t="s">
        <v>482</v>
      </c>
      <c r="BX4" s="799"/>
      <c r="BY4" s="799"/>
      <c r="BZ4" s="799"/>
      <c r="CA4" s="799"/>
      <c r="CB4" s="799"/>
      <c r="CC4" s="799"/>
      <c r="CD4" s="799"/>
      <c r="CE4" s="799"/>
      <c r="CF4" s="799"/>
      <c r="CG4" s="799"/>
      <c r="CH4" s="800"/>
    </row>
    <row r="5" spans="1:86" s="192" customFormat="1">
      <c r="A5" s="802"/>
      <c r="B5" s="805"/>
      <c r="C5" s="806"/>
      <c r="D5" s="802"/>
      <c r="E5" s="802"/>
      <c r="F5" s="802"/>
      <c r="G5" s="454" t="s">
        <v>273</v>
      </c>
      <c r="H5" s="454" t="s">
        <v>274</v>
      </c>
      <c r="I5" s="193" t="s">
        <v>94</v>
      </c>
      <c r="J5" s="193" t="s">
        <v>95</v>
      </c>
      <c r="K5" s="193" t="s">
        <v>96</v>
      </c>
      <c r="L5" s="193" t="s">
        <v>488</v>
      </c>
      <c r="M5" s="193" t="s">
        <v>489</v>
      </c>
      <c r="N5" s="193" t="s">
        <v>490</v>
      </c>
      <c r="O5" s="193" t="s">
        <v>491</v>
      </c>
      <c r="P5" s="193" t="s">
        <v>165</v>
      </c>
      <c r="Q5" s="193" t="s">
        <v>167</v>
      </c>
      <c r="R5" s="193" t="s">
        <v>492</v>
      </c>
      <c r="S5" s="193" t="s">
        <v>171</v>
      </c>
      <c r="T5" s="483" t="s">
        <v>493</v>
      </c>
      <c r="U5" s="191"/>
      <c r="W5" s="802"/>
      <c r="X5" s="805"/>
      <c r="Y5" s="806"/>
      <c r="Z5" s="802"/>
      <c r="AA5" s="802"/>
      <c r="AB5" s="802"/>
      <c r="AC5" s="454" t="s">
        <v>480</v>
      </c>
      <c r="AD5" s="454" t="s">
        <v>481</v>
      </c>
      <c r="AE5" s="193" t="s">
        <v>94</v>
      </c>
      <c r="AF5" s="193" t="s">
        <v>95</v>
      </c>
      <c r="AG5" s="193" t="s">
        <v>96</v>
      </c>
      <c r="AH5" s="193" t="s">
        <v>488</v>
      </c>
      <c r="AI5" s="193" t="s">
        <v>489</v>
      </c>
      <c r="AJ5" s="193" t="s">
        <v>490</v>
      </c>
      <c r="AK5" s="193" t="s">
        <v>491</v>
      </c>
      <c r="AL5" s="193" t="s">
        <v>165</v>
      </c>
      <c r="AM5" s="193" t="s">
        <v>167</v>
      </c>
      <c r="AN5" s="193" t="s">
        <v>492</v>
      </c>
      <c r="AO5" s="193" t="s">
        <v>171</v>
      </c>
      <c r="AP5" s="483" t="s">
        <v>493</v>
      </c>
      <c r="AQ5" s="866"/>
      <c r="AR5" s="867"/>
      <c r="AS5" s="802"/>
      <c r="AT5" s="805"/>
      <c r="AU5" s="806"/>
      <c r="AV5" s="802"/>
      <c r="AW5" s="802"/>
      <c r="AX5" s="802"/>
      <c r="AY5" s="454" t="s">
        <v>480</v>
      </c>
      <c r="AZ5" s="454" t="s">
        <v>481</v>
      </c>
      <c r="BA5" s="193" t="s">
        <v>94</v>
      </c>
      <c r="BB5" s="193" t="s">
        <v>95</v>
      </c>
      <c r="BC5" s="193" t="s">
        <v>96</v>
      </c>
      <c r="BD5" s="193" t="s">
        <v>488</v>
      </c>
      <c r="BE5" s="193" t="s">
        <v>489</v>
      </c>
      <c r="BF5" s="193" t="s">
        <v>490</v>
      </c>
      <c r="BG5" s="193" t="s">
        <v>491</v>
      </c>
      <c r="BH5" s="193" t="s">
        <v>165</v>
      </c>
      <c r="BI5" s="193" t="s">
        <v>167</v>
      </c>
      <c r="BJ5" s="193" t="s">
        <v>492</v>
      </c>
      <c r="BK5" s="193" t="s">
        <v>171</v>
      </c>
      <c r="BL5" s="483" t="s">
        <v>493</v>
      </c>
      <c r="BO5" s="802"/>
      <c r="BP5" s="805"/>
      <c r="BQ5" s="806"/>
      <c r="BR5" s="802"/>
      <c r="BS5" s="802"/>
      <c r="BT5" s="802"/>
      <c r="BU5" s="454" t="s">
        <v>480</v>
      </c>
      <c r="BV5" s="454" t="s">
        <v>481</v>
      </c>
      <c r="BW5" s="193" t="s">
        <v>94</v>
      </c>
      <c r="BX5" s="193" t="s">
        <v>95</v>
      </c>
      <c r="BY5" s="193" t="s">
        <v>96</v>
      </c>
      <c r="BZ5" s="193" t="s">
        <v>488</v>
      </c>
      <c r="CA5" s="193" t="s">
        <v>489</v>
      </c>
      <c r="CB5" s="193" t="s">
        <v>490</v>
      </c>
      <c r="CC5" s="193" t="s">
        <v>491</v>
      </c>
      <c r="CD5" s="193" t="s">
        <v>165</v>
      </c>
      <c r="CE5" s="193" t="s">
        <v>167</v>
      </c>
      <c r="CF5" s="193" t="s">
        <v>492</v>
      </c>
      <c r="CG5" s="193" t="s">
        <v>171</v>
      </c>
      <c r="CH5" s="483" t="s">
        <v>493</v>
      </c>
    </row>
    <row r="6" spans="1:86" s="192" customFormat="1" ht="15" customHeight="1">
      <c r="A6" s="454">
        <v>1</v>
      </c>
      <c r="B6" s="398">
        <v>2</v>
      </c>
      <c r="C6" s="399"/>
      <c r="D6" s="454">
        <v>3</v>
      </c>
      <c r="E6" s="454">
        <v>4</v>
      </c>
      <c r="F6" s="454">
        <v>5</v>
      </c>
      <c r="G6" s="454">
        <v>6</v>
      </c>
      <c r="H6" s="454">
        <v>7</v>
      </c>
      <c r="I6" s="454">
        <v>8</v>
      </c>
      <c r="J6" s="454">
        <v>9</v>
      </c>
      <c r="K6" s="454">
        <v>10</v>
      </c>
      <c r="L6" s="454">
        <v>11</v>
      </c>
      <c r="M6" s="454">
        <v>12</v>
      </c>
      <c r="N6" s="454">
        <v>13</v>
      </c>
      <c r="O6" s="454">
        <v>14</v>
      </c>
      <c r="P6" s="454">
        <v>15</v>
      </c>
      <c r="Q6" s="454">
        <v>16</v>
      </c>
      <c r="R6" s="454">
        <v>17</v>
      </c>
      <c r="S6" s="454">
        <v>18</v>
      </c>
      <c r="T6" s="454">
        <v>19</v>
      </c>
      <c r="U6" s="191"/>
      <c r="W6" s="454">
        <v>1</v>
      </c>
      <c r="X6" s="398">
        <v>2</v>
      </c>
      <c r="Y6" s="399"/>
      <c r="Z6" s="454">
        <v>3</v>
      </c>
      <c r="AA6" s="454">
        <v>4</v>
      </c>
      <c r="AB6" s="454">
        <v>5</v>
      </c>
      <c r="AC6" s="454">
        <v>6</v>
      </c>
      <c r="AD6" s="454">
        <v>7</v>
      </c>
      <c r="AE6" s="454">
        <v>8</v>
      </c>
      <c r="AF6" s="454">
        <v>9</v>
      </c>
      <c r="AG6" s="454">
        <v>10</v>
      </c>
      <c r="AH6" s="454">
        <v>11</v>
      </c>
      <c r="AI6" s="454">
        <v>12</v>
      </c>
      <c r="AJ6" s="454">
        <v>13</v>
      </c>
      <c r="AK6" s="454">
        <v>14</v>
      </c>
      <c r="AL6" s="454">
        <v>15</v>
      </c>
      <c r="AM6" s="454">
        <v>16</v>
      </c>
      <c r="AN6" s="454">
        <v>17</v>
      </c>
      <c r="AO6" s="454">
        <v>18</v>
      </c>
      <c r="AP6" s="454">
        <v>19</v>
      </c>
      <c r="AQ6" s="866"/>
      <c r="AR6" s="867"/>
      <c r="AS6" s="454">
        <v>1</v>
      </c>
      <c r="AT6" s="398">
        <v>2</v>
      </c>
      <c r="AU6" s="399"/>
      <c r="AV6" s="454">
        <v>3</v>
      </c>
      <c r="AW6" s="454">
        <v>4</v>
      </c>
      <c r="AX6" s="454">
        <v>5</v>
      </c>
      <c r="AY6" s="454">
        <v>6</v>
      </c>
      <c r="AZ6" s="454">
        <v>7</v>
      </c>
      <c r="BA6" s="454">
        <v>8</v>
      </c>
      <c r="BB6" s="454">
        <v>9</v>
      </c>
      <c r="BC6" s="454">
        <v>10</v>
      </c>
      <c r="BD6" s="454">
        <v>11</v>
      </c>
      <c r="BE6" s="454">
        <v>12</v>
      </c>
      <c r="BF6" s="454">
        <v>13</v>
      </c>
      <c r="BG6" s="454">
        <v>14</v>
      </c>
      <c r="BH6" s="454">
        <v>15</v>
      </c>
      <c r="BI6" s="454">
        <v>16</v>
      </c>
      <c r="BJ6" s="454">
        <v>17</v>
      </c>
      <c r="BK6" s="454">
        <v>18</v>
      </c>
      <c r="BL6" s="454">
        <v>19</v>
      </c>
      <c r="BO6" s="454">
        <v>1</v>
      </c>
      <c r="BP6" s="398">
        <v>2</v>
      </c>
      <c r="BQ6" s="399"/>
      <c r="BR6" s="454">
        <v>3</v>
      </c>
      <c r="BS6" s="454">
        <v>4</v>
      </c>
      <c r="BT6" s="454">
        <v>5</v>
      </c>
      <c r="BU6" s="454">
        <v>6</v>
      </c>
      <c r="BV6" s="454">
        <v>7</v>
      </c>
      <c r="BW6" s="454">
        <v>8</v>
      </c>
      <c r="BX6" s="454">
        <v>9</v>
      </c>
      <c r="BY6" s="454">
        <v>10</v>
      </c>
      <c r="BZ6" s="454">
        <v>11</v>
      </c>
      <c r="CA6" s="454">
        <v>12</v>
      </c>
      <c r="CB6" s="454">
        <v>13</v>
      </c>
      <c r="CC6" s="454">
        <v>14</v>
      </c>
      <c r="CD6" s="454">
        <v>15</v>
      </c>
      <c r="CE6" s="454">
        <v>16</v>
      </c>
      <c r="CF6" s="454">
        <v>17</v>
      </c>
      <c r="CG6" s="454">
        <v>18</v>
      </c>
      <c r="CH6" s="454">
        <v>19</v>
      </c>
    </row>
    <row r="7" spans="1:86" s="196" customFormat="1" ht="16.5">
      <c r="A7" s="47" t="s">
        <v>267</v>
      </c>
      <c r="B7" s="48" t="s">
        <v>275</v>
      </c>
      <c r="C7" s="49"/>
      <c r="D7" s="50"/>
      <c r="E7" s="270"/>
      <c r="F7" s="62">
        <f>SUM(F8:F16)</f>
        <v>40</v>
      </c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260"/>
      <c r="U7" s="195"/>
      <c r="W7" s="47" t="s">
        <v>267</v>
      </c>
      <c r="X7" s="48" t="s">
        <v>275</v>
      </c>
      <c r="Y7" s="49"/>
      <c r="Z7" s="50"/>
      <c r="AA7" s="270"/>
      <c r="AB7" s="62">
        <f>SUM(AB8:AB16)</f>
        <v>40</v>
      </c>
      <c r="AC7" s="62"/>
      <c r="AD7" s="62"/>
      <c r="AE7" s="208"/>
      <c r="AF7" s="209"/>
      <c r="AG7" s="208"/>
      <c r="AH7" s="208"/>
      <c r="AI7" s="208"/>
      <c r="AJ7" s="208"/>
      <c r="AK7" s="208"/>
      <c r="AL7" s="208"/>
      <c r="AM7" s="208"/>
      <c r="AN7" s="208"/>
      <c r="AO7" s="208"/>
      <c r="AP7" s="209"/>
      <c r="AQ7" s="868"/>
      <c r="AR7" s="868" t="e" cm="1">
        <f t="array" ref="AR7:AR69">SEARCH(".",X7:X69)</f>
        <v>#VALUE!</v>
      </c>
      <c r="AS7" s="47" t="s">
        <v>267</v>
      </c>
      <c r="AT7" s="48" t="str" cm="1">
        <f t="array" ref="AT7:AT69">IF(ISERROR(_xlfn.ANCHORARRAY($AR$7))=TRUE,$X$7:$X$69,RIGHT($X$7:$X$69,(LEN($X$7:$X$69)-_xlfn.ANCHORARRAY($AR$7)-1)))</f>
        <v>Key Performance Indikator</v>
      </c>
      <c r="AU7" s="49"/>
      <c r="AV7" s="50"/>
      <c r="AW7" s="270"/>
      <c r="AX7" s="62">
        <f>SUM(AX8:AX16)</f>
        <v>40</v>
      </c>
      <c r="AY7" s="62"/>
      <c r="AZ7" s="62"/>
      <c r="BA7" s="208"/>
      <c r="BB7" s="209"/>
      <c r="BC7" s="208"/>
      <c r="BD7" s="208"/>
      <c r="BE7" s="208"/>
      <c r="BF7" s="208"/>
      <c r="BG7" s="208"/>
      <c r="BH7" s="208"/>
      <c r="BI7" s="208"/>
      <c r="BJ7" s="208"/>
      <c r="BK7" s="208"/>
      <c r="BL7" s="209"/>
      <c r="BO7" s="47" t="s">
        <v>267</v>
      </c>
      <c r="BP7" s="48" t="str" cm="1">
        <f t="array" ref="BP7:BP69">_xlfn.ANCHORARRAY($AT$7)</f>
        <v>Key Performance Indikator</v>
      </c>
      <c r="BQ7" s="49"/>
      <c r="BR7" s="50"/>
      <c r="BS7" s="270"/>
      <c r="BT7" s="62">
        <v>40</v>
      </c>
      <c r="BU7" s="62"/>
      <c r="BV7" s="62"/>
      <c r="BW7" s="208"/>
      <c r="BX7" s="209"/>
      <c r="BY7" s="208"/>
      <c r="BZ7" s="208"/>
      <c r="CA7" s="208"/>
      <c r="CB7" s="208"/>
      <c r="CC7" s="208"/>
      <c r="CD7" s="208"/>
      <c r="CE7" s="208"/>
      <c r="CF7" s="208"/>
      <c r="CG7" s="208"/>
      <c r="CH7" s="209"/>
    </row>
    <row r="8" spans="1:86" s="198" customFormat="1" ht="16.5">
      <c r="A8" s="51">
        <v>1</v>
      </c>
      <c r="B8" s="271" t="s">
        <v>382</v>
      </c>
      <c r="C8" s="301" t="s">
        <v>276</v>
      </c>
      <c r="D8" s="273" t="s">
        <v>383</v>
      </c>
      <c r="E8" s="61" t="s">
        <v>277</v>
      </c>
      <c r="F8" s="61">
        <v>14</v>
      </c>
      <c r="G8" s="257">
        <f>N8</f>
        <v>113.73</v>
      </c>
      <c r="H8" s="257">
        <f>T8</f>
        <v>231.47</v>
      </c>
      <c r="I8" s="257">
        <f>KPI!D23</f>
        <v>18.739999999999998</v>
      </c>
      <c r="J8" s="257">
        <f>KPI!E23</f>
        <v>36.549999999999997</v>
      </c>
      <c r="K8" s="257">
        <f>KPI!F23</f>
        <v>56.39</v>
      </c>
      <c r="L8" s="257">
        <f>KPI!G23</f>
        <v>75.55</v>
      </c>
      <c r="M8" s="257">
        <f>KPI!H23</f>
        <v>95.22</v>
      </c>
      <c r="N8" s="257">
        <f>KPI!I23</f>
        <v>113.73</v>
      </c>
      <c r="O8" s="257">
        <f>KPI!J23</f>
        <v>132.49</v>
      </c>
      <c r="P8" s="257">
        <f>KPI!K23</f>
        <v>151.71</v>
      </c>
      <c r="Q8" s="257">
        <f>KPI!L23</f>
        <v>171.15</v>
      </c>
      <c r="R8" s="257">
        <f>KPI!M23</f>
        <v>191.42</v>
      </c>
      <c r="S8" s="257">
        <f>KPI!N23</f>
        <v>211.32</v>
      </c>
      <c r="T8" s="90">
        <f>KPI!O23</f>
        <v>231.47</v>
      </c>
      <c r="U8" s="197"/>
      <c r="W8" s="51">
        <v>1</v>
      </c>
      <c r="X8" s="271" t="s">
        <v>382</v>
      </c>
      <c r="Y8" s="301" t="s">
        <v>276</v>
      </c>
      <c r="Z8" s="273" t="s">
        <v>383</v>
      </c>
      <c r="AA8" s="61" t="s">
        <v>277</v>
      </c>
      <c r="AB8" s="61">
        <v>14</v>
      </c>
      <c r="AC8" s="257">
        <f>AJ8</f>
        <v>111.651567363</v>
      </c>
      <c r="AD8" s="257">
        <f>AP8</f>
        <v>185.536898264</v>
      </c>
      <c r="AE8" s="212">
        <f>KPI!AH23</f>
        <v>22.980830736000001</v>
      </c>
      <c r="AF8" s="213">
        <f>KPI!AI23</f>
        <v>42.202825991000005</v>
      </c>
      <c r="AG8" s="212">
        <f>KPI!AJ23</f>
        <v>60.926308253999998</v>
      </c>
      <c r="AH8" s="212">
        <f>KPI!AK23</f>
        <v>76.412118610000007</v>
      </c>
      <c r="AI8" s="212">
        <f>KPI!AL23</f>
        <v>93.906393210000005</v>
      </c>
      <c r="AJ8" s="212">
        <f>KPI!AM23</f>
        <v>111.651567363</v>
      </c>
      <c r="AK8" s="212">
        <f>KPI!AN23</f>
        <v>129.839321754</v>
      </c>
      <c r="AL8" s="212">
        <f>KPI!AO23</f>
        <v>148.05997696200001</v>
      </c>
      <c r="AM8" s="212">
        <f>KPI!AP23</f>
        <v>166.35580660400001</v>
      </c>
      <c r="AN8" s="212">
        <f>KPI!AQ23</f>
        <v>185.536898264</v>
      </c>
      <c r="AO8" s="212">
        <f>KPI!AR23</f>
        <v>185.536898264</v>
      </c>
      <c r="AP8" s="213">
        <f>KPI!AS23</f>
        <v>185.536898264</v>
      </c>
      <c r="AQ8" s="868"/>
      <c r="AR8" s="868" t="e">
        <v>#VALUE!</v>
      </c>
      <c r="AS8" s="490">
        <v>1</v>
      </c>
      <c r="AT8" s="271" t="str">
        <v>Penjualan Tenaga Listrik</v>
      </c>
      <c r="AU8" s="331" t="s">
        <v>276</v>
      </c>
      <c r="AV8" s="487" t="s">
        <v>383</v>
      </c>
      <c r="AW8" s="488" t="s">
        <v>277</v>
      </c>
      <c r="AX8" s="488">
        <v>14</v>
      </c>
      <c r="AY8" s="489">
        <f>BF8</f>
        <v>98.172485151675019</v>
      </c>
      <c r="AZ8" s="489">
        <f>BL8</f>
        <v>80.15591578347086</v>
      </c>
      <c r="BA8" s="504">
        <f>IF(AE8/I8*100&gt;110,110,AE8/I8*100)</f>
        <v>110</v>
      </c>
      <c r="BB8" s="505">
        <f t="shared" ref="BB8:BL8" si="0">IF(AF8/J8*100&gt;110,110,AF8/J8*100)</f>
        <v>110</v>
      </c>
      <c r="BC8" s="504">
        <f t="shared" si="0"/>
        <v>108.04452607554531</v>
      </c>
      <c r="BD8" s="504">
        <f t="shared" si="0"/>
        <v>101.14112324288551</v>
      </c>
      <c r="BE8" s="504">
        <f t="shared" si="0"/>
        <v>98.620450756143669</v>
      </c>
      <c r="BF8" s="504">
        <f t="shared" si="0"/>
        <v>98.172485151675019</v>
      </c>
      <c r="BG8" s="504">
        <f t="shared" si="0"/>
        <v>97.999337122801705</v>
      </c>
      <c r="BH8" s="504">
        <f t="shared" si="0"/>
        <v>97.594078809570888</v>
      </c>
      <c r="BI8" s="504">
        <f t="shared" si="0"/>
        <v>97.198835293017822</v>
      </c>
      <c r="BJ8" s="504">
        <f t="shared" si="0"/>
        <v>96.926600284191835</v>
      </c>
      <c r="BK8" s="504">
        <f t="shared" si="0"/>
        <v>87.799024353586987</v>
      </c>
      <c r="BL8" s="505">
        <f t="shared" si="0"/>
        <v>80.15591578347086</v>
      </c>
      <c r="BO8" s="490">
        <v>1</v>
      </c>
      <c r="BP8" s="271" t="str">
        <v>Penjualan Tenaga Listrik</v>
      </c>
      <c r="BQ8" s="331" t="s">
        <v>276</v>
      </c>
      <c r="BR8" s="487" t="s">
        <v>383</v>
      </c>
      <c r="BS8" s="488" t="s">
        <v>277</v>
      </c>
      <c r="BT8" s="488">
        <v>14</v>
      </c>
      <c r="BU8" s="489">
        <f>CB8</f>
        <v>13.74</v>
      </c>
      <c r="BV8" s="489">
        <f>CH8</f>
        <v>11.22</v>
      </c>
      <c r="BW8" s="504" cm="1">
        <f t="array" ref="BW8:CH8">ROUNDDOWN(BT8*BA8:BL8/100,2)</f>
        <v>15.4</v>
      </c>
      <c r="BX8" s="505">
        <v>15.4</v>
      </c>
      <c r="BY8" s="504">
        <v>15.12</v>
      </c>
      <c r="BZ8" s="504">
        <v>14.15</v>
      </c>
      <c r="CA8" s="504">
        <v>13.8</v>
      </c>
      <c r="CB8" s="504">
        <v>13.74</v>
      </c>
      <c r="CC8" s="504">
        <v>13.71</v>
      </c>
      <c r="CD8" s="504">
        <v>13.66</v>
      </c>
      <c r="CE8" s="504">
        <v>13.6</v>
      </c>
      <c r="CF8" s="504">
        <v>13.56</v>
      </c>
      <c r="CG8" s="504">
        <v>12.29</v>
      </c>
      <c r="CH8" s="505">
        <v>11.22</v>
      </c>
    </row>
    <row r="9" spans="1:86" s="198" customFormat="1" ht="16.5">
      <c r="A9" s="51">
        <v>2</v>
      </c>
      <c r="B9" s="271" t="s">
        <v>384</v>
      </c>
      <c r="C9" s="301"/>
      <c r="D9" s="273"/>
      <c r="E9" s="61"/>
      <c r="F9" s="61">
        <v>14</v>
      </c>
      <c r="G9" s="257"/>
      <c r="H9" s="257"/>
      <c r="I9" s="257"/>
      <c r="J9" s="257"/>
      <c r="K9" s="257"/>
      <c r="L9" s="257"/>
      <c r="M9" s="257"/>
      <c r="N9" s="257"/>
      <c r="O9" s="257"/>
      <c r="P9" s="257"/>
      <c r="Q9" s="257"/>
      <c r="R9" s="257"/>
      <c r="S9" s="257"/>
      <c r="T9" s="90"/>
      <c r="U9" s="197"/>
      <c r="W9" s="51">
        <v>2</v>
      </c>
      <c r="X9" s="271" t="s">
        <v>384</v>
      </c>
      <c r="Y9" s="301"/>
      <c r="Z9" s="273"/>
      <c r="AA9" s="61"/>
      <c r="AB9" s="61">
        <v>14</v>
      </c>
      <c r="AC9" s="257"/>
      <c r="AD9" s="257"/>
      <c r="AE9" s="212"/>
      <c r="AF9" s="213"/>
      <c r="AG9" s="212"/>
      <c r="AH9" s="212"/>
      <c r="AI9" s="212"/>
      <c r="AJ9" s="212"/>
      <c r="AK9" s="212"/>
      <c r="AL9" s="212"/>
      <c r="AM9" s="212"/>
      <c r="AN9" s="212"/>
      <c r="AO9" s="212"/>
      <c r="AP9" s="213"/>
      <c r="AQ9" s="868"/>
      <c r="AR9" s="868" t="e">
        <v>#VALUE!</v>
      </c>
      <c r="AS9" s="490">
        <v>2</v>
      </c>
      <c r="AT9" s="271" t="str">
        <v>Keandalan Sistem</v>
      </c>
      <c r="AU9" s="331"/>
      <c r="AV9" s="487"/>
      <c r="AW9" s="488"/>
      <c r="AX9" s="488">
        <v>14</v>
      </c>
      <c r="AY9" s="489"/>
      <c r="AZ9" s="489"/>
      <c r="BA9" s="504"/>
      <c r="BB9" s="505"/>
      <c r="BC9" s="504"/>
      <c r="BD9" s="504"/>
      <c r="BE9" s="504"/>
      <c r="BF9" s="504"/>
      <c r="BG9" s="504"/>
      <c r="BH9" s="504"/>
      <c r="BI9" s="504"/>
      <c r="BJ9" s="504"/>
      <c r="BK9" s="504"/>
      <c r="BL9" s="505"/>
      <c r="BO9" s="490">
        <v>2</v>
      </c>
      <c r="BP9" s="271" t="str">
        <v>Keandalan Sistem</v>
      </c>
      <c r="BQ9" s="331"/>
      <c r="BR9" s="487"/>
      <c r="BS9" s="488"/>
      <c r="BT9" s="488">
        <v>14</v>
      </c>
      <c r="BU9" s="489"/>
      <c r="BV9" s="489"/>
      <c r="BW9" s="504"/>
      <c r="BX9" s="505"/>
      <c r="BY9" s="504"/>
      <c r="BZ9" s="504"/>
      <c r="CA9" s="504"/>
      <c r="CB9" s="504"/>
      <c r="CC9" s="504"/>
      <c r="CD9" s="504"/>
      <c r="CE9" s="504"/>
      <c r="CF9" s="504"/>
      <c r="CG9" s="504"/>
      <c r="CH9" s="505"/>
    </row>
    <row r="10" spans="1:86" s="198" customFormat="1" ht="16.5">
      <c r="A10" s="51"/>
      <c r="B10" s="52" t="s">
        <v>385</v>
      </c>
      <c r="C10" s="301" t="s">
        <v>278</v>
      </c>
      <c r="D10" s="273" t="s">
        <v>386</v>
      </c>
      <c r="E10" s="61" t="s">
        <v>279</v>
      </c>
      <c r="F10" s="61"/>
      <c r="G10" s="257">
        <f>N10</f>
        <v>140.34</v>
      </c>
      <c r="H10" s="257">
        <f>T10</f>
        <v>280.67</v>
      </c>
      <c r="I10" s="257">
        <f>KPI!D47</f>
        <v>23.39</v>
      </c>
      <c r="J10" s="257">
        <f>KPI!E47</f>
        <v>46.78</v>
      </c>
      <c r="K10" s="257">
        <f>KPI!F47</f>
        <v>70.17</v>
      </c>
      <c r="L10" s="257">
        <f>KPI!G47</f>
        <v>93.56</v>
      </c>
      <c r="M10" s="257">
        <f>KPI!H47</f>
        <v>116.95</v>
      </c>
      <c r="N10" s="257">
        <f>KPI!I47</f>
        <v>140.34</v>
      </c>
      <c r="O10" s="257">
        <f>KPI!J47</f>
        <v>163.72</v>
      </c>
      <c r="P10" s="257">
        <f>KPI!K47</f>
        <v>187.11</v>
      </c>
      <c r="Q10" s="257">
        <f>KPI!L47</f>
        <v>210.5</v>
      </c>
      <c r="R10" s="257">
        <f>KPI!M47</f>
        <v>233.89</v>
      </c>
      <c r="S10" s="257">
        <f>KPI!N47</f>
        <v>257.27999999999997</v>
      </c>
      <c r="T10" s="90">
        <f>KPI!O47</f>
        <v>280.67</v>
      </c>
      <c r="U10" s="197"/>
      <c r="W10" s="51"/>
      <c r="X10" s="52" t="s">
        <v>385</v>
      </c>
      <c r="Y10" s="301" t="s">
        <v>278</v>
      </c>
      <c r="Z10" s="273" t="s">
        <v>386</v>
      </c>
      <c r="AA10" s="61" t="s">
        <v>279</v>
      </c>
      <c r="AB10" s="61"/>
      <c r="AC10" s="257">
        <f>AJ10</f>
        <v>122.59170408678104</v>
      </c>
      <c r="AD10" s="257">
        <f>AP10</f>
        <v>0</v>
      </c>
      <c r="AE10" s="212">
        <f>KPI!AH47</f>
        <v>12.366708627002435</v>
      </c>
      <c r="AF10" s="213">
        <f>KPI!AI47</f>
        <v>14.217818098417473</v>
      </c>
      <c r="AG10" s="212">
        <f>KPI!AJ47</f>
        <v>15.90798980700673</v>
      </c>
      <c r="AH10" s="212">
        <f>KPI!AK47</f>
        <v>30.880917162575816</v>
      </c>
      <c r="AI10" s="212">
        <f>KPI!AL47</f>
        <v>82.702127067631139</v>
      </c>
      <c r="AJ10" s="212">
        <f>KPI!AM47</f>
        <v>122.59170408678104</v>
      </c>
      <c r="AK10" s="212">
        <f>KPI!AN47</f>
        <v>145.52251005165829</v>
      </c>
      <c r="AL10" s="212">
        <f>KPI!AO47</f>
        <v>149.85371016749113</v>
      </c>
      <c r="AM10" s="212">
        <f>KPI!AP47</f>
        <v>159.21375563345018</v>
      </c>
      <c r="AN10" s="212">
        <f>KPI!AQ47</f>
        <v>196.05711720474355</v>
      </c>
      <c r="AO10" s="212">
        <f>KPI!AR47</f>
        <v>0</v>
      </c>
      <c r="AP10" s="213">
        <f>KPI!AS47</f>
        <v>0</v>
      </c>
      <c r="AQ10" s="868"/>
      <c r="AR10" s="868">
        <v>2</v>
      </c>
      <c r="AS10" s="51"/>
      <c r="AT10" s="52" t="str">
        <v>SAIDI Sesuai Kewenangannya</v>
      </c>
      <c r="AU10" s="301" t="s">
        <v>278</v>
      </c>
      <c r="AV10" s="273" t="s">
        <v>386</v>
      </c>
      <c r="AW10" s="61" t="s">
        <v>279</v>
      </c>
      <c r="AX10" s="61"/>
      <c r="AY10" s="257">
        <f>BF10</f>
        <v>110</v>
      </c>
      <c r="AZ10" s="257">
        <f>BL10</f>
        <v>110</v>
      </c>
      <c r="BA10" s="502">
        <f>IF((2-(AE10/I10))*100&gt;110,110,(2-(AE10/I10))*100)</f>
        <v>110</v>
      </c>
      <c r="BB10" s="503">
        <f t="shared" ref="BB10:BL11" si="1">IF((2-(AF10/J10))*100&gt;110,110,(2-(AF10/J10))*100)</f>
        <v>110</v>
      </c>
      <c r="BC10" s="502">
        <f t="shared" si="1"/>
        <v>110</v>
      </c>
      <c r="BD10" s="502">
        <f t="shared" si="1"/>
        <v>110</v>
      </c>
      <c r="BE10" s="502">
        <f t="shared" si="1"/>
        <v>110</v>
      </c>
      <c r="BF10" s="502">
        <f t="shared" si="1"/>
        <v>110</v>
      </c>
      <c r="BG10" s="502">
        <f t="shared" si="1"/>
        <v>110</v>
      </c>
      <c r="BH10" s="502">
        <f t="shared" si="1"/>
        <v>110</v>
      </c>
      <c r="BI10" s="502">
        <f t="shared" si="1"/>
        <v>110</v>
      </c>
      <c r="BJ10" s="502">
        <f t="shared" si="1"/>
        <v>110</v>
      </c>
      <c r="BK10" s="502">
        <f t="shared" si="1"/>
        <v>110</v>
      </c>
      <c r="BL10" s="503">
        <f t="shared" si="1"/>
        <v>110</v>
      </c>
      <c r="BO10" s="51"/>
      <c r="BP10" s="52" t="str">
        <v>SAIDI Sesuai Kewenangannya</v>
      </c>
      <c r="BQ10" s="301" t="s">
        <v>278</v>
      </c>
      <c r="BR10" s="273" t="s">
        <v>386</v>
      </c>
      <c r="BS10" s="61" t="s">
        <v>279</v>
      </c>
      <c r="BT10" s="510">
        <v>4.666666666666667</v>
      </c>
      <c r="BU10" s="257">
        <f>CB10</f>
        <v>5.13</v>
      </c>
      <c r="BV10" s="257">
        <f>CH10</f>
        <v>5.13</v>
      </c>
      <c r="BW10" s="502" cm="1">
        <f t="array" ref="BW10:CH10">ROUNDDOWN(BT10*BA10:BL10/100,2)</f>
        <v>5.13</v>
      </c>
      <c r="BX10" s="503">
        <v>5.13</v>
      </c>
      <c r="BY10" s="502">
        <v>5.13</v>
      </c>
      <c r="BZ10" s="502">
        <v>5.13</v>
      </c>
      <c r="CA10" s="502">
        <v>5.13</v>
      </c>
      <c r="CB10" s="502">
        <v>5.13</v>
      </c>
      <c r="CC10" s="502">
        <v>5.13</v>
      </c>
      <c r="CD10" s="502">
        <v>5.13</v>
      </c>
      <c r="CE10" s="502">
        <v>5.13</v>
      </c>
      <c r="CF10" s="502">
        <v>5.13</v>
      </c>
      <c r="CG10" s="502">
        <v>5.13</v>
      </c>
      <c r="CH10" s="503">
        <v>5.13</v>
      </c>
    </row>
    <row r="11" spans="1:86" s="198" customFormat="1" ht="16.5">
      <c r="A11" s="61"/>
      <c r="B11" s="52" t="s">
        <v>387</v>
      </c>
      <c r="C11" s="301" t="s">
        <v>278</v>
      </c>
      <c r="D11" s="273" t="s">
        <v>388</v>
      </c>
      <c r="E11" s="61" t="s">
        <v>280</v>
      </c>
      <c r="F11" s="61"/>
      <c r="G11" s="257">
        <f>N11</f>
        <v>1.48</v>
      </c>
      <c r="H11" s="257">
        <f>T11</f>
        <v>2.97</v>
      </c>
      <c r="I11" s="257">
        <f>KPI!D69</f>
        <v>0.25</v>
      </c>
      <c r="J11" s="257">
        <f>KPI!E69</f>
        <v>0.49</v>
      </c>
      <c r="K11" s="257">
        <f>KPI!F69</f>
        <v>0.74</v>
      </c>
      <c r="L11" s="257">
        <f>KPI!G69</f>
        <v>0.99</v>
      </c>
      <c r="M11" s="257">
        <f>KPI!H69</f>
        <v>1.24</v>
      </c>
      <c r="N11" s="257">
        <f>KPI!I69</f>
        <v>1.48</v>
      </c>
      <c r="O11" s="257">
        <f>KPI!J69</f>
        <v>1.73</v>
      </c>
      <c r="P11" s="257">
        <f>KPI!K69</f>
        <v>1.98</v>
      </c>
      <c r="Q11" s="257">
        <f>KPI!L69</f>
        <v>2.2200000000000002</v>
      </c>
      <c r="R11" s="257">
        <f>KPI!M69</f>
        <v>2.4700000000000002</v>
      </c>
      <c r="S11" s="257">
        <f>KPI!N69</f>
        <v>2.72</v>
      </c>
      <c r="T11" s="90">
        <f>KPI!O69</f>
        <v>2.97</v>
      </c>
      <c r="U11" s="197"/>
      <c r="W11" s="61"/>
      <c r="X11" s="52" t="s">
        <v>387</v>
      </c>
      <c r="Y11" s="301" t="s">
        <v>278</v>
      </c>
      <c r="Z11" s="273" t="s">
        <v>388</v>
      </c>
      <c r="AA11" s="61" t="s">
        <v>280</v>
      </c>
      <c r="AB11" s="61"/>
      <c r="AC11" s="257">
        <f>AJ11</f>
        <v>1.2958186175580222</v>
      </c>
      <c r="AD11" s="257">
        <f>AP11</f>
        <v>0</v>
      </c>
      <c r="AE11" s="212">
        <f>KPI!AH69</f>
        <v>0.14652677048122328</v>
      </c>
      <c r="AF11" s="213">
        <f>KPI!AI69</f>
        <v>0.17056140261461228</v>
      </c>
      <c r="AG11" s="212">
        <f>KPI!AJ69</f>
        <v>0.28323684728938825</v>
      </c>
      <c r="AH11" s="212">
        <f>KPI!AK69</f>
        <v>0.48270813924748562</v>
      </c>
      <c r="AI11" s="212">
        <f>KPI!AL69</f>
        <v>0.95578936719105667</v>
      </c>
      <c r="AJ11" s="212">
        <f>KPI!AM69</f>
        <v>1.2958186175580222</v>
      </c>
      <c r="AK11" s="212">
        <f>KPI!AN69</f>
        <v>1.5608290494497543</v>
      </c>
      <c r="AL11" s="212">
        <f>KPI!AO69</f>
        <v>1.5900798533510785</v>
      </c>
      <c r="AM11" s="212">
        <f>KPI!AP69</f>
        <v>1.7486104156234352</v>
      </c>
      <c r="AN11" s="212">
        <f>KPI!AQ69</f>
        <v>2.1759567543301785</v>
      </c>
      <c r="AO11" s="212">
        <f>KPI!AR69</f>
        <v>0</v>
      </c>
      <c r="AP11" s="213">
        <f>KPI!AS69</f>
        <v>0</v>
      </c>
      <c r="AQ11" s="868"/>
      <c r="AR11" s="868">
        <v>2</v>
      </c>
      <c r="AS11" s="61"/>
      <c r="AT11" s="52" t="str">
        <v>SAIFI Sesuai Kewenangannya</v>
      </c>
      <c r="AU11" s="301" t="s">
        <v>278</v>
      </c>
      <c r="AV11" s="273" t="s">
        <v>388</v>
      </c>
      <c r="AW11" s="61" t="s">
        <v>280</v>
      </c>
      <c r="AX11" s="61"/>
      <c r="AY11" s="257">
        <f>BF11</f>
        <v>110</v>
      </c>
      <c r="AZ11" s="257">
        <f>BL11</f>
        <v>110</v>
      </c>
      <c r="BA11" s="502">
        <f>IF((2-(AE11/I11))*100&gt;110,110,(2-(AE11/I11))*100)</f>
        <v>110</v>
      </c>
      <c r="BB11" s="503">
        <f t="shared" si="1"/>
        <v>110</v>
      </c>
      <c r="BC11" s="502">
        <f t="shared" si="1"/>
        <v>110</v>
      </c>
      <c r="BD11" s="502">
        <f t="shared" si="1"/>
        <v>110</v>
      </c>
      <c r="BE11" s="502">
        <f t="shared" si="1"/>
        <v>110</v>
      </c>
      <c r="BF11" s="502">
        <f t="shared" si="1"/>
        <v>110</v>
      </c>
      <c r="BG11" s="502">
        <f t="shared" si="1"/>
        <v>109.77866766186391</v>
      </c>
      <c r="BH11" s="502">
        <f t="shared" si="1"/>
        <v>110</v>
      </c>
      <c r="BI11" s="502">
        <f t="shared" si="1"/>
        <v>110</v>
      </c>
      <c r="BJ11" s="502">
        <f t="shared" si="1"/>
        <v>110</v>
      </c>
      <c r="BK11" s="502">
        <f t="shared" si="1"/>
        <v>110</v>
      </c>
      <c r="BL11" s="503">
        <f t="shared" si="1"/>
        <v>110</v>
      </c>
      <c r="BO11" s="61"/>
      <c r="BP11" s="52" t="str">
        <v>SAIFI Sesuai Kewenangannya</v>
      </c>
      <c r="BQ11" s="301" t="s">
        <v>278</v>
      </c>
      <c r="BR11" s="273" t="s">
        <v>388</v>
      </c>
      <c r="BS11" s="61" t="s">
        <v>280</v>
      </c>
      <c r="BT11" s="510">
        <v>4.666666666666667</v>
      </c>
      <c r="BU11" s="257">
        <f>CB11</f>
        <v>5.13</v>
      </c>
      <c r="BV11" s="257">
        <f>CH11</f>
        <v>5.13</v>
      </c>
      <c r="BW11" s="502" cm="1">
        <f t="array" ref="BW11:CH11">ROUNDDOWN(BT11*BA11:BL11/100,2)</f>
        <v>5.13</v>
      </c>
      <c r="BX11" s="503">
        <v>5.13</v>
      </c>
      <c r="BY11" s="502">
        <v>5.13</v>
      </c>
      <c r="BZ11" s="502">
        <v>5.13</v>
      </c>
      <c r="CA11" s="502">
        <v>5.13</v>
      </c>
      <c r="CB11" s="502">
        <v>5.13</v>
      </c>
      <c r="CC11" s="502">
        <v>5.12</v>
      </c>
      <c r="CD11" s="502">
        <v>5.13</v>
      </c>
      <c r="CE11" s="502">
        <v>5.13</v>
      </c>
      <c r="CF11" s="502">
        <v>5.13</v>
      </c>
      <c r="CG11" s="502">
        <v>5.13</v>
      </c>
      <c r="CH11" s="503">
        <v>5.13</v>
      </c>
    </row>
    <row r="12" spans="1:86" s="198" customFormat="1" ht="16.5">
      <c r="A12" s="61"/>
      <c r="B12" s="52" t="s">
        <v>389</v>
      </c>
      <c r="C12" s="301" t="s">
        <v>278</v>
      </c>
      <c r="D12" s="273" t="s">
        <v>140</v>
      </c>
      <c r="E12" s="61" t="s">
        <v>281</v>
      </c>
      <c r="F12" s="61"/>
      <c r="G12" s="257">
        <f>N12</f>
        <v>53.93</v>
      </c>
      <c r="H12" s="257">
        <f>T12</f>
        <v>107.87</v>
      </c>
      <c r="I12" s="257">
        <f>KPI!D79</f>
        <v>8.99</v>
      </c>
      <c r="J12" s="257">
        <f>KPI!E79</f>
        <v>17.98</v>
      </c>
      <c r="K12" s="257">
        <f>KPI!F79</f>
        <v>26.97</v>
      </c>
      <c r="L12" s="257">
        <f>KPI!G79</f>
        <v>35.96</v>
      </c>
      <c r="M12" s="257">
        <f>KPI!H79</f>
        <v>44.94</v>
      </c>
      <c r="N12" s="257">
        <f>KPI!I79</f>
        <v>53.93</v>
      </c>
      <c r="O12" s="257">
        <f>KPI!J79</f>
        <v>62.92</v>
      </c>
      <c r="P12" s="257">
        <f>KPI!K79</f>
        <v>71.91</v>
      </c>
      <c r="Q12" s="257">
        <f>KPI!L79</f>
        <v>80.900000000000006</v>
      </c>
      <c r="R12" s="257">
        <f>KPI!M79</f>
        <v>89.89</v>
      </c>
      <c r="S12" s="257">
        <f>KPI!N79</f>
        <v>98.88</v>
      </c>
      <c r="T12" s="90">
        <f>KPI!O79</f>
        <v>107.87</v>
      </c>
      <c r="U12" s="197"/>
      <c r="W12" s="61"/>
      <c r="X12" s="52" t="s">
        <v>389</v>
      </c>
      <c r="Y12" s="301" t="s">
        <v>278</v>
      </c>
      <c r="Z12" s="273" t="s">
        <v>140</v>
      </c>
      <c r="AA12" s="61" t="s">
        <v>281</v>
      </c>
      <c r="AB12" s="61"/>
      <c r="AC12" s="257">
        <f>AJ12</f>
        <v>37.920999999999999</v>
      </c>
      <c r="AD12" s="257">
        <f>AP12</f>
        <v>0</v>
      </c>
      <c r="AE12" s="212">
        <f>KPI!AH79</f>
        <v>5.444</v>
      </c>
      <c r="AF12" s="213">
        <f>KPI!AI79</f>
        <v>6.6289999999999996</v>
      </c>
      <c r="AG12" s="212">
        <f>KPI!AJ79</f>
        <v>7.3599999999999994</v>
      </c>
      <c r="AH12" s="212">
        <f>KPI!AK79</f>
        <v>13.033999999999999</v>
      </c>
      <c r="AI12" s="212">
        <f>KPI!AL79</f>
        <v>27.391999999999999</v>
      </c>
      <c r="AJ12" s="212">
        <f>KPI!AM79</f>
        <v>37.920999999999999</v>
      </c>
      <c r="AK12" s="212">
        <f>KPI!AN79</f>
        <v>44.24</v>
      </c>
      <c r="AL12" s="212">
        <f>KPI!AO79</f>
        <v>46.248000000000005</v>
      </c>
      <c r="AM12" s="212">
        <f>KPI!AP79</f>
        <v>50.782000000000004</v>
      </c>
      <c r="AN12" s="212">
        <f>KPI!AQ79</f>
        <v>60.972000000000001</v>
      </c>
      <c r="AO12" s="212">
        <f>KPI!AR79</f>
        <v>0</v>
      </c>
      <c r="AP12" s="213">
        <f>KPI!AS79</f>
        <v>0</v>
      </c>
      <c r="AQ12" s="868"/>
      <c r="AR12" s="868">
        <v>2</v>
      </c>
      <c r="AS12" s="61"/>
      <c r="AT12" s="52" t="str">
        <v>ENS</v>
      </c>
      <c r="AU12" s="301" t="s">
        <v>278</v>
      </c>
      <c r="AV12" s="273" t="s">
        <v>140</v>
      </c>
      <c r="AW12" s="61" t="s">
        <v>281</v>
      </c>
      <c r="AX12" s="61"/>
      <c r="AY12" s="257">
        <f>BF12</f>
        <v>110</v>
      </c>
      <c r="AZ12" s="257">
        <f>BL12</f>
        <v>110</v>
      </c>
      <c r="BA12" s="502">
        <f>IF(((I12-(AE12-I12))/I12)*100&gt;110,110,((I12-(AE12-I12))/I12)*100)</f>
        <v>110</v>
      </c>
      <c r="BB12" s="502">
        <f t="shared" ref="BB12:BL12" si="2">IF(((J12-(AF12-J12))/J12)*100&gt;110,110,((J12-(AF12-J12))/J12)*100)</f>
        <v>110</v>
      </c>
      <c r="BC12" s="502">
        <f t="shared" si="2"/>
        <v>110</v>
      </c>
      <c r="BD12" s="502">
        <f t="shared" si="2"/>
        <v>110</v>
      </c>
      <c r="BE12" s="502">
        <f t="shared" si="2"/>
        <v>110</v>
      </c>
      <c r="BF12" s="502">
        <f t="shared" si="2"/>
        <v>110</v>
      </c>
      <c r="BG12" s="502">
        <f t="shared" si="2"/>
        <v>110</v>
      </c>
      <c r="BH12" s="502">
        <f t="shared" si="2"/>
        <v>110</v>
      </c>
      <c r="BI12" s="502">
        <f t="shared" si="2"/>
        <v>110</v>
      </c>
      <c r="BJ12" s="502">
        <f t="shared" si="2"/>
        <v>110</v>
      </c>
      <c r="BK12" s="502">
        <f t="shared" si="2"/>
        <v>110</v>
      </c>
      <c r="BL12" s="503">
        <f t="shared" si="2"/>
        <v>110</v>
      </c>
      <c r="BO12" s="61"/>
      <c r="BP12" s="52" t="str">
        <v>ENS</v>
      </c>
      <c r="BQ12" s="301" t="s">
        <v>278</v>
      </c>
      <c r="BR12" s="273" t="s">
        <v>140</v>
      </c>
      <c r="BS12" s="61" t="s">
        <v>281</v>
      </c>
      <c r="BT12" s="510">
        <v>4.666666666666667</v>
      </c>
      <c r="BU12" s="257">
        <f>CB12</f>
        <v>5.13</v>
      </c>
      <c r="BV12" s="257">
        <f>CH12</f>
        <v>5.13</v>
      </c>
      <c r="BW12" s="502" cm="1">
        <f t="array" ref="BW12:CH12">ROUNDDOWN(BT12*BA12:BL12/100,2)</f>
        <v>5.13</v>
      </c>
      <c r="BX12" s="502">
        <v>5.13</v>
      </c>
      <c r="BY12" s="502">
        <v>5.13</v>
      </c>
      <c r="BZ12" s="502">
        <v>5.13</v>
      </c>
      <c r="CA12" s="502">
        <v>5.13</v>
      </c>
      <c r="CB12" s="502">
        <v>5.13</v>
      </c>
      <c r="CC12" s="502">
        <v>5.13</v>
      </c>
      <c r="CD12" s="502">
        <v>5.13</v>
      </c>
      <c r="CE12" s="502">
        <v>5.13</v>
      </c>
      <c r="CF12" s="502">
        <v>5.13</v>
      </c>
      <c r="CG12" s="502">
        <v>5.13</v>
      </c>
      <c r="CH12" s="503">
        <v>5.13</v>
      </c>
    </row>
    <row r="13" spans="1:86" s="198" customFormat="1" ht="16.5">
      <c r="A13" s="61">
        <v>3</v>
      </c>
      <c r="B13" s="267" t="s">
        <v>390</v>
      </c>
      <c r="C13" s="301"/>
      <c r="D13" s="273"/>
      <c r="E13" s="61"/>
      <c r="F13" s="61">
        <v>12</v>
      </c>
      <c r="G13" s="257"/>
      <c r="H13" s="257"/>
      <c r="I13" s="257"/>
      <c r="J13" s="257"/>
      <c r="K13" s="257"/>
      <c r="L13" s="257"/>
      <c r="M13" s="257"/>
      <c r="N13" s="257"/>
      <c r="O13" s="257"/>
      <c r="P13" s="257"/>
      <c r="Q13" s="257"/>
      <c r="R13" s="257"/>
      <c r="S13" s="257"/>
      <c r="T13" s="90"/>
      <c r="U13" s="197"/>
      <c r="W13" s="61">
        <v>3</v>
      </c>
      <c r="X13" s="267" t="s">
        <v>390</v>
      </c>
      <c r="Y13" s="301"/>
      <c r="Z13" s="273"/>
      <c r="AA13" s="61"/>
      <c r="AB13" s="61">
        <v>12</v>
      </c>
      <c r="AC13" s="257"/>
      <c r="AD13" s="257"/>
      <c r="AE13" s="212"/>
      <c r="AF13" s="213"/>
      <c r="AG13" s="212"/>
      <c r="AH13" s="212"/>
      <c r="AI13" s="212"/>
      <c r="AJ13" s="212"/>
      <c r="AK13" s="212"/>
      <c r="AL13" s="212"/>
      <c r="AM13" s="212"/>
      <c r="AN13" s="212"/>
      <c r="AO13" s="212"/>
      <c r="AP13" s="213"/>
      <c r="AQ13" s="868"/>
      <c r="AR13" s="868" t="e">
        <v>#VALUE!</v>
      </c>
      <c r="AS13" s="488">
        <v>3</v>
      </c>
      <c r="AT13" s="267" t="str">
        <v>Efisiensi Jaringan Distribusi</v>
      </c>
      <c r="AU13" s="331"/>
      <c r="AV13" s="487"/>
      <c r="AW13" s="488"/>
      <c r="AX13" s="488">
        <v>12</v>
      </c>
      <c r="AY13" s="489"/>
      <c r="AZ13" s="489"/>
      <c r="BA13" s="504"/>
      <c r="BB13" s="505"/>
      <c r="BC13" s="504"/>
      <c r="BD13" s="504"/>
      <c r="BE13" s="504"/>
      <c r="BF13" s="504"/>
      <c r="BG13" s="504"/>
      <c r="BH13" s="504"/>
      <c r="BI13" s="504"/>
      <c r="BJ13" s="504"/>
      <c r="BK13" s="504"/>
      <c r="BL13" s="505"/>
      <c r="BO13" s="488">
        <v>3</v>
      </c>
      <c r="BP13" s="267" t="str">
        <v>Efisiensi Jaringan Distribusi</v>
      </c>
      <c r="BQ13" s="331"/>
      <c r="BR13" s="487"/>
      <c r="BS13" s="488"/>
      <c r="BT13" s="488">
        <v>12</v>
      </c>
      <c r="BU13" s="489"/>
      <c r="BV13" s="489"/>
      <c r="BW13" s="504"/>
      <c r="BX13" s="505"/>
      <c r="BY13" s="504"/>
      <c r="BZ13" s="504"/>
      <c r="CA13" s="504"/>
      <c r="CB13" s="504"/>
      <c r="CC13" s="504"/>
      <c r="CD13" s="504"/>
      <c r="CE13" s="504"/>
      <c r="CF13" s="504"/>
      <c r="CG13" s="504"/>
      <c r="CH13" s="505"/>
    </row>
    <row r="14" spans="1:86" s="198" customFormat="1" ht="16.5">
      <c r="A14" s="61"/>
      <c r="B14" s="52" t="s">
        <v>391</v>
      </c>
      <c r="C14" s="301" t="s">
        <v>278</v>
      </c>
      <c r="D14" s="273" t="s">
        <v>149</v>
      </c>
      <c r="E14" s="61"/>
      <c r="F14" s="61"/>
      <c r="G14" s="257">
        <f>N14</f>
        <v>9.41</v>
      </c>
      <c r="H14" s="257">
        <f>T14</f>
        <v>9</v>
      </c>
      <c r="I14" s="257">
        <f>KPI!D109</f>
        <v>9.9499999999999993</v>
      </c>
      <c r="J14" s="257">
        <f>KPI!E109</f>
        <v>9.9499999999999993</v>
      </c>
      <c r="K14" s="257">
        <f>KPI!F109</f>
        <v>9.9499999999999993</v>
      </c>
      <c r="L14" s="257">
        <f>KPI!G109</f>
        <v>9.77</v>
      </c>
      <c r="M14" s="257">
        <f>KPI!H109</f>
        <v>9.59</v>
      </c>
      <c r="N14" s="257">
        <f>KPI!I109</f>
        <v>9.41</v>
      </c>
      <c r="O14" s="257">
        <f>KPI!J109</f>
        <v>9.34</v>
      </c>
      <c r="P14" s="257">
        <f>KPI!K109</f>
        <v>9.27</v>
      </c>
      <c r="Q14" s="257">
        <f>KPI!L109</f>
        <v>9.1999999999999993</v>
      </c>
      <c r="R14" s="257">
        <f>KPI!M109</f>
        <v>9.14</v>
      </c>
      <c r="S14" s="257">
        <f>KPI!N109</f>
        <v>9.07</v>
      </c>
      <c r="T14" s="90">
        <f>KPI!O109</f>
        <v>9</v>
      </c>
      <c r="U14" s="197"/>
      <c r="W14" s="61"/>
      <c r="X14" s="52" t="s">
        <v>391</v>
      </c>
      <c r="Y14" s="301" t="s">
        <v>278</v>
      </c>
      <c r="Z14" s="273" t="s">
        <v>149</v>
      </c>
      <c r="AA14" s="61"/>
      <c r="AB14" s="61"/>
      <c r="AC14" s="257">
        <f>AJ14</f>
        <v>6.9996588694363426</v>
      </c>
      <c r="AD14" s="257">
        <f>AP14</f>
        <v>0</v>
      </c>
      <c r="AE14" s="212">
        <f>KPI!AH109</f>
        <v>-15.682737184229497</v>
      </c>
      <c r="AF14" s="212">
        <f>KPI!AI109</f>
        <v>-10.228821067310426</v>
      </c>
      <c r="AG14" s="212">
        <f>KPI!AJ109</f>
        <v>-2.8846078747913642</v>
      </c>
      <c r="AH14" s="212">
        <f>KPI!AK109</f>
        <v>3.5063857291321998</v>
      </c>
      <c r="AI14" s="212">
        <f>KPI!AL109</f>
        <v>6.3999484078289566</v>
      </c>
      <c r="AJ14" s="212">
        <f>KPI!AM109</f>
        <v>6.9996588694363426</v>
      </c>
      <c r="AK14" s="212">
        <f>KPI!AN109</f>
        <v>7.6587322275420009</v>
      </c>
      <c r="AL14" s="212">
        <f>KPI!AO109</f>
        <v>7.929049915654077</v>
      </c>
      <c r="AM14" s="212">
        <f>KPI!AP109</f>
        <v>8.2084941236385731</v>
      </c>
      <c r="AN14" s="212">
        <f>KPI!AQ109</f>
        <v>8.2408737165638186</v>
      </c>
      <c r="AO14" s="212">
        <f>KPI!AR109</f>
        <v>0</v>
      </c>
      <c r="AP14" s="213">
        <f>KPI!AS109</f>
        <v>0</v>
      </c>
      <c r="AQ14" s="868"/>
      <c r="AR14" s="868">
        <v>2</v>
      </c>
      <c r="AS14" s="61"/>
      <c r="AT14" s="52" t="str">
        <v>Susut Distribusi Tanpa E-min (sesuai kewenangan)</v>
      </c>
      <c r="AU14" s="301" t="s">
        <v>278</v>
      </c>
      <c r="AV14" s="273" t="s">
        <v>149</v>
      </c>
      <c r="AW14" s="61"/>
      <c r="AX14" s="61"/>
      <c r="AY14" s="257">
        <f>BF14</f>
        <v>110</v>
      </c>
      <c r="AZ14" s="257">
        <f>BL14</f>
        <v>110</v>
      </c>
      <c r="BA14" s="502">
        <f>IF((2-(AE14/I14))*100&gt;110,110,(2-(AE14/I14))*100)</f>
        <v>110</v>
      </c>
      <c r="BB14" s="502">
        <f t="shared" ref="BB14:BL14" si="3">IF((2-(AF14/J14))*100&gt;110,110,(2-(AF14/J14))*100)</f>
        <v>110</v>
      </c>
      <c r="BC14" s="502">
        <f t="shared" si="3"/>
        <v>110</v>
      </c>
      <c r="BD14" s="502">
        <f t="shared" si="3"/>
        <v>110</v>
      </c>
      <c r="BE14" s="502">
        <f t="shared" si="3"/>
        <v>110</v>
      </c>
      <c r="BF14" s="502">
        <f t="shared" si="3"/>
        <v>110</v>
      </c>
      <c r="BG14" s="502">
        <f t="shared" si="3"/>
        <v>110</v>
      </c>
      <c r="BH14" s="502">
        <f t="shared" si="3"/>
        <v>110</v>
      </c>
      <c r="BI14" s="502">
        <f t="shared" si="3"/>
        <v>110</v>
      </c>
      <c r="BJ14" s="502">
        <f t="shared" si="3"/>
        <v>109.83726787129302</v>
      </c>
      <c r="BK14" s="502">
        <f t="shared" si="3"/>
        <v>110</v>
      </c>
      <c r="BL14" s="503">
        <f t="shared" si="3"/>
        <v>110</v>
      </c>
      <c r="BO14" s="61"/>
      <c r="BP14" s="52" t="str">
        <v>Susut Distribusi Tanpa E-min (sesuai kewenangan)</v>
      </c>
      <c r="BQ14" s="301" t="s">
        <v>278</v>
      </c>
      <c r="BR14" s="273" t="s">
        <v>149</v>
      </c>
      <c r="BS14" s="61"/>
      <c r="BT14" s="61">
        <v>4</v>
      </c>
      <c r="BU14" s="257">
        <f>CB14</f>
        <v>4.4000000000000004</v>
      </c>
      <c r="BV14" s="257">
        <f>CH14</f>
        <v>4.4000000000000004</v>
      </c>
      <c r="BW14" s="502" cm="1">
        <f t="array" ref="BW14:CH14">ROUNDDOWN(BT14*BA14:BL14/100,2)</f>
        <v>4.4000000000000004</v>
      </c>
      <c r="BX14" s="502">
        <v>4.4000000000000004</v>
      </c>
      <c r="BY14" s="502">
        <v>4.4000000000000004</v>
      </c>
      <c r="BZ14" s="502">
        <v>4.4000000000000004</v>
      </c>
      <c r="CA14" s="502">
        <v>4.4000000000000004</v>
      </c>
      <c r="CB14" s="502">
        <v>4.4000000000000004</v>
      </c>
      <c r="CC14" s="502">
        <v>4.4000000000000004</v>
      </c>
      <c r="CD14" s="502">
        <v>4.4000000000000004</v>
      </c>
      <c r="CE14" s="502">
        <v>4.4000000000000004</v>
      </c>
      <c r="CF14" s="502">
        <v>4.3899999999999997</v>
      </c>
      <c r="CG14" s="502">
        <v>4.4000000000000004</v>
      </c>
      <c r="CH14" s="503">
        <v>4.4000000000000004</v>
      </c>
    </row>
    <row r="15" spans="1:86" s="198" customFormat="1" ht="16.5">
      <c r="A15" s="61"/>
      <c r="B15" s="52" t="s">
        <v>392</v>
      </c>
      <c r="C15" s="301" t="s">
        <v>276</v>
      </c>
      <c r="D15" s="273" t="s">
        <v>149</v>
      </c>
      <c r="E15" s="61"/>
      <c r="F15" s="61"/>
      <c r="G15" s="257">
        <f>N15</f>
        <v>40</v>
      </c>
      <c r="H15" s="257">
        <f>T15</f>
        <v>100</v>
      </c>
      <c r="I15" s="257">
        <f>KPI!D125</f>
        <v>6.67</v>
      </c>
      <c r="J15" s="257">
        <f>KPI!E125</f>
        <v>13.33</v>
      </c>
      <c r="K15" s="257">
        <f>KPI!F125</f>
        <v>20</v>
      </c>
      <c r="L15" s="257">
        <f>KPI!G125</f>
        <v>26.67</v>
      </c>
      <c r="M15" s="257">
        <f>KPI!H125</f>
        <v>33.33</v>
      </c>
      <c r="N15" s="257">
        <f>KPI!I125</f>
        <v>40</v>
      </c>
      <c r="O15" s="257">
        <f>KPI!J125</f>
        <v>50</v>
      </c>
      <c r="P15" s="257">
        <f>KPI!K125</f>
        <v>60</v>
      </c>
      <c r="Q15" s="257">
        <f>KPI!L125</f>
        <v>70</v>
      </c>
      <c r="R15" s="257">
        <f>KPI!M125</f>
        <v>80</v>
      </c>
      <c r="S15" s="257">
        <f>KPI!N125</f>
        <v>90</v>
      </c>
      <c r="T15" s="90">
        <f>KPI!O125</f>
        <v>100</v>
      </c>
      <c r="U15" s="197"/>
      <c r="W15" s="61"/>
      <c r="X15" s="52" t="s">
        <v>392</v>
      </c>
      <c r="Y15" s="301" t="s">
        <v>276</v>
      </c>
      <c r="Z15" s="273" t="s">
        <v>149</v>
      </c>
      <c r="AA15" s="61"/>
      <c r="AB15" s="61"/>
      <c r="AC15" s="257">
        <f>AJ15</f>
        <v>49.917819777252781</v>
      </c>
      <c r="AD15" s="257">
        <f>AP15</f>
        <v>98.245663179210254</v>
      </c>
      <c r="AE15" s="212">
        <f>KPI!AH125</f>
        <v>5.8059061761727984</v>
      </c>
      <c r="AF15" s="212">
        <f>KPI!AI125</f>
        <v>6.7500843739453256</v>
      </c>
      <c r="AG15" s="212">
        <f>KPI!AJ125</f>
        <v>15.173742828214648</v>
      </c>
      <c r="AH15" s="212">
        <f>KPI!AK125</f>
        <v>21.76044549443132</v>
      </c>
      <c r="AI15" s="212">
        <f>KPI!AL125</f>
        <v>29.091596355045564</v>
      </c>
      <c r="AJ15" s="212">
        <f>KPI!AM125</f>
        <v>49.917819777252781</v>
      </c>
      <c r="AK15" s="212">
        <f>KPI!AN125</f>
        <v>69.343266959163017</v>
      </c>
      <c r="AL15" s="212">
        <f>KPI!AO125</f>
        <v>80.308133648329402</v>
      </c>
      <c r="AM15" s="212">
        <f>KPI!AP125</f>
        <v>91.575632804589944</v>
      </c>
      <c r="AN15" s="212">
        <f>KPI!AQ125</f>
        <v>98.245663179210254</v>
      </c>
      <c r="AO15" s="212">
        <f>KPI!AR125</f>
        <v>98.245663179210254</v>
      </c>
      <c r="AP15" s="213">
        <f>KPI!AS125</f>
        <v>98.245663179210254</v>
      </c>
      <c r="AQ15" s="868"/>
      <c r="AR15" s="868">
        <v>2</v>
      </c>
      <c r="AS15" s="61"/>
      <c r="AT15" s="52" t="str">
        <v>Penyelesaian Temuan P2TL</v>
      </c>
      <c r="AU15" s="301" t="s">
        <v>276</v>
      </c>
      <c r="AV15" s="273" t="s">
        <v>149</v>
      </c>
      <c r="AW15" s="61"/>
      <c r="AX15" s="61"/>
      <c r="AY15" s="257">
        <f>BF15</f>
        <v>110</v>
      </c>
      <c r="AZ15" s="257">
        <f>BL15</f>
        <v>98.245663179210254</v>
      </c>
      <c r="BA15" s="502">
        <f>IF(AE15/I15*100&gt;110,110,AE15/I15*100)</f>
        <v>87.045070107538209</v>
      </c>
      <c r="BB15" s="502">
        <f t="shared" ref="BB15:BL16" si="4">IF(AF15/J15*100&gt;110,110,AF15/J15*100)</f>
        <v>50.638292377684358</v>
      </c>
      <c r="BC15" s="502">
        <f t="shared" si="4"/>
        <v>75.868714141073241</v>
      </c>
      <c r="BD15" s="502">
        <f t="shared" si="4"/>
        <v>81.591471670158683</v>
      </c>
      <c r="BE15" s="502">
        <f t="shared" si="4"/>
        <v>87.283517416878382</v>
      </c>
      <c r="BF15" s="502">
        <f t="shared" si="4"/>
        <v>110</v>
      </c>
      <c r="BG15" s="502">
        <f t="shared" si="4"/>
        <v>110</v>
      </c>
      <c r="BH15" s="502">
        <f t="shared" si="4"/>
        <v>110</v>
      </c>
      <c r="BI15" s="502">
        <f t="shared" si="4"/>
        <v>110</v>
      </c>
      <c r="BJ15" s="502">
        <f t="shared" si="4"/>
        <v>110</v>
      </c>
      <c r="BK15" s="502">
        <f t="shared" si="4"/>
        <v>109.16184797690028</v>
      </c>
      <c r="BL15" s="503">
        <f t="shared" si="4"/>
        <v>98.245663179210254</v>
      </c>
      <c r="BO15" s="61"/>
      <c r="BP15" s="52" t="str">
        <v>Penyelesaian Temuan P2TL</v>
      </c>
      <c r="BQ15" s="301" t="s">
        <v>276</v>
      </c>
      <c r="BR15" s="273" t="s">
        <v>149</v>
      </c>
      <c r="BS15" s="61"/>
      <c r="BT15" s="61">
        <v>4</v>
      </c>
      <c r="BU15" s="257">
        <f>CB15</f>
        <v>4.4000000000000004</v>
      </c>
      <c r="BV15" s="257">
        <f>CH15</f>
        <v>3.92</v>
      </c>
      <c r="BW15" s="502" cm="1">
        <f t="array" ref="BW15:CH15">ROUNDDOWN(BT15*BA15:BL15/100,2)</f>
        <v>3.48</v>
      </c>
      <c r="BX15" s="502">
        <v>2.02</v>
      </c>
      <c r="BY15" s="502">
        <v>3.03</v>
      </c>
      <c r="BZ15" s="502">
        <v>3.26</v>
      </c>
      <c r="CA15" s="502">
        <v>3.49</v>
      </c>
      <c r="CB15" s="502">
        <v>4.4000000000000004</v>
      </c>
      <c r="CC15" s="502">
        <v>4.4000000000000004</v>
      </c>
      <c r="CD15" s="502">
        <v>4.4000000000000004</v>
      </c>
      <c r="CE15" s="502">
        <v>4.4000000000000004</v>
      </c>
      <c r="CF15" s="502">
        <v>4.4000000000000004</v>
      </c>
      <c r="CG15" s="502">
        <v>4.3600000000000003</v>
      </c>
      <c r="CH15" s="503">
        <v>3.92</v>
      </c>
    </row>
    <row r="16" spans="1:86" s="198" customFormat="1" ht="16.5">
      <c r="A16" s="61"/>
      <c r="B16" s="52" t="s">
        <v>393</v>
      </c>
      <c r="C16" s="301" t="s">
        <v>276</v>
      </c>
      <c r="D16" s="273" t="s">
        <v>72</v>
      </c>
      <c r="E16" s="61" t="s">
        <v>282</v>
      </c>
      <c r="F16" s="61"/>
      <c r="G16" s="257">
        <f>N16</f>
        <v>2158</v>
      </c>
      <c r="H16" s="257">
        <f>T16</f>
        <v>4727</v>
      </c>
      <c r="I16" s="257">
        <f>KPI!D135</f>
        <v>437</v>
      </c>
      <c r="J16" s="257">
        <f>KPI!E135</f>
        <v>869</v>
      </c>
      <c r="K16" s="257">
        <f>KPI!F135</f>
        <v>1300</v>
      </c>
      <c r="L16" s="257">
        <f>KPI!G135</f>
        <v>1732</v>
      </c>
      <c r="M16" s="257">
        <f>KPI!H135</f>
        <v>1947</v>
      </c>
      <c r="N16" s="257">
        <f>KPI!I135</f>
        <v>2158</v>
      </c>
      <c r="O16" s="257">
        <f>KPI!J135</f>
        <v>2801</v>
      </c>
      <c r="P16" s="257">
        <f>KPI!K135</f>
        <v>3444</v>
      </c>
      <c r="Q16" s="257">
        <f>KPI!L135</f>
        <v>4087</v>
      </c>
      <c r="R16" s="257">
        <f>KPI!M135</f>
        <v>4727</v>
      </c>
      <c r="S16" s="257">
        <f>KPI!N135</f>
        <v>4727</v>
      </c>
      <c r="T16" s="90">
        <f>KPI!O135</f>
        <v>4727</v>
      </c>
      <c r="U16" s="197"/>
      <c r="W16" s="61"/>
      <c r="X16" s="52" t="s">
        <v>393</v>
      </c>
      <c r="Y16" s="301" t="s">
        <v>276</v>
      </c>
      <c r="Z16" s="273" t="s">
        <v>72</v>
      </c>
      <c r="AA16" s="61" t="s">
        <v>282</v>
      </c>
      <c r="AB16" s="61"/>
      <c r="AC16" s="257">
        <f>AJ16</f>
        <v>3127</v>
      </c>
      <c r="AD16" s="257">
        <f>AP16</f>
        <v>4735</v>
      </c>
      <c r="AE16" s="212">
        <f>KPI!AH135</f>
        <v>23</v>
      </c>
      <c r="AF16" s="212">
        <f>KPI!AI135</f>
        <v>280</v>
      </c>
      <c r="AG16" s="212">
        <f>KPI!AJ135</f>
        <v>1417</v>
      </c>
      <c r="AH16" s="212">
        <f>KPI!AK135</f>
        <v>2174</v>
      </c>
      <c r="AI16" s="212">
        <f>KPI!AL135</f>
        <v>2760</v>
      </c>
      <c r="AJ16" s="212">
        <f>KPI!AM135</f>
        <v>3127</v>
      </c>
      <c r="AK16" s="212">
        <f>KPI!AN135</f>
        <v>3539</v>
      </c>
      <c r="AL16" s="212">
        <f>KPI!AO135</f>
        <v>3699</v>
      </c>
      <c r="AM16" s="212">
        <f>KPI!AP135</f>
        <v>4655</v>
      </c>
      <c r="AN16" s="212">
        <f>KPI!AQ135</f>
        <v>4735</v>
      </c>
      <c r="AO16" s="212">
        <f>KPI!AR135</f>
        <v>4735</v>
      </c>
      <c r="AP16" s="213">
        <f>KPI!AS135</f>
        <v>4735</v>
      </c>
      <c r="AQ16" s="868"/>
      <c r="AR16" s="868">
        <v>2</v>
      </c>
      <c r="AS16" s="61"/>
      <c r="AT16" s="52" t="str">
        <v>Penyelesaian Ganti Meter</v>
      </c>
      <c r="AU16" s="301" t="s">
        <v>276</v>
      </c>
      <c r="AV16" s="273" t="s">
        <v>72</v>
      </c>
      <c r="AW16" s="61" t="s">
        <v>282</v>
      </c>
      <c r="AX16" s="61"/>
      <c r="AY16" s="257">
        <f>BF16</f>
        <v>110</v>
      </c>
      <c r="AZ16" s="257">
        <f>BL16</f>
        <v>100.16924053310767</v>
      </c>
      <c r="BA16" s="502">
        <f>IF(AE16/I16*100&gt;110,110,AE16/I16*100)</f>
        <v>5.2631578947368416</v>
      </c>
      <c r="BB16" s="502">
        <f t="shared" si="4"/>
        <v>32.22094361334868</v>
      </c>
      <c r="BC16" s="502">
        <f t="shared" si="4"/>
        <v>109.00000000000001</v>
      </c>
      <c r="BD16" s="502">
        <f t="shared" si="4"/>
        <v>110</v>
      </c>
      <c r="BE16" s="502">
        <f t="shared" si="4"/>
        <v>110</v>
      </c>
      <c r="BF16" s="502">
        <f t="shared" si="4"/>
        <v>110</v>
      </c>
      <c r="BG16" s="502">
        <f t="shared" si="4"/>
        <v>110</v>
      </c>
      <c r="BH16" s="502">
        <f t="shared" si="4"/>
        <v>107.40418118466899</v>
      </c>
      <c r="BI16" s="502">
        <f t="shared" si="4"/>
        <v>110</v>
      </c>
      <c r="BJ16" s="502">
        <f t="shared" si="4"/>
        <v>100.16924053310767</v>
      </c>
      <c r="BK16" s="502">
        <f t="shared" si="4"/>
        <v>100.16924053310767</v>
      </c>
      <c r="BL16" s="503">
        <f t="shared" si="4"/>
        <v>100.16924053310767</v>
      </c>
      <c r="BO16" s="61"/>
      <c r="BP16" s="52" t="str">
        <v>Penyelesaian Ganti Meter</v>
      </c>
      <c r="BQ16" s="301" t="s">
        <v>276</v>
      </c>
      <c r="BR16" s="273" t="s">
        <v>72</v>
      </c>
      <c r="BS16" s="61" t="s">
        <v>282</v>
      </c>
      <c r="BT16" s="61">
        <v>4</v>
      </c>
      <c r="BU16" s="257">
        <f>CB16</f>
        <v>4.4000000000000004</v>
      </c>
      <c r="BV16" s="257">
        <f>CH16</f>
        <v>4</v>
      </c>
      <c r="BW16" s="502" cm="1">
        <f t="array" ref="BW16:CH16">ROUNDDOWN(BT16*BA16:BL16/100,2)</f>
        <v>0.21</v>
      </c>
      <c r="BX16" s="502">
        <v>1.28</v>
      </c>
      <c r="BY16" s="502">
        <v>4.3600000000000003</v>
      </c>
      <c r="BZ16" s="502">
        <v>4.4000000000000004</v>
      </c>
      <c r="CA16" s="502">
        <v>4.4000000000000004</v>
      </c>
      <c r="CB16" s="502">
        <v>4.4000000000000004</v>
      </c>
      <c r="CC16" s="502">
        <v>4.4000000000000004</v>
      </c>
      <c r="CD16" s="502">
        <v>4.29</v>
      </c>
      <c r="CE16" s="502">
        <v>4.4000000000000004</v>
      </c>
      <c r="CF16" s="502">
        <v>4</v>
      </c>
      <c r="CG16" s="502">
        <v>4</v>
      </c>
      <c r="CH16" s="503">
        <v>4</v>
      </c>
    </row>
    <row r="17" spans="1:86" s="196" customFormat="1" ht="16.5">
      <c r="A17" s="139" t="s">
        <v>283</v>
      </c>
      <c r="B17" s="55" t="s">
        <v>284</v>
      </c>
      <c r="C17" s="155"/>
      <c r="D17" s="155"/>
      <c r="E17" s="139"/>
      <c r="F17" s="139">
        <f>SUM(F18:F68)</f>
        <v>60</v>
      </c>
      <c r="G17" s="139"/>
      <c r="H17" s="139"/>
      <c r="I17" s="139"/>
      <c r="J17" s="139"/>
      <c r="K17" s="139"/>
      <c r="L17" s="139"/>
      <c r="M17" s="139"/>
      <c r="N17" s="139"/>
      <c r="O17" s="139"/>
      <c r="P17" s="139"/>
      <c r="Q17" s="139"/>
      <c r="R17" s="139"/>
      <c r="S17" s="139"/>
      <c r="T17" s="168"/>
      <c r="U17" s="195"/>
      <c r="W17" s="139" t="s">
        <v>283</v>
      </c>
      <c r="X17" s="55" t="s">
        <v>284</v>
      </c>
      <c r="Y17" s="155"/>
      <c r="Z17" s="155"/>
      <c r="AA17" s="139"/>
      <c r="AB17" s="139">
        <f>SUM(AB18:AB68)</f>
        <v>60</v>
      </c>
      <c r="AC17" s="139"/>
      <c r="AD17" s="139"/>
      <c r="AE17" s="214"/>
      <c r="AF17" s="215"/>
      <c r="AG17" s="214"/>
      <c r="AH17" s="214"/>
      <c r="AI17" s="214"/>
      <c r="AJ17" s="214"/>
      <c r="AK17" s="214"/>
      <c r="AL17" s="214"/>
      <c r="AM17" s="214"/>
      <c r="AN17" s="214"/>
      <c r="AO17" s="214"/>
      <c r="AP17" s="215"/>
      <c r="AQ17" s="868"/>
      <c r="AR17" s="868" t="e">
        <v>#VALUE!</v>
      </c>
      <c r="AS17" s="139" t="s">
        <v>283</v>
      </c>
      <c r="AT17" s="55" t="str">
        <v>Perfomance Indicators</v>
      </c>
      <c r="AU17" s="155"/>
      <c r="AV17" s="155"/>
      <c r="AW17" s="139"/>
      <c r="AX17" s="139">
        <f>SUM(AX18:AX68)</f>
        <v>60</v>
      </c>
      <c r="AY17" s="139"/>
      <c r="AZ17" s="139"/>
      <c r="BA17" s="506"/>
      <c r="BB17" s="507"/>
      <c r="BC17" s="506"/>
      <c r="BD17" s="506"/>
      <c r="BE17" s="506"/>
      <c r="BF17" s="506"/>
      <c r="BG17" s="506"/>
      <c r="BH17" s="506"/>
      <c r="BI17" s="506"/>
      <c r="BJ17" s="506"/>
      <c r="BK17" s="506"/>
      <c r="BL17" s="507"/>
      <c r="BO17" s="139" t="s">
        <v>283</v>
      </c>
      <c r="BP17" s="55" t="str">
        <v>Perfomance Indicators</v>
      </c>
      <c r="BQ17" s="155"/>
      <c r="BR17" s="155"/>
      <c r="BS17" s="139"/>
      <c r="BT17" s="139">
        <v>60</v>
      </c>
      <c r="BU17" s="139"/>
      <c r="BV17" s="139"/>
      <c r="BW17" s="506"/>
      <c r="BX17" s="507"/>
      <c r="BY17" s="506"/>
      <c r="BZ17" s="506"/>
      <c r="CA17" s="506"/>
      <c r="CB17" s="506"/>
      <c r="CC17" s="506"/>
      <c r="CD17" s="506"/>
      <c r="CE17" s="506"/>
      <c r="CF17" s="506"/>
      <c r="CG17" s="506"/>
      <c r="CH17" s="507"/>
    </row>
    <row r="18" spans="1:86" s="196" customFormat="1" ht="15.75" customHeight="1">
      <c r="A18" s="51">
        <v>4</v>
      </c>
      <c r="B18" s="271" t="s">
        <v>285</v>
      </c>
      <c r="C18" s="272"/>
      <c r="D18" s="273"/>
      <c r="E18" s="61"/>
      <c r="F18" s="61">
        <v>6</v>
      </c>
      <c r="G18" s="285"/>
      <c r="H18" s="285"/>
      <c r="I18" s="285"/>
      <c r="J18" s="285"/>
      <c r="K18" s="285"/>
      <c r="L18" s="285"/>
      <c r="M18" s="285"/>
      <c r="N18" s="285"/>
      <c r="O18" s="285"/>
      <c r="P18" s="285"/>
      <c r="Q18" s="285"/>
      <c r="R18" s="285"/>
      <c r="S18" s="285"/>
      <c r="T18" s="173"/>
      <c r="U18" s="197"/>
      <c r="W18" s="51">
        <v>4</v>
      </c>
      <c r="X18" s="271" t="s">
        <v>285</v>
      </c>
      <c r="Y18" s="272"/>
      <c r="Z18" s="273"/>
      <c r="AA18" s="61"/>
      <c r="AB18" s="61">
        <v>6</v>
      </c>
      <c r="AC18" s="285"/>
      <c r="AD18" s="285"/>
      <c r="AE18" s="281"/>
      <c r="AF18" s="281"/>
      <c r="AG18" s="281"/>
      <c r="AH18" s="281"/>
      <c r="AI18" s="281"/>
      <c r="AJ18" s="281"/>
      <c r="AK18" s="281"/>
      <c r="AL18" s="281"/>
      <c r="AM18" s="281"/>
      <c r="AN18" s="281"/>
      <c r="AO18" s="281"/>
      <c r="AP18" s="484"/>
      <c r="AQ18" s="868"/>
      <c r="AR18" s="868" t="e">
        <v>#VALUE!</v>
      </c>
      <c r="AS18" s="490">
        <v>4</v>
      </c>
      <c r="AT18" s="271" t="str">
        <v>Keandalan Jaringan Distribusi</v>
      </c>
      <c r="AU18" s="491"/>
      <c r="AV18" s="487"/>
      <c r="AW18" s="488"/>
      <c r="AX18" s="488">
        <v>6</v>
      </c>
      <c r="AY18" s="492"/>
      <c r="AZ18" s="492"/>
      <c r="BA18" s="504"/>
      <c r="BB18" s="504"/>
      <c r="BC18" s="504"/>
      <c r="BD18" s="504"/>
      <c r="BE18" s="504"/>
      <c r="BF18" s="504"/>
      <c r="BG18" s="504"/>
      <c r="BH18" s="504"/>
      <c r="BI18" s="504"/>
      <c r="BJ18" s="504"/>
      <c r="BK18" s="504"/>
      <c r="BL18" s="505"/>
      <c r="BO18" s="490">
        <v>4</v>
      </c>
      <c r="BP18" s="271" t="str">
        <v>Keandalan Jaringan Distribusi</v>
      </c>
      <c r="BQ18" s="491"/>
      <c r="BR18" s="487"/>
      <c r="BS18" s="488"/>
      <c r="BT18" s="488">
        <v>6</v>
      </c>
      <c r="BU18" s="492"/>
      <c r="BV18" s="492"/>
      <c r="BW18" s="504"/>
      <c r="BX18" s="504"/>
      <c r="BY18" s="504"/>
      <c r="BZ18" s="504"/>
      <c r="CA18" s="504"/>
      <c r="CB18" s="504"/>
      <c r="CC18" s="504"/>
      <c r="CD18" s="504"/>
      <c r="CE18" s="504"/>
      <c r="CF18" s="504"/>
      <c r="CG18" s="504"/>
      <c r="CH18" s="505"/>
    </row>
    <row r="19" spans="1:86" s="198" customFormat="1" ht="16.5">
      <c r="A19" s="51"/>
      <c r="B19" s="275" t="s">
        <v>287</v>
      </c>
      <c r="C19" s="301" t="s">
        <v>278</v>
      </c>
      <c r="D19" s="273" t="s">
        <v>136</v>
      </c>
      <c r="E19" s="61" t="s">
        <v>286</v>
      </c>
      <c r="F19" s="61"/>
      <c r="G19" s="257">
        <f>N19</f>
        <v>88</v>
      </c>
      <c r="H19" s="257">
        <f>T19</f>
        <v>166</v>
      </c>
      <c r="I19" s="257">
        <f>PI!D23</f>
        <v>15</v>
      </c>
      <c r="J19" s="257">
        <f>PI!E23</f>
        <v>29</v>
      </c>
      <c r="K19" s="257">
        <f>PI!F23</f>
        <v>45</v>
      </c>
      <c r="L19" s="257">
        <f>PI!G23</f>
        <v>59</v>
      </c>
      <c r="M19" s="257">
        <f>PI!H23</f>
        <v>74</v>
      </c>
      <c r="N19" s="257">
        <f>PI!I23</f>
        <v>88</v>
      </c>
      <c r="O19" s="257">
        <f>PI!J23</f>
        <v>103</v>
      </c>
      <c r="P19" s="257">
        <f>PI!K23</f>
        <v>119</v>
      </c>
      <c r="Q19" s="257">
        <f>PI!L23</f>
        <v>134</v>
      </c>
      <c r="R19" s="257">
        <f>PI!M23</f>
        <v>148</v>
      </c>
      <c r="S19" s="257">
        <f>PI!N23</f>
        <v>163</v>
      </c>
      <c r="T19" s="90">
        <f>PI!O23</f>
        <v>166</v>
      </c>
      <c r="U19" s="197"/>
      <c r="W19" s="51"/>
      <c r="X19" s="275" t="s">
        <v>287</v>
      </c>
      <c r="Y19" s="301" t="s">
        <v>278</v>
      </c>
      <c r="Z19" s="273" t="s">
        <v>136</v>
      </c>
      <c r="AA19" s="61" t="s">
        <v>286</v>
      </c>
      <c r="AB19" s="61"/>
      <c r="AC19" s="257">
        <f>AJ19</f>
        <v>73</v>
      </c>
      <c r="AD19" s="257">
        <f>AP19</f>
        <v>115</v>
      </c>
      <c r="AE19" s="281">
        <f>PI!AH23</f>
        <v>5</v>
      </c>
      <c r="AF19" s="281">
        <f>PI!AI23</f>
        <v>10</v>
      </c>
      <c r="AG19" s="281">
        <f>PI!AJ23</f>
        <v>32</v>
      </c>
      <c r="AH19" s="281">
        <f>PI!AK23</f>
        <v>40</v>
      </c>
      <c r="AI19" s="281">
        <f>PI!AL23</f>
        <v>66</v>
      </c>
      <c r="AJ19" s="281">
        <f>PI!AM23</f>
        <v>73</v>
      </c>
      <c r="AK19" s="281">
        <f>PI!AN23</f>
        <v>87</v>
      </c>
      <c r="AL19" s="281">
        <f>PI!AO23</f>
        <v>87</v>
      </c>
      <c r="AM19" s="281">
        <f>PI!AP23</f>
        <v>98</v>
      </c>
      <c r="AN19" s="281">
        <f>PI!AQ23</f>
        <v>115</v>
      </c>
      <c r="AO19" s="281">
        <f>PI!AR23</f>
        <v>115</v>
      </c>
      <c r="AP19" s="484">
        <f>PI!AS23</f>
        <v>115</v>
      </c>
      <c r="AQ19" s="868"/>
      <c r="AR19" s="868">
        <v>2</v>
      </c>
      <c r="AS19" s="51"/>
      <c r="AT19" s="275" t="str">
        <v>Gangguan TM &gt; 5 Menit</v>
      </c>
      <c r="AU19" s="301" t="s">
        <v>278</v>
      </c>
      <c r="AV19" s="273" t="s">
        <v>136</v>
      </c>
      <c r="AW19" s="61" t="s">
        <v>286</v>
      </c>
      <c r="AX19" s="61"/>
      <c r="AY19" s="257">
        <f>BF19</f>
        <v>110</v>
      </c>
      <c r="AZ19" s="257">
        <f>BL19</f>
        <v>110</v>
      </c>
      <c r="BA19" s="502">
        <f>IF(((I19-(AE19-I19))/I19)*100&gt;110,110,((I19-(AE19-I19))/I19)*100)</f>
        <v>110</v>
      </c>
      <c r="BB19" s="502">
        <f t="shared" ref="BB19:BL19" si="5">IF(((J19-(AF19-J19))/J19)*100&gt;110,110,((J19-(AF19-J19))/J19)*100)</f>
        <v>110</v>
      </c>
      <c r="BC19" s="502">
        <f t="shared" si="5"/>
        <v>110</v>
      </c>
      <c r="BD19" s="502">
        <f t="shared" si="5"/>
        <v>110</v>
      </c>
      <c r="BE19" s="502">
        <f t="shared" si="5"/>
        <v>110</v>
      </c>
      <c r="BF19" s="502">
        <f t="shared" si="5"/>
        <v>110</v>
      </c>
      <c r="BG19" s="502">
        <f t="shared" si="5"/>
        <v>110</v>
      </c>
      <c r="BH19" s="502">
        <f t="shared" si="5"/>
        <v>110</v>
      </c>
      <c r="BI19" s="502">
        <f t="shared" si="5"/>
        <v>110</v>
      </c>
      <c r="BJ19" s="502">
        <f t="shared" si="5"/>
        <v>110</v>
      </c>
      <c r="BK19" s="502">
        <f t="shared" si="5"/>
        <v>110</v>
      </c>
      <c r="BL19" s="503">
        <f t="shared" si="5"/>
        <v>110</v>
      </c>
      <c r="BO19" s="51"/>
      <c r="BP19" s="275" t="str">
        <v>Gangguan TM &gt; 5 Menit</v>
      </c>
      <c r="BQ19" s="301" t="s">
        <v>278</v>
      </c>
      <c r="BR19" s="273" t="s">
        <v>136</v>
      </c>
      <c r="BS19" s="61" t="s">
        <v>286</v>
      </c>
      <c r="BT19" s="61">
        <v>2</v>
      </c>
      <c r="BU19" s="257">
        <f>CB19</f>
        <v>2.2000000000000002</v>
      </c>
      <c r="BV19" s="257">
        <f>CH19</f>
        <v>2.2000000000000002</v>
      </c>
      <c r="BW19" s="502" cm="1">
        <f t="array" ref="BW19:CH19">ROUNDDOWN(BT19*BA19:BL19/100,2)</f>
        <v>2.2000000000000002</v>
      </c>
      <c r="BX19" s="502">
        <v>2.2000000000000002</v>
      </c>
      <c r="BY19" s="502">
        <v>2.2000000000000002</v>
      </c>
      <c r="BZ19" s="502">
        <v>2.2000000000000002</v>
      </c>
      <c r="CA19" s="502">
        <v>2.2000000000000002</v>
      </c>
      <c r="CB19" s="502">
        <v>2.2000000000000002</v>
      </c>
      <c r="CC19" s="502">
        <v>2.2000000000000002</v>
      </c>
      <c r="CD19" s="502">
        <v>2.2000000000000002</v>
      </c>
      <c r="CE19" s="502">
        <v>2.2000000000000002</v>
      </c>
      <c r="CF19" s="502">
        <v>2.2000000000000002</v>
      </c>
      <c r="CG19" s="502">
        <v>2.2000000000000002</v>
      </c>
      <c r="CH19" s="503">
        <v>2.2000000000000002</v>
      </c>
    </row>
    <row r="20" spans="1:86" s="198" customFormat="1" ht="16.5">
      <c r="A20" s="286"/>
      <c r="B20" s="287" t="s">
        <v>289</v>
      </c>
      <c r="C20" s="326" t="s">
        <v>278</v>
      </c>
      <c r="D20" s="288" t="s">
        <v>136</v>
      </c>
      <c r="E20" s="289" t="s">
        <v>288</v>
      </c>
      <c r="F20" s="290"/>
      <c r="G20" s="291">
        <f>N20</f>
        <v>96</v>
      </c>
      <c r="H20" s="291">
        <f>T20</f>
        <v>191</v>
      </c>
      <c r="I20" s="257">
        <f>PI!D24</f>
        <v>17</v>
      </c>
      <c r="J20" s="257">
        <f>PI!E24</f>
        <v>31</v>
      </c>
      <c r="K20" s="257">
        <f>PI!F24</f>
        <v>48</v>
      </c>
      <c r="L20" s="257">
        <f>PI!G24</f>
        <v>65</v>
      </c>
      <c r="M20" s="257">
        <f>PI!H24</f>
        <v>79</v>
      </c>
      <c r="N20" s="257">
        <f>PI!I24</f>
        <v>96</v>
      </c>
      <c r="O20" s="257">
        <f>PI!J24</f>
        <v>113</v>
      </c>
      <c r="P20" s="257">
        <f>PI!K24</f>
        <v>128</v>
      </c>
      <c r="Q20" s="257">
        <f>PI!L24</f>
        <v>144</v>
      </c>
      <c r="R20" s="257">
        <f>PI!M24</f>
        <v>161</v>
      </c>
      <c r="S20" s="257">
        <f>PI!N24</f>
        <v>177</v>
      </c>
      <c r="T20" s="90">
        <f>PI!O24</f>
        <v>191</v>
      </c>
      <c r="U20" s="197"/>
      <c r="W20" s="286"/>
      <c r="X20" s="287" t="s">
        <v>289</v>
      </c>
      <c r="Y20" s="326" t="s">
        <v>278</v>
      </c>
      <c r="Z20" s="288" t="s">
        <v>136</v>
      </c>
      <c r="AA20" s="289" t="s">
        <v>288</v>
      </c>
      <c r="AB20" s="290"/>
      <c r="AC20" s="291">
        <f>AJ20</f>
        <v>76</v>
      </c>
      <c r="AD20" s="291">
        <f>AP20</f>
        <v>135</v>
      </c>
      <c r="AE20" s="282">
        <f>PI!AH24</f>
        <v>1</v>
      </c>
      <c r="AF20" s="282">
        <f>PI!AI24</f>
        <v>18</v>
      </c>
      <c r="AG20" s="282">
        <f>PI!AJ24</f>
        <v>21</v>
      </c>
      <c r="AH20" s="282">
        <f>PI!AK24</f>
        <v>22</v>
      </c>
      <c r="AI20" s="282">
        <f>PI!AL24</f>
        <v>57</v>
      </c>
      <c r="AJ20" s="282">
        <f>PI!AM24</f>
        <v>76</v>
      </c>
      <c r="AK20" s="282">
        <f>PI!AN24</f>
        <v>93</v>
      </c>
      <c r="AL20" s="282">
        <f>PI!AO24</f>
        <v>96</v>
      </c>
      <c r="AM20" s="282">
        <f>PI!AP24</f>
        <v>112</v>
      </c>
      <c r="AN20" s="282">
        <f>PI!AQ24</f>
        <v>135</v>
      </c>
      <c r="AO20" s="282">
        <f>PI!AR24</f>
        <v>135</v>
      </c>
      <c r="AP20" s="485">
        <f>PI!AS24</f>
        <v>135</v>
      </c>
      <c r="AQ20" s="868"/>
      <c r="AR20" s="868">
        <v>2</v>
      </c>
      <c r="AS20" s="286"/>
      <c r="AT20" s="287" t="str">
        <v>Gangguan TM ≤ 5 Menit</v>
      </c>
      <c r="AU20" s="326" t="s">
        <v>278</v>
      </c>
      <c r="AV20" s="288" t="s">
        <v>136</v>
      </c>
      <c r="AW20" s="289" t="s">
        <v>288</v>
      </c>
      <c r="AX20" s="290"/>
      <c r="AY20" s="291">
        <f>BF20</f>
        <v>110</v>
      </c>
      <c r="AZ20" s="291">
        <f>BL20</f>
        <v>110</v>
      </c>
      <c r="BA20" s="508">
        <f>IF((2-(AE20/I20))*100&gt;110,110,(2-(AE20/I20))*100)</f>
        <v>110</v>
      </c>
      <c r="BB20" s="508">
        <f t="shared" ref="BB20:BL20" si="6">IF((2-(AF20/J20))*100&gt;110,110,(2-(AF20/J20))*100)</f>
        <v>110</v>
      </c>
      <c r="BC20" s="508">
        <f t="shared" si="6"/>
        <v>110</v>
      </c>
      <c r="BD20" s="508">
        <f t="shared" si="6"/>
        <v>110</v>
      </c>
      <c r="BE20" s="508">
        <f t="shared" si="6"/>
        <v>110</v>
      </c>
      <c r="BF20" s="508">
        <f t="shared" si="6"/>
        <v>110</v>
      </c>
      <c r="BG20" s="508">
        <f t="shared" si="6"/>
        <v>110</v>
      </c>
      <c r="BH20" s="508">
        <f t="shared" si="6"/>
        <v>110</v>
      </c>
      <c r="BI20" s="508">
        <f t="shared" si="6"/>
        <v>110</v>
      </c>
      <c r="BJ20" s="508">
        <f t="shared" si="6"/>
        <v>110</v>
      </c>
      <c r="BK20" s="508">
        <f t="shared" si="6"/>
        <v>110</v>
      </c>
      <c r="BL20" s="509">
        <f t="shared" si="6"/>
        <v>110</v>
      </c>
      <c r="BO20" s="286"/>
      <c r="BP20" s="287" t="str">
        <v>Gangguan TM ≤ 5 Menit</v>
      </c>
      <c r="BQ20" s="326" t="s">
        <v>278</v>
      </c>
      <c r="BR20" s="288" t="s">
        <v>136</v>
      </c>
      <c r="BS20" s="289" t="s">
        <v>288</v>
      </c>
      <c r="BT20" s="61">
        <v>2</v>
      </c>
      <c r="BU20" s="291">
        <f>CB20</f>
        <v>2.2000000000000002</v>
      </c>
      <c r="BV20" s="291">
        <f>CH20</f>
        <v>2.2000000000000002</v>
      </c>
      <c r="BW20" s="508" cm="1">
        <f t="array" ref="BW20:CH20">ROUNDDOWN(BT20*BA20:BL20/100,2)</f>
        <v>2.2000000000000002</v>
      </c>
      <c r="BX20" s="508">
        <v>2.2000000000000002</v>
      </c>
      <c r="BY20" s="508">
        <v>2.2000000000000002</v>
      </c>
      <c r="BZ20" s="508">
        <v>2.2000000000000002</v>
      </c>
      <c r="CA20" s="508">
        <v>2.2000000000000002</v>
      </c>
      <c r="CB20" s="508">
        <v>2.2000000000000002</v>
      </c>
      <c r="CC20" s="508">
        <v>2.2000000000000002</v>
      </c>
      <c r="CD20" s="508">
        <v>2.2000000000000002</v>
      </c>
      <c r="CE20" s="508">
        <v>2.2000000000000002</v>
      </c>
      <c r="CF20" s="508">
        <v>2.2000000000000002</v>
      </c>
      <c r="CG20" s="508">
        <v>2.2000000000000002</v>
      </c>
      <c r="CH20" s="509">
        <v>2.2000000000000002</v>
      </c>
    </row>
    <row r="21" spans="1:86" s="198" customFormat="1" ht="16.5">
      <c r="A21" s="286"/>
      <c r="B21" s="287" t="s">
        <v>291</v>
      </c>
      <c r="C21" s="301" t="s">
        <v>278</v>
      </c>
      <c r="D21" s="288" t="s">
        <v>72</v>
      </c>
      <c r="E21" s="289" t="s">
        <v>290</v>
      </c>
      <c r="F21" s="290"/>
      <c r="G21" s="291">
        <f>N21</f>
        <v>5</v>
      </c>
      <c r="H21" s="291">
        <f>T21</f>
        <v>5</v>
      </c>
      <c r="I21" s="291">
        <v>0</v>
      </c>
      <c r="J21" s="291">
        <v>0</v>
      </c>
      <c r="K21" s="291">
        <v>5</v>
      </c>
      <c r="L21" s="291">
        <v>5</v>
      </c>
      <c r="M21" s="291">
        <v>5</v>
      </c>
      <c r="N21" s="291">
        <v>5</v>
      </c>
      <c r="O21" s="291">
        <v>5</v>
      </c>
      <c r="P21" s="291">
        <v>5</v>
      </c>
      <c r="Q21" s="291">
        <v>5</v>
      </c>
      <c r="R21" s="291">
        <v>5</v>
      </c>
      <c r="S21" s="291">
        <v>5</v>
      </c>
      <c r="T21" s="161">
        <v>5</v>
      </c>
      <c r="U21" s="197"/>
      <c r="W21" s="286"/>
      <c r="X21" s="287" t="s">
        <v>291</v>
      </c>
      <c r="Y21" s="301" t="s">
        <v>278</v>
      </c>
      <c r="Z21" s="288" t="s">
        <v>72</v>
      </c>
      <c r="AA21" s="289" t="s">
        <v>290</v>
      </c>
      <c r="AB21" s="290"/>
      <c r="AC21" s="291">
        <f>AJ21</f>
        <v>2</v>
      </c>
      <c r="AD21" s="291">
        <f>AP21</f>
        <v>3</v>
      </c>
      <c r="AE21" s="281">
        <f>PI!AH48</f>
        <v>0</v>
      </c>
      <c r="AF21" s="281">
        <f>PI!AI48</f>
        <v>0</v>
      </c>
      <c r="AG21" s="281">
        <f>PI!AJ48</f>
        <v>0</v>
      </c>
      <c r="AH21" s="281">
        <f>PI!AK48</f>
        <v>0</v>
      </c>
      <c r="AI21" s="281">
        <f>PI!AL48</f>
        <v>1</v>
      </c>
      <c r="AJ21" s="281">
        <f>PI!AM48</f>
        <v>2</v>
      </c>
      <c r="AK21" s="281">
        <f>PI!AN48</f>
        <v>3</v>
      </c>
      <c r="AL21" s="281">
        <f>PI!AO48</f>
        <v>3</v>
      </c>
      <c r="AM21" s="281">
        <f>PI!AP48</f>
        <v>3</v>
      </c>
      <c r="AN21" s="281">
        <f>PI!AQ48</f>
        <v>3</v>
      </c>
      <c r="AO21" s="281">
        <f>PI!AR48</f>
        <v>3</v>
      </c>
      <c r="AP21" s="484">
        <f>PI!AS48</f>
        <v>3</v>
      </c>
      <c r="AQ21" s="868"/>
      <c r="AR21" s="868">
        <v>2</v>
      </c>
      <c r="AS21" s="286"/>
      <c r="AT21" s="287" t="str">
        <v>Kerusakan Peralatan Distribusi (PHB TM dan Trafo) Sesuai Kewenangan</v>
      </c>
      <c r="AU21" s="301" t="s">
        <v>278</v>
      </c>
      <c r="AV21" s="288" t="s">
        <v>72</v>
      </c>
      <c r="AW21" s="289" t="s">
        <v>290</v>
      </c>
      <c r="AX21" s="290"/>
      <c r="AY21" s="291">
        <f>BF21</f>
        <v>110</v>
      </c>
      <c r="AZ21" s="291">
        <f>BL21</f>
        <v>110</v>
      </c>
      <c r="BA21" s="502">
        <f>IFERROR(IF((2-(AE21/I21))*100&gt;110,110,(2-(AE21/I21))*100),100)</f>
        <v>100</v>
      </c>
      <c r="BB21" s="502">
        <f t="shared" ref="BB21:BL21" si="7">IFERROR(IF((2-(AF21/J21))*100&gt;110,110,(2-(AF21/J21))*100),100)</f>
        <v>100</v>
      </c>
      <c r="BC21" s="502">
        <f t="shared" si="7"/>
        <v>110</v>
      </c>
      <c r="BD21" s="502">
        <f t="shared" si="7"/>
        <v>110</v>
      </c>
      <c r="BE21" s="502">
        <f t="shared" si="7"/>
        <v>110</v>
      </c>
      <c r="BF21" s="502">
        <f t="shared" si="7"/>
        <v>110</v>
      </c>
      <c r="BG21" s="502">
        <f t="shared" si="7"/>
        <v>110</v>
      </c>
      <c r="BH21" s="502">
        <f t="shared" si="7"/>
        <v>110</v>
      </c>
      <c r="BI21" s="502">
        <f t="shared" si="7"/>
        <v>110</v>
      </c>
      <c r="BJ21" s="502">
        <f t="shared" si="7"/>
        <v>110</v>
      </c>
      <c r="BK21" s="502">
        <f t="shared" si="7"/>
        <v>110</v>
      </c>
      <c r="BL21" s="503">
        <f t="shared" si="7"/>
        <v>110</v>
      </c>
      <c r="BO21" s="286"/>
      <c r="BP21" s="287" t="str">
        <v>Kerusakan Peralatan Distribusi (PHB TM dan Trafo) Sesuai Kewenangan</v>
      </c>
      <c r="BQ21" s="301" t="s">
        <v>278</v>
      </c>
      <c r="BR21" s="288" t="s">
        <v>72</v>
      </c>
      <c r="BS21" s="289" t="s">
        <v>290</v>
      </c>
      <c r="BT21" s="61">
        <v>2</v>
      </c>
      <c r="BU21" s="291">
        <f>CB21</f>
        <v>2.2000000000000002</v>
      </c>
      <c r="BV21" s="291">
        <f>CH21</f>
        <v>2.2000000000000002</v>
      </c>
      <c r="BW21" s="502" cm="1">
        <f t="array" ref="BW21:CH21">ROUNDDOWN(BT21*BA21:BL21/100,2)</f>
        <v>2</v>
      </c>
      <c r="BX21" s="502">
        <v>2</v>
      </c>
      <c r="BY21" s="502">
        <v>2.2000000000000002</v>
      </c>
      <c r="BZ21" s="502">
        <v>2.2000000000000002</v>
      </c>
      <c r="CA21" s="502">
        <v>2.2000000000000002</v>
      </c>
      <c r="CB21" s="502">
        <v>2.2000000000000002</v>
      </c>
      <c r="CC21" s="502">
        <v>2.2000000000000002</v>
      </c>
      <c r="CD21" s="502">
        <v>2.2000000000000002</v>
      </c>
      <c r="CE21" s="502">
        <v>2.2000000000000002</v>
      </c>
      <c r="CF21" s="502">
        <v>2.2000000000000002</v>
      </c>
      <c r="CG21" s="502">
        <v>2.2000000000000002</v>
      </c>
      <c r="CH21" s="503">
        <v>2.2000000000000002</v>
      </c>
    </row>
    <row r="22" spans="1:86" s="198" customFormat="1" ht="16.5">
      <c r="A22" s="51">
        <v>5</v>
      </c>
      <c r="B22" s="271" t="s">
        <v>293</v>
      </c>
      <c r="C22" s="301"/>
      <c r="D22" s="288"/>
      <c r="E22" s="292" t="s">
        <v>292</v>
      </c>
      <c r="F22" s="61">
        <v>6</v>
      </c>
      <c r="G22" s="274"/>
      <c r="H22" s="274"/>
      <c r="I22" s="274"/>
      <c r="J22" s="274"/>
      <c r="K22" s="274"/>
      <c r="L22" s="274"/>
      <c r="M22" s="274"/>
      <c r="N22" s="274"/>
      <c r="O22" s="274"/>
      <c r="P22" s="274"/>
      <c r="Q22" s="274"/>
      <c r="R22" s="274"/>
      <c r="S22" s="274"/>
      <c r="T22" s="91"/>
      <c r="U22" s="197"/>
      <c r="W22" s="51">
        <v>5</v>
      </c>
      <c r="X22" s="271" t="s">
        <v>293</v>
      </c>
      <c r="Y22" s="301"/>
      <c r="Z22" s="288"/>
      <c r="AA22" s="292" t="s">
        <v>292</v>
      </c>
      <c r="AB22" s="61">
        <v>6</v>
      </c>
      <c r="AC22" s="274"/>
      <c r="AD22" s="274"/>
      <c r="AE22" s="212"/>
      <c r="AF22" s="212"/>
      <c r="AG22" s="212"/>
      <c r="AH22" s="212"/>
      <c r="AI22" s="212"/>
      <c r="AJ22" s="212"/>
      <c r="AK22" s="212"/>
      <c r="AL22" s="212"/>
      <c r="AM22" s="212"/>
      <c r="AN22" s="212"/>
      <c r="AO22" s="212"/>
      <c r="AP22" s="213"/>
      <c r="AQ22" s="868"/>
      <c r="AR22" s="868" t="e">
        <v>#VALUE!</v>
      </c>
      <c r="AS22" s="490">
        <v>5</v>
      </c>
      <c r="AT22" s="271" t="str">
        <v>Peningkatan Layanan</v>
      </c>
      <c r="AU22" s="331"/>
      <c r="AV22" s="493"/>
      <c r="AW22" s="494" t="s">
        <v>292</v>
      </c>
      <c r="AX22" s="488">
        <v>6</v>
      </c>
      <c r="AY22" s="495"/>
      <c r="AZ22" s="495"/>
      <c r="BA22" s="504"/>
      <c r="BB22" s="504"/>
      <c r="BC22" s="504"/>
      <c r="BD22" s="504"/>
      <c r="BE22" s="504"/>
      <c r="BF22" s="504"/>
      <c r="BG22" s="504"/>
      <c r="BH22" s="504"/>
      <c r="BI22" s="504"/>
      <c r="BJ22" s="504"/>
      <c r="BK22" s="504"/>
      <c r="BL22" s="505"/>
      <c r="BO22" s="490">
        <v>5</v>
      </c>
      <c r="BP22" s="271" t="str">
        <v>Peningkatan Layanan</v>
      </c>
      <c r="BQ22" s="331"/>
      <c r="BR22" s="493"/>
      <c r="BS22" s="494" t="s">
        <v>292</v>
      </c>
      <c r="BT22" s="488">
        <v>6</v>
      </c>
      <c r="BU22" s="495"/>
      <c r="BV22" s="495"/>
      <c r="BW22" s="504"/>
      <c r="BX22" s="504"/>
      <c r="BY22" s="504"/>
      <c r="BZ22" s="504"/>
      <c r="CA22" s="504"/>
      <c r="CB22" s="504"/>
      <c r="CC22" s="504"/>
      <c r="CD22" s="504"/>
      <c r="CE22" s="504"/>
      <c r="CF22" s="504"/>
      <c r="CG22" s="504"/>
      <c r="CH22" s="505"/>
    </row>
    <row r="23" spans="1:86" s="198" customFormat="1" ht="16.5">
      <c r="A23" s="51"/>
      <c r="B23" s="275" t="s">
        <v>294</v>
      </c>
      <c r="C23" s="327" t="s">
        <v>278</v>
      </c>
      <c r="D23" s="306" t="s">
        <v>149</v>
      </c>
      <c r="E23" s="294"/>
      <c r="F23" s="295"/>
      <c r="G23" s="274">
        <f>N23</f>
        <v>0.09</v>
      </c>
      <c r="H23" s="274">
        <f>T23</f>
        <v>0.09</v>
      </c>
      <c r="I23" s="388">
        <f>PI!D70</f>
        <v>0.09</v>
      </c>
      <c r="J23" s="388">
        <f>PI!E70</f>
        <v>0.09</v>
      </c>
      <c r="K23" s="388">
        <f>PI!F70</f>
        <v>0.09</v>
      </c>
      <c r="L23" s="388">
        <f>PI!G70</f>
        <v>0.09</v>
      </c>
      <c r="M23" s="388">
        <f>PI!H70</f>
        <v>0.09</v>
      </c>
      <c r="N23" s="388">
        <f>PI!I70</f>
        <v>0.09</v>
      </c>
      <c r="O23" s="388">
        <f>PI!J70</f>
        <v>0.09</v>
      </c>
      <c r="P23" s="388">
        <f>PI!K70</f>
        <v>0.09</v>
      </c>
      <c r="Q23" s="388">
        <f>PI!L70</f>
        <v>0.09</v>
      </c>
      <c r="R23" s="388">
        <f>PI!M70</f>
        <v>0.09</v>
      </c>
      <c r="S23" s="388">
        <f>PI!N70</f>
        <v>0.09</v>
      </c>
      <c r="T23" s="305">
        <f>PI!O70</f>
        <v>0.09</v>
      </c>
      <c r="U23" s="197"/>
      <c r="W23" s="51"/>
      <c r="X23" s="275" t="s">
        <v>294</v>
      </c>
      <c r="Y23" s="327" t="s">
        <v>278</v>
      </c>
      <c r="Z23" s="306" t="s">
        <v>149</v>
      </c>
      <c r="AA23" s="294"/>
      <c r="AB23" s="295"/>
      <c r="AC23" s="274">
        <f>AJ23</f>
        <v>0</v>
      </c>
      <c r="AD23" s="274">
        <f>AP23</f>
        <v>0</v>
      </c>
      <c r="AE23" s="212">
        <f>PI!AH70</f>
        <v>0</v>
      </c>
      <c r="AF23" s="212">
        <f>PI!AI70</f>
        <v>0</v>
      </c>
      <c r="AG23" s="212">
        <f>PI!AJ70</f>
        <v>0</v>
      </c>
      <c r="AH23" s="212">
        <f>PI!AK70</f>
        <v>0</v>
      </c>
      <c r="AI23" s="212">
        <f>PI!AL70</f>
        <v>0</v>
      </c>
      <c r="AJ23" s="212">
        <f>PI!AM70</f>
        <v>0</v>
      </c>
      <c r="AK23" s="212">
        <f>PI!AN70</f>
        <v>0</v>
      </c>
      <c r="AL23" s="212">
        <f>PI!AO70</f>
        <v>0</v>
      </c>
      <c r="AM23" s="212">
        <f>PI!AP70</f>
        <v>0</v>
      </c>
      <c r="AN23" s="212">
        <f>PI!AQ70</f>
        <v>0</v>
      </c>
      <c r="AO23" s="212">
        <f>PI!AR70</f>
        <v>0</v>
      </c>
      <c r="AP23" s="213">
        <f>PI!AS70</f>
        <v>0</v>
      </c>
      <c r="AQ23" s="868"/>
      <c r="AR23" s="868">
        <v>2</v>
      </c>
      <c r="AS23" s="51"/>
      <c r="AT23" s="275" t="str">
        <v>Feedback Rating Negatif pada PLN Mobile - Gangguan</v>
      </c>
      <c r="AU23" s="327" t="s">
        <v>278</v>
      </c>
      <c r="AV23" s="306" t="s">
        <v>149</v>
      </c>
      <c r="AW23" s="294"/>
      <c r="AX23" s="295"/>
      <c r="AY23" s="274">
        <f>BF23</f>
        <v>110</v>
      </c>
      <c r="AZ23" s="274">
        <f>BL23</f>
        <v>110</v>
      </c>
      <c r="BA23" s="502">
        <f>IFERROR(IF((2-(AE23/I23))*100&gt;110,110,(2-(AE23/I23))*100),100)</f>
        <v>110</v>
      </c>
      <c r="BB23" s="502">
        <f t="shared" ref="BB23:BL24" si="8">IFERROR(IF((2-(AF23/J23))*100&gt;110,110,(2-(AF23/J23))*100),100)</f>
        <v>110</v>
      </c>
      <c r="BC23" s="502">
        <f t="shared" si="8"/>
        <v>110</v>
      </c>
      <c r="BD23" s="502">
        <f t="shared" si="8"/>
        <v>110</v>
      </c>
      <c r="BE23" s="502">
        <f t="shared" si="8"/>
        <v>110</v>
      </c>
      <c r="BF23" s="502">
        <f t="shared" si="8"/>
        <v>110</v>
      </c>
      <c r="BG23" s="502">
        <f t="shared" si="8"/>
        <v>110</v>
      </c>
      <c r="BH23" s="502">
        <f t="shared" si="8"/>
        <v>110</v>
      </c>
      <c r="BI23" s="502">
        <f t="shared" si="8"/>
        <v>110</v>
      </c>
      <c r="BJ23" s="502">
        <f t="shared" si="8"/>
        <v>110</v>
      </c>
      <c r="BK23" s="502">
        <f t="shared" si="8"/>
        <v>110</v>
      </c>
      <c r="BL23" s="503">
        <f t="shared" si="8"/>
        <v>110</v>
      </c>
      <c r="BO23" s="51"/>
      <c r="BP23" s="275" t="str">
        <v>Feedback Rating Negatif pada PLN Mobile - Gangguan</v>
      </c>
      <c r="BQ23" s="327" t="s">
        <v>278</v>
      </c>
      <c r="BR23" s="306" t="s">
        <v>149</v>
      </c>
      <c r="BS23" s="294"/>
      <c r="BT23" s="295">
        <v>1.5</v>
      </c>
      <c r="BU23" s="274">
        <f>CB23</f>
        <v>1.65</v>
      </c>
      <c r="BV23" s="274">
        <f>CH23</f>
        <v>1.65</v>
      </c>
      <c r="BW23" s="502" cm="1">
        <f t="array" ref="BW23:CH23">ROUNDDOWN(BT23*BA23:BL23/100,2)</f>
        <v>1.65</v>
      </c>
      <c r="BX23" s="502">
        <v>1.65</v>
      </c>
      <c r="BY23" s="502">
        <v>1.65</v>
      </c>
      <c r="BZ23" s="502">
        <v>1.65</v>
      </c>
      <c r="CA23" s="502">
        <v>1.65</v>
      </c>
      <c r="CB23" s="502">
        <v>1.65</v>
      </c>
      <c r="CC23" s="502">
        <v>1.65</v>
      </c>
      <c r="CD23" s="502">
        <v>1.65</v>
      </c>
      <c r="CE23" s="502">
        <v>1.65</v>
      </c>
      <c r="CF23" s="502">
        <v>1.65</v>
      </c>
      <c r="CG23" s="502">
        <v>1.65</v>
      </c>
      <c r="CH23" s="503">
        <v>1.65</v>
      </c>
    </row>
    <row r="24" spans="1:86" s="198" customFormat="1" ht="16.5">
      <c r="A24" s="51"/>
      <c r="B24" s="275" t="s">
        <v>295</v>
      </c>
      <c r="C24" s="327" t="s">
        <v>278</v>
      </c>
      <c r="D24" s="293" t="s">
        <v>149</v>
      </c>
      <c r="E24" s="294"/>
      <c r="F24" s="295"/>
      <c r="G24" s="274">
        <f>N24</f>
        <v>0.04</v>
      </c>
      <c r="H24" s="274">
        <f>T24</f>
        <v>0.04</v>
      </c>
      <c r="I24" s="257">
        <f>PI!D92</f>
        <v>0.04</v>
      </c>
      <c r="J24" s="257">
        <f>PI!E92</f>
        <v>0.04</v>
      </c>
      <c r="K24" s="257">
        <f>PI!F92</f>
        <v>0.04</v>
      </c>
      <c r="L24" s="257">
        <f>PI!G92</f>
        <v>0.04</v>
      </c>
      <c r="M24" s="257">
        <f>PI!H92</f>
        <v>0.04</v>
      </c>
      <c r="N24" s="257">
        <f>PI!I92</f>
        <v>0.04</v>
      </c>
      <c r="O24" s="257">
        <f>PI!J92</f>
        <v>0.04</v>
      </c>
      <c r="P24" s="257">
        <f>PI!K92</f>
        <v>0.04</v>
      </c>
      <c r="Q24" s="257">
        <f>PI!L92</f>
        <v>0.04</v>
      </c>
      <c r="R24" s="257">
        <f>PI!M92</f>
        <v>0.04</v>
      </c>
      <c r="S24" s="257">
        <f>PI!N92</f>
        <v>0.04</v>
      </c>
      <c r="T24" s="90">
        <f>PI!O92</f>
        <v>0.04</v>
      </c>
      <c r="U24" s="197"/>
      <c r="W24" s="51"/>
      <c r="X24" s="275" t="s">
        <v>295</v>
      </c>
      <c r="Y24" s="327" t="s">
        <v>278</v>
      </c>
      <c r="Z24" s="293" t="s">
        <v>149</v>
      </c>
      <c r="AA24" s="294"/>
      <c r="AB24" s="295"/>
      <c r="AC24" s="274">
        <f>AJ24</f>
        <v>0</v>
      </c>
      <c r="AD24" s="274">
        <f>AP24</f>
        <v>4.9086982132338502E-3</v>
      </c>
      <c r="AE24" s="212">
        <f>PI!AH92</f>
        <v>0</v>
      </c>
      <c r="AF24" s="212">
        <f>PI!AI92</f>
        <v>0</v>
      </c>
      <c r="AG24" s="212">
        <f>PI!AJ92</f>
        <v>0</v>
      </c>
      <c r="AH24" s="212">
        <f>PI!AK92</f>
        <v>0</v>
      </c>
      <c r="AI24" s="212">
        <f>PI!AL92</f>
        <v>0</v>
      </c>
      <c r="AJ24" s="212">
        <f>PI!AM92</f>
        <v>0</v>
      </c>
      <c r="AK24" s="212">
        <f>PI!AN92</f>
        <v>0</v>
      </c>
      <c r="AL24" s="212">
        <f>PI!AO92</f>
        <v>0</v>
      </c>
      <c r="AM24" s="212">
        <f>PI!AP92</f>
        <v>0</v>
      </c>
      <c r="AN24" s="212">
        <f>PI!AQ92</f>
        <v>0</v>
      </c>
      <c r="AO24" s="212">
        <f>PI!AR92</f>
        <v>0</v>
      </c>
      <c r="AP24" s="213">
        <f>PI!AS92</f>
        <v>4.9086982132338502E-3</v>
      </c>
      <c r="AQ24" s="868"/>
      <c r="AR24" s="868">
        <v>2</v>
      </c>
      <c r="AS24" s="51"/>
      <c r="AT24" s="275" t="str">
        <v>Pengaduan Gangguan Berulang pada PLN Mobile</v>
      </c>
      <c r="AU24" s="327" t="s">
        <v>278</v>
      </c>
      <c r="AV24" s="293" t="s">
        <v>149</v>
      </c>
      <c r="AW24" s="294"/>
      <c r="AX24" s="295"/>
      <c r="AY24" s="274">
        <f>BF24</f>
        <v>110</v>
      </c>
      <c r="AZ24" s="274">
        <f>BL24</f>
        <v>110</v>
      </c>
      <c r="BA24" s="502">
        <f>IFERROR(IF((2-(AE24/I24))*100&gt;110,110,(2-(AE24/I24))*100),100)</f>
        <v>110</v>
      </c>
      <c r="BB24" s="502">
        <f t="shared" si="8"/>
        <v>110</v>
      </c>
      <c r="BC24" s="502">
        <f t="shared" si="8"/>
        <v>110</v>
      </c>
      <c r="BD24" s="502">
        <f t="shared" si="8"/>
        <v>110</v>
      </c>
      <c r="BE24" s="502">
        <f t="shared" si="8"/>
        <v>110</v>
      </c>
      <c r="BF24" s="502">
        <f t="shared" si="8"/>
        <v>110</v>
      </c>
      <c r="BG24" s="502">
        <f t="shared" si="8"/>
        <v>110</v>
      </c>
      <c r="BH24" s="502">
        <f t="shared" si="8"/>
        <v>110</v>
      </c>
      <c r="BI24" s="502">
        <f t="shared" si="8"/>
        <v>110</v>
      </c>
      <c r="BJ24" s="502">
        <f t="shared" si="8"/>
        <v>110</v>
      </c>
      <c r="BK24" s="502">
        <f t="shared" si="8"/>
        <v>110</v>
      </c>
      <c r="BL24" s="503">
        <f t="shared" si="8"/>
        <v>110</v>
      </c>
      <c r="BO24" s="51"/>
      <c r="BP24" s="275" t="str">
        <v>Pengaduan Gangguan Berulang pada PLN Mobile</v>
      </c>
      <c r="BQ24" s="327" t="s">
        <v>278</v>
      </c>
      <c r="BR24" s="293" t="s">
        <v>149</v>
      </c>
      <c r="BS24" s="294"/>
      <c r="BT24" s="295">
        <v>1.5</v>
      </c>
      <c r="BU24" s="274">
        <f>CB24</f>
        <v>1.65</v>
      </c>
      <c r="BV24" s="274">
        <f>CH24</f>
        <v>1.65</v>
      </c>
      <c r="BW24" s="502" cm="1">
        <f t="array" ref="BW24:CH24">ROUNDDOWN(BT24*BA24:BL24/100,2)</f>
        <v>1.65</v>
      </c>
      <c r="BX24" s="502">
        <v>1.65</v>
      </c>
      <c r="BY24" s="502">
        <v>1.65</v>
      </c>
      <c r="BZ24" s="502">
        <v>1.65</v>
      </c>
      <c r="CA24" s="502">
        <v>1.65</v>
      </c>
      <c r="CB24" s="502">
        <v>1.65</v>
      </c>
      <c r="CC24" s="502">
        <v>1.65</v>
      </c>
      <c r="CD24" s="502">
        <v>1.65</v>
      </c>
      <c r="CE24" s="502">
        <v>1.65</v>
      </c>
      <c r="CF24" s="502">
        <v>1.65</v>
      </c>
      <c r="CG24" s="502">
        <v>1.65</v>
      </c>
      <c r="CH24" s="503">
        <v>1.65</v>
      </c>
    </row>
    <row r="25" spans="1:86" s="198" customFormat="1" ht="16.5">
      <c r="A25" s="51"/>
      <c r="B25" s="52" t="s">
        <v>297</v>
      </c>
      <c r="C25" s="327" t="s">
        <v>276</v>
      </c>
      <c r="D25" s="293" t="s">
        <v>193</v>
      </c>
      <c r="E25" s="294" t="s">
        <v>296</v>
      </c>
      <c r="F25" s="295"/>
      <c r="G25" s="257">
        <f>N25</f>
        <v>4.9000000000000004</v>
      </c>
      <c r="H25" s="257">
        <f>T25</f>
        <v>4.9000000000000004</v>
      </c>
      <c r="I25" s="257">
        <f>PI!D97</f>
        <v>4.9000000000000004</v>
      </c>
      <c r="J25" s="257">
        <f>PI!E97</f>
        <v>4.9000000000000004</v>
      </c>
      <c r="K25" s="257">
        <f>PI!F97</f>
        <v>4.9000000000000004</v>
      </c>
      <c r="L25" s="257">
        <f>PI!G97</f>
        <v>4.9000000000000004</v>
      </c>
      <c r="M25" s="257">
        <f>PI!H97</f>
        <v>4.9000000000000004</v>
      </c>
      <c r="N25" s="257">
        <f>PI!I97</f>
        <v>4.9000000000000004</v>
      </c>
      <c r="O25" s="257">
        <f>PI!J97</f>
        <v>4.9000000000000004</v>
      </c>
      <c r="P25" s="257">
        <f>PI!K97</f>
        <v>4.9000000000000004</v>
      </c>
      <c r="Q25" s="257">
        <f>PI!L97</f>
        <v>4.9000000000000004</v>
      </c>
      <c r="R25" s="257">
        <f>PI!M97</f>
        <v>4.9000000000000004</v>
      </c>
      <c r="S25" s="257">
        <f>PI!N97</f>
        <v>4.9000000000000004</v>
      </c>
      <c r="T25" s="90">
        <f>PI!O97</f>
        <v>4.9000000000000004</v>
      </c>
      <c r="U25" s="197"/>
      <c r="W25" s="51"/>
      <c r="X25" s="52" t="s">
        <v>297</v>
      </c>
      <c r="Y25" s="327" t="s">
        <v>276</v>
      </c>
      <c r="Z25" s="293" t="s">
        <v>193</v>
      </c>
      <c r="AA25" s="294" t="s">
        <v>296</v>
      </c>
      <c r="AB25" s="295"/>
      <c r="AC25" s="257">
        <f>AJ25</f>
        <v>4.9000000000000004</v>
      </c>
      <c r="AD25" s="257">
        <f>AP25</f>
        <v>4.9000000000000004</v>
      </c>
      <c r="AE25" s="212">
        <f>PI!AH97</f>
        <v>4.91</v>
      </c>
      <c r="AF25" s="212">
        <f>PI!AI97</f>
        <v>4.91</v>
      </c>
      <c r="AG25" s="212">
        <f>PI!AJ97</f>
        <v>4.91</v>
      </c>
      <c r="AH25" s="212">
        <f>PI!AK97</f>
        <v>4.91</v>
      </c>
      <c r="AI25" s="212">
        <f>PI!AL97</f>
        <v>4.9000000000000004</v>
      </c>
      <c r="AJ25" s="212">
        <f>PI!AM97</f>
        <v>4.9000000000000004</v>
      </c>
      <c r="AK25" s="212">
        <f>PI!AN97</f>
        <v>4.9000000000000004</v>
      </c>
      <c r="AL25" s="212">
        <f>PI!AO97</f>
        <v>4.9000000000000004</v>
      </c>
      <c r="AM25" s="212">
        <f>PI!AP97</f>
        <v>4.9000000000000004</v>
      </c>
      <c r="AN25" s="212">
        <f>PI!AQ97</f>
        <v>4.9000000000000004</v>
      </c>
      <c r="AO25" s="212">
        <f>PI!AR97</f>
        <v>4.9000000000000004</v>
      </c>
      <c r="AP25" s="213">
        <f>PI!AS97</f>
        <v>4.9000000000000004</v>
      </c>
      <c r="AQ25" s="868"/>
      <c r="AR25" s="868">
        <v>2</v>
      </c>
      <c r="AS25" s="51"/>
      <c r="AT25" s="52" t="str">
        <v>Rating PLN Mobile</v>
      </c>
      <c r="AU25" s="327" t="s">
        <v>276</v>
      </c>
      <c r="AV25" s="293" t="s">
        <v>193</v>
      </c>
      <c r="AW25" s="294" t="s">
        <v>296</v>
      </c>
      <c r="AX25" s="295"/>
      <c r="AY25" s="257">
        <f>BF25</f>
        <v>100</v>
      </c>
      <c r="AZ25" s="257">
        <f>BL25</f>
        <v>100</v>
      </c>
      <c r="BA25" s="502">
        <f>IF(AE25/I25*100&gt;110,110,AE25/I25*100)</f>
        <v>100.20408163265306</v>
      </c>
      <c r="BB25" s="502">
        <f t="shared" ref="BB25:BL26" si="9">IF(AF25/J25*100&gt;110,110,AF25/J25*100)</f>
        <v>100.20408163265306</v>
      </c>
      <c r="BC25" s="502">
        <f t="shared" si="9"/>
        <v>100.20408163265306</v>
      </c>
      <c r="BD25" s="502">
        <f t="shared" si="9"/>
        <v>100.20408163265306</v>
      </c>
      <c r="BE25" s="502">
        <f t="shared" si="9"/>
        <v>100</v>
      </c>
      <c r="BF25" s="502">
        <f t="shared" si="9"/>
        <v>100</v>
      </c>
      <c r="BG25" s="502">
        <f t="shared" si="9"/>
        <v>100</v>
      </c>
      <c r="BH25" s="502">
        <f t="shared" si="9"/>
        <v>100</v>
      </c>
      <c r="BI25" s="502">
        <f t="shared" si="9"/>
        <v>100</v>
      </c>
      <c r="BJ25" s="502">
        <f t="shared" si="9"/>
        <v>100</v>
      </c>
      <c r="BK25" s="502">
        <f t="shared" si="9"/>
        <v>100</v>
      </c>
      <c r="BL25" s="503">
        <f t="shared" si="9"/>
        <v>100</v>
      </c>
      <c r="BO25" s="51"/>
      <c r="BP25" s="52" t="str">
        <v>Rating PLN Mobile</v>
      </c>
      <c r="BQ25" s="327" t="s">
        <v>276</v>
      </c>
      <c r="BR25" s="293" t="s">
        <v>193</v>
      </c>
      <c r="BS25" s="294" t="s">
        <v>296</v>
      </c>
      <c r="BT25" s="295">
        <v>1.5</v>
      </c>
      <c r="BU25" s="257">
        <f>CB25</f>
        <v>1.5</v>
      </c>
      <c r="BV25" s="257">
        <f>CH25</f>
        <v>1.5</v>
      </c>
      <c r="BW25" s="502" cm="1">
        <f t="array" ref="BW25:CH25">ROUNDDOWN(BT25*BA25:BL25/100,2)</f>
        <v>1.5</v>
      </c>
      <c r="BX25" s="502">
        <v>1.5</v>
      </c>
      <c r="BY25" s="502">
        <v>1.5</v>
      </c>
      <c r="BZ25" s="502">
        <v>1.5</v>
      </c>
      <c r="CA25" s="502">
        <v>1.5</v>
      </c>
      <c r="CB25" s="502">
        <v>1.5</v>
      </c>
      <c r="CC25" s="502">
        <v>1.5</v>
      </c>
      <c r="CD25" s="502">
        <v>1.5</v>
      </c>
      <c r="CE25" s="502">
        <v>1.5</v>
      </c>
      <c r="CF25" s="502">
        <v>1.5</v>
      </c>
      <c r="CG25" s="502">
        <v>1.5</v>
      </c>
      <c r="CH25" s="503">
        <v>1.5</v>
      </c>
    </row>
    <row r="26" spans="1:86" s="198" customFormat="1" ht="16.5">
      <c r="A26" s="51"/>
      <c r="B26" s="275" t="s">
        <v>299</v>
      </c>
      <c r="C26" s="327" t="s">
        <v>276</v>
      </c>
      <c r="D26" s="293" t="s">
        <v>300</v>
      </c>
      <c r="E26" s="294" t="s">
        <v>301</v>
      </c>
      <c r="F26" s="295"/>
      <c r="G26" s="257">
        <f>N26</f>
        <v>31455</v>
      </c>
      <c r="H26" s="257">
        <f>T26</f>
        <v>62908</v>
      </c>
      <c r="I26" s="257">
        <f>PI!D107</f>
        <v>5386</v>
      </c>
      <c r="J26" s="257">
        <f>PI!E107</f>
        <v>10253</v>
      </c>
      <c r="K26" s="257">
        <f>PI!F107</f>
        <v>15641</v>
      </c>
      <c r="L26" s="257">
        <f>PI!G107</f>
        <v>20855</v>
      </c>
      <c r="M26" s="257">
        <f>PI!H107</f>
        <v>26242</v>
      </c>
      <c r="N26" s="257">
        <f>PI!I107</f>
        <v>31455</v>
      </c>
      <c r="O26" s="257">
        <f>PI!J107</f>
        <v>36754</v>
      </c>
      <c r="P26" s="257">
        <f>PI!K107</f>
        <v>42054</v>
      </c>
      <c r="Q26" s="257">
        <f>PI!L107</f>
        <v>47183</v>
      </c>
      <c r="R26" s="257">
        <f>PI!M107</f>
        <v>52481</v>
      </c>
      <c r="S26" s="257">
        <f>PI!N107</f>
        <v>57609</v>
      </c>
      <c r="T26" s="90">
        <f>PI!O107</f>
        <v>62908</v>
      </c>
      <c r="U26" s="197"/>
      <c r="W26" s="51"/>
      <c r="X26" s="275" t="s">
        <v>299</v>
      </c>
      <c r="Y26" s="327" t="s">
        <v>276</v>
      </c>
      <c r="Z26" s="293" t="s">
        <v>300</v>
      </c>
      <c r="AA26" s="294" t="s">
        <v>301</v>
      </c>
      <c r="AB26" s="295"/>
      <c r="AC26" s="257">
        <f>AJ26</f>
        <v>45061</v>
      </c>
      <c r="AD26" s="257">
        <f>AP26</f>
        <v>0</v>
      </c>
      <c r="AE26" s="212">
        <f>PI!AH107</f>
        <v>2781</v>
      </c>
      <c r="AF26" s="212">
        <f>PI!AI107</f>
        <v>6163</v>
      </c>
      <c r="AG26" s="212">
        <f>PI!AJ107</f>
        <v>16349</v>
      </c>
      <c r="AH26" s="212">
        <f>PI!AK107</f>
        <v>26667</v>
      </c>
      <c r="AI26" s="212">
        <f>PI!AL107</f>
        <v>36549</v>
      </c>
      <c r="AJ26" s="212">
        <f>PI!AM107</f>
        <v>45061</v>
      </c>
      <c r="AK26" s="212">
        <f>PI!AN107</f>
        <v>53566</v>
      </c>
      <c r="AL26" s="212">
        <f>PI!AO107</f>
        <v>60672</v>
      </c>
      <c r="AM26" s="212">
        <f>PI!AP107</f>
        <v>68090</v>
      </c>
      <c r="AN26" s="212">
        <f>PI!AQ107</f>
        <v>75000</v>
      </c>
      <c r="AO26" s="212">
        <f>PI!AR107</f>
        <v>0</v>
      </c>
      <c r="AP26" s="213">
        <f>PI!AS107</f>
        <v>0</v>
      </c>
      <c r="AQ26" s="868"/>
      <c r="AR26" s="868">
        <v>2</v>
      </c>
      <c r="AS26" s="51"/>
      <c r="AT26" s="275" t="str">
        <v>Jumlah Kali Transaksi Keuangan melalui PLN Mobile</v>
      </c>
      <c r="AU26" s="327" t="s">
        <v>276</v>
      </c>
      <c r="AV26" s="293" t="s">
        <v>300</v>
      </c>
      <c r="AW26" s="294" t="s">
        <v>301</v>
      </c>
      <c r="AX26" s="295"/>
      <c r="AY26" s="257">
        <f>BF26</f>
        <v>110</v>
      </c>
      <c r="AZ26" s="257">
        <f>BL26</f>
        <v>0</v>
      </c>
      <c r="BA26" s="502">
        <f>IF(AE26/I26*100&gt;110,110,AE26/I26*100)</f>
        <v>51.633865577422945</v>
      </c>
      <c r="BB26" s="502">
        <f t="shared" si="9"/>
        <v>60.10923632107675</v>
      </c>
      <c r="BC26" s="502">
        <f t="shared" si="9"/>
        <v>104.52656479764721</v>
      </c>
      <c r="BD26" s="502">
        <f t="shared" si="9"/>
        <v>110</v>
      </c>
      <c r="BE26" s="502">
        <f t="shared" si="9"/>
        <v>110</v>
      </c>
      <c r="BF26" s="502">
        <f t="shared" si="9"/>
        <v>110</v>
      </c>
      <c r="BG26" s="502">
        <f t="shared" si="9"/>
        <v>110</v>
      </c>
      <c r="BH26" s="502">
        <f t="shared" si="9"/>
        <v>110</v>
      </c>
      <c r="BI26" s="502">
        <f t="shared" si="9"/>
        <v>110</v>
      </c>
      <c r="BJ26" s="502">
        <f t="shared" si="9"/>
        <v>110</v>
      </c>
      <c r="BK26" s="502">
        <f t="shared" si="9"/>
        <v>0</v>
      </c>
      <c r="BL26" s="503">
        <f t="shared" si="9"/>
        <v>0</v>
      </c>
      <c r="BO26" s="51"/>
      <c r="BP26" s="275" t="str">
        <v>Jumlah Kali Transaksi Keuangan melalui PLN Mobile</v>
      </c>
      <c r="BQ26" s="327" t="s">
        <v>276</v>
      </c>
      <c r="BR26" s="293" t="s">
        <v>300</v>
      </c>
      <c r="BS26" s="294" t="s">
        <v>301</v>
      </c>
      <c r="BT26" s="295">
        <v>1.5</v>
      </c>
      <c r="BU26" s="257">
        <f>CB26</f>
        <v>1.65</v>
      </c>
      <c r="BV26" s="257">
        <f>CH26</f>
        <v>0</v>
      </c>
      <c r="BW26" s="502" cm="1">
        <f t="array" ref="BW26:CH26">ROUNDDOWN(BT26*BA26:BL26/100,2)</f>
        <v>0.77</v>
      </c>
      <c r="BX26" s="502">
        <v>0.9</v>
      </c>
      <c r="BY26" s="502">
        <v>1.56</v>
      </c>
      <c r="BZ26" s="502">
        <v>1.65</v>
      </c>
      <c r="CA26" s="502">
        <v>1.65</v>
      </c>
      <c r="CB26" s="502">
        <v>1.65</v>
      </c>
      <c r="CC26" s="502">
        <v>1.65</v>
      </c>
      <c r="CD26" s="502">
        <v>1.65</v>
      </c>
      <c r="CE26" s="502">
        <v>1.65</v>
      </c>
      <c r="CF26" s="502">
        <v>1.65</v>
      </c>
      <c r="CG26" s="502">
        <v>0</v>
      </c>
      <c r="CH26" s="503">
        <v>0</v>
      </c>
    </row>
    <row r="27" spans="1:86" s="198" customFormat="1" ht="16.5">
      <c r="A27" s="51">
        <v>6</v>
      </c>
      <c r="B27" s="271" t="s">
        <v>302</v>
      </c>
      <c r="C27" s="327"/>
      <c r="D27" s="293"/>
      <c r="E27" s="294"/>
      <c r="F27" s="295">
        <v>3</v>
      </c>
      <c r="G27" s="257"/>
      <c r="H27" s="257"/>
      <c r="I27" s="257"/>
      <c r="J27" s="257"/>
      <c r="K27" s="257"/>
      <c r="L27" s="257"/>
      <c r="M27" s="257"/>
      <c r="N27" s="257"/>
      <c r="O27" s="257"/>
      <c r="P27" s="257"/>
      <c r="Q27" s="257"/>
      <c r="R27" s="257"/>
      <c r="S27" s="257"/>
      <c r="T27" s="90"/>
      <c r="U27" s="197"/>
      <c r="W27" s="51">
        <v>6</v>
      </c>
      <c r="X27" s="271" t="s">
        <v>302</v>
      </c>
      <c r="Y27" s="327"/>
      <c r="Z27" s="293"/>
      <c r="AA27" s="294"/>
      <c r="AB27" s="295">
        <v>3</v>
      </c>
      <c r="AC27" s="257"/>
      <c r="AD27" s="257"/>
      <c r="AE27" s="212"/>
      <c r="AF27" s="212"/>
      <c r="AG27" s="212"/>
      <c r="AH27" s="212"/>
      <c r="AI27" s="212"/>
      <c r="AJ27" s="212"/>
      <c r="AK27" s="212"/>
      <c r="AL27" s="212"/>
      <c r="AM27" s="212"/>
      <c r="AN27" s="212"/>
      <c r="AO27" s="212"/>
      <c r="AP27" s="213"/>
      <c r="AQ27" s="868"/>
      <c r="AR27" s="868" t="e">
        <v>#VALUE!</v>
      </c>
      <c r="AS27" s="490">
        <v>6</v>
      </c>
      <c r="AT27" s="271" t="str">
        <v>Dispatch Respon Time</v>
      </c>
      <c r="AU27" s="496"/>
      <c r="AV27" s="497"/>
      <c r="AW27" s="498"/>
      <c r="AX27" s="499">
        <v>3</v>
      </c>
      <c r="AY27" s="489"/>
      <c r="AZ27" s="489"/>
      <c r="BA27" s="504"/>
      <c r="BB27" s="504"/>
      <c r="BC27" s="504"/>
      <c r="BD27" s="504"/>
      <c r="BE27" s="504"/>
      <c r="BF27" s="504"/>
      <c r="BG27" s="504"/>
      <c r="BH27" s="504"/>
      <c r="BI27" s="504"/>
      <c r="BJ27" s="504"/>
      <c r="BK27" s="504"/>
      <c r="BL27" s="505"/>
      <c r="BO27" s="490">
        <v>6</v>
      </c>
      <c r="BP27" s="271" t="str">
        <v>Dispatch Respon Time</v>
      </c>
      <c r="BQ27" s="496"/>
      <c r="BR27" s="497"/>
      <c r="BS27" s="498"/>
      <c r="BT27" s="499">
        <v>3</v>
      </c>
      <c r="BU27" s="489"/>
      <c r="BV27" s="489"/>
      <c r="BW27" s="504"/>
      <c r="BX27" s="504"/>
      <c r="BY27" s="504"/>
      <c r="BZ27" s="504"/>
      <c r="CA27" s="504"/>
      <c r="CB27" s="504"/>
      <c r="CC27" s="504"/>
      <c r="CD27" s="504"/>
      <c r="CE27" s="504"/>
      <c r="CF27" s="504"/>
      <c r="CG27" s="504"/>
      <c r="CH27" s="505"/>
    </row>
    <row r="28" spans="1:86" s="198" customFormat="1" ht="16.5">
      <c r="A28" s="51"/>
      <c r="B28" s="275" t="s">
        <v>303</v>
      </c>
      <c r="C28" s="327" t="s">
        <v>278</v>
      </c>
      <c r="D28" s="293" t="s">
        <v>132</v>
      </c>
      <c r="E28" s="294"/>
      <c r="F28" s="295"/>
      <c r="G28" s="257">
        <f>N28</f>
        <v>30</v>
      </c>
      <c r="H28" s="257">
        <f>T28</f>
        <v>30</v>
      </c>
      <c r="I28" s="257">
        <f>PI!D123</f>
        <v>30</v>
      </c>
      <c r="J28" s="257">
        <f>PI!E123</f>
        <v>30</v>
      </c>
      <c r="K28" s="257">
        <f>PI!F123</f>
        <v>30</v>
      </c>
      <c r="L28" s="257">
        <f>PI!G123</f>
        <v>30</v>
      </c>
      <c r="M28" s="257">
        <f>PI!H123</f>
        <v>30</v>
      </c>
      <c r="N28" s="257">
        <f>PI!I123</f>
        <v>30</v>
      </c>
      <c r="O28" s="257">
        <f>PI!J123</f>
        <v>30</v>
      </c>
      <c r="P28" s="257">
        <f>PI!K123</f>
        <v>30</v>
      </c>
      <c r="Q28" s="257">
        <f>PI!L123</f>
        <v>30</v>
      </c>
      <c r="R28" s="257">
        <f>PI!M123</f>
        <v>30</v>
      </c>
      <c r="S28" s="257">
        <f>PI!N123</f>
        <v>30</v>
      </c>
      <c r="T28" s="90">
        <f>PI!O123</f>
        <v>30</v>
      </c>
      <c r="U28" s="197"/>
      <c r="W28" s="51"/>
      <c r="X28" s="275" t="s">
        <v>303</v>
      </c>
      <c r="Y28" s="327" t="s">
        <v>278</v>
      </c>
      <c r="Z28" s="293" t="s">
        <v>132</v>
      </c>
      <c r="AA28" s="294"/>
      <c r="AB28" s="295"/>
      <c r="AC28" s="257">
        <f>AJ28</f>
        <v>9.3707533111591559</v>
      </c>
      <c r="AD28" s="257">
        <f>AP28</f>
        <v>10.140176089784086</v>
      </c>
      <c r="AE28" s="212">
        <f>PI!AH123</f>
        <v>8.1972562755399867</v>
      </c>
      <c r="AF28" s="212">
        <f>PI!AI123</f>
        <v>8.1895472049853559</v>
      </c>
      <c r="AG28" s="212">
        <f>PI!AJ123</f>
        <v>8.1517234042283491</v>
      </c>
      <c r="AH28" s="212">
        <f>PI!AK123</f>
        <v>8.1290916049582798</v>
      </c>
      <c r="AI28" s="212">
        <f>PI!AL123</f>
        <v>9.2132732839666236</v>
      </c>
      <c r="AJ28" s="212">
        <f>PI!AM123</f>
        <v>9.3707533111591559</v>
      </c>
      <c r="AK28" s="212">
        <f>PI!AN123</f>
        <v>9.4832390448681085</v>
      </c>
      <c r="AL28" s="212">
        <f>PI!AO123</f>
        <v>9.7132346993555974</v>
      </c>
      <c r="AM28" s="212">
        <f>PI!AP123</f>
        <v>9.9645423134519469</v>
      </c>
      <c r="AN28" s="212">
        <f>PI!AQ123</f>
        <v>10.140176089784086</v>
      </c>
      <c r="AO28" s="212">
        <f>PI!AR123</f>
        <v>10.140176089784086</v>
      </c>
      <c r="AP28" s="213">
        <f>PI!AS123</f>
        <v>10.140176089784086</v>
      </c>
      <c r="AQ28" s="868"/>
      <c r="AR28" s="868">
        <v>2</v>
      </c>
      <c r="AS28" s="51"/>
      <c r="AT28" s="275" t="str">
        <v>Response Time atas Gangguan (diluar Clear Tamper)</v>
      </c>
      <c r="AU28" s="327" t="s">
        <v>278</v>
      </c>
      <c r="AV28" s="293" t="s">
        <v>132</v>
      </c>
      <c r="AW28" s="294"/>
      <c r="AX28" s="295"/>
      <c r="AY28" s="257">
        <f>BF28</f>
        <v>110</v>
      </c>
      <c r="AZ28" s="90">
        <f>BL28</f>
        <v>110</v>
      </c>
      <c r="BA28" s="440">
        <f>IFERROR(IF((2-(AE28/I28))*100&gt;110,110,(2-(AE28/I28))*100),100)</f>
        <v>110</v>
      </c>
      <c r="BB28" s="502">
        <f t="shared" ref="BB28:BL28" si="10">IFERROR(IF((2-(AF28/J28))*100&gt;110,110,(2-(AF28/J28))*100),100)</f>
        <v>110</v>
      </c>
      <c r="BC28" s="502">
        <f t="shared" si="10"/>
        <v>110</v>
      </c>
      <c r="BD28" s="502">
        <f t="shared" si="10"/>
        <v>110</v>
      </c>
      <c r="BE28" s="502">
        <f t="shared" si="10"/>
        <v>110</v>
      </c>
      <c r="BF28" s="502">
        <f t="shared" si="10"/>
        <v>110</v>
      </c>
      <c r="BG28" s="502">
        <f t="shared" si="10"/>
        <v>110</v>
      </c>
      <c r="BH28" s="502">
        <f t="shared" si="10"/>
        <v>110</v>
      </c>
      <c r="BI28" s="502">
        <f t="shared" si="10"/>
        <v>110</v>
      </c>
      <c r="BJ28" s="502">
        <f t="shared" si="10"/>
        <v>110</v>
      </c>
      <c r="BK28" s="502">
        <f t="shared" si="10"/>
        <v>110</v>
      </c>
      <c r="BL28" s="503">
        <f t="shared" si="10"/>
        <v>110</v>
      </c>
      <c r="BO28" s="51"/>
      <c r="BP28" s="275" t="str">
        <v>Response Time atas Gangguan (diluar Clear Tamper)</v>
      </c>
      <c r="BQ28" s="327" t="s">
        <v>278</v>
      </c>
      <c r="BR28" s="293" t="s">
        <v>132</v>
      </c>
      <c r="BS28" s="294"/>
      <c r="BT28" s="295">
        <v>1.5</v>
      </c>
      <c r="BU28" s="257">
        <f>CB28</f>
        <v>1.65</v>
      </c>
      <c r="BV28" s="90">
        <f>CH28</f>
        <v>1.65</v>
      </c>
      <c r="BW28" s="440" cm="1">
        <f t="array" ref="BW28:CH28">ROUNDDOWN(BT28*BA28:BL28/100,2)</f>
        <v>1.65</v>
      </c>
      <c r="BX28" s="502">
        <v>1.65</v>
      </c>
      <c r="BY28" s="502">
        <v>1.65</v>
      </c>
      <c r="BZ28" s="502">
        <v>1.65</v>
      </c>
      <c r="CA28" s="502">
        <v>1.65</v>
      </c>
      <c r="CB28" s="502">
        <v>1.65</v>
      </c>
      <c r="CC28" s="502">
        <v>1.65</v>
      </c>
      <c r="CD28" s="502">
        <v>1.65</v>
      </c>
      <c r="CE28" s="502">
        <v>1.65</v>
      </c>
      <c r="CF28" s="502">
        <v>1.65</v>
      </c>
      <c r="CG28" s="502">
        <v>1.65</v>
      </c>
      <c r="CH28" s="503">
        <v>1.65</v>
      </c>
    </row>
    <row r="29" spans="1:86" s="198" customFormat="1" ht="16.5">
      <c r="A29" s="51"/>
      <c r="B29" s="275" t="s">
        <v>304</v>
      </c>
      <c r="C29" s="327" t="s">
        <v>276</v>
      </c>
      <c r="D29" s="293" t="s">
        <v>149</v>
      </c>
      <c r="E29" s="294"/>
      <c r="F29" s="295"/>
      <c r="G29" s="257">
        <f>N29</f>
        <v>0</v>
      </c>
      <c r="H29" s="257">
        <f>T29</f>
        <v>0</v>
      </c>
      <c r="I29" s="257">
        <f>PI!D139</f>
        <v>0</v>
      </c>
      <c r="J29" s="257">
        <f>PI!E139</f>
        <v>0</v>
      </c>
      <c r="K29" s="257">
        <f>PI!F139</f>
        <v>0</v>
      </c>
      <c r="L29" s="257">
        <f>PI!G139</f>
        <v>0</v>
      </c>
      <c r="M29" s="257">
        <f>PI!H139</f>
        <v>0</v>
      </c>
      <c r="N29" s="257">
        <f>PI!I139</f>
        <v>0</v>
      </c>
      <c r="O29" s="257">
        <f>PI!J139</f>
        <v>0</v>
      </c>
      <c r="P29" s="257">
        <f>PI!K139</f>
        <v>0</v>
      </c>
      <c r="Q29" s="257">
        <f>PI!L139</f>
        <v>0</v>
      </c>
      <c r="R29" s="257">
        <f>PI!M139</f>
        <v>0</v>
      </c>
      <c r="S29" s="257">
        <f>PI!N139</f>
        <v>0</v>
      </c>
      <c r="T29" s="90">
        <f>PI!O139</f>
        <v>0</v>
      </c>
      <c r="U29" s="197"/>
      <c r="W29" s="51"/>
      <c r="X29" s="275" t="s">
        <v>304</v>
      </c>
      <c r="Y29" s="327" t="s">
        <v>276</v>
      </c>
      <c r="Z29" s="293" t="s">
        <v>149</v>
      </c>
      <c r="AA29" s="294"/>
      <c r="AB29" s="295"/>
      <c r="AC29" s="257">
        <f>AJ29</f>
        <v>0</v>
      </c>
      <c r="AD29" s="257">
        <f>AP29</f>
        <v>0</v>
      </c>
      <c r="AE29" s="212">
        <f>PI!AH139</f>
        <v>0</v>
      </c>
      <c r="AF29" s="212">
        <f>PI!AI139</f>
        <v>0</v>
      </c>
      <c r="AG29" s="212">
        <f>PI!AJ139</f>
        <v>0</v>
      </c>
      <c r="AH29" s="212">
        <f>PI!AK139</f>
        <v>0</v>
      </c>
      <c r="AI29" s="212">
        <f>PI!AL139</f>
        <v>0</v>
      </c>
      <c r="AJ29" s="212">
        <f>PI!AM139</f>
        <v>0</v>
      </c>
      <c r="AK29" s="212">
        <f>PI!AN139</f>
        <v>0</v>
      </c>
      <c r="AL29" s="212">
        <f>PI!AO139</f>
        <v>0</v>
      </c>
      <c r="AM29" s="212">
        <f>PI!AP139</f>
        <v>0</v>
      </c>
      <c r="AN29" s="212">
        <f>PI!AQ139</f>
        <v>0</v>
      </c>
      <c r="AO29" s="212">
        <f>PI!AR139</f>
        <v>0</v>
      </c>
      <c r="AP29" s="213">
        <f>PI!AS139</f>
        <v>0</v>
      </c>
      <c r="AQ29" s="868"/>
      <c r="AR29" s="868">
        <v>2</v>
      </c>
      <c r="AS29" s="51"/>
      <c r="AT29" s="275" t="str">
        <v>Success Rate Auto Dispatch Gangguan Individual (diluar Clear Tamper)</v>
      </c>
      <c r="AU29" s="327" t="s">
        <v>276</v>
      </c>
      <c r="AV29" s="293" t="s">
        <v>149</v>
      </c>
      <c r="AW29" s="294"/>
      <c r="AX29" s="295"/>
      <c r="AY29" s="257">
        <f>BF29</f>
        <v>100</v>
      </c>
      <c r="AZ29" s="257">
        <f>BL29</f>
        <v>100</v>
      </c>
      <c r="BA29" s="502">
        <f>IFERROR(IF(AE29/I29*100&gt;110,110,AE29/I29*100),100)</f>
        <v>100</v>
      </c>
      <c r="BB29" s="502">
        <f t="shared" ref="BB29:BL29" si="11">IFERROR(IF(AF29/J29*100&gt;110,110,AF29/J29*100),100)</f>
        <v>100</v>
      </c>
      <c r="BC29" s="502">
        <f t="shared" si="11"/>
        <v>100</v>
      </c>
      <c r="BD29" s="502">
        <f t="shared" si="11"/>
        <v>100</v>
      </c>
      <c r="BE29" s="502">
        <f t="shared" si="11"/>
        <v>100</v>
      </c>
      <c r="BF29" s="502">
        <f t="shared" si="11"/>
        <v>100</v>
      </c>
      <c r="BG29" s="502">
        <f t="shared" si="11"/>
        <v>100</v>
      </c>
      <c r="BH29" s="502">
        <f t="shared" si="11"/>
        <v>100</v>
      </c>
      <c r="BI29" s="502">
        <f t="shared" si="11"/>
        <v>100</v>
      </c>
      <c r="BJ29" s="502">
        <f t="shared" si="11"/>
        <v>100</v>
      </c>
      <c r="BK29" s="502">
        <f t="shared" si="11"/>
        <v>100</v>
      </c>
      <c r="BL29" s="503">
        <f t="shared" si="11"/>
        <v>100</v>
      </c>
      <c r="BO29" s="51"/>
      <c r="BP29" s="275" t="str">
        <v>Success Rate Auto Dispatch Gangguan Individual (diluar Clear Tamper)</v>
      </c>
      <c r="BQ29" s="327" t="s">
        <v>276</v>
      </c>
      <c r="BR29" s="293" t="s">
        <v>149</v>
      </c>
      <c r="BS29" s="294"/>
      <c r="BT29" s="295">
        <v>1.5</v>
      </c>
      <c r="BU29" s="257">
        <f>CB29</f>
        <v>1.5</v>
      </c>
      <c r="BV29" s="257">
        <f>CH29</f>
        <v>1.5</v>
      </c>
      <c r="BW29" s="502" cm="1">
        <f t="array" ref="BW29:CH29">ROUNDDOWN(BT29*BA29:BL29/100,2)</f>
        <v>1.5</v>
      </c>
      <c r="BX29" s="502">
        <v>1.5</v>
      </c>
      <c r="BY29" s="502">
        <v>1.5</v>
      </c>
      <c r="BZ29" s="502">
        <v>1.5</v>
      </c>
      <c r="CA29" s="502">
        <v>1.5</v>
      </c>
      <c r="CB29" s="502">
        <v>1.5</v>
      </c>
      <c r="CC29" s="502">
        <v>1.5</v>
      </c>
      <c r="CD29" s="502">
        <v>1.5</v>
      </c>
      <c r="CE29" s="502">
        <v>1.5</v>
      </c>
      <c r="CF29" s="502">
        <v>1.5</v>
      </c>
      <c r="CG29" s="502">
        <v>1.5</v>
      </c>
      <c r="CH29" s="503">
        <v>1.5</v>
      </c>
    </row>
    <row r="30" spans="1:86" s="198" customFormat="1" ht="16.5">
      <c r="A30" s="51">
        <v>7</v>
      </c>
      <c r="B30" s="271" t="s">
        <v>305</v>
      </c>
      <c r="C30" s="327"/>
      <c r="D30" s="293"/>
      <c r="E30" s="294"/>
      <c r="F30" s="295">
        <v>4</v>
      </c>
      <c r="G30" s="257"/>
      <c r="H30" s="257"/>
      <c r="I30" s="257"/>
      <c r="J30" s="257"/>
      <c r="K30" s="257"/>
      <c r="L30" s="257"/>
      <c r="M30" s="257"/>
      <c r="N30" s="257"/>
      <c r="O30" s="257"/>
      <c r="P30" s="257"/>
      <c r="Q30" s="257"/>
      <c r="R30" s="257"/>
      <c r="S30" s="257"/>
      <c r="T30" s="90"/>
      <c r="U30" s="197"/>
      <c r="W30" s="51">
        <v>7</v>
      </c>
      <c r="X30" s="271" t="s">
        <v>305</v>
      </c>
      <c r="Y30" s="327"/>
      <c r="Z30" s="293"/>
      <c r="AA30" s="294"/>
      <c r="AB30" s="295">
        <v>4</v>
      </c>
      <c r="AC30" s="257"/>
      <c r="AD30" s="257"/>
      <c r="AE30" s="212"/>
      <c r="AF30" s="213"/>
      <c r="AG30" s="212"/>
      <c r="AH30" s="212"/>
      <c r="AI30" s="212"/>
      <c r="AJ30" s="212"/>
      <c r="AK30" s="212"/>
      <c r="AL30" s="212"/>
      <c r="AM30" s="212"/>
      <c r="AN30" s="212"/>
      <c r="AO30" s="212"/>
      <c r="AP30" s="213"/>
      <c r="AQ30" s="868"/>
      <c r="AR30" s="868" t="e">
        <v>#VALUE!</v>
      </c>
      <c r="AS30" s="490">
        <v>7</v>
      </c>
      <c r="AT30" s="271" t="str">
        <v>Sistem Recovery :</v>
      </c>
      <c r="AU30" s="496"/>
      <c r="AV30" s="497"/>
      <c r="AW30" s="498"/>
      <c r="AX30" s="499">
        <v>4</v>
      </c>
      <c r="AY30" s="489"/>
      <c r="AZ30" s="489"/>
      <c r="BA30" s="504"/>
      <c r="BB30" s="505"/>
      <c r="BC30" s="504"/>
      <c r="BD30" s="504"/>
      <c r="BE30" s="504"/>
      <c r="BF30" s="504"/>
      <c r="BG30" s="504"/>
      <c r="BH30" s="504"/>
      <c r="BI30" s="504"/>
      <c r="BJ30" s="504"/>
      <c r="BK30" s="504"/>
      <c r="BL30" s="505"/>
      <c r="BO30" s="490">
        <v>7</v>
      </c>
      <c r="BP30" s="271" t="str">
        <v>Sistem Recovery :</v>
      </c>
      <c r="BQ30" s="496"/>
      <c r="BR30" s="497"/>
      <c r="BS30" s="498"/>
      <c r="BT30" s="499">
        <v>4</v>
      </c>
      <c r="BU30" s="489"/>
      <c r="BV30" s="489"/>
      <c r="BW30" s="504"/>
      <c r="BX30" s="505"/>
      <c r="BY30" s="504"/>
      <c r="BZ30" s="504"/>
      <c r="CA30" s="504"/>
      <c r="CB30" s="504"/>
      <c r="CC30" s="504"/>
      <c r="CD30" s="504"/>
      <c r="CE30" s="504"/>
      <c r="CF30" s="504"/>
      <c r="CG30" s="504"/>
      <c r="CH30" s="505"/>
    </row>
    <row r="31" spans="1:86" s="198" customFormat="1" ht="16.5">
      <c r="A31" s="51"/>
      <c r="B31" s="275" t="s">
        <v>307</v>
      </c>
      <c r="C31" s="327" t="s">
        <v>276</v>
      </c>
      <c r="D31" s="293" t="s">
        <v>149</v>
      </c>
      <c r="E31" s="294"/>
      <c r="F31" s="295"/>
      <c r="G31" s="257">
        <f>N31</f>
        <v>100</v>
      </c>
      <c r="H31" s="257">
        <f>T31</f>
        <v>100</v>
      </c>
      <c r="I31" s="257">
        <f>PI!D160</f>
        <v>100</v>
      </c>
      <c r="J31" s="257">
        <f>PI!E160</f>
        <v>100</v>
      </c>
      <c r="K31" s="257">
        <f>PI!F160</f>
        <v>100</v>
      </c>
      <c r="L31" s="257">
        <f>PI!G160</f>
        <v>100</v>
      </c>
      <c r="M31" s="257">
        <f>PI!H160</f>
        <v>100</v>
      </c>
      <c r="N31" s="257">
        <f>PI!I160</f>
        <v>100</v>
      </c>
      <c r="O31" s="257">
        <f>PI!J160</f>
        <v>100</v>
      </c>
      <c r="P31" s="257">
        <f>PI!K160</f>
        <v>100</v>
      </c>
      <c r="Q31" s="257">
        <f>PI!L160</f>
        <v>100</v>
      </c>
      <c r="R31" s="257">
        <f>PI!M160</f>
        <v>100</v>
      </c>
      <c r="S31" s="257">
        <f>PI!N160</f>
        <v>100</v>
      </c>
      <c r="T31" s="90">
        <f>PI!O160</f>
        <v>100</v>
      </c>
      <c r="U31" s="197"/>
      <c r="W31" s="51"/>
      <c r="X31" s="275" t="s">
        <v>307</v>
      </c>
      <c r="Y31" s="327" t="s">
        <v>276</v>
      </c>
      <c r="Z31" s="293" t="s">
        <v>149</v>
      </c>
      <c r="AA31" s="294"/>
      <c r="AB31" s="295"/>
      <c r="AC31" s="257">
        <f>AJ31</f>
        <v>110</v>
      </c>
      <c r="AD31" s="257">
        <f>AP31</f>
        <v>0</v>
      </c>
      <c r="AE31" s="212">
        <f>PI!AH160</f>
        <v>92.25</v>
      </c>
      <c r="AF31" s="212">
        <f>PI!AI160</f>
        <v>90.5</v>
      </c>
      <c r="AG31" s="212">
        <f>PI!AJ160</f>
        <v>110</v>
      </c>
      <c r="AH31" s="212">
        <f>PI!AK160</f>
        <v>110</v>
      </c>
      <c r="AI31" s="212">
        <f>PI!AL160</f>
        <v>110</v>
      </c>
      <c r="AJ31" s="212">
        <f>PI!AM160</f>
        <v>110</v>
      </c>
      <c r="AK31" s="212">
        <f>PI!AN160</f>
        <v>110</v>
      </c>
      <c r="AL31" s="212">
        <f>PI!AO160</f>
        <v>110</v>
      </c>
      <c r="AM31" s="212">
        <f>PI!AP160</f>
        <v>110</v>
      </c>
      <c r="AN31" s="212">
        <f>PI!AQ160</f>
        <v>110</v>
      </c>
      <c r="AO31" s="212">
        <f>PI!AR160</f>
        <v>0</v>
      </c>
      <c r="AP31" s="213">
        <f>PI!AS160</f>
        <v>0</v>
      </c>
      <c r="AQ31" s="868"/>
      <c r="AR31" s="868">
        <v>2</v>
      </c>
      <c r="AS31" s="51"/>
      <c r="AT31" s="275" t="str">
        <v>Recovery Time Gangguan Meluas TM</v>
      </c>
      <c r="AU31" s="327" t="s">
        <v>276</v>
      </c>
      <c r="AV31" s="293" t="s">
        <v>149</v>
      </c>
      <c r="AW31" s="294"/>
      <c r="AX31" s="295"/>
      <c r="AY31" s="257">
        <f>BF31</f>
        <v>110.00000000000001</v>
      </c>
      <c r="AZ31" s="257">
        <f>BL31</f>
        <v>0</v>
      </c>
      <c r="BA31" s="502">
        <f>IFERROR(IF(AE31/I31*100&gt;110,110,AE31/I31*100),100)</f>
        <v>92.25</v>
      </c>
      <c r="BB31" s="502">
        <f t="shared" ref="BB31:BL32" si="12">IFERROR(IF(AF31/J31*100&gt;110,110,AF31/J31*100),100)</f>
        <v>90.5</v>
      </c>
      <c r="BC31" s="502">
        <f t="shared" si="12"/>
        <v>110.00000000000001</v>
      </c>
      <c r="BD31" s="502">
        <f t="shared" si="12"/>
        <v>110.00000000000001</v>
      </c>
      <c r="BE31" s="502">
        <f t="shared" si="12"/>
        <v>110.00000000000001</v>
      </c>
      <c r="BF31" s="502">
        <f t="shared" si="12"/>
        <v>110.00000000000001</v>
      </c>
      <c r="BG31" s="502">
        <f t="shared" si="12"/>
        <v>110.00000000000001</v>
      </c>
      <c r="BH31" s="502">
        <f t="shared" si="12"/>
        <v>110.00000000000001</v>
      </c>
      <c r="BI31" s="502">
        <f t="shared" si="12"/>
        <v>110.00000000000001</v>
      </c>
      <c r="BJ31" s="502">
        <f t="shared" si="12"/>
        <v>110.00000000000001</v>
      </c>
      <c r="BK31" s="502">
        <f t="shared" si="12"/>
        <v>0</v>
      </c>
      <c r="BL31" s="503">
        <f t="shared" si="12"/>
        <v>0</v>
      </c>
      <c r="BO31" s="51"/>
      <c r="BP31" s="275" t="str">
        <v>Recovery Time Gangguan Meluas TM</v>
      </c>
      <c r="BQ31" s="327" t="s">
        <v>276</v>
      </c>
      <c r="BR31" s="293" t="s">
        <v>149</v>
      </c>
      <c r="BS31" s="294"/>
      <c r="BT31" s="295">
        <v>2</v>
      </c>
      <c r="BU31" s="257">
        <f>CB31</f>
        <v>2.2000000000000002</v>
      </c>
      <c r="BV31" s="257">
        <f>CH31</f>
        <v>0</v>
      </c>
      <c r="BW31" s="502" cm="1">
        <f t="array" ref="BW31:CH31">ROUNDDOWN(BT31*BA31:BL31/100,2)</f>
        <v>1.84</v>
      </c>
      <c r="BX31" s="502">
        <v>1.81</v>
      </c>
      <c r="BY31" s="502">
        <v>2.2000000000000002</v>
      </c>
      <c r="BZ31" s="502">
        <v>2.2000000000000002</v>
      </c>
      <c r="CA31" s="502">
        <v>2.2000000000000002</v>
      </c>
      <c r="CB31" s="502">
        <v>2.2000000000000002</v>
      </c>
      <c r="CC31" s="502">
        <v>2.2000000000000002</v>
      </c>
      <c r="CD31" s="502">
        <v>2.2000000000000002</v>
      </c>
      <c r="CE31" s="502">
        <v>2.2000000000000002</v>
      </c>
      <c r="CF31" s="502">
        <v>2.2000000000000002</v>
      </c>
      <c r="CG31" s="502">
        <v>0</v>
      </c>
      <c r="CH31" s="503">
        <v>0</v>
      </c>
    </row>
    <row r="32" spans="1:86" s="198" customFormat="1" ht="16.5">
      <c r="A32" s="51"/>
      <c r="B32" s="275" t="s">
        <v>308</v>
      </c>
      <c r="C32" s="327" t="s">
        <v>276</v>
      </c>
      <c r="D32" s="293" t="s">
        <v>149</v>
      </c>
      <c r="E32" s="294"/>
      <c r="F32" s="295"/>
      <c r="G32" s="257">
        <f>N32</f>
        <v>100</v>
      </c>
      <c r="H32" s="257">
        <f>T32</f>
        <v>100</v>
      </c>
      <c r="I32" s="257">
        <f>PI!D182</f>
        <v>100</v>
      </c>
      <c r="J32" s="257">
        <f>PI!E182</f>
        <v>100</v>
      </c>
      <c r="K32" s="257">
        <f>PI!F182</f>
        <v>100</v>
      </c>
      <c r="L32" s="257">
        <f>PI!G182</f>
        <v>100</v>
      </c>
      <c r="M32" s="257">
        <f>PI!H182</f>
        <v>100</v>
      </c>
      <c r="N32" s="257">
        <f>PI!I182</f>
        <v>100</v>
      </c>
      <c r="O32" s="257">
        <f>PI!J182</f>
        <v>100</v>
      </c>
      <c r="P32" s="257">
        <f>PI!K182</f>
        <v>100</v>
      </c>
      <c r="Q32" s="257">
        <f>PI!L182</f>
        <v>100</v>
      </c>
      <c r="R32" s="257">
        <f>PI!M182</f>
        <v>100</v>
      </c>
      <c r="S32" s="257">
        <f>PI!N182</f>
        <v>100</v>
      </c>
      <c r="T32" s="90">
        <f>PI!O182</f>
        <v>100</v>
      </c>
      <c r="U32" s="197"/>
      <c r="W32" s="51"/>
      <c r="X32" s="275" t="s">
        <v>308</v>
      </c>
      <c r="Y32" s="327" t="s">
        <v>276</v>
      </c>
      <c r="Z32" s="293" t="s">
        <v>149</v>
      </c>
      <c r="AA32" s="294"/>
      <c r="AB32" s="295"/>
      <c r="AC32" s="257">
        <f>AJ32</f>
        <v>110</v>
      </c>
      <c r="AD32" s="257">
        <f>AP32</f>
        <v>0</v>
      </c>
      <c r="AE32" s="212">
        <f>PI!AH182</f>
        <v>110</v>
      </c>
      <c r="AF32" s="212">
        <f>PI!AI182</f>
        <v>110</v>
      </c>
      <c r="AG32" s="212">
        <f>PI!AJ182</f>
        <v>110</v>
      </c>
      <c r="AH32" s="212">
        <f>PI!AK182</f>
        <v>110</v>
      </c>
      <c r="AI32" s="212">
        <f>PI!AL182</f>
        <v>110</v>
      </c>
      <c r="AJ32" s="212">
        <f>PI!AM182</f>
        <v>110</v>
      </c>
      <c r="AK32" s="212">
        <f>PI!AN182</f>
        <v>110</v>
      </c>
      <c r="AL32" s="212">
        <f>PI!AO182</f>
        <v>110</v>
      </c>
      <c r="AM32" s="212">
        <f>PI!AP182</f>
        <v>110</v>
      </c>
      <c r="AN32" s="212">
        <f>PI!AQ182</f>
        <v>110</v>
      </c>
      <c r="AO32" s="212">
        <f>PI!AR182</f>
        <v>0</v>
      </c>
      <c r="AP32" s="213">
        <f>PI!AS182</f>
        <v>0</v>
      </c>
      <c r="AQ32" s="868"/>
      <c r="AR32" s="868">
        <v>2</v>
      </c>
      <c r="AS32" s="51"/>
      <c r="AT32" s="275" t="str">
        <v>Penormalan Siaga 1 Gangguan TM</v>
      </c>
      <c r="AU32" s="327" t="s">
        <v>276</v>
      </c>
      <c r="AV32" s="293" t="s">
        <v>149</v>
      </c>
      <c r="AW32" s="294"/>
      <c r="AX32" s="295"/>
      <c r="AY32" s="257">
        <f>BF32</f>
        <v>110.00000000000001</v>
      </c>
      <c r="AZ32" s="257">
        <f>BL32</f>
        <v>0</v>
      </c>
      <c r="BA32" s="502">
        <f>IFERROR(IF(AE32/I32*100&gt;110,110,AE32/I32*100),100)</f>
        <v>110.00000000000001</v>
      </c>
      <c r="BB32" s="502">
        <f t="shared" si="12"/>
        <v>110.00000000000001</v>
      </c>
      <c r="BC32" s="502">
        <f t="shared" si="12"/>
        <v>110.00000000000001</v>
      </c>
      <c r="BD32" s="502">
        <f t="shared" si="12"/>
        <v>110.00000000000001</v>
      </c>
      <c r="BE32" s="502">
        <f t="shared" si="12"/>
        <v>110.00000000000001</v>
      </c>
      <c r="BF32" s="502">
        <f t="shared" si="12"/>
        <v>110.00000000000001</v>
      </c>
      <c r="BG32" s="502">
        <f t="shared" si="12"/>
        <v>110.00000000000001</v>
      </c>
      <c r="BH32" s="502">
        <f t="shared" si="12"/>
        <v>110.00000000000001</v>
      </c>
      <c r="BI32" s="502">
        <f t="shared" si="12"/>
        <v>110.00000000000001</v>
      </c>
      <c r="BJ32" s="502">
        <f t="shared" si="12"/>
        <v>110.00000000000001</v>
      </c>
      <c r="BK32" s="502">
        <f t="shared" si="12"/>
        <v>0</v>
      </c>
      <c r="BL32" s="503">
        <f t="shared" si="12"/>
        <v>0</v>
      </c>
      <c r="BO32" s="51"/>
      <c r="BP32" s="275" t="str">
        <v>Penormalan Siaga 1 Gangguan TM</v>
      </c>
      <c r="BQ32" s="327" t="s">
        <v>276</v>
      </c>
      <c r="BR32" s="293" t="s">
        <v>149</v>
      </c>
      <c r="BS32" s="294"/>
      <c r="BT32" s="295">
        <v>2</v>
      </c>
      <c r="BU32" s="257">
        <f>CB32</f>
        <v>2.2000000000000002</v>
      </c>
      <c r="BV32" s="257">
        <f>CH32</f>
        <v>0</v>
      </c>
      <c r="BW32" s="502" cm="1">
        <f t="array" ref="BW32:CH32">ROUNDDOWN(BT32*BA32:BL32/100,2)</f>
        <v>2.2000000000000002</v>
      </c>
      <c r="BX32" s="502">
        <v>2.2000000000000002</v>
      </c>
      <c r="BY32" s="502">
        <v>2.2000000000000002</v>
      </c>
      <c r="BZ32" s="502">
        <v>2.2000000000000002</v>
      </c>
      <c r="CA32" s="502">
        <v>2.2000000000000002</v>
      </c>
      <c r="CB32" s="502">
        <v>2.2000000000000002</v>
      </c>
      <c r="CC32" s="502">
        <v>2.2000000000000002</v>
      </c>
      <c r="CD32" s="502">
        <v>2.2000000000000002</v>
      </c>
      <c r="CE32" s="502">
        <v>2.2000000000000002</v>
      </c>
      <c r="CF32" s="502">
        <v>2.2000000000000002</v>
      </c>
      <c r="CG32" s="502">
        <v>0</v>
      </c>
      <c r="CH32" s="503">
        <v>0</v>
      </c>
    </row>
    <row r="33" spans="1:86" s="198" customFormat="1" ht="16.5">
      <c r="A33" s="51">
        <v>8</v>
      </c>
      <c r="B33" s="271" t="s">
        <v>309</v>
      </c>
      <c r="C33" s="300"/>
      <c r="D33" s="293"/>
      <c r="E33" s="294"/>
      <c r="F33" s="295">
        <v>6</v>
      </c>
      <c r="G33" s="257"/>
      <c r="H33" s="257"/>
      <c r="I33" s="257"/>
      <c r="J33" s="257"/>
      <c r="K33" s="257"/>
      <c r="L33" s="257"/>
      <c r="M33" s="257"/>
      <c r="N33" s="257"/>
      <c r="O33" s="257"/>
      <c r="P33" s="257"/>
      <c r="Q33" s="257"/>
      <c r="R33" s="257"/>
      <c r="S33" s="257"/>
      <c r="T33" s="90"/>
      <c r="U33" s="197"/>
      <c r="W33" s="51">
        <v>8</v>
      </c>
      <c r="X33" s="271" t="s">
        <v>309</v>
      </c>
      <c r="Y33" s="300"/>
      <c r="Z33" s="293"/>
      <c r="AA33" s="294"/>
      <c r="AB33" s="295">
        <v>6</v>
      </c>
      <c r="AC33" s="257"/>
      <c r="AD33" s="257"/>
      <c r="AE33" s="212"/>
      <c r="AF33" s="212"/>
      <c r="AG33" s="212"/>
      <c r="AH33" s="212"/>
      <c r="AI33" s="212"/>
      <c r="AJ33" s="212"/>
      <c r="AK33" s="212"/>
      <c r="AL33" s="212"/>
      <c r="AM33" s="212"/>
      <c r="AN33" s="212"/>
      <c r="AO33" s="212"/>
      <c r="AP33" s="213"/>
      <c r="AQ33" s="868"/>
      <c r="AR33" s="868" t="e">
        <v>#VALUE!</v>
      </c>
      <c r="AS33" s="490">
        <v>8</v>
      </c>
      <c r="AT33" s="271" t="str">
        <v>Digitalisasi Aplikasi Korporat</v>
      </c>
      <c r="AU33" s="300"/>
      <c r="AV33" s="497"/>
      <c r="AW33" s="498"/>
      <c r="AX33" s="499">
        <v>6</v>
      </c>
      <c r="AY33" s="489"/>
      <c r="AZ33" s="489"/>
      <c r="BA33" s="504"/>
      <c r="BB33" s="504"/>
      <c r="BC33" s="504"/>
      <c r="BD33" s="504"/>
      <c r="BE33" s="504"/>
      <c r="BF33" s="504"/>
      <c r="BG33" s="504"/>
      <c r="BH33" s="504"/>
      <c r="BI33" s="504"/>
      <c r="BJ33" s="504"/>
      <c r="BK33" s="504"/>
      <c r="BL33" s="505"/>
      <c r="BO33" s="490">
        <v>8</v>
      </c>
      <c r="BP33" s="271" t="str">
        <v>Digitalisasi Aplikasi Korporat</v>
      </c>
      <c r="BQ33" s="300"/>
      <c r="BR33" s="497"/>
      <c r="BS33" s="498"/>
      <c r="BT33" s="499">
        <v>6</v>
      </c>
      <c r="BU33" s="489"/>
      <c r="BV33" s="489"/>
      <c r="BW33" s="504"/>
      <c r="BX33" s="504"/>
      <c r="BY33" s="504"/>
      <c r="BZ33" s="504"/>
      <c r="CA33" s="504"/>
      <c r="CB33" s="504"/>
      <c r="CC33" s="504"/>
      <c r="CD33" s="504"/>
      <c r="CE33" s="504"/>
      <c r="CF33" s="504"/>
      <c r="CG33" s="504"/>
      <c r="CH33" s="505"/>
    </row>
    <row r="34" spans="1:86" s="198" customFormat="1" ht="16.5">
      <c r="A34" s="51"/>
      <c r="B34" s="275" t="s">
        <v>310</v>
      </c>
      <c r="C34" s="329" t="s">
        <v>276</v>
      </c>
      <c r="D34" s="293" t="s">
        <v>149</v>
      </c>
      <c r="E34" s="294"/>
      <c r="F34" s="295"/>
      <c r="G34" s="257">
        <f>N34</f>
        <v>100</v>
      </c>
      <c r="H34" s="257">
        <f>T34</f>
        <v>100</v>
      </c>
      <c r="I34" s="257">
        <f>PI!D189</f>
        <v>100</v>
      </c>
      <c r="J34" s="257">
        <f>PI!E189</f>
        <v>100</v>
      </c>
      <c r="K34" s="257">
        <f>PI!F189</f>
        <v>100</v>
      </c>
      <c r="L34" s="257">
        <f>PI!G189</f>
        <v>100</v>
      </c>
      <c r="M34" s="257">
        <f>PI!H189</f>
        <v>100</v>
      </c>
      <c r="N34" s="257">
        <f>PI!I189</f>
        <v>100</v>
      </c>
      <c r="O34" s="257">
        <f>PI!J189</f>
        <v>100</v>
      </c>
      <c r="P34" s="257">
        <f>PI!K189</f>
        <v>100</v>
      </c>
      <c r="Q34" s="257">
        <f>PI!L189</f>
        <v>100</v>
      </c>
      <c r="R34" s="257">
        <f>PI!M189</f>
        <v>100</v>
      </c>
      <c r="S34" s="257">
        <f>PI!N189</f>
        <v>100</v>
      </c>
      <c r="T34" s="90">
        <f>PI!O189</f>
        <v>100</v>
      </c>
      <c r="U34" s="197"/>
      <c r="W34" s="51"/>
      <c r="X34" s="275" t="s">
        <v>310</v>
      </c>
      <c r="Y34" s="329" t="s">
        <v>276</v>
      </c>
      <c r="Z34" s="293" t="s">
        <v>149</v>
      </c>
      <c r="AA34" s="294"/>
      <c r="AB34" s="295"/>
      <c r="AC34" s="257">
        <f>AJ34</f>
        <v>121.31</v>
      </c>
      <c r="AD34" s="257">
        <f>AP34</f>
        <v>0</v>
      </c>
      <c r="AE34" s="212">
        <f>PI!AH189</f>
        <v>99.06</v>
      </c>
      <c r="AF34" s="212">
        <f>PI!AI189</f>
        <v>116.19</v>
      </c>
      <c r="AG34" s="212">
        <f>PI!AJ189</f>
        <v>118.81</v>
      </c>
      <c r="AH34" s="212">
        <f>PI!AK189</f>
        <v>120.77</v>
      </c>
      <c r="AI34" s="212">
        <f>PI!AL189</f>
        <v>121.31</v>
      </c>
      <c r="AJ34" s="212">
        <f>PI!AM189</f>
        <v>121.31</v>
      </c>
      <c r="AK34" s="212">
        <f>PI!AN189</f>
        <v>98.6</v>
      </c>
      <c r="AL34" s="212">
        <f>PI!AO189</f>
        <v>101.98</v>
      </c>
      <c r="AM34" s="212">
        <f>PI!AP189</f>
        <v>101.95</v>
      </c>
      <c r="AN34" s="212">
        <f>PI!AQ189</f>
        <v>101.95</v>
      </c>
      <c r="AO34" s="212">
        <f>PI!AR189</f>
        <v>0</v>
      </c>
      <c r="AP34" s="213">
        <f>PI!AS189</f>
        <v>0</v>
      </c>
      <c r="AQ34" s="868"/>
      <c r="AR34" s="868">
        <v>2</v>
      </c>
      <c r="AS34" s="51"/>
      <c r="AT34" s="275" t="str">
        <v>Pengembangan EAM Distribusi</v>
      </c>
      <c r="AU34" s="329" t="s">
        <v>276</v>
      </c>
      <c r="AV34" s="293" t="s">
        <v>149</v>
      </c>
      <c r="AW34" s="294"/>
      <c r="AX34" s="295"/>
      <c r="AY34" s="257">
        <f>BF34</f>
        <v>110</v>
      </c>
      <c r="AZ34" s="257">
        <f>BL34</f>
        <v>0</v>
      </c>
      <c r="BA34" s="502">
        <f>IFERROR(IF(AE34/I34*100&gt;110,110,AE34/I34*100),100)</f>
        <v>99.06</v>
      </c>
      <c r="BB34" s="502">
        <f t="shared" ref="BB34:BL34" si="13">IFERROR(IF(AF34/J34*100&gt;110,110,AF34/J34*100),100)</f>
        <v>110</v>
      </c>
      <c r="BC34" s="502">
        <f t="shared" si="13"/>
        <v>110</v>
      </c>
      <c r="BD34" s="502">
        <f t="shared" si="13"/>
        <v>110</v>
      </c>
      <c r="BE34" s="502">
        <f t="shared" si="13"/>
        <v>110</v>
      </c>
      <c r="BF34" s="502">
        <f t="shared" si="13"/>
        <v>110</v>
      </c>
      <c r="BG34" s="502">
        <f t="shared" si="13"/>
        <v>98.6</v>
      </c>
      <c r="BH34" s="502">
        <f t="shared" si="13"/>
        <v>101.98</v>
      </c>
      <c r="BI34" s="502">
        <f t="shared" si="13"/>
        <v>101.95</v>
      </c>
      <c r="BJ34" s="502">
        <f t="shared" si="13"/>
        <v>101.95</v>
      </c>
      <c r="BK34" s="502">
        <f t="shared" si="13"/>
        <v>0</v>
      </c>
      <c r="BL34" s="503">
        <f t="shared" si="13"/>
        <v>0</v>
      </c>
      <c r="BO34" s="51"/>
      <c r="BP34" s="275" t="str">
        <v>Pengembangan EAM Distribusi</v>
      </c>
      <c r="BQ34" s="329" t="s">
        <v>276</v>
      </c>
      <c r="BR34" s="293" t="s">
        <v>149</v>
      </c>
      <c r="BS34" s="294"/>
      <c r="BT34" s="295">
        <v>6</v>
      </c>
      <c r="BU34" s="257">
        <f>CB34</f>
        <v>6.6</v>
      </c>
      <c r="BV34" s="257">
        <f>CH34</f>
        <v>0</v>
      </c>
      <c r="BW34" s="502" cm="1">
        <f t="array" ref="BW34:CH34">ROUNDDOWN(BT34*BA34:BL34/100,2)</f>
        <v>5.94</v>
      </c>
      <c r="BX34" s="502">
        <v>6.6</v>
      </c>
      <c r="BY34" s="502">
        <v>6.6</v>
      </c>
      <c r="BZ34" s="502">
        <v>6.6</v>
      </c>
      <c r="CA34" s="502">
        <v>6.6</v>
      </c>
      <c r="CB34" s="502">
        <v>6.6</v>
      </c>
      <c r="CC34" s="502">
        <v>5.91</v>
      </c>
      <c r="CD34" s="502">
        <v>6.11</v>
      </c>
      <c r="CE34" s="502">
        <v>6.11</v>
      </c>
      <c r="CF34" s="502">
        <v>6.11</v>
      </c>
      <c r="CG34" s="502">
        <v>0</v>
      </c>
      <c r="CH34" s="503">
        <v>0</v>
      </c>
    </row>
    <row r="35" spans="1:86" s="198" customFormat="1" ht="16.5">
      <c r="A35" s="51">
        <v>9</v>
      </c>
      <c r="B35" s="271" t="s">
        <v>31</v>
      </c>
      <c r="C35" s="301"/>
      <c r="D35" s="307"/>
      <c r="E35" s="294"/>
      <c r="F35" s="295"/>
      <c r="G35" s="274"/>
      <c r="H35" s="274"/>
      <c r="I35" s="257"/>
      <c r="J35" s="257"/>
      <c r="K35" s="257"/>
      <c r="L35" s="257"/>
      <c r="M35" s="257"/>
      <c r="N35" s="257"/>
      <c r="O35" s="257"/>
      <c r="P35" s="257"/>
      <c r="Q35" s="257"/>
      <c r="R35" s="257"/>
      <c r="S35" s="257"/>
      <c r="T35" s="90"/>
      <c r="U35" s="197"/>
      <c r="W35" s="51">
        <v>9</v>
      </c>
      <c r="X35" s="271" t="s">
        <v>31</v>
      </c>
      <c r="Y35" s="301"/>
      <c r="Z35" s="307"/>
      <c r="AA35" s="294"/>
      <c r="AB35" s="295"/>
      <c r="AC35" s="274"/>
      <c r="AD35" s="274"/>
      <c r="AE35" s="212"/>
      <c r="AF35" s="212"/>
      <c r="AG35" s="212"/>
      <c r="AH35" s="212"/>
      <c r="AI35" s="212"/>
      <c r="AJ35" s="212"/>
      <c r="AK35" s="212"/>
      <c r="AL35" s="212"/>
      <c r="AM35" s="212"/>
      <c r="AN35" s="212"/>
      <c r="AO35" s="212"/>
      <c r="AP35" s="213"/>
      <c r="AQ35" s="868"/>
      <c r="AR35" s="868" t="e">
        <v>#VALUE!</v>
      </c>
      <c r="AS35" s="490">
        <v>9</v>
      </c>
      <c r="AT35" s="271" t="str">
        <v>Percepatan Penyambungan Pelanggan</v>
      </c>
      <c r="AU35" s="331"/>
      <c r="AV35" s="500"/>
      <c r="AW35" s="498"/>
      <c r="AX35" s="499"/>
      <c r="AY35" s="495"/>
      <c r="AZ35" s="495"/>
      <c r="BA35" s="504"/>
      <c r="BB35" s="504"/>
      <c r="BC35" s="504"/>
      <c r="BD35" s="504"/>
      <c r="BE35" s="504"/>
      <c r="BF35" s="504"/>
      <c r="BG35" s="504"/>
      <c r="BH35" s="504"/>
      <c r="BI35" s="504"/>
      <c r="BJ35" s="504"/>
      <c r="BK35" s="504"/>
      <c r="BL35" s="505"/>
      <c r="BO35" s="490">
        <v>9</v>
      </c>
      <c r="BP35" s="271" t="str">
        <v>Percepatan Penyambungan Pelanggan</v>
      </c>
      <c r="BQ35" s="331"/>
      <c r="BR35" s="500"/>
      <c r="BS35" s="498"/>
      <c r="BT35" s="499">
        <v>10</v>
      </c>
      <c r="BU35" s="495"/>
      <c r="BV35" s="495"/>
      <c r="BW35" s="504"/>
      <c r="BX35" s="504"/>
      <c r="BY35" s="504"/>
      <c r="BZ35" s="504"/>
      <c r="CA35" s="504"/>
      <c r="CB35" s="504"/>
      <c r="CC35" s="504"/>
      <c r="CD35" s="504"/>
      <c r="CE35" s="504"/>
      <c r="CF35" s="504"/>
      <c r="CG35" s="504"/>
      <c r="CH35" s="505"/>
    </row>
    <row r="36" spans="1:86" s="198" customFormat="1" ht="16.5">
      <c r="A36" s="51"/>
      <c r="B36" s="275" t="s">
        <v>311</v>
      </c>
      <c r="C36" s="327" t="s">
        <v>276</v>
      </c>
      <c r="D36" s="293" t="s">
        <v>312</v>
      </c>
      <c r="E36" s="294"/>
      <c r="F36" s="295">
        <v>2</v>
      </c>
      <c r="G36" s="257">
        <f t="shared" ref="G36:G41" si="14">N36</f>
        <v>5.3</v>
      </c>
      <c r="H36" s="257">
        <f t="shared" ref="H36:H41" si="15">T36</f>
        <v>13.36</v>
      </c>
      <c r="I36" s="257">
        <f>PI!D199</f>
        <v>0.72</v>
      </c>
      <c r="J36" s="257">
        <f>PI!E199</f>
        <v>1.47</v>
      </c>
      <c r="K36" s="257">
        <f>PI!F199</f>
        <v>2.2599999999999998</v>
      </c>
      <c r="L36" s="257">
        <f>PI!G199</f>
        <v>3.01</v>
      </c>
      <c r="M36" s="257">
        <f>PI!H199</f>
        <v>4.18</v>
      </c>
      <c r="N36" s="257">
        <f>PI!I199</f>
        <v>5.3</v>
      </c>
      <c r="O36" s="257">
        <f>PI!J199</f>
        <v>6.46</v>
      </c>
      <c r="P36" s="257">
        <f>PI!K199</f>
        <v>7.62</v>
      </c>
      <c r="Q36" s="257">
        <f>PI!L199</f>
        <v>8.75</v>
      </c>
      <c r="R36" s="257">
        <f>PI!M199</f>
        <v>9.91</v>
      </c>
      <c r="S36" s="257">
        <f>PI!N199</f>
        <v>11.03</v>
      </c>
      <c r="T36" s="90">
        <f>PI!O199</f>
        <v>13.36</v>
      </c>
      <c r="U36" s="197"/>
      <c r="W36" s="51"/>
      <c r="X36" s="275" t="s">
        <v>311</v>
      </c>
      <c r="Y36" s="327" t="s">
        <v>276</v>
      </c>
      <c r="Z36" s="293" t="s">
        <v>312</v>
      </c>
      <c r="AA36" s="294"/>
      <c r="AB36" s="295">
        <v>2</v>
      </c>
      <c r="AC36" s="257">
        <f t="shared" ref="AC36:AC41" si="16">AJ36</f>
        <v>2.9414333333333333</v>
      </c>
      <c r="AD36" s="257">
        <f t="shared" ref="AD36:AD41" si="17">AP36</f>
        <v>0</v>
      </c>
      <c r="AE36" s="212">
        <f>PI!AH199</f>
        <v>0.75440000000000007</v>
      </c>
      <c r="AF36" s="212">
        <f>PI!AI199</f>
        <v>1.274</v>
      </c>
      <c r="AG36" s="212">
        <f>PI!AJ199</f>
        <v>1.82315</v>
      </c>
      <c r="AH36" s="212">
        <f>PI!AK199</f>
        <v>2.3200833333333333</v>
      </c>
      <c r="AI36" s="212">
        <f>PI!AL199</f>
        <v>2.4581833333333334</v>
      </c>
      <c r="AJ36" s="212">
        <f>PI!AM199</f>
        <v>2.9414333333333333</v>
      </c>
      <c r="AK36" s="212">
        <f>PI!AN199</f>
        <v>3.5287333333333333</v>
      </c>
      <c r="AL36" s="212">
        <f>PI!AO199</f>
        <v>4.2161333333333335</v>
      </c>
      <c r="AM36" s="212">
        <f>PI!AP199</f>
        <v>5.7844333333333333</v>
      </c>
      <c r="AN36" s="212">
        <f>PI!AQ199</f>
        <v>6.773083333333334</v>
      </c>
      <c r="AO36" s="212">
        <f>PI!AR199</f>
        <v>0</v>
      </c>
      <c r="AP36" s="213">
        <f>PI!AS199</f>
        <v>0</v>
      </c>
      <c r="AQ36" s="868"/>
      <c r="AR36" s="868">
        <v>2</v>
      </c>
      <c r="AS36" s="51"/>
      <c r="AT36" s="275" t="str">
        <v>Penambahan Daya Tersambung</v>
      </c>
      <c r="AU36" s="327" t="s">
        <v>276</v>
      </c>
      <c r="AV36" s="293" t="s">
        <v>312</v>
      </c>
      <c r="AW36" s="294"/>
      <c r="AX36" s="295">
        <v>2</v>
      </c>
      <c r="AY36" s="257">
        <f t="shared" ref="AY36:AY41" si="18">BF36</f>
        <v>55.49874213836479</v>
      </c>
      <c r="AZ36" s="257">
        <f t="shared" ref="AZ36:AZ41" si="19">BL36</f>
        <v>0</v>
      </c>
      <c r="BA36" s="502">
        <f t="shared" ref="BA36:BA41" si="20">IFERROR(IF(AE36/I36*100&gt;110,110,AE36/I36*100),100)</f>
        <v>104.77777777777779</v>
      </c>
      <c r="BB36" s="502">
        <f t="shared" ref="BB36:BL41" si="21">IFERROR(IF(AF36/J36*100&gt;110,110,AF36/J36*100),100)</f>
        <v>86.666666666666671</v>
      </c>
      <c r="BC36" s="502">
        <f t="shared" si="21"/>
        <v>80.670353982300895</v>
      </c>
      <c r="BD36" s="502">
        <f t="shared" si="21"/>
        <v>77.079180509413064</v>
      </c>
      <c r="BE36" s="502">
        <f t="shared" si="21"/>
        <v>58.808213716108462</v>
      </c>
      <c r="BF36" s="502">
        <f t="shared" si="21"/>
        <v>55.49874213836479</v>
      </c>
      <c r="BG36" s="502">
        <f t="shared" si="21"/>
        <v>54.624355005159963</v>
      </c>
      <c r="BH36" s="502">
        <f t="shared" si="21"/>
        <v>55.329833770778656</v>
      </c>
      <c r="BI36" s="502">
        <f t="shared" si="21"/>
        <v>66.107809523809522</v>
      </c>
      <c r="BJ36" s="502">
        <f t="shared" si="21"/>
        <v>68.3459468550286</v>
      </c>
      <c r="BK36" s="502">
        <f t="shared" si="21"/>
        <v>0</v>
      </c>
      <c r="BL36" s="503">
        <f t="shared" si="21"/>
        <v>0</v>
      </c>
      <c r="BO36" s="51"/>
      <c r="BP36" s="275" t="str">
        <v>Penambahan Daya Tersambung</v>
      </c>
      <c r="BQ36" s="327" t="s">
        <v>276</v>
      </c>
      <c r="BR36" s="293" t="s">
        <v>312</v>
      </c>
      <c r="BS36" s="294"/>
      <c r="BT36" s="295">
        <v>2</v>
      </c>
      <c r="BU36" s="257">
        <f t="shared" ref="BU36:BU41" si="22">CB36</f>
        <v>1.1000000000000001</v>
      </c>
      <c r="BV36" s="257">
        <f t="shared" ref="BV36:BV41" si="23">CH36</f>
        <v>0</v>
      </c>
      <c r="BW36" s="502" cm="1">
        <f t="array" ref="BW36:CH36">ROUNDDOWN(BT36*BA36:BL36/100,2)</f>
        <v>2.09</v>
      </c>
      <c r="BX36" s="502">
        <v>1.73</v>
      </c>
      <c r="BY36" s="502">
        <v>1.61</v>
      </c>
      <c r="BZ36" s="502">
        <v>1.54</v>
      </c>
      <c r="CA36" s="502">
        <v>1.17</v>
      </c>
      <c r="CB36" s="502">
        <v>1.1000000000000001</v>
      </c>
      <c r="CC36" s="502">
        <v>1.0900000000000001</v>
      </c>
      <c r="CD36" s="502">
        <v>1.1000000000000001</v>
      </c>
      <c r="CE36" s="502">
        <v>1.32</v>
      </c>
      <c r="CF36" s="502">
        <v>1.36</v>
      </c>
      <c r="CG36" s="502">
        <v>0</v>
      </c>
      <c r="CH36" s="503">
        <v>0</v>
      </c>
    </row>
    <row r="37" spans="1:86" s="198" customFormat="1" ht="16.5">
      <c r="A37" s="51"/>
      <c r="B37" s="275" t="s">
        <v>313</v>
      </c>
      <c r="C37" s="327" t="s">
        <v>276</v>
      </c>
      <c r="D37" s="293" t="s">
        <v>133</v>
      </c>
      <c r="E37" s="294" t="s">
        <v>319</v>
      </c>
      <c r="F37" s="295">
        <v>2</v>
      </c>
      <c r="G37" s="257">
        <f t="shared" si="14"/>
        <v>4619</v>
      </c>
      <c r="H37" s="257">
        <f t="shared" si="15"/>
        <v>10632</v>
      </c>
      <c r="I37" s="257">
        <f>PI!D205</f>
        <v>631</v>
      </c>
      <c r="J37" s="257">
        <f>PI!E205</f>
        <v>1283</v>
      </c>
      <c r="K37" s="257">
        <f>PI!F205</f>
        <v>1968</v>
      </c>
      <c r="L37" s="257">
        <f>PI!G205</f>
        <v>2626</v>
      </c>
      <c r="M37" s="257">
        <f>PI!H205</f>
        <v>3639</v>
      </c>
      <c r="N37" s="257">
        <f>PI!I205</f>
        <v>4619</v>
      </c>
      <c r="O37" s="257">
        <f>PI!J205</f>
        <v>5632</v>
      </c>
      <c r="P37" s="257">
        <f>PI!K205</f>
        <v>6645</v>
      </c>
      <c r="Q37" s="257">
        <f>PI!L205</f>
        <v>7625</v>
      </c>
      <c r="R37" s="257">
        <f>PI!M205</f>
        <v>8638</v>
      </c>
      <c r="S37" s="257">
        <f>PI!N205</f>
        <v>9618</v>
      </c>
      <c r="T37" s="90">
        <f>PI!O205</f>
        <v>10632</v>
      </c>
      <c r="U37" s="197"/>
      <c r="W37" s="51"/>
      <c r="X37" s="275" t="s">
        <v>313</v>
      </c>
      <c r="Y37" s="327" t="s">
        <v>276</v>
      </c>
      <c r="Z37" s="293" t="s">
        <v>133</v>
      </c>
      <c r="AA37" s="294" t="s">
        <v>319</v>
      </c>
      <c r="AB37" s="295">
        <v>2</v>
      </c>
      <c r="AC37" s="257">
        <f t="shared" si="16"/>
        <v>2561</v>
      </c>
      <c r="AD37" s="257">
        <f t="shared" si="17"/>
        <v>0</v>
      </c>
      <c r="AE37" s="212">
        <f>PI!AH205</f>
        <v>498</v>
      </c>
      <c r="AF37" s="212">
        <f>PI!AI205</f>
        <v>965</v>
      </c>
      <c r="AG37" s="212">
        <f>PI!AJ205</f>
        <v>1364</v>
      </c>
      <c r="AH37" s="212">
        <f>PI!AK205</f>
        <v>1792</v>
      </c>
      <c r="AI37" s="212">
        <f>PI!AL205</f>
        <v>2153</v>
      </c>
      <c r="AJ37" s="212">
        <f>PI!AM205</f>
        <v>2561</v>
      </c>
      <c r="AK37" s="212">
        <f>PI!AN205</f>
        <v>2930</v>
      </c>
      <c r="AL37" s="212">
        <f>PI!AO205</f>
        <v>3293</v>
      </c>
      <c r="AM37" s="212">
        <f>PI!AP205</f>
        <v>3761</v>
      </c>
      <c r="AN37" s="212">
        <f>PI!AQ205</f>
        <v>4387</v>
      </c>
      <c r="AO37" s="212">
        <f>PI!AR205</f>
        <v>0</v>
      </c>
      <c r="AP37" s="213">
        <f>PI!AS205</f>
        <v>0</v>
      </c>
      <c r="AQ37" s="868"/>
      <c r="AR37" s="868">
        <v>2</v>
      </c>
      <c r="AS37" s="51"/>
      <c r="AT37" s="275" t="str">
        <v>Penambahan Jumlah Pelanggan</v>
      </c>
      <c r="AU37" s="327" t="s">
        <v>276</v>
      </c>
      <c r="AV37" s="293" t="s">
        <v>133</v>
      </c>
      <c r="AW37" s="294" t="s">
        <v>319</v>
      </c>
      <c r="AX37" s="295">
        <v>2</v>
      </c>
      <c r="AY37" s="257">
        <f t="shared" si="18"/>
        <v>55.444901493829832</v>
      </c>
      <c r="AZ37" s="257">
        <f t="shared" si="19"/>
        <v>0</v>
      </c>
      <c r="BA37" s="502">
        <f t="shared" si="20"/>
        <v>78.922345483359749</v>
      </c>
      <c r="BB37" s="502">
        <f t="shared" si="21"/>
        <v>75.214341387373338</v>
      </c>
      <c r="BC37" s="502">
        <f t="shared" si="21"/>
        <v>69.308943089430898</v>
      </c>
      <c r="BD37" s="502">
        <f t="shared" si="21"/>
        <v>68.240670220868239</v>
      </c>
      <c r="BE37" s="502">
        <f t="shared" si="21"/>
        <v>59.164605660895852</v>
      </c>
      <c r="BF37" s="502">
        <f t="shared" si="21"/>
        <v>55.444901493829832</v>
      </c>
      <c r="BG37" s="502">
        <f t="shared" si="21"/>
        <v>52.024147727272727</v>
      </c>
      <c r="BH37" s="502">
        <f t="shared" si="21"/>
        <v>49.556057185854023</v>
      </c>
      <c r="BI37" s="502">
        <f t="shared" si="21"/>
        <v>49.324590163934431</v>
      </c>
      <c r="BJ37" s="502">
        <f t="shared" si="21"/>
        <v>50.787219263718455</v>
      </c>
      <c r="BK37" s="502">
        <f t="shared" si="21"/>
        <v>0</v>
      </c>
      <c r="BL37" s="503">
        <f t="shared" si="21"/>
        <v>0</v>
      </c>
      <c r="BO37" s="51"/>
      <c r="BP37" s="275" t="str">
        <v>Penambahan Jumlah Pelanggan</v>
      </c>
      <c r="BQ37" s="327" t="s">
        <v>276</v>
      </c>
      <c r="BR37" s="293" t="s">
        <v>133</v>
      </c>
      <c r="BS37" s="294" t="s">
        <v>319</v>
      </c>
      <c r="BT37" s="295">
        <v>2</v>
      </c>
      <c r="BU37" s="257">
        <f t="shared" si="22"/>
        <v>1.1000000000000001</v>
      </c>
      <c r="BV37" s="257">
        <f t="shared" si="23"/>
        <v>0</v>
      </c>
      <c r="BW37" s="502" cm="1">
        <f t="array" ref="BW37:CH37">ROUNDDOWN(BT37*BA37:BL37/100,2)</f>
        <v>1.57</v>
      </c>
      <c r="BX37" s="502">
        <v>1.5</v>
      </c>
      <c r="BY37" s="502">
        <v>1.38</v>
      </c>
      <c r="BZ37" s="502">
        <v>1.36</v>
      </c>
      <c r="CA37" s="502">
        <v>1.18</v>
      </c>
      <c r="CB37" s="502">
        <v>1.1000000000000001</v>
      </c>
      <c r="CC37" s="502">
        <v>1.04</v>
      </c>
      <c r="CD37" s="502">
        <v>0.99</v>
      </c>
      <c r="CE37" s="502">
        <v>0.98</v>
      </c>
      <c r="CF37" s="502">
        <v>1.01</v>
      </c>
      <c r="CG37" s="502">
        <v>0</v>
      </c>
      <c r="CH37" s="503">
        <v>0</v>
      </c>
    </row>
    <row r="38" spans="1:86" s="198" customFormat="1" ht="16.5">
      <c r="A38" s="51"/>
      <c r="B38" s="275" t="s">
        <v>314</v>
      </c>
      <c r="C38" s="327" t="s">
        <v>276</v>
      </c>
      <c r="D38" s="293" t="s">
        <v>133</v>
      </c>
      <c r="E38" s="294"/>
      <c r="F38" s="295">
        <v>1.5</v>
      </c>
      <c r="G38" s="257">
        <f t="shared" si="14"/>
        <v>600</v>
      </c>
      <c r="H38" s="257">
        <f t="shared" si="15"/>
        <v>996</v>
      </c>
      <c r="I38" s="257">
        <f>PI!D211</f>
        <v>100</v>
      </c>
      <c r="J38" s="257">
        <f>PI!E211</f>
        <v>200</v>
      </c>
      <c r="K38" s="257">
        <f>PI!F211</f>
        <v>300</v>
      </c>
      <c r="L38" s="257">
        <f>PI!G211</f>
        <v>400</v>
      </c>
      <c r="M38" s="257">
        <f>PI!H211</f>
        <v>500</v>
      </c>
      <c r="N38" s="257">
        <f>PI!I211</f>
        <v>600</v>
      </c>
      <c r="O38" s="257">
        <f>PI!J211</f>
        <v>666</v>
      </c>
      <c r="P38" s="257">
        <f>PI!K211</f>
        <v>732</v>
      </c>
      <c r="Q38" s="257">
        <f>PI!L211</f>
        <v>798</v>
      </c>
      <c r="R38" s="257">
        <f>PI!M211</f>
        <v>864</v>
      </c>
      <c r="S38" s="257">
        <f>PI!N211</f>
        <v>930</v>
      </c>
      <c r="T38" s="90">
        <f>PI!O211</f>
        <v>996</v>
      </c>
      <c r="U38" s="197"/>
      <c r="W38" s="51"/>
      <c r="X38" s="275" t="s">
        <v>314</v>
      </c>
      <c r="Y38" s="327" t="s">
        <v>276</v>
      </c>
      <c r="Z38" s="293" t="s">
        <v>133</v>
      </c>
      <c r="AA38" s="294"/>
      <c r="AB38" s="295">
        <v>1.5</v>
      </c>
      <c r="AC38" s="257">
        <f t="shared" si="16"/>
        <v>507</v>
      </c>
      <c r="AD38" s="257">
        <f t="shared" si="17"/>
        <v>0</v>
      </c>
      <c r="AE38" s="212">
        <f>PI!AH211</f>
        <v>126</v>
      </c>
      <c r="AF38" s="212">
        <f>PI!AI211</f>
        <v>171</v>
      </c>
      <c r="AG38" s="212">
        <f>PI!AJ211</f>
        <v>251</v>
      </c>
      <c r="AH38" s="212">
        <f>PI!AK211</f>
        <v>251</v>
      </c>
      <c r="AI38" s="212">
        <f>PI!AL211</f>
        <v>347</v>
      </c>
      <c r="AJ38" s="212">
        <f>PI!AM211</f>
        <v>507</v>
      </c>
      <c r="AK38" s="212">
        <f>PI!AN211</f>
        <v>599</v>
      </c>
      <c r="AL38" s="212">
        <f>PI!AO211</f>
        <v>744</v>
      </c>
      <c r="AM38" s="212">
        <f>PI!AP211</f>
        <v>814</v>
      </c>
      <c r="AN38" s="212">
        <f>PI!AQ211</f>
        <v>939</v>
      </c>
      <c r="AO38" s="212">
        <f>PI!AR211</f>
        <v>0</v>
      </c>
      <c r="AP38" s="213">
        <f>PI!AS211</f>
        <v>0</v>
      </c>
      <c r="AQ38" s="868"/>
      <c r="AR38" s="868">
        <v>2</v>
      </c>
      <c r="AS38" s="51"/>
      <c r="AT38" s="275" t="str">
        <v>Jumlah Penambahan Pelanggan Produk Tematik</v>
      </c>
      <c r="AU38" s="327" t="s">
        <v>276</v>
      </c>
      <c r="AV38" s="293" t="s">
        <v>133</v>
      </c>
      <c r="AW38" s="294"/>
      <c r="AX38" s="295">
        <v>1.5</v>
      </c>
      <c r="AY38" s="257">
        <f t="shared" si="18"/>
        <v>84.5</v>
      </c>
      <c r="AZ38" s="257">
        <f t="shared" si="19"/>
        <v>0</v>
      </c>
      <c r="BA38" s="502">
        <f t="shared" si="20"/>
        <v>110</v>
      </c>
      <c r="BB38" s="502">
        <f t="shared" si="21"/>
        <v>85.5</v>
      </c>
      <c r="BC38" s="502">
        <f t="shared" si="21"/>
        <v>83.666666666666671</v>
      </c>
      <c r="BD38" s="502">
        <f t="shared" si="21"/>
        <v>62.749999999999993</v>
      </c>
      <c r="BE38" s="502">
        <f t="shared" si="21"/>
        <v>69.399999999999991</v>
      </c>
      <c r="BF38" s="502">
        <f t="shared" si="21"/>
        <v>84.5</v>
      </c>
      <c r="BG38" s="502">
        <f t="shared" si="21"/>
        <v>89.939939939939933</v>
      </c>
      <c r="BH38" s="502">
        <f t="shared" si="21"/>
        <v>101.63934426229508</v>
      </c>
      <c r="BI38" s="502">
        <f t="shared" si="21"/>
        <v>102.00501253132832</v>
      </c>
      <c r="BJ38" s="502">
        <f t="shared" si="21"/>
        <v>108.68055555555556</v>
      </c>
      <c r="BK38" s="502">
        <f t="shared" si="21"/>
        <v>0</v>
      </c>
      <c r="BL38" s="503">
        <f t="shared" si="21"/>
        <v>0</v>
      </c>
      <c r="BO38" s="51"/>
      <c r="BP38" s="275" t="str">
        <v>Jumlah Penambahan Pelanggan Produk Tematik</v>
      </c>
      <c r="BQ38" s="327" t="s">
        <v>276</v>
      </c>
      <c r="BR38" s="293" t="s">
        <v>133</v>
      </c>
      <c r="BS38" s="294"/>
      <c r="BT38" s="295">
        <v>1.5</v>
      </c>
      <c r="BU38" s="257">
        <f t="shared" si="22"/>
        <v>1.26</v>
      </c>
      <c r="BV38" s="257">
        <f t="shared" si="23"/>
        <v>0</v>
      </c>
      <c r="BW38" s="502" cm="1">
        <f t="array" ref="BW38:CH38">ROUNDDOWN(BT38*BA38:BL38/100,2)</f>
        <v>1.65</v>
      </c>
      <c r="BX38" s="502">
        <v>1.28</v>
      </c>
      <c r="BY38" s="502">
        <v>1.25</v>
      </c>
      <c r="BZ38" s="502">
        <v>0.94</v>
      </c>
      <c r="CA38" s="502">
        <v>1.04</v>
      </c>
      <c r="CB38" s="502">
        <v>1.26</v>
      </c>
      <c r="CC38" s="502">
        <v>1.34</v>
      </c>
      <c r="CD38" s="502">
        <v>1.52</v>
      </c>
      <c r="CE38" s="502">
        <v>1.53</v>
      </c>
      <c r="CF38" s="502">
        <v>1.63</v>
      </c>
      <c r="CG38" s="502">
        <v>0</v>
      </c>
      <c r="CH38" s="503">
        <v>0</v>
      </c>
    </row>
    <row r="39" spans="1:86" s="198" customFormat="1" ht="16.5">
      <c r="A39" s="51"/>
      <c r="B39" s="275" t="s">
        <v>315</v>
      </c>
      <c r="C39" s="327" t="s">
        <v>276</v>
      </c>
      <c r="D39" s="293" t="s">
        <v>133</v>
      </c>
      <c r="E39" s="294"/>
      <c r="F39" s="295">
        <v>1.5</v>
      </c>
      <c r="G39" s="257">
        <f t="shared" si="14"/>
        <v>7</v>
      </c>
      <c r="H39" s="257">
        <f t="shared" si="15"/>
        <v>8</v>
      </c>
      <c r="I39" s="257">
        <f>PI!D217</f>
        <v>0</v>
      </c>
      <c r="J39" s="257">
        <f>PI!E217</f>
        <v>0</v>
      </c>
      <c r="K39" s="257">
        <f>PI!F217</f>
        <v>0</v>
      </c>
      <c r="L39" s="257">
        <f>PI!G217</f>
        <v>7</v>
      </c>
      <c r="M39" s="257">
        <f>PI!H217</f>
        <v>7</v>
      </c>
      <c r="N39" s="257">
        <f>PI!I217</f>
        <v>7</v>
      </c>
      <c r="O39" s="257">
        <f>PI!J217</f>
        <v>8</v>
      </c>
      <c r="P39" s="257">
        <f>PI!K217</f>
        <v>8</v>
      </c>
      <c r="Q39" s="257">
        <f>PI!L217</f>
        <v>8</v>
      </c>
      <c r="R39" s="257">
        <f>PI!M217</f>
        <v>8</v>
      </c>
      <c r="S39" s="257">
        <f>PI!N217</f>
        <v>8</v>
      </c>
      <c r="T39" s="90">
        <f>PI!O217</f>
        <v>8</v>
      </c>
      <c r="U39" s="197"/>
      <c r="W39" s="51"/>
      <c r="X39" s="275" t="s">
        <v>315</v>
      </c>
      <c r="Y39" s="327" t="s">
        <v>276</v>
      </c>
      <c r="Z39" s="293" t="s">
        <v>133</v>
      </c>
      <c r="AA39" s="294"/>
      <c r="AB39" s="295">
        <v>1.5</v>
      </c>
      <c r="AC39" s="257">
        <f t="shared" si="16"/>
        <v>7</v>
      </c>
      <c r="AD39" s="257">
        <f t="shared" si="17"/>
        <v>0</v>
      </c>
      <c r="AE39" s="212">
        <f>PI!AH217</f>
        <v>0</v>
      </c>
      <c r="AF39" s="212">
        <f>PI!AI217</f>
        <v>0</v>
      </c>
      <c r="AG39" s="212">
        <f>PI!AJ217</f>
        <v>0</v>
      </c>
      <c r="AH39" s="212">
        <f>PI!AK217</f>
        <v>7</v>
      </c>
      <c r="AI39" s="212">
        <f>PI!AL217</f>
        <v>7</v>
      </c>
      <c r="AJ39" s="212">
        <f>PI!AM217</f>
        <v>7</v>
      </c>
      <c r="AK39" s="212">
        <f>PI!AN217</f>
        <v>8</v>
      </c>
      <c r="AL39" s="212">
        <f>PI!AO217</f>
        <v>8</v>
      </c>
      <c r="AM39" s="212">
        <f>PI!AP217</f>
        <v>8</v>
      </c>
      <c r="AN39" s="212">
        <f>PI!AQ217</f>
        <v>8</v>
      </c>
      <c r="AO39" s="212">
        <f>PI!AR217</f>
        <v>0</v>
      </c>
      <c r="AP39" s="213">
        <f>PI!AS217</f>
        <v>0</v>
      </c>
      <c r="AQ39" s="868"/>
      <c r="AR39" s="868">
        <v>2</v>
      </c>
      <c r="AS39" s="51"/>
      <c r="AT39" s="275" t="str">
        <v>Implementasi Kesesuaian Sektor Bisnis sesuai KBLI 2020</v>
      </c>
      <c r="AU39" s="327" t="s">
        <v>276</v>
      </c>
      <c r="AV39" s="293" t="s">
        <v>133</v>
      </c>
      <c r="AW39" s="294"/>
      <c r="AX39" s="295">
        <v>1.5</v>
      </c>
      <c r="AY39" s="257">
        <f t="shared" si="18"/>
        <v>100</v>
      </c>
      <c r="AZ39" s="257">
        <f t="shared" si="19"/>
        <v>0</v>
      </c>
      <c r="BA39" s="502">
        <f t="shared" si="20"/>
        <v>100</v>
      </c>
      <c r="BB39" s="502">
        <f t="shared" si="21"/>
        <v>100</v>
      </c>
      <c r="BC39" s="502">
        <f t="shared" si="21"/>
        <v>100</v>
      </c>
      <c r="BD39" s="502">
        <f t="shared" si="21"/>
        <v>100</v>
      </c>
      <c r="BE39" s="502">
        <f t="shared" si="21"/>
        <v>100</v>
      </c>
      <c r="BF39" s="502">
        <f t="shared" si="21"/>
        <v>100</v>
      </c>
      <c r="BG39" s="502">
        <f t="shared" si="21"/>
        <v>100</v>
      </c>
      <c r="BH39" s="502">
        <f t="shared" si="21"/>
        <v>100</v>
      </c>
      <c r="BI39" s="502">
        <f t="shared" si="21"/>
        <v>100</v>
      </c>
      <c r="BJ39" s="502">
        <f t="shared" si="21"/>
        <v>100</v>
      </c>
      <c r="BK39" s="502">
        <f t="shared" si="21"/>
        <v>0</v>
      </c>
      <c r="BL39" s="503">
        <f t="shared" si="21"/>
        <v>0</v>
      </c>
      <c r="BO39" s="51"/>
      <c r="BP39" s="275" t="str">
        <v>Implementasi Kesesuaian Sektor Bisnis sesuai KBLI 2020</v>
      </c>
      <c r="BQ39" s="327" t="s">
        <v>276</v>
      </c>
      <c r="BR39" s="293" t="s">
        <v>133</v>
      </c>
      <c r="BS39" s="294"/>
      <c r="BT39" s="295">
        <v>1.5</v>
      </c>
      <c r="BU39" s="257">
        <f t="shared" si="22"/>
        <v>1.5</v>
      </c>
      <c r="BV39" s="257">
        <f t="shared" si="23"/>
        <v>0</v>
      </c>
      <c r="BW39" s="502" cm="1">
        <f t="array" ref="BW39:CH39">ROUNDDOWN(BT39*BA39:BL39/100,2)</f>
        <v>1.5</v>
      </c>
      <c r="BX39" s="502">
        <v>1.5</v>
      </c>
      <c r="BY39" s="502">
        <v>1.5</v>
      </c>
      <c r="BZ39" s="502">
        <v>1.5</v>
      </c>
      <c r="CA39" s="502">
        <v>1.5</v>
      </c>
      <c r="CB39" s="502">
        <v>1.5</v>
      </c>
      <c r="CC39" s="502">
        <v>1.5</v>
      </c>
      <c r="CD39" s="502">
        <v>1.5</v>
      </c>
      <c r="CE39" s="502">
        <v>1.5</v>
      </c>
      <c r="CF39" s="502">
        <v>1.5</v>
      </c>
      <c r="CG39" s="502">
        <v>0</v>
      </c>
      <c r="CH39" s="503">
        <v>0</v>
      </c>
    </row>
    <row r="40" spans="1:86" s="198" customFormat="1" ht="16.5">
      <c r="A40" s="51"/>
      <c r="B40" s="52" t="s">
        <v>316</v>
      </c>
      <c r="C40" s="327" t="s">
        <v>276</v>
      </c>
      <c r="D40" s="293" t="s">
        <v>133</v>
      </c>
      <c r="E40" s="294"/>
      <c r="F40" s="295">
        <v>1.5</v>
      </c>
      <c r="G40" s="257">
        <f t="shared" si="14"/>
        <v>14</v>
      </c>
      <c r="H40" s="257">
        <f t="shared" si="15"/>
        <v>441</v>
      </c>
      <c r="I40" s="257">
        <f>PI!D223</f>
        <v>3</v>
      </c>
      <c r="J40" s="257">
        <f>PI!E223</f>
        <v>4</v>
      </c>
      <c r="K40" s="257">
        <f>PI!F223</f>
        <v>4</v>
      </c>
      <c r="L40" s="257">
        <f>PI!G223</f>
        <v>4</v>
      </c>
      <c r="M40" s="257">
        <f>PI!H223</f>
        <v>8</v>
      </c>
      <c r="N40" s="257">
        <f>PI!I223</f>
        <v>14</v>
      </c>
      <c r="O40" s="257">
        <f>PI!J223</f>
        <v>38</v>
      </c>
      <c r="P40" s="257">
        <f>PI!K223</f>
        <v>61</v>
      </c>
      <c r="Q40" s="257">
        <f>PI!L223</f>
        <v>99</v>
      </c>
      <c r="R40" s="257">
        <f>PI!M223</f>
        <v>161</v>
      </c>
      <c r="S40" s="257">
        <f>PI!N223</f>
        <v>266</v>
      </c>
      <c r="T40" s="90">
        <f>PI!O223</f>
        <v>441</v>
      </c>
      <c r="U40" s="197"/>
      <c r="W40" s="51"/>
      <c r="X40" s="52" t="s">
        <v>316</v>
      </c>
      <c r="Y40" s="327" t="s">
        <v>276</v>
      </c>
      <c r="Z40" s="293" t="s">
        <v>133</v>
      </c>
      <c r="AA40" s="294"/>
      <c r="AB40" s="295">
        <v>1.5</v>
      </c>
      <c r="AC40" s="257">
        <f t="shared" si="16"/>
        <v>142</v>
      </c>
      <c r="AD40" s="257">
        <f t="shared" si="17"/>
        <v>0</v>
      </c>
      <c r="AE40" s="212">
        <f>PI!AH223</f>
        <v>50</v>
      </c>
      <c r="AF40" s="212">
        <f>PI!AI223</f>
        <v>71</v>
      </c>
      <c r="AG40" s="212">
        <f>PI!AJ223</f>
        <v>87</v>
      </c>
      <c r="AH40" s="212">
        <f>PI!AK223</f>
        <v>113</v>
      </c>
      <c r="AI40" s="212">
        <f>PI!AL223</f>
        <v>134</v>
      </c>
      <c r="AJ40" s="212">
        <f>PI!AM223</f>
        <v>142</v>
      </c>
      <c r="AK40" s="212">
        <f>PI!AN223</f>
        <v>150</v>
      </c>
      <c r="AL40" s="212">
        <f>PI!AO223</f>
        <v>159</v>
      </c>
      <c r="AM40" s="212">
        <f>PI!AP223</f>
        <v>169</v>
      </c>
      <c r="AN40" s="212">
        <f>PI!AQ223</f>
        <v>186</v>
      </c>
      <c r="AO40" s="212">
        <f>PI!AR223</f>
        <v>0</v>
      </c>
      <c r="AP40" s="213">
        <f>PI!AS223</f>
        <v>0</v>
      </c>
      <c r="AQ40" s="868"/>
      <c r="AR40" s="868">
        <v>2</v>
      </c>
      <c r="AS40" s="51"/>
      <c r="AT40" s="52" t="str">
        <v>Penambahan Jumlah Pelanggan Rumah Tangga Lisdes</v>
      </c>
      <c r="AU40" s="327" t="s">
        <v>276</v>
      </c>
      <c r="AV40" s="293" t="s">
        <v>133</v>
      </c>
      <c r="AW40" s="294"/>
      <c r="AX40" s="295">
        <v>1.5</v>
      </c>
      <c r="AY40" s="257">
        <f t="shared" si="18"/>
        <v>110</v>
      </c>
      <c r="AZ40" s="257">
        <f t="shared" si="19"/>
        <v>0</v>
      </c>
      <c r="BA40" s="502">
        <f t="shared" si="20"/>
        <v>110</v>
      </c>
      <c r="BB40" s="502">
        <f t="shared" si="21"/>
        <v>110</v>
      </c>
      <c r="BC40" s="502">
        <f t="shared" si="21"/>
        <v>110</v>
      </c>
      <c r="BD40" s="502">
        <f t="shared" si="21"/>
        <v>110</v>
      </c>
      <c r="BE40" s="502">
        <f t="shared" si="21"/>
        <v>110</v>
      </c>
      <c r="BF40" s="502">
        <f t="shared" si="21"/>
        <v>110</v>
      </c>
      <c r="BG40" s="502">
        <f t="shared" si="21"/>
        <v>110</v>
      </c>
      <c r="BH40" s="502">
        <f t="shared" si="21"/>
        <v>110</v>
      </c>
      <c r="BI40" s="502">
        <f t="shared" si="21"/>
        <v>110</v>
      </c>
      <c r="BJ40" s="502">
        <f t="shared" si="21"/>
        <v>110</v>
      </c>
      <c r="BK40" s="502">
        <f t="shared" si="21"/>
        <v>0</v>
      </c>
      <c r="BL40" s="503">
        <f t="shared" si="21"/>
        <v>0</v>
      </c>
      <c r="BO40" s="51"/>
      <c r="BP40" s="52" t="str">
        <v>Penambahan Jumlah Pelanggan Rumah Tangga Lisdes</v>
      </c>
      <c r="BQ40" s="327" t="s">
        <v>276</v>
      </c>
      <c r="BR40" s="293" t="s">
        <v>133</v>
      </c>
      <c r="BS40" s="294"/>
      <c r="BT40" s="295">
        <v>1.5</v>
      </c>
      <c r="BU40" s="257">
        <f t="shared" si="22"/>
        <v>1.65</v>
      </c>
      <c r="BV40" s="257">
        <f t="shared" si="23"/>
        <v>0</v>
      </c>
      <c r="BW40" s="502" cm="1">
        <f t="array" ref="BW40:CH40">ROUNDDOWN(BT40*BA40:BL40/100,2)</f>
        <v>1.65</v>
      </c>
      <c r="BX40" s="502">
        <v>1.65</v>
      </c>
      <c r="BY40" s="502">
        <v>1.65</v>
      </c>
      <c r="BZ40" s="502">
        <v>1.65</v>
      </c>
      <c r="CA40" s="502">
        <v>1.65</v>
      </c>
      <c r="CB40" s="502">
        <v>1.65</v>
      </c>
      <c r="CC40" s="502">
        <v>1.65</v>
      </c>
      <c r="CD40" s="502">
        <v>1.65</v>
      </c>
      <c r="CE40" s="502">
        <v>1.65</v>
      </c>
      <c r="CF40" s="502">
        <v>1.65</v>
      </c>
      <c r="CG40" s="502">
        <v>0</v>
      </c>
      <c r="CH40" s="503">
        <v>0</v>
      </c>
    </row>
    <row r="41" spans="1:86" s="198" customFormat="1" ht="16.5">
      <c r="A41" s="51"/>
      <c r="B41" s="52" t="s">
        <v>317</v>
      </c>
      <c r="C41" s="327" t="s">
        <v>276</v>
      </c>
      <c r="D41" s="293" t="s">
        <v>318</v>
      </c>
      <c r="E41" s="294" t="s">
        <v>322</v>
      </c>
      <c r="F41" s="295">
        <v>1.5</v>
      </c>
      <c r="G41" s="257">
        <f t="shared" si="14"/>
        <v>567</v>
      </c>
      <c r="H41" s="257">
        <f t="shared" si="15"/>
        <v>58950.990000000005</v>
      </c>
      <c r="I41" s="257">
        <f>PI!D229</f>
        <v>121.5</v>
      </c>
      <c r="J41" s="257">
        <f>PI!E229</f>
        <v>162</v>
      </c>
      <c r="K41" s="257">
        <f>PI!F229</f>
        <v>162</v>
      </c>
      <c r="L41" s="257">
        <f>PI!G229</f>
        <v>162</v>
      </c>
      <c r="M41" s="257">
        <f>PI!H229</f>
        <v>324</v>
      </c>
      <c r="N41" s="257">
        <f>PI!I229</f>
        <v>567</v>
      </c>
      <c r="O41" s="257">
        <f>PI!J229</f>
        <v>5079.6769999999997</v>
      </c>
      <c r="P41" s="257">
        <f>PI!K229</f>
        <v>8154.2190000000001</v>
      </c>
      <c r="Q41" s="257">
        <f>PI!L229</f>
        <v>13233.896000000001</v>
      </c>
      <c r="R41" s="257">
        <f>PI!M229</f>
        <v>21521.791000000001</v>
      </c>
      <c r="S41" s="257">
        <f>PI!N229</f>
        <v>35557.740000000005</v>
      </c>
      <c r="T41" s="90">
        <f>PI!O229</f>
        <v>58950.990000000005</v>
      </c>
      <c r="U41" s="197"/>
      <c r="W41" s="51"/>
      <c r="X41" s="52" t="s">
        <v>317</v>
      </c>
      <c r="Y41" s="327" t="s">
        <v>276</v>
      </c>
      <c r="Z41" s="293" t="s">
        <v>318</v>
      </c>
      <c r="AA41" s="294" t="s">
        <v>322</v>
      </c>
      <c r="AB41" s="295">
        <v>1.5</v>
      </c>
      <c r="AC41" s="257">
        <f t="shared" si="16"/>
        <v>42397.8</v>
      </c>
      <c r="AD41" s="257">
        <f t="shared" si="17"/>
        <v>0</v>
      </c>
      <c r="AE41" s="212">
        <f>PI!AH229</f>
        <v>12084.1</v>
      </c>
      <c r="AF41" s="212">
        <f>PI!AI229</f>
        <v>23649.5</v>
      </c>
      <c r="AG41" s="212">
        <f>PI!AJ229</f>
        <v>25628.500000000007</v>
      </c>
      <c r="AH41" s="212">
        <f>PI!AK229</f>
        <v>29595.700000000004</v>
      </c>
      <c r="AI41" s="212">
        <f>PI!AL229</f>
        <v>36325.700000000004</v>
      </c>
      <c r="AJ41" s="212">
        <f>PI!AM229</f>
        <v>42397.8</v>
      </c>
      <c r="AK41" s="212">
        <f>PI!AN229</f>
        <v>49790.899999999994</v>
      </c>
      <c r="AL41" s="212">
        <f>PI!AO229</f>
        <v>56666.3</v>
      </c>
      <c r="AM41" s="212">
        <f>PI!AP229</f>
        <v>64005.7</v>
      </c>
      <c r="AN41" s="212">
        <f>PI!AQ229</f>
        <v>74417.7</v>
      </c>
      <c r="AO41" s="212">
        <f>PI!AR229</f>
        <v>0</v>
      </c>
      <c r="AP41" s="213">
        <f>PI!AS229</f>
        <v>0</v>
      </c>
      <c r="AQ41" s="868"/>
      <c r="AR41" s="868">
        <v>2</v>
      </c>
      <c r="AS41" s="51"/>
      <c r="AT41" s="52" t="str">
        <v>Peningkatan kWh Penjualan dari Pelanggan Rumah Tangga Lisdes</v>
      </c>
      <c r="AU41" s="327" t="s">
        <v>276</v>
      </c>
      <c r="AV41" s="293" t="s">
        <v>318</v>
      </c>
      <c r="AW41" s="294" t="s">
        <v>322</v>
      </c>
      <c r="AX41" s="295">
        <v>1.5</v>
      </c>
      <c r="AY41" s="257">
        <f t="shared" si="18"/>
        <v>110</v>
      </c>
      <c r="AZ41" s="257">
        <f t="shared" si="19"/>
        <v>0</v>
      </c>
      <c r="BA41" s="502">
        <f t="shared" si="20"/>
        <v>110</v>
      </c>
      <c r="BB41" s="502">
        <f t="shared" si="21"/>
        <v>110</v>
      </c>
      <c r="BC41" s="502">
        <f t="shared" si="21"/>
        <v>110</v>
      </c>
      <c r="BD41" s="502">
        <f t="shared" si="21"/>
        <v>110</v>
      </c>
      <c r="BE41" s="502">
        <f t="shared" si="21"/>
        <v>110</v>
      </c>
      <c r="BF41" s="502">
        <f t="shared" si="21"/>
        <v>110</v>
      </c>
      <c r="BG41" s="502">
        <f t="shared" si="21"/>
        <v>110</v>
      </c>
      <c r="BH41" s="502">
        <f t="shared" si="21"/>
        <v>110</v>
      </c>
      <c r="BI41" s="502">
        <f t="shared" si="21"/>
        <v>110</v>
      </c>
      <c r="BJ41" s="502">
        <f t="shared" si="21"/>
        <v>110</v>
      </c>
      <c r="BK41" s="502">
        <f t="shared" si="21"/>
        <v>0</v>
      </c>
      <c r="BL41" s="503">
        <f t="shared" si="21"/>
        <v>0</v>
      </c>
      <c r="BO41" s="51"/>
      <c r="BP41" s="52" t="str">
        <v>Peningkatan kWh Penjualan dari Pelanggan Rumah Tangga Lisdes</v>
      </c>
      <c r="BQ41" s="327" t="s">
        <v>276</v>
      </c>
      <c r="BR41" s="293" t="s">
        <v>318</v>
      </c>
      <c r="BS41" s="294" t="s">
        <v>322</v>
      </c>
      <c r="BT41" s="295">
        <v>1.5</v>
      </c>
      <c r="BU41" s="257">
        <f t="shared" si="22"/>
        <v>1.65</v>
      </c>
      <c r="BV41" s="257">
        <f t="shared" si="23"/>
        <v>0</v>
      </c>
      <c r="BW41" s="502" cm="1">
        <f t="array" ref="BW41:CH41">ROUNDDOWN(BT41*BA41:BL41/100,2)</f>
        <v>1.65</v>
      </c>
      <c r="BX41" s="502">
        <v>1.65</v>
      </c>
      <c r="BY41" s="502">
        <v>1.65</v>
      </c>
      <c r="BZ41" s="502">
        <v>1.65</v>
      </c>
      <c r="CA41" s="502">
        <v>1.65</v>
      </c>
      <c r="CB41" s="502">
        <v>1.65</v>
      </c>
      <c r="CC41" s="502">
        <v>1.65</v>
      </c>
      <c r="CD41" s="502">
        <v>1.65</v>
      </c>
      <c r="CE41" s="502">
        <v>1.65</v>
      </c>
      <c r="CF41" s="502">
        <v>1.65</v>
      </c>
      <c r="CG41" s="502">
        <v>0</v>
      </c>
      <c r="CH41" s="503">
        <v>0</v>
      </c>
    </row>
    <row r="42" spans="1:86" s="198" customFormat="1" ht="16.5">
      <c r="A42" s="51">
        <v>10</v>
      </c>
      <c r="B42" s="271" t="s">
        <v>320</v>
      </c>
      <c r="C42" s="327"/>
      <c r="D42" s="293"/>
      <c r="E42" s="294" t="s">
        <v>327</v>
      </c>
      <c r="F42" s="295">
        <v>4</v>
      </c>
      <c r="G42" s="274"/>
      <c r="H42" s="274"/>
      <c r="I42" s="274"/>
      <c r="J42" s="274"/>
      <c r="K42" s="274"/>
      <c r="L42" s="274"/>
      <c r="M42" s="274"/>
      <c r="N42" s="274"/>
      <c r="O42" s="274"/>
      <c r="P42" s="274"/>
      <c r="Q42" s="274"/>
      <c r="R42" s="274"/>
      <c r="S42" s="274"/>
      <c r="T42" s="91"/>
      <c r="U42" s="197"/>
      <c r="W42" s="51">
        <v>10</v>
      </c>
      <c r="X42" s="271" t="s">
        <v>320</v>
      </c>
      <c r="Y42" s="327"/>
      <c r="Z42" s="293"/>
      <c r="AA42" s="294" t="s">
        <v>327</v>
      </c>
      <c r="AB42" s="295">
        <v>4</v>
      </c>
      <c r="AC42" s="274"/>
      <c r="AD42" s="274"/>
      <c r="AE42" s="212"/>
      <c r="AF42" s="212"/>
      <c r="AG42" s="212"/>
      <c r="AH42" s="212"/>
      <c r="AI42" s="212"/>
      <c r="AJ42" s="212"/>
      <c r="AK42" s="212"/>
      <c r="AL42" s="212"/>
      <c r="AM42" s="212"/>
      <c r="AN42" s="212"/>
      <c r="AO42" s="212"/>
      <c r="AP42" s="213"/>
      <c r="AQ42" s="868"/>
      <c r="AR42" s="868" t="e">
        <v>#VALUE!</v>
      </c>
      <c r="AS42" s="490">
        <v>10</v>
      </c>
      <c r="AT42" s="271" t="str">
        <v>Pengelolaan Pembacaan Meter</v>
      </c>
      <c r="AU42" s="496"/>
      <c r="AV42" s="497"/>
      <c r="AW42" s="498" t="s">
        <v>327</v>
      </c>
      <c r="AX42" s="499">
        <v>4</v>
      </c>
      <c r="AY42" s="495"/>
      <c r="AZ42" s="495"/>
      <c r="BA42" s="504"/>
      <c r="BB42" s="504"/>
      <c r="BC42" s="504"/>
      <c r="BD42" s="504"/>
      <c r="BE42" s="504"/>
      <c r="BF42" s="504"/>
      <c r="BG42" s="504"/>
      <c r="BH42" s="504"/>
      <c r="BI42" s="504"/>
      <c r="BJ42" s="504"/>
      <c r="BK42" s="504"/>
      <c r="BL42" s="505"/>
      <c r="BO42" s="490">
        <v>10</v>
      </c>
      <c r="BP42" s="271" t="str">
        <v>Pengelolaan Pembacaan Meter</v>
      </c>
      <c r="BQ42" s="496"/>
      <c r="BR42" s="497"/>
      <c r="BS42" s="498" t="s">
        <v>327</v>
      </c>
      <c r="BT42" s="499">
        <v>4</v>
      </c>
      <c r="BU42" s="495"/>
      <c r="BV42" s="495"/>
      <c r="BW42" s="504"/>
      <c r="BX42" s="504"/>
      <c r="BY42" s="504"/>
      <c r="BZ42" s="504"/>
      <c r="CA42" s="504"/>
      <c r="CB42" s="504"/>
      <c r="CC42" s="504"/>
      <c r="CD42" s="504"/>
      <c r="CE42" s="504"/>
      <c r="CF42" s="504"/>
      <c r="CG42" s="504"/>
      <c r="CH42" s="505"/>
    </row>
    <row r="43" spans="1:86" s="198" customFormat="1" ht="16.5">
      <c r="A43" s="51"/>
      <c r="B43" s="52" t="s">
        <v>321</v>
      </c>
      <c r="C43" s="327" t="s">
        <v>276</v>
      </c>
      <c r="D43" s="293" t="s">
        <v>133</v>
      </c>
      <c r="E43" s="294" t="s">
        <v>394</v>
      </c>
      <c r="F43" s="295"/>
      <c r="G43" s="257">
        <f>N43</f>
        <v>4728</v>
      </c>
      <c r="H43" s="257">
        <f>T43</f>
        <v>4728</v>
      </c>
      <c r="I43" s="257">
        <f>PI!D239</f>
        <v>4728</v>
      </c>
      <c r="J43" s="257">
        <f>PI!E239</f>
        <v>4728</v>
      </c>
      <c r="K43" s="257">
        <f>PI!F239</f>
        <v>4728</v>
      </c>
      <c r="L43" s="257">
        <f>PI!G239</f>
        <v>4728</v>
      </c>
      <c r="M43" s="257">
        <f>PI!H239</f>
        <v>4728</v>
      </c>
      <c r="N43" s="257">
        <f>PI!I239</f>
        <v>4728</v>
      </c>
      <c r="O43" s="257">
        <f>PI!J239</f>
        <v>4728</v>
      </c>
      <c r="P43" s="257">
        <f>PI!K239</f>
        <v>4728</v>
      </c>
      <c r="Q43" s="257">
        <f>PI!L239</f>
        <v>4728</v>
      </c>
      <c r="R43" s="257">
        <f>PI!M239</f>
        <v>4728</v>
      </c>
      <c r="S43" s="257">
        <f>PI!N239</f>
        <v>4728</v>
      </c>
      <c r="T43" s="90">
        <f>PI!O239</f>
        <v>4728</v>
      </c>
      <c r="U43" s="197"/>
      <c r="W43" s="51"/>
      <c r="X43" s="52" t="s">
        <v>321</v>
      </c>
      <c r="Y43" s="327" t="s">
        <v>276</v>
      </c>
      <c r="Z43" s="293" t="s">
        <v>133</v>
      </c>
      <c r="AA43" s="294" t="s">
        <v>394</v>
      </c>
      <c r="AB43" s="295"/>
      <c r="AC43" s="257">
        <f>AJ43</f>
        <v>7340</v>
      </c>
      <c r="AD43" s="257">
        <f>AP43</f>
        <v>0</v>
      </c>
      <c r="AE43" s="212">
        <f>PI!AH239</f>
        <v>10357</v>
      </c>
      <c r="AF43" s="212">
        <f>PI!AI239</f>
        <v>8775</v>
      </c>
      <c r="AG43" s="212">
        <f>PI!AJ239</f>
        <v>9061</v>
      </c>
      <c r="AH43" s="212">
        <f>PI!AK239</f>
        <v>8210.25</v>
      </c>
      <c r="AI43" s="212">
        <f>PI!AL239</f>
        <v>7592.2</v>
      </c>
      <c r="AJ43" s="212">
        <f>PI!AM239</f>
        <v>7340</v>
      </c>
      <c r="AK43" s="212">
        <f>PI!AN239</f>
        <v>5470</v>
      </c>
      <c r="AL43" s="212">
        <f>PI!AO239</f>
        <v>5376</v>
      </c>
      <c r="AM43" s="212">
        <f>PI!AP239</f>
        <v>5579</v>
      </c>
      <c r="AN43" s="212">
        <f>PI!AQ239</f>
        <v>5532</v>
      </c>
      <c r="AO43" s="212">
        <f>PI!AR239</f>
        <v>0</v>
      </c>
      <c r="AP43" s="213">
        <f>PI!AS239</f>
        <v>0</v>
      </c>
      <c r="AQ43" s="868"/>
      <c r="AR43" s="868">
        <v>2</v>
      </c>
      <c r="AS43" s="51"/>
      <c r="AT43" s="52" t="str">
        <v>Jumlah Pengguna Swa Cam</v>
      </c>
      <c r="AU43" s="327" t="s">
        <v>276</v>
      </c>
      <c r="AV43" s="293" t="s">
        <v>133</v>
      </c>
      <c r="AW43" s="294" t="s">
        <v>394</v>
      </c>
      <c r="AX43" s="295"/>
      <c r="AY43" s="257">
        <f>BF43</f>
        <v>110</v>
      </c>
      <c r="AZ43" s="257">
        <f>BL43</f>
        <v>0</v>
      </c>
      <c r="BA43" s="502">
        <f>IFERROR(IF(AE43/I43*100&gt;110,110,AE43/I43*100),100)</f>
        <v>110</v>
      </c>
      <c r="BB43" s="502">
        <f t="shared" ref="BB43:BL44" si="24">IFERROR(IF(AF43/J43*100&gt;110,110,AF43/J43*100),100)</f>
        <v>110</v>
      </c>
      <c r="BC43" s="502">
        <f t="shared" si="24"/>
        <v>110</v>
      </c>
      <c r="BD43" s="502">
        <f t="shared" si="24"/>
        <v>110</v>
      </c>
      <c r="BE43" s="502">
        <f t="shared" si="24"/>
        <v>110</v>
      </c>
      <c r="BF43" s="502">
        <f t="shared" si="24"/>
        <v>110</v>
      </c>
      <c r="BG43" s="502">
        <f t="shared" si="24"/>
        <v>110</v>
      </c>
      <c r="BH43" s="502">
        <f t="shared" si="24"/>
        <v>110</v>
      </c>
      <c r="BI43" s="502">
        <f t="shared" si="24"/>
        <v>110</v>
      </c>
      <c r="BJ43" s="502">
        <f t="shared" si="24"/>
        <v>110</v>
      </c>
      <c r="BK43" s="502">
        <f t="shared" si="24"/>
        <v>0</v>
      </c>
      <c r="BL43" s="503">
        <f t="shared" si="24"/>
        <v>0</v>
      </c>
      <c r="BO43" s="51"/>
      <c r="BP43" s="52" t="str">
        <v>Jumlah Pengguna Swa Cam</v>
      </c>
      <c r="BQ43" s="327" t="s">
        <v>276</v>
      </c>
      <c r="BR43" s="293" t="s">
        <v>133</v>
      </c>
      <c r="BS43" s="294" t="s">
        <v>394</v>
      </c>
      <c r="BT43" s="295">
        <v>2</v>
      </c>
      <c r="BU43" s="257">
        <f>CB43</f>
        <v>2.2000000000000002</v>
      </c>
      <c r="BV43" s="257">
        <f>CH43</f>
        <v>0</v>
      </c>
      <c r="BW43" s="502" cm="1">
        <f t="array" ref="BW43:CH43">ROUNDDOWN(BT43*BA43:BL43/100,2)</f>
        <v>2.2000000000000002</v>
      </c>
      <c r="BX43" s="502">
        <v>2.2000000000000002</v>
      </c>
      <c r="BY43" s="502">
        <v>2.2000000000000002</v>
      </c>
      <c r="BZ43" s="502">
        <v>2.2000000000000002</v>
      </c>
      <c r="CA43" s="502">
        <v>2.2000000000000002</v>
      </c>
      <c r="CB43" s="502">
        <v>2.2000000000000002</v>
      </c>
      <c r="CC43" s="502">
        <v>2.2000000000000002</v>
      </c>
      <c r="CD43" s="502">
        <v>2.2000000000000002</v>
      </c>
      <c r="CE43" s="502">
        <v>2.2000000000000002</v>
      </c>
      <c r="CF43" s="502">
        <v>2.2000000000000002</v>
      </c>
      <c r="CG43" s="502">
        <v>0</v>
      </c>
      <c r="CH43" s="503">
        <v>0</v>
      </c>
    </row>
    <row r="44" spans="1:86" s="198" customFormat="1" ht="16.5">
      <c r="A44" s="51"/>
      <c r="B44" s="52" t="s">
        <v>323</v>
      </c>
      <c r="C44" s="327" t="s">
        <v>278</v>
      </c>
      <c r="D44" s="293" t="s">
        <v>133</v>
      </c>
      <c r="E44" s="294"/>
      <c r="F44" s="295"/>
      <c r="G44" s="257"/>
      <c r="H44" s="257"/>
      <c r="I44" s="257"/>
      <c r="J44" s="257"/>
      <c r="K44" s="257"/>
      <c r="L44" s="257"/>
      <c r="M44" s="257"/>
      <c r="N44" s="257"/>
      <c r="O44" s="257"/>
      <c r="P44" s="257"/>
      <c r="Q44" s="257"/>
      <c r="R44" s="257"/>
      <c r="S44" s="257"/>
      <c r="T44" s="90"/>
      <c r="U44" s="197"/>
      <c r="W44" s="51"/>
      <c r="X44" s="52" t="s">
        <v>323</v>
      </c>
      <c r="Y44" s="327" t="s">
        <v>278</v>
      </c>
      <c r="Z44" s="293" t="s">
        <v>133</v>
      </c>
      <c r="AA44" s="294"/>
      <c r="AB44" s="295"/>
      <c r="AC44" s="257">
        <f>AJ44</f>
        <v>0</v>
      </c>
      <c r="AD44" s="257">
        <f>AP44</f>
        <v>0</v>
      </c>
      <c r="AE44" s="212">
        <v>0</v>
      </c>
      <c r="AF44" s="212">
        <v>0</v>
      </c>
      <c r="AG44" s="212">
        <v>0</v>
      </c>
      <c r="AH44" s="212">
        <v>0</v>
      </c>
      <c r="AI44" s="212">
        <v>0</v>
      </c>
      <c r="AJ44" s="212">
        <v>0</v>
      </c>
      <c r="AK44" s="212">
        <v>0</v>
      </c>
      <c r="AL44" s="212">
        <v>0</v>
      </c>
      <c r="AM44" s="212">
        <v>0</v>
      </c>
      <c r="AN44" s="212">
        <v>0</v>
      </c>
      <c r="AO44" s="212">
        <v>0</v>
      </c>
      <c r="AP44" s="213">
        <v>0</v>
      </c>
      <c r="AQ44" s="868"/>
      <c r="AR44" s="868">
        <v>2</v>
      </c>
      <c r="AS44" s="51"/>
      <c r="AT44" s="52" t="str">
        <v>Tindak Lanjut LBKB (Laporan Bulanan Kelainan Baca Meter)</v>
      </c>
      <c r="AU44" s="327" t="s">
        <v>278</v>
      </c>
      <c r="AV44" s="293" t="s">
        <v>133</v>
      </c>
      <c r="AW44" s="294"/>
      <c r="AX44" s="295"/>
      <c r="AY44" s="257">
        <f>BF44</f>
        <v>100</v>
      </c>
      <c r="AZ44" s="257">
        <f>BL44</f>
        <v>100</v>
      </c>
      <c r="BA44" s="502">
        <f>IFERROR(IF(AE44/I44*100&gt;110,110,AE44/I44*100),100)</f>
        <v>100</v>
      </c>
      <c r="BB44" s="502">
        <f t="shared" si="24"/>
        <v>100</v>
      </c>
      <c r="BC44" s="502">
        <f t="shared" si="24"/>
        <v>100</v>
      </c>
      <c r="BD44" s="502">
        <f t="shared" si="24"/>
        <v>100</v>
      </c>
      <c r="BE44" s="502">
        <f t="shared" si="24"/>
        <v>100</v>
      </c>
      <c r="BF44" s="502">
        <f t="shared" si="24"/>
        <v>100</v>
      </c>
      <c r="BG44" s="502">
        <f t="shared" si="24"/>
        <v>100</v>
      </c>
      <c r="BH44" s="502">
        <f t="shared" si="24"/>
        <v>100</v>
      </c>
      <c r="BI44" s="502">
        <f t="shared" si="24"/>
        <v>100</v>
      </c>
      <c r="BJ44" s="502">
        <f t="shared" si="24"/>
        <v>100</v>
      </c>
      <c r="BK44" s="502">
        <f t="shared" si="24"/>
        <v>100</v>
      </c>
      <c r="BL44" s="503">
        <f t="shared" si="24"/>
        <v>100</v>
      </c>
      <c r="BO44" s="51"/>
      <c r="BP44" s="52" t="str">
        <v>Tindak Lanjut LBKB (Laporan Bulanan Kelainan Baca Meter)</v>
      </c>
      <c r="BQ44" s="327" t="s">
        <v>278</v>
      </c>
      <c r="BR44" s="293" t="s">
        <v>133</v>
      </c>
      <c r="BS44" s="294"/>
      <c r="BT44" s="295">
        <v>2</v>
      </c>
      <c r="BU44" s="257">
        <f>CB44</f>
        <v>2</v>
      </c>
      <c r="BV44" s="257">
        <f>CH44</f>
        <v>2</v>
      </c>
      <c r="BW44" s="502" cm="1">
        <f t="array" ref="BW44:CH44">ROUNDDOWN(BT44*BA44:BL44/100,2)</f>
        <v>2</v>
      </c>
      <c r="BX44" s="502">
        <v>2</v>
      </c>
      <c r="BY44" s="502">
        <v>2</v>
      </c>
      <c r="BZ44" s="502">
        <v>2</v>
      </c>
      <c r="CA44" s="502">
        <v>2</v>
      </c>
      <c r="CB44" s="502">
        <v>2</v>
      </c>
      <c r="CC44" s="502">
        <v>2</v>
      </c>
      <c r="CD44" s="502">
        <v>2</v>
      </c>
      <c r="CE44" s="502">
        <v>2</v>
      </c>
      <c r="CF44" s="502">
        <v>2</v>
      </c>
      <c r="CG44" s="502">
        <v>2</v>
      </c>
      <c r="CH44" s="503">
        <v>2</v>
      </c>
    </row>
    <row r="45" spans="1:86" s="198" customFormat="1" ht="16.5">
      <c r="A45" s="51">
        <v>11</v>
      </c>
      <c r="B45" s="267" t="s">
        <v>324</v>
      </c>
      <c r="C45" s="327"/>
      <c r="D45" s="293" t="s">
        <v>149</v>
      </c>
      <c r="E45" s="294"/>
      <c r="F45" s="295">
        <v>6</v>
      </c>
      <c r="G45" s="257"/>
      <c r="H45" s="257"/>
      <c r="I45" s="257"/>
      <c r="J45" s="257"/>
      <c r="K45" s="257"/>
      <c r="L45" s="257"/>
      <c r="M45" s="257"/>
      <c r="N45" s="257"/>
      <c r="O45" s="257"/>
      <c r="P45" s="257"/>
      <c r="Q45" s="257"/>
      <c r="R45" s="257"/>
      <c r="S45" s="257"/>
      <c r="T45" s="90"/>
      <c r="U45" s="197"/>
      <c r="W45" s="51">
        <v>11</v>
      </c>
      <c r="X45" s="267" t="s">
        <v>324</v>
      </c>
      <c r="Y45" s="327"/>
      <c r="Z45" s="293" t="s">
        <v>149</v>
      </c>
      <c r="AA45" s="294"/>
      <c r="AB45" s="295">
        <v>6</v>
      </c>
      <c r="AC45" s="257"/>
      <c r="AD45" s="257"/>
      <c r="AE45" s="212"/>
      <c r="AF45" s="212"/>
      <c r="AG45" s="212"/>
      <c r="AH45" s="212"/>
      <c r="AI45" s="212"/>
      <c r="AJ45" s="212"/>
      <c r="AK45" s="212"/>
      <c r="AL45" s="212"/>
      <c r="AM45" s="212"/>
      <c r="AN45" s="212"/>
      <c r="AO45" s="212"/>
      <c r="AP45" s="213"/>
      <c r="AQ45" s="868"/>
      <c r="AR45" s="868" t="e">
        <v>#VALUE!</v>
      </c>
      <c r="AS45" s="490">
        <v>11</v>
      </c>
      <c r="AT45" s="267" t="str">
        <v>Percepatan Cash In</v>
      </c>
      <c r="AU45" s="496"/>
      <c r="AV45" s="497"/>
      <c r="AW45" s="498"/>
      <c r="AX45" s="499">
        <v>6</v>
      </c>
      <c r="AY45" s="489"/>
      <c r="AZ45" s="489"/>
      <c r="BA45" s="504"/>
      <c r="BB45" s="504"/>
      <c r="BC45" s="504"/>
      <c r="BD45" s="504"/>
      <c r="BE45" s="504"/>
      <c r="BF45" s="504"/>
      <c r="BG45" s="504"/>
      <c r="BH45" s="504"/>
      <c r="BI45" s="504"/>
      <c r="BJ45" s="504"/>
      <c r="BK45" s="504"/>
      <c r="BL45" s="505"/>
      <c r="BO45" s="490">
        <v>11</v>
      </c>
      <c r="BP45" s="267" t="str">
        <v>Percepatan Cash In</v>
      </c>
      <c r="BQ45" s="496"/>
      <c r="BR45" s="497"/>
      <c r="BS45" s="498"/>
      <c r="BT45" s="499">
        <v>6</v>
      </c>
      <c r="BU45" s="489"/>
      <c r="BV45" s="489"/>
      <c r="BW45" s="504"/>
      <c r="BX45" s="504"/>
      <c r="BY45" s="504"/>
      <c r="BZ45" s="504"/>
      <c r="CA45" s="504"/>
      <c r="CB45" s="504"/>
      <c r="CC45" s="504"/>
      <c r="CD45" s="504"/>
      <c r="CE45" s="504"/>
      <c r="CF45" s="504"/>
      <c r="CG45" s="504"/>
      <c r="CH45" s="505"/>
    </row>
    <row r="46" spans="1:86" s="198" customFormat="1" ht="15" customHeight="1">
      <c r="A46" s="51"/>
      <c r="B46" s="275" t="s">
        <v>325</v>
      </c>
      <c r="C46" s="327" t="s">
        <v>278</v>
      </c>
      <c r="D46" s="293" t="s">
        <v>326</v>
      </c>
      <c r="E46" s="296" t="s">
        <v>331</v>
      </c>
      <c r="F46" s="295"/>
      <c r="G46" s="257">
        <f t="shared" ref="G46" si="25">N46</f>
        <v>1175</v>
      </c>
      <c r="H46" s="257">
        <f t="shared" ref="H46" si="26">T46</f>
        <v>1175</v>
      </c>
      <c r="I46" s="257">
        <f>PI!S280</f>
        <v>1175</v>
      </c>
      <c r="J46" s="257">
        <f>PI!T280</f>
        <v>1175</v>
      </c>
      <c r="K46" s="257">
        <f>PI!U280</f>
        <v>1175</v>
      </c>
      <c r="L46" s="257">
        <f>PI!V280</f>
        <v>1175</v>
      </c>
      <c r="M46" s="257">
        <f>PI!W280</f>
        <v>1175</v>
      </c>
      <c r="N46" s="257">
        <f>PI!X280</f>
        <v>1175</v>
      </c>
      <c r="O46" s="257">
        <f>PI!Y280</f>
        <v>1175</v>
      </c>
      <c r="P46" s="257">
        <f>PI!Z280</f>
        <v>1175</v>
      </c>
      <c r="Q46" s="257">
        <f>PI!AA280</f>
        <v>1175</v>
      </c>
      <c r="R46" s="257">
        <f>PI!AB280</f>
        <v>1175</v>
      </c>
      <c r="S46" s="257">
        <f>PI!AC280</f>
        <v>1175</v>
      </c>
      <c r="T46" s="90">
        <f>PI!AD280</f>
        <v>1175</v>
      </c>
      <c r="U46" s="197"/>
      <c r="W46" s="51"/>
      <c r="X46" s="275" t="s">
        <v>325</v>
      </c>
      <c r="Y46" s="327" t="s">
        <v>278</v>
      </c>
      <c r="Z46" s="293" t="s">
        <v>326</v>
      </c>
      <c r="AA46" s="296" t="s">
        <v>331</v>
      </c>
      <c r="AB46" s="295"/>
      <c r="AC46" s="257">
        <f t="shared" ref="AC46:AC48" si="27">AJ46</f>
        <v>1111.3078128333334</v>
      </c>
      <c r="AD46" s="257">
        <f t="shared" ref="AD46:AD48" si="28">AP46</f>
        <v>1001.4119882222224</v>
      </c>
      <c r="AE46" s="212">
        <f>PI!AH279</f>
        <v>1281.87806</v>
      </c>
      <c r="AF46" s="212">
        <f>PI!AI279</f>
        <v>1083.2909414999999</v>
      </c>
      <c r="AG46" s="212">
        <f>PI!AJ279</f>
        <v>1022.1397566666666</v>
      </c>
      <c r="AH46" s="212">
        <f>PI!AK279</f>
        <v>1028.3136465</v>
      </c>
      <c r="AI46" s="212">
        <f>PI!AL279</f>
        <v>1095.9366248000001</v>
      </c>
      <c r="AJ46" s="212">
        <f>PI!AM279</f>
        <v>1111.3078128333334</v>
      </c>
      <c r="AK46" s="212">
        <f>PI!AN279</f>
        <v>1088.9630380000001</v>
      </c>
      <c r="AL46" s="212">
        <f>PI!AO279</f>
        <v>1029.1045273750001</v>
      </c>
      <c r="AM46" s="212">
        <f>PI!AP279</f>
        <v>1001.4119882222224</v>
      </c>
      <c r="AN46" s="212">
        <f>PI!AQ279</f>
        <v>1001.4119882222224</v>
      </c>
      <c r="AO46" s="212">
        <f>PI!AR279</f>
        <v>1001.4119882222224</v>
      </c>
      <c r="AP46" s="213">
        <f>PI!AS279</f>
        <v>1001.4119882222224</v>
      </c>
      <c r="AQ46" s="868"/>
      <c r="AR46" s="868">
        <v>2</v>
      </c>
      <c r="AS46" s="51"/>
      <c r="AT46" s="275" t="str">
        <v>Pencapaian Rata-Rata Saldo Tanggal 20 diluar Konsumen Instansi (Kementerian &amp; Lembaga)</v>
      </c>
      <c r="AU46" s="327" t="s">
        <v>278</v>
      </c>
      <c r="AV46" s="293" t="s">
        <v>326</v>
      </c>
      <c r="AW46" s="296" t="s">
        <v>331</v>
      </c>
      <c r="AX46" s="295"/>
      <c r="AY46" s="257">
        <f t="shared" ref="AY46:AY48" si="29">BF46</f>
        <v>105.42061167375887</v>
      </c>
      <c r="AZ46" s="257">
        <f t="shared" ref="AZ46:AZ48" si="30">BL46</f>
        <v>110</v>
      </c>
      <c r="BA46" s="502">
        <f>IFERROR(IF((2-(AE46/I46))*100&gt;110,110,(2-(AE46/I46))*100),100)</f>
        <v>90.903994893617025</v>
      </c>
      <c r="BB46" s="502">
        <f t="shared" ref="BB46:BL47" si="31">IFERROR(IF((2-(AF46/J46))*100&gt;110,110,(2-(AF46/J46))*100),100)</f>
        <v>107.80502625531916</v>
      </c>
      <c r="BC46" s="502">
        <f t="shared" si="31"/>
        <v>110</v>
      </c>
      <c r="BD46" s="502">
        <f t="shared" si="31"/>
        <v>110</v>
      </c>
      <c r="BE46" s="502">
        <f t="shared" si="31"/>
        <v>106.72879788936169</v>
      </c>
      <c r="BF46" s="502">
        <f t="shared" si="31"/>
        <v>105.42061167375887</v>
      </c>
      <c r="BG46" s="502">
        <f t="shared" si="31"/>
        <v>107.32229463829785</v>
      </c>
      <c r="BH46" s="502">
        <f t="shared" si="31"/>
        <v>110</v>
      </c>
      <c r="BI46" s="502">
        <f t="shared" si="31"/>
        <v>110</v>
      </c>
      <c r="BJ46" s="502">
        <f t="shared" si="31"/>
        <v>110</v>
      </c>
      <c r="BK46" s="502">
        <f t="shared" si="31"/>
        <v>110</v>
      </c>
      <c r="BL46" s="503">
        <f t="shared" si="31"/>
        <v>110</v>
      </c>
      <c r="BO46" s="51"/>
      <c r="BP46" s="275" t="str">
        <v>Pencapaian Rata-Rata Saldo Tanggal 20 diluar Konsumen Instansi (Kementerian &amp; Lembaga)</v>
      </c>
      <c r="BQ46" s="327" t="s">
        <v>278</v>
      </c>
      <c r="BR46" s="293" t="s">
        <v>326</v>
      </c>
      <c r="BS46" s="296" t="s">
        <v>331</v>
      </c>
      <c r="BT46" s="295">
        <v>2</v>
      </c>
      <c r="BU46" s="257">
        <f t="shared" ref="BU46:BU48" si="32">CB46</f>
        <v>2.1</v>
      </c>
      <c r="BV46" s="257">
        <f t="shared" ref="BV46:BV48" si="33">CH46</f>
        <v>2.2000000000000002</v>
      </c>
      <c r="BW46" s="502" cm="1">
        <f t="array" ref="BW46:CH46">ROUNDDOWN(BT46*BA46:BL46/100,2)</f>
        <v>1.81</v>
      </c>
      <c r="BX46" s="502">
        <v>2.15</v>
      </c>
      <c r="BY46" s="502">
        <v>2.2000000000000002</v>
      </c>
      <c r="BZ46" s="502">
        <v>2.2000000000000002</v>
      </c>
      <c r="CA46" s="502">
        <v>2.13</v>
      </c>
      <c r="CB46" s="502">
        <v>2.1</v>
      </c>
      <c r="CC46" s="502">
        <v>2.14</v>
      </c>
      <c r="CD46" s="502">
        <v>2.2000000000000002</v>
      </c>
      <c r="CE46" s="502">
        <v>2.2000000000000002</v>
      </c>
      <c r="CF46" s="502">
        <v>2.2000000000000002</v>
      </c>
      <c r="CG46" s="502">
        <v>2.2000000000000002</v>
      </c>
      <c r="CH46" s="503">
        <v>2.2000000000000002</v>
      </c>
    </row>
    <row r="47" spans="1:86" s="198" customFormat="1" ht="15" customHeight="1">
      <c r="A47" s="51"/>
      <c r="B47" s="275" t="s">
        <v>328</v>
      </c>
      <c r="C47" s="327" t="s">
        <v>278</v>
      </c>
      <c r="D47" s="293" t="s">
        <v>326</v>
      </c>
      <c r="E47" s="296"/>
      <c r="F47" s="295"/>
      <c r="G47" s="257">
        <f t="shared" ref="G47:G55" si="34">N47</f>
        <v>286.27</v>
      </c>
      <c r="H47" s="257">
        <f t="shared" ref="H47:H55" si="35">T47</f>
        <v>286.27</v>
      </c>
      <c r="I47" s="257">
        <f>PI!S302</f>
        <v>286.27</v>
      </c>
      <c r="J47" s="257">
        <f>PI!T302</f>
        <v>286.27</v>
      </c>
      <c r="K47" s="257">
        <f>PI!U302</f>
        <v>286.27</v>
      </c>
      <c r="L47" s="257">
        <f>PI!V302</f>
        <v>286.27</v>
      </c>
      <c r="M47" s="257">
        <f>PI!W302</f>
        <v>286.27</v>
      </c>
      <c r="N47" s="257">
        <f>PI!X302</f>
        <v>286.27</v>
      </c>
      <c r="O47" s="257">
        <f>PI!Y302</f>
        <v>286.27</v>
      </c>
      <c r="P47" s="257">
        <f>PI!Z302</f>
        <v>286.27</v>
      </c>
      <c r="Q47" s="257">
        <f>PI!AA302</f>
        <v>286.27</v>
      </c>
      <c r="R47" s="257">
        <f>PI!AB302</f>
        <v>286.27</v>
      </c>
      <c r="S47" s="257">
        <f>PI!AC302</f>
        <v>286.27</v>
      </c>
      <c r="T47" s="90">
        <f>PI!AD302</f>
        <v>286.27</v>
      </c>
      <c r="U47" s="197"/>
      <c r="W47" s="51"/>
      <c r="X47" s="275" t="s">
        <v>328</v>
      </c>
      <c r="Y47" s="327" t="s">
        <v>278</v>
      </c>
      <c r="Z47" s="293" t="s">
        <v>326</v>
      </c>
      <c r="AA47" s="296"/>
      <c r="AB47" s="295"/>
      <c r="AC47" s="257">
        <f t="shared" si="27"/>
        <v>472.08207300000004</v>
      </c>
      <c r="AD47" s="257">
        <f t="shared" si="28"/>
        <v>290.15922360000002</v>
      </c>
      <c r="AE47" s="219">
        <f>PI!AH301</f>
        <v>568.75291700000002</v>
      </c>
      <c r="AF47" s="219">
        <f>PI!AI301</f>
        <v>551.86737949999997</v>
      </c>
      <c r="AG47" s="219">
        <f>PI!AJ301</f>
        <v>507.71158633333334</v>
      </c>
      <c r="AH47" s="219">
        <f>PI!AK301</f>
        <v>521.94955825</v>
      </c>
      <c r="AI47" s="219">
        <f>PI!AL301</f>
        <v>502.51584860000003</v>
      </c>
      <c r="AJ47" s="219">
        <f>PI!AM301</f>
        <v>472.08207300000004</v>
      </c>
      <c r="AK47" s="219">
        <f>PI!AN301</f>
        <v>406.4669252857143</v>
      </c>
      <c r="AL47" s="219">
        <f>PI!AO301</f>
        <v>356.950721875</v>
      </c>
      <c r="AM47" s="219">
        <f>PI!AP301</f>
        <v>321.95223111111113</v>
      </c>
      <c r="AN47" s="219">
        <f>PI!AQ301</f>
        <v>290.15922360000002</v>
      </c>
      <c r="AO47" s="219">
        <f>PI!AR301</f>
        <v>290.15922360000002</v>
      </c>
      <c r="AP47" s="486">
        <f>PI!AS301</f>
        <v>290.15922360000002</v>
      </c>
      <c r="AQ47" s="868"/>
      <c r="AR47" s="868">
        <v>2</v>
      </c>
      <c r="AS47" s="51"/>
      <c r="AT47" s="275" t="str">
        <v>Pencapaian Saldo Rata-Rata Akhir Bulan diluar Konsumen Instansi (Kementerian &amp; Lembaga)</v>
      </c>
      <c r="AU47" s="327" t="s">
        <v>278</v>
      </c>
      <c r="AV47" s="293" t="s">
        <v>326</v>
      </c>
      <c r="AW47" s="296"/>
      <c r="AX47" s="295"/>
      <c r="AY47" s="257">
        <f t="shared" si="29"/>
        <v>35.092020470185467</v>
      </c>
      <c r="AZ47" s="257">
        <f t="shared" si="30"/>
        <v>98.641414189401601</v>
      </c>
      <c r="BA47" s="502">
        <f>IFERROR(IF((2-(AE47/I47))*100&gt;110,110,(2-(AE47/I47))*100),100)</f>
        <v>1.3229059978342006</v>
      </c>
      <c r="BB47" s="502">
        <f t="shared" si="31"/>
        <v>7.2213716072239587</v>
      </c>
      <c r="BC47" s="502">
        <f t="shared" si="31"/>
        <v>22.645898510729957</v>
      </c>
      <c r="BD47" s="502">
        <f t="shared" si="31"/>
        <v>17.672282023963383</v>
      </c>
      <c r="BE47" s="502">
        <f t="shared" si="31"/>
        <v>24.46087658504208</v>
      </c>
      <c r="BF47" s="502">
        <f t="shared" si="31"/>
        <v>35.092020470185467</v>
      </c>
      <c r="BG47" s="502">
        <f t="shared" si="31"/>
        <v>58.012741368039158</v>
      </c>
      <c r="BH47" s="502">
        <f t="shared" si="31"/>
        <v>75.309769841408453</v>
      </c>
      <c r="BI47" s="502">
        <f t="shared" si="31"/>
        <v>87.53546263628354</v>
      </c>
      <c r="BJ47" s="502">
        <f t="shared" si="31"/>
        <v>98.641414189401601</v>
      </c>
      <c r="BK47" s="502">
        <f t="shared" si="31"/>
        <v>98.641414189401601</v>
      </c>
      <c r="BL47" s="503">
        <f t="shared" si="31"/>
        <v>98.641414189401601</v>
      </c>
      <c r="BO47" s="51"/>
      <c r="BP47" s="275" t="str">
        <v>Pencapaian Saldo Rata-Rata Akhir Bulan diluar Konsumen Instansi (Kementerian &amp; Lembaga)</v>
      </c>
      <c r="BQ47" s="327" t="s">
        <v>278</v>
      </c>
      <c r="BR47" s="293" t="s">
        <v>326</v>
      </c>
      <c r="BS47" s="296"/>
      <c r="BT47" s="295">
        <v>2</v>
      </c>
      <c r="BU47" s="257">
        <f t="shared" si="32"/>
        <v>0.7</v>
      </c>
      <c r="BV47" s="257">
        <f t="shared" si="33"/>
        <v>1.97</v>
      </c>
      <c r="BW47" s="502" cm="1">
        <f t="array" ref="BW47:CH47">ROUNDDOWN(BT47*BA47:BL47/100,2)</f>
        <v>0.02</v>
      </c>
      <c r="BX47" s="502">
        <v>0.14000000000000001</v>
      </c>
      <c r="BY47" s="502">
        <v>0.45</v>
      </c>
      <c r="BZ47" s="502">
        <v>0.35</v>
      </c>
      <c r="CA47" s="502">
        <v>0.48</v>
      </c>
      <c r="CB47" s="502">
        <v>0.7</v>
      </c>
      <c r="CC47" s="502">
        <v>1.1599999999999999</v>
      </c>
      <c r="CD47" s="502">
        <v>1.5</v>
      </c>
      <c r="CE47" s="502">
        <v>1.75</v>
      </c>
      <c r="CF47" s="502">
        <v>1.97</v>
      </c>
      <c r="CG47" s="502">
        <v>1.97</v>
      </c>
      <c r="CH47" s="503">
        <v>1.97</v>
      </c>
    </row>
    <row r="48" spans="1:86" s="198" customFormat="1" ht="15" customHeight="1">
      <c r="A48" s="51"/>
      <c r="B48" s="275" t="s">
        <v>330</v>
      </c>
      <c r="C48" s="327" t="s">
        <v>276</v>
      </c>
      <c r="D48" s="293" t="s">
        <v>326</v>
      </c>
      <c r="E48" s="296"/>
      <c r="F48" s="295"/>
      <c r="G48" s="257">
        <f t="shared" si="34"/>
        <v>3.73</v>
      </c>
      <c r="H48" s="257">
        <f t="shared" si="35"/>
        <v>9.31</v>
      </c>
      <c r="I48" s="257">
        <f>PI!S323</f>
        <v>0.62</v>
      </c>
      <c r="J48" s="257">
        <f>PI!T323</f>
        <v>1.24</v>
      </c>
      <c r="K48" s="257">
        <f>PI!U323</f>
        <v>1.86</v>
      </c>
      <c r="L48" s="257">
        <f>PI!V323</f>
        <v>2.48</v>
      </c>
      <c r="M48" s="257">
        <f>PI!W323</f>
        <v>3.1</v>
      </c>
      <c r="N48" s="257">
        <f>PI!X323</f>
        <v>3.73</v>
      </c>
      <c r="O48" s="257">
        <f>PI!Y323</f>
        <v>4.66</v>
      </c>
      <c r="P48" s="257">
        <f>PI!Z323</f>
        <v>5.59</v>
      </c>
      <c r="Q48" s="257">
        <f>PI!AA323</f>
        <v>6.52</v>
      </c>
      <c r="R48" s="257">
        <f>PI!AB323</f>
        <v>7.45</v>
      </c>
      <c r="S48" s="257">
        <f>PI!AC323</f>
        <v>8.3800000000000008</v>
      </c>
      <c r="T48" s="90">
        <f>PI!AD323</f>
        <v>9.31</v>
      </c>
      <c r="U48" s="197"/>
      <c r="W48" s="51"/>
      <c r="X48" s="275" t="s">
        <v>330</v>
      </c>
      <c r="Y48" s="327" t="s">
        <v>276</v>
      </c>
      <c r="Z48" s="293" t="s">
        <v>326</v>
      </c>
      <c r="AA48" s="296"/>
      <c r="AB48" s="295"/>
      <c r="AC48" s="257">
        <f t="shared" si="27"/>
        <v>11.555612</v>
      </c>
      <c r="AD48" s="257">
        <f t="shared" si="28"/>
        <v>0</v>
      </c>
      <c r="AE48" s="212">
        <f>PI!AH324</f>
        <v>0</v>
      </c>
      <c r="AF48" s="212">
        <f>PI!AI324</f>
        <v>0</v>
      </c>
      <c r="AG48" s="212">
        <f>PI!AJ324</f>
        <v>2.5170159999999999</v>
      </c>
      <c r="AH48" s="212">
        <f>PI!AK324</f>
        <v>3.384001</v>
      </c>
      <c r="AI48" s="212">
        <f>PI!AL324</f>
        <v>11.555612</v>
      </c>
      <c r="AJ48" s="212">
        <f>PI!AM324</f>
        <v>11.555612</v>
      </c>
      <c r="AK48" s="212">
        <f>PI!AN324</f>
        <v>11.555612</v>
      </c>
      <c r="AL48" s="212">
        <f>PI!AO324</f>
        <v>11.555612</v>
      </c>
      <c r="AM48" s="212">
        <f>PI!AP324</f>
        <v>16.879501000000001</v>
      </c>
      <c r="AN48" s="212">
        <f>PI!AQ324</f>
        <v>16.981306</v>
      </c>
      <c r="AO48" s="212">
        <f>PI!AR324</f>
        <v>0</v>
      </c>
      <c r="AP48" s="213">
        <f>PI!AS324</f>
        <v>0</v>
      </c>
      <c r="AQ48" s="868"/>
      <c r="AR48" s="868">
        <v>2</v>
      </c>
      <c r="AS48" s="51"/>
      <c r="AT48" s="275" t="str">
        <v>Pencapaian Pelunasan PRR</v>
      </c>
      <c r="AU48" s="327" t="s">
        <v>276</v>
      </c>
      <c r="AV48" s="293" t="s">
        <v>326</v>
      </c>
      <c r="AW48" s="296"/>
      <c r="AX48" s="295"/>
      <c r="AY48" s="257">
        <f t="shared" si="29"/>
        <v>110</v>
      </c>
      <c r="AZ48" s="257">
        <f t="shared" si="30"/>
        <v>0</v>
      </c>
      <c r="BA48" s="502">
        <f>IFERROR(IF(AE48/I48*100&gt;110,110,AE48/I48*100),100)</f>
        <v>0</v>
      </c>
      <c r="BB48" s="502">
        <f t="shared" ref="BB48:BL48" si="36">IFERROR(IF(AF48/J48*100&gt;110,110,AF48/J48*100),100)</f>
        <v>0</v>
      </c>
      <c r="BC48" s="502">
        <f t="shared" si="36"/>
        <v>110</v>
      </c>
      <c r="BD48" s="502">
        <f t="shared" si="36"/>
        <v>110</v>
      </c>
      <c r="BE48" s="502">
        <f t="shared" si="36"/>
        <v>110</v>
      </c>
      <c r="BF48" s="502">
        <f t="shared" si="36"/>
        <v>110</v>
      </c>
      <c r="BG48" s="502">
        <f t="shared" si="36"/>
        <v>110</v>
      </c>
      <c r="BH48" s="502">
        <f t="shared" si="36"/>
        <v>110</v>
      </c>
      <c r="BI48" s="502">
        <f t="shared" si="36"/>
        <v>110</v>
      </c>
      <c r="BJ48" s="502">
        <f t="shared" si="36"/>
        <v>110</v>
      </c>
      <c r="BK48" s="502">
        <f t="shared" si="36"/>
        <v>0</v>
      </c>
      <c r="BL48" s="503">
        <f t="shared" si="36"/>
        <v>0</v>
      </c>
      <c r="BO48" s="51"/>
      <c r="BP48" s="275" t="str">
        <v>Pencapaian Pelunasan PRR</v>
      </c>
      <c r="BQ48" s="327" t="s">
        <v>276</v>
      </c>
      <c r="BR48" s="293" t="s">
        <v>326</v>
      </c>
      <c r="BS48" s="296"/>
      <c r="BT48" s="295">
        <v>2</v>
      </c>
      <c r="BU48" s="257">
        <f t="shared" si="32"/>
        <v>2.2000000000000002</v>
      </c>
      <c r="BV48" s="257">
        <f t="shared" si="33"/>
        <v>0</v>
      </c>
      <c r="BW48" s="502" cm="1">
        <f t="array" ref="BW48:CH48">ROUNDDOWN(BT48*BA48:BL48/100,2)</f>
        <v>0</v>
      </c>
      <c r="BX48" s="502">
        <v>0</v>
      </c>
      <c r="BY48" s="502">
        <v>2.2000000000000002</v>
      </c>
      <c r="BZ48" s="502">
        <v>2.2000000000000002</v>
      </c>
      <c r="CA48" s="502">
        <v>2.2000000000000002</v>
      </c>
      <c r="CB48" s="502">
        <v>2.2000000000000002</v>
      </c>
      <c r="CC48" s="502">
        <v>2.2000000000000002</v>
      </c>
      <c r="CD48" s="502">
        <v>2.2000000000000002</v>
      </c>
      <c r="CE48" s="502">
        <v>2.2000000000000002</v>
      </c>
      <c r="CF48" s="502">
        <v>2.2000000000000002</v>
      </c>
      <c r="CG48" s="502">
        <v>0</v>
      </c>
      <c r="CH48" s="503">
        <v>0</v>
      </c>
    </row>
    <row r="49" spans="1:86" s="198" customFormat="1" ht="15" customHeight="1">
      <c r="A49" s="51">
        <v>12</v>
      </c>
      <c r="B49" s="271" t="s">
        <v>332</v>
      </c>
      <c r="C49" s="327"/>
      <c r="D49" s="293"/>
      <c r="E49" s="296"/>
      <c r="F49" s="295">
        <v>6</v>
      </c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90"/>
      <c r="U49" s="197"/>
      <c r="W49" s="51">
        <v>12</v>
      </c>
      <c r="X49" s="271" t="s">
        <v>332</v>
      </c>
      <c r="Y49" s="327"/>
      <c r="Z49" s="293"/>
      <c r="AA49" s="296"/>
      <c r="AB49" s="295">
        <v>6</v>
      </c>
      <c r="AC49" s="257"/>
      <c r="AD49" s="257"/>
      <c r="AE49" s="212"/>
      <c r="AF49" s="212"/>
      <c r="AG49" s="212"/>
      <c r="AH49" s="212"/>
      <c r="AI49" s="212"/>
      <c r="AJ49" s="212"/>
      <c r="AK49" s="212"/>
      <c r="AL49" s="212"/>
      <c r="AM49" s="212"/>
      <c r="AN49" s="212"/>
      <c r="AO49" s="212"/>
      <c r="AP49" s="213"/>
      <c r="AQ49" s="868"/>
      <c r="AR49" s="868" t="e">
        <v>#VALUE!</v>
      </c>
      <c r="AS49" s="490">
        <v>12</v>
      </c>
      <c r="AT49" s="271" t="str">
        <v>Pengendalian  Anggaran</v>
      </c>
      <c r="AU49" s="496"/>
      <c r="AV49" s="497"/>
      <c r="AW49" s="501"/>
      <c r="AX49" s="499">
        <v>6</v>
      </c>
      <c r="AY49" s="489"/>
      <c r="AZ49" s="489"/>
      <c r="BA49" s="504"/>
      <c r="BB49" s="504"/>
      <c r="BC49" s="504"/>
      <c r="BD49" s="504"/>
      <c r="BE49" s="504"/>
      <c r="BF49" s="504"/>
      <c r="BG49" s="504"/>
      <c r="BH49" s="504"/>
      <c r="BI49" s="504"/>
      <c r="BJ49" s="504"/>
      <c r="BK49" s="504"/>
      <c r="BL49" s="505"/>
      <c r="BO49" s="490">
        <v>12</v>
      </c>
      <c r="BP49" s="271" t="str">
        <v>Pengendalian  Anggaran</v>
      </c>
      <c r="BQ49" s="496"/>
      <c r="BR49" s="497"/>
      <c r="BS49" s="501"/>
      <c r="BT49" s="499">
        <v>6</v>
      </c>
      <c r="BU49" s="489"/>
      <c r="BV49" s="489"/>
      <c r="BW49" s="504"/>
      <c r="BX49" s="504"/>
      <c r="BY49" s="504"/>
      <c r="BZ49" s="504"/>
      <c r="CA49" s="504"/>
      <c r="CB49" s="504"/>
      <c r="CC49" s="504"/>
      <c r="CD49" s="504"/>
      <c r="CE49" s="504"/>
      <c r="CF49" s="504"/>
      <c r="CG49" s="504"/>
      <c r="CH49" s="505"/>
    </row>
    <row r="50" spans="1:86" s="198" customFormat="1" ht="16.5">
      <c r="A50" s="51"/>
      <c r="B50" s="332" t="s">
        <v>333</v>
      </c>
      <c r="C50" s="327" t="s">
        <v>395</v>
      </c>
      <c r="D50" s="293" t="s">
        <v>149</v>
      </c>
      <c r="E50" s="297"/>
      <c r="F50" s="297"/>
      <c r="G50" s="257" t="str">
        <f t="shared" si="34"/>
        <v>95-100</v>
      </c>
      <c r="H50" s="257" t="str">
        <f t="shared" si="35"/>
        <v>95-100</v>
      </c>
      <c r="I50" s="257" t="str">
        <f>PI!D331</f>
        <v>95-100</v>
      </c>
      <c r="J50" s="257" t="str">
        <f>PI!E331</f>
        <v>95-100</v>
      </c>
      <c r="K50" s="257" t="str">
        <f>PI!F331</f>
        <v>95-100</v>
      </c>
      <c r="L50" s="257" t="str">
        <f>PI!G331</f>
        <v>95-100</v>
      </c>
      <c r="M50" s="257" t="str">
        <f>PI!H331</f>
        <v>95-100</v>
      </c>
      <c r="N50" s="257" t="str">
        <f>PI!I331</f>
        <v>95-100</v>
      </c>
      <c r="O50" s="257" t="str">
        <f>PI!J331</f>
        <v>95-100</v>
      </c>
      <c r="P50" s="257" t="str">
        <f>PI!K331</f>
        <v>95-100</v>
      </c>
      <c r="Q50" s="257" t="str">
        <f>PI!L331</f>
        <v>95-100</v>
      </c>
      <c r="R50" s="257" t="str">
        <f>PI!M331</f>
        <v>95-100</v>
      </c>
      <c r="S50" s="257" t="str">
        <f>PI!N331</f>
        <v>95-100</v>
      </c>
      <c r="T50" s="90" t="str">
        <f>PI!O331</f>
        <v>95-100</v>
      </c>
      <c r="U50" s="197">
        <f>F50</f>
        <v>0</v>
      </c>
      <c r="W50" s="51"/>
      <c r="X50" s="332" t="s">
        <v>333</v>
      </c>
      <c r="Y50" s="327" t="s">
        <v>395</v>
      </c>
      <c r="Z50" s="293" t="s">
        <v>149</v>
      </c>
      <c r="AA50" s="297"/>
      <c r="AB50" s="297"/>
      <c r="AC50" s="257">
        <f t="shared" ref="AC50:AC52" si="37">AJ50</f>
        <v>99.43</v>
      </c>
      <c r="AD50" s="257">
        <f t="shared" ref="AD50:AD52" si="38">AP50</f>
        <v>0</v>
      </c>
      <c r="AE50" s="212">
        <f>PI!AH331</f>
        <v>100</v>
      </c>
      <c r="AF50" s="212">
        <f>PI!AI331</f>
        <v>100</v>
      </c>
      <c r="AG50" s="212">
        <f>PI!AJ331</f>
        <v>39.549999999999997</v>
      </c>
      <c r="AH50" s="212">
        <f>PI!AK331</f>
        <v>58.86</v>
      </c>
      <c r="AI50" s="212">
        <f>PI!AL331</f>
        <v>71.11</v>
      </c>
      <c r="AJ50" s="212">
        <f>PI!AM331</f>
        <v>99.43</v>
      </c>
      <c r="AK50" s="212">
        <f>PI!AN331</f>
        <v>100</v>
      </c>
      <c r="AL50" s="212">
        <f>PI!AO331</f>
        <v>93.28</v>
      </c>
      <c r="AM50" s="212">
        <f>PI!AP331</f>
        <v>96</v>
      </c>
      <c r="AN50" s="212">
        <f>PI!AQ331</f>
        <v>90.3</v>
      </c>
      <c r="AO50" s="212">
        <f>PI!AR331</f>
        <v>0</v>
      </c>
      <c r="AP50" s="213">
        <f>PI!AS331</f>
        <v>0</v>
      </c>
      <c r="AQ50" s="868"/>
      <c r="AR50" s="868">
        <v>2</v>
      </c>
      <c r="AS50" s="51"/>
      <c r="AT50" s="332" t="str">
        <v>Pengendalian Penggunaan Anggaran Investasi sesuai RKAP</v>
      </c>
      <c r="AU50" s="327" t="s">
        <v>395</v>
      </c>
      <c r="AV50" s="293" t="s">
        <v>149</v>
      </c>
      <c r="AW50" s="297"/>
      <c r="AX50" s="297"/>
      <c r="AY50" s="257">
        <f t="shared" ref="AY50:AY52" si="39">BF50</f>
        <v>108.86000000000003</v>
      </c>
      <c r="AZ50" s="257">
        <f t="shared" ref="AZ50:AZ52" si="40">BL50</f>
        <v>0</v>
      </c>
      <c r="BA50" s="502">
        <f>MAX(0,_xlfn.IFS(AE50&lt;95,AE50/95,
AND(AE50&gt;=95,AE50&lt;=100),1+((AE50-95)/(100-95))*0.1,AE50&gt;
100,1-(AE50-100)/(190-100)))*100</f>
        <v>110.00000000000001</v>
      </c>
      <c r="BB50" s="502">
        <f t="shared" ref="BB50:BL50" si="41">MAX(0,_xlfn.IFS(AF50&lt;95,AF50/95,
AND(AF50&gt;=95,AF50&lt;=100),1+((AF50-95)/(100-95))*0.1,AF50&gt;
100,1-(AF50-100)/(190-100)))*100</f>
        <v>110.00000000000001</v>
      </c>
      <c r="BC50" s="502">
        <f t="shared" si="41"/>
        <v>41.631578947368418</v>
      </c>
      <c r="BD50" s="502">
        <f t="shared" si="41"/>
        <v>61.9578947368421</v>
      </c>
      <c r="BE50" s="502">
        <f t="shared" si="41"/>
        <v>74.852631578947367</v>
      </c>
      <c r="BF50" s="502">
        <f t="shared" si="41"/>
        <v>108.86000000000003</v>
      </c>
      <c r="BG50" s="502">
        <f t="shared" si="41"/>
        <v>110.00000000000001</v>
      </c>
      <c r="BH50" s="502">
        <f t="shared" si="41"/>
        <v>98.189473684210526</v>
      </c>
      <c r="BI50" s="502">
        <f t="shared" si="41"/>
        <v>102</v>
      </c>
      <c r="BJ50" s="502">
        <f t="shared" si="41"/>
        <v>95.05263157894737</v>
      </c>
      <c r="BK50" s="502">
        <f t="shared" si="41"/>
        <v>0</v>
      </c>
      <c r="BL50" s="503">
        <f t="shared" si="41"/>
        <v>0</v>
      </c>
      <c r="BO50" s="51"/>
      <c r="BP50" s="332" t="str">
        <v>Pengendalian Penggunaan Anggaran Investasi sesuai RKAP</v>
      </c>
      <c r="BQ50" s="327" t="s">
        <v>395</v>
      </c>
      <c r="BR50" s="293" t="s">
        <v>149</v>
      </c>
      <c r="BS50" s="297"/>
      <c r="BT50" s="297">
        <v>2</v>
      </c>
      <c r="BU50" s="257">
        <f t="shared" ref="BU50:BU52" si="42">CB50</f>
        <v>2.17</v>
      </c>
      <c r="BV50" s="257">
        <f t="shared" ref="BV50:BV52" si="43">CH50</f>
        <v>0</v>
      </c>
      <c r="BW50" s="502" cm="1">
        <f t="array" ref="BW50:CH50">ROUNDDOWN(BT50*BA50:BL50/100,2)</f>
        <v>2.2000000000000002</v>
      </c>
      <c r="BX50" s="502">
        <v>2.2000000000000002</v>
      </c>
      <c r="BY50" s="502">
        <v>0.83</v>
      </c>
      <c r="BZ50" s="502">
        <v>1.23</v>
      </c>
      <c r="CA50" s="502">
        <v>1.49</v>
      </c>
      <c r="CB50" s="502">
        <v>2.17</v>
      </c>
      <c r="CC50" s="502">
        <v>2.2000000000000002</v>
      </c>
      <c r="CD50" s="502">
        <v>1.96</v>
      </c>
      <c r="CE50" s="502">
        <v>2.04</v>
      </c>
      <c r="CF50" s="502">
        <v>1.9</v>
      </c>
      <c r="CG50" s="502">
        <v>0</v>
      </c>
      <c r="CH50" s="503">
        <v>0</v>
      </c>
    </row>
    <row r="51" spans="1:86" s="198" customFormat="1" ht="16.5">
      <c r="A51" s="51"/>
      <c r="B51" s="333" t="s">
        <v>334</v>
      </c>
      <c r="C51" s="330" t="s">
        <v>276</v>
      </c>
      <c r="D51" s="273" t="s">
        <v>335</v>
      </c>
      <c r="E51" s="292" t="s">
        <v>346</v>
      </c>
      <c r="F51" s="61"/>
      <c r="G51" s="274">
        <f t="shared" si="34"/>
        <v>0</v>
      </c>
      <c r="H51" s="274">
        <f t="shared" si="35"/>
        <v>3.16</v>
      </c>
      <c r="I51" s="274">
        <f>PI!D332</f>
        <v>0</v>
      </c>
      <c r="J51" s="274">
        <f>PI!E332</f>
        <v>0</v>
      </c>
      <c r="K51" s="274">
        <f>PI!F332</f>
        <v>0</v>
      </c>
      <c r="L51" s="274">
        <f>PI!G332</f>
        <v>0</v>
      </c>
      <c r="M51" s="274">
        <f>PI!H332</f>
        <v>0</v>
      </c>
      <c r="N51" s="274">
        <f>PI!I332</f>
        <v>0</v>
      </c>
      <c r="O51" s="274">
        <f>PI!J332</f>
        <v>0</v>
      </c>
      <c r="P51" s="274">
        <f>PI!K332</f>
        <v>0</v>
      </c>
      <c r="Q51" s="274">
        <f>PI!L332</f>
        <v>0</v>
      </c>
      <c r="R51" s="274">
        <f>PI!M332</f>
        <v>0</v>
      </c>
      <c r="S51" s="274">
        <f>PI!N332</f>
        <v>0</v>
      </c>
      <c r="T51" s="91">
        <f>PI!O332</f>
        <v>3.16</v>
      </c>
      <c r="U51" s="197">
        <f>F51</f>
        <v>0</v>
      </c>
      <c r="W51" s="51"/>
      <c r="X51" s="333" t="s">
        <v>334</v>
      </c>
      <c r="Y51" s="330" t="s">
        <v>276</v>
      </c>
      <c r="Z51" s="273" t="s">
        <v>335</v>
      </c>
      <c r="AA51" s="292" t="s">
        <v>346</v>
      </c>
      <c r="AB51" s="61"/>
      <c r="AC51" s="274">
        <f t="shared" si="37"/>
        <v>0</v>
      </c>
      <c r="AD51" s="274">
        <f t="shared" si="38"/>
        <v>0</v>
      </c>
      <c r="AE51" s="212">
        <f>PI!AH332</f>
        <v>0</v>
      </c>
      <c r="AF51" s="212">
        <f>PI!AI332</f>
        <v>0</v>
      </c>
      <c r="AG51" s="212">
        <f>PI!AJ332</f>
        <v>0</v>
      </c>
      <c r="AH51" s="212">
        <f>PI!AK332</f>
        <v>0</v>
      </c>
      <c r="AI51" s="212">
        <f>PI!AL332</f>
        <v>0</v>
      </c>
      <c r="AJ51" s="212">
        <f>PI!AM332</f>
        <v>0</v>
      </c>
      <c r="AK51" s="212">
        <f>PI!AN332</f>
        <v>0</v>
      </c>
      <c r="AL51" s="212">
        <f>PI!AO332</f>
        <v>0</v>
      </c>
      <c r="AM51" s="212">
        <f>PI!AP332</f>
        <v>0</v>
      </c>
      <c r="AN51" s="212">
        <f>PI!AQ332</f>
        <v>0</v>
      </c>
      <c r="AO51" s="212">
        <f>PI!AR332</f>
        <v>0</v>
      </c>
      <c r="AP51" s="213">
        <f>PI!AS332</f>
        <v>0</v>
      </c>
      <c r="AQ51" s="868"/>
      <c r="AR51" s="868">
        <v>2</v>
      </c>
      <c r="AS51" s="51"/>
      <c r="AT51" s="333" t="str">
        <v>Usulan Penghapusan ATTB</v>
      </c>
      <c r="AU51" s="330" t="s">
        <v>276</v>
      </c>
      <c r="AV51" s="273" t="s">
        <v>335</v>
      </c>
      <c r="AW51" s="292" t="s">
        <v>346</v>
      </c>
      <c r="AX51" s="61"/>
      <c r="AY51" s="274">
        <f t="shared" si="39"/>
        <v>100</v>
      </c>
      <c r="AZ51" s="274">
        <f t="shared" si="40"/>
        <v>0</v>
      </c>
      <c r="BA51" s="502">
        <f>IFERROR(IF(AE51/I51*100&gt;110,110,AE51/I51*100),100)</f>
        <v>100</v>
      </c>
      <c r="BB51" s="502">
        <f t="shared" ref="BB51:BL51" si="44">IFERROR(IF(AF51/J51*100&gt;110,110,AF51/J51*100),100)</f>
        <v>100</v>
      </c>
      <c r="BC51" s="502">
        <f t="shared" si="44"/>
        <v>100</v>
      </c>
      <c r="BD51" s="502">
        <f t="shared" si="44"/>
        <v>100</v>
      </c>
      <c r="BE51" s="502">
        <f t="shared" si="44"/>
        <v>100</v>
      </c>
      <c r="BF51" s="502">
        <f t="shared" si="44"/>
        <v>100</v>
      </c>
      <c r="BG51" s="502">
        <f t="shared" si="44"/>
        <v>100</v>
      </c>
      <c r="BH51" s="502">
        <f t="shared" si="44"/>
        <v>100</v>
      </c>
      <c r="BI51" s="502">
        <f t="shared" si="44"/>
        <v>100</v>
      </c>
      <c r="BJ51" s="502">
        <f t="shared" si="44"/>
        <v>100</v>
      </c>
      <c r="BK51" s="502">
        <f t="shared" si="44"/>
        <v>100</v>
      </c>
      <c r="BL51" s="503">
        <f t="shared" si="44"/>
        <v>0</v>
      </c>
      <c r="BO51" s="51"/>
      <c r="BP51" s="333" t="str">
        <v>Usulan Penghapusan ATTB</v>
      </c>
      <c r="BQ51" s="330" t="s">
        <v>276</v>
      </c>
      <c r="BR51" s="273" t="s">
        <v>335</v>
      </c>
      <c r="BS51" s="292" t="s">
        <v>346</v>
      </c>
      <c r="BT51" s="297">
        <v>2</v>
      </c>
      <c r="BU51" s="274">
        <f t="shared" si="42"/>
        <v>2</v>
      </c>
      <c r="BV51" s="274">
        <f t="shared" si="43"/>
        <v>0</v>
      </c>
      <c r="BW51" s="502" cm="1">
        <f t="array" ref="BW51:CH51">ROUNDDOWN(BT51*BA51:BL51/100,2)</f>
        <v>2</v>
      </c>
      <c r="BX51" s="502">
        <v>2</v>
      </c>
      <c r="BY51" s="502">
        <v>2</v>
      </c>
      <c r="BZ51" s="502">
        <v>2</v>
      </c>
      <c r="CA51" s="502">
        <v>2</v>
      </c>
      <c r="CB51" s="502">
        <v>2</v>
      </c>
      <c r="CC51" s="502">
        <v>2</v>
      </c>
      <c r="CD51" s="502">
        <v>2</v>
      </c>
      <c r="CE51" s="502">
        <v>2</v>
      </c>
      <c r="CF51" s="502">
        <v>2</v>
      </c>
      <c r="CG51" s="502">
        <v>2</v>
      </c>
      <c r="CH51" s="503">
        <v>0</v>
      </c>
    </row>
    <row r="52" spans="1:86" s="198" customFormat="1" ht="16.5">
      <c r="A52" s="51"/>
      <c r="B52" s="334" t="s">
        <v>336</v>
      </c>
      <c r="C52" s="301" t="s">
        <v>276</v>
      </c>
      <c r="D52" s="293" t="s">
        <v>335</v>
      </c>
      <c r="E52" s="294" t="s">
        <v>351</v>
      </c>
      <c r="F52" s="295"/>
      <c r="G52" s="257">
        <f t="shared" si="34"/>
        <v>0</v>
      </c>
      <c r="H52" s="257">
        <f t="shared" si="35"/>
        <v>34.29</v>
      </c>
      <c r="I52" s="257">
        <f>PI!D333</f>
        <v>0</v>
      </c>
      <c r="J52" s="257">
        <f>PI!E333</f>
        <v>0</v>
      </c>
      <c r="K52" s="257">
        <f>PI!F333</f>
        <v>0</v>
      </c>
      <c r="L52" s="257">
        <f>PI!G333</f>
        <v>0</v>
      </c>
      <c r="M52" s="257">
        <f>PI!H333</f>
        <v>0</v>
      </c>
      <c r="N52" s="257">
        <f>PI!I333</f>
        <v>0</v>
      </c>
      <c r="O52" s="257">
        <f>PI!J333</f>
        <v>0</v>
      </c>
      <c r="P52" s="257">
        <f>PI!K333</f>
        <v>0</v>
      </c>
      <c r="Q52" s="257">
        <f>PI!L333</f>
        <v>0</v>
      </c>
      <c r="R52" s="257">
        <f>PI!M333</f>
        <v>0</v>
      </c>
      <c r="S52" s="257">
        <f>PI!N333</f>
        <v>0</v>
      </c>
      <c r="T52" s="90">
        <f>PI!O333</f>
        <v>34.29</v>
      </c>
      <c r="U52" s="197"/>
      <c r="W52" s="51"/>
      <c r="X52" s="334" t="s">
        <v>336</v>
      </c>
      <c r="Y52" s="301" t="s">
        <v>276</v>
      </c>
      <c r="Z52" s="293" t="s">
        <v>335</v>
      </c>
      <c r="AA52" s="294" t="s">
        <v>351</v>
      </c>
      <c r="AB52" s="295"/>
      <c r="AC52" s="257">
        <f t="shared" si="37"/>
        <v>0</v>
      </c>
      <c r="AD52" s="257">
        <f t="shared" si="38"/>
        <v>0</v>
      </c>
      <c r="AE52" s="212">
        <f>PI!AH333</f>
        <v>0</v>
      </c>
      <c r="AF52" s="212">
        <f>PI!AI333</f>
        <v>0</v>
      </c>
      <c r="AG52" s="212">
        <f>PI!AJ333</f>
        <v>0</v>
      </c>
      <c r="AH52" s="212">
        <f>PI!AK333</f>
        <v>0</v>
      </c>
      <c r="AI52" s="212">
        <f>PI!AL333</f>
        <v>0</v>
      </c>
      <c r="AJ52" s="212">
        <f>PI!AM333</f>
        <v>0</v>
      </c>
      <c r="AK52" s="212">
        <f>PI!AN333</f>
        <v>0</v>
      </c>
      <c r="AL52" s="212">
        <f>PI!AO333</f>
        <v>0</v>
      </c>
      <c r="AM52" s="212">
        <f>PI!AP333</f>
        <v>0</v>
      </c>
      <c r="AN52" s="212">
        <f>PI!AQ333</f>
        <v>0</v>
      </c>
      <c r="AO52" s="212">
        <f>PI!AR333</f>
        <v>0</v>
      </c>
      <c r="AP52" s="213">
        <f>PI!AS333</f>
        <v>0</v>
      </c>
      <c r="AQ52" s="868"/>
      <c r="AR52" s="868">
        <v>2</v>
      </c>
      <c r="AS52" s="51"/>
      <c r="AT52" s="334" t="str">
        <v>Usulan Penghapusan PRR</v>
      </c>
      <c r="AU52" s="301" t="s">
        <v>276</v>
      </c>
      <c r="AV52" s="293" t="s">
        <v>335</v>
      </c>
      <c r="AW52" s="294" t="s">
        <v>351</v>
      </c>
      <c r="AX52" s="295"/>
      <c r="AY52" s="257">
        <f t="shared" si="39"/>
        <v>110</v>
      </c>
      <c r="AZ52" s="257">
        <f t="shared" si="40"/>
        <v>0</v>
      </c>
      <c r="BA52" s="502">
        <f>IFERROR(IF(AE52/I52*100&gt;110,110,AE52/I52*100),110)</f>
        <v>110</v>
      </c>
      <c r="BB52" s="502">
        <f t="shared" ref="BB52:BL52" si="45">IFERROR(IF(AF52/J52*100&gt;110,110,AF52/J52*100),110)</f>
        <v>110</v>
      </c>
      <c r="BC52" s="502">
        <f t="shared" si="45"/>
        <v>110</v>
      </c>
      <c r="BD52" s="502">
        <f t="shared" si="45"/>
        <v>110</v>
      </c>
      <c r="BE52" s="502">
        <f t="shared" si="45"/>
        <v>110</v>
      </c>
      <c r="BF52" s="502">
        <f t="shared" si="45"/>
        <v>110</v>
      </c>
      <c r="BG52" s="502">
        <f t="shared" si="45"/>
        <v>110</v>
      </c>
      <c r="BH52" s="502">
        <f t="shared" si="45"/>
        <v>110</v>
      </c>
      <c r="BI52" s="502">
        <f t="shared" si="45"/>
        <v>110</v>
      </c>
      <c r="BJ52" s="502">
        <f t="shared" si="45"/>
        <v>110</v>
      </c>
      <c r="BK52" s="502">
        <f t="shared" si="45"/>
        <v>110</v>
      </c>
      <c r="BL52" s="502">
        <f t="shared" si="45"/>
        <v>0</v>
      </c>
      <c r="BO52" s="51"/>
      <c r="BP52" s="334" t="str">
        <v>Usulan Penghapusan PRR</v>
      </c>
      <c r="BQ52" s="301" t="s">
        <v>276</v>
      </c>
      <c r="BR52" s="293" t="s">
        <v>335</v>
      </c>
      <c r="BS52" s="294" t="s">
        <v>351</v>
      </c>
      <c r="BT52" s="297">
        <v>2</v>
      </c>
      <c r="BU52" s="257">
        <f t="shared" si="42"/>
        <v>2.2000000000000002</v>
      </c>
      <c r="BV52" s="257">
        <f t="shared" si="43"/>
        <v>0</v>
      </c>
      <c r="BW52" s="502" cm="1">
        <f t="array" ref="BW52:CH52">ROUNDDOWN(BT52*BA52:BL52/100,2)</f>
        <v>2.2000000000000002</v>
      </c>
      <c r="BX52" s="502">
        <v>2.2000000000000002</v>
      </c>
      <c r="BY52" s="502">
        <v>2.2000000000000002</v>
      </c>
      <c r="BZ52" s="502">
        <v>2.2000000000000002</v>
      </c>
      <c r="CA52" s="502">
        <v>2.2000000000000002</v>
      </c>
      <c r="CB52" s="502">
        <v>2.2000000000000002</v>
      </c>
      <c r="CC52" s="502">
        <v>2.2000000000000002</v>
      </c>
      <c r="CD52" s="502">
        <v>2.2000000000000002</v>
      </c>
      <c r="CE52" s="502">
        <v>2.2000000000000002</v>
      </c>
      <c r="CF52" s="502">
        <v>2.2000000000000002</v>
      </c>
      <c r="CG52" s="502">
        <v>2.2000000000000002</v>
      </c>
      <c r="CH52" s="503">
        <v>0</v>
      </c>
    </row>
    <row r="53" spans="1:86" s="198" customFormat="1" ht="16.5">
      <c r="A53" s="51">
        <v>13</v>
      </c>
      <c r="B53" s="298" t="s">
        <v>337</v>
      </c>
      <c r="C53" s="301"/>
      <c r="D53" s="293"/>
      <c r="E53" s="294"/>
      <c r="F53" s="295">
        <v>5</v>
      </c>
      <c r="G53" s="257"/>
      <c r="H53" s="257"/>
      <c r="I53" s="257"/>
      <c r="J53" s="257"/>
      <c r="K53" s="257"/>
      <c r="L53" s="257"/>
      <c r="M53" s="257"/>
      <c r="N53" s="257"/>
      <c r="O53" s="257"/>
      <c r="P53" s="257"/>
      <c r="Q53" s="257"/>
      <c r="R53" s="257"/>
      <c r="S53" s="257"/>
      <c r="T53" s="90"/>
      <c r="U53" s="197"/>
      <c r="W53" s="51">
        <v>13</v>
      </c>
      <c r="X53" s="298" t="s">
        <v>337</v>
      </c>
      <c r="Y53" s="301"/>
      <c r="Z53" s="293"/>
      <c r="AA53" s="294"/>
      <c r="AB53" s="295">
        <v>5</v>
      </c>
      <c r="AC53" s="257"/>
      <c r="AD53" s="257"/>
      <c r="AE53" s="212"/>
      <c r="AF53" s="212"/>
      <c r="AG53" s="212"/>
      <c r="AH53" s="212"/>
      <c r="AI53" s="212"/>
      <c r="AJ53" s="212"/>
      <c r="AK53" s="212"/>
      <c r="AL53" s="212"/>
      <c r="AM53" s="212"/>
      <c r="AN53" s="212"/>
      <c r="AO53" s="212"/>
      <c r="AP53" s="213"/>
      <c r="AQ53" s="868"/>
      <c r="AR53" s="868" t="e">
        <v>#VALUE!</v>
      </c>
      <c r="AS53" s="490">
        <v>13</v>
      </c>
      <c r="AT53" s="298" t="str">
        <v>Manajemen SDM, Komunikasi, dan TJSL</v>
      </c>
      <c r="AU53" s="331"/>
      <c r="AV53" s="497"/>
      <c r="AW53" s="498"/>
      <c r="AX53" s="499">
        <v>5</v>
      </c>
      <c r="AY53" s="489"/>
      <c r="AZ53" s="489"/>
      <c r="BA53" s="504"/>
      <c r="BB53" s="504"/>
      <c r="BC53" s="504"/>
      <c r="BD53" s="504"/>
      <c r="BE53" s="504"/>
      <c r="BF53" s="504"/>
      <c r="BG53" s="504"/>
      <c r="BH53" s="504"/>
      <c r="BI53" s="504"/>
      <c r="BJ53" s="504"/>
      <c r="BK53" s="504"/>
      <c r="BL53" s="505"/>
      <c r="BO53" s="490">
        <v>13</v>
      </c>
      <c r="BP53" s="298" t="str">
        <v>Manajemen SDM, Komunikasi, dan TJSL</v>
      </c>
      <c r="BQ53" s="331"/>
      <c r="BR53" s="497"/>
      <c r="BS53" s="498"/>
      <c r="BT53" s="499">
        <f>SUM(BT54:BT57)</f>
        <v>5</v>
      </c>
      <c r="BU53" s="489"/>
      <c r="BV53" s="489"/>
      <c r="BW53" s="504"/>
      <c r="BX53" s="504"/>
      <c r="BY53" s="504"/>
      <c r="BZ53" s="504"/>
      <c r="CA53" s="504"/>
      <c r="CB53" s="504"/>
      <c r="CC53" s="504"/>
      <c r="CD53" s="504"/>
      <c r="CE53" s="504"/>
      <c r="CF53" s="504"/>
      <c r="CG53" s="504"/>
      <c r="CH53" s="505"/>
    </row>
    <row r="54" spans="1:86" s="198" customFormat="1" ht="16.5">
      <c r="A54" s="51"/>
      <c r="B54" s="275" t="s">
        <v>338</v>
      </c>
      <c r="C54" s="301" t="s">
        <v>276</v>
      </c>
      <c r="D54" s="293" t="s">
        <v>149</v>
      </c>
      <c r="E54" s="294" t="s">
        <v>353</v>
      </c>
      <c r="F54" s="295"/>
      <c r="G54" s="257">
        <f t="shared" si="34"/>
        <v>100</v>
      </c>
      <c r="H54" s="257">
        <f t="shared" si="35"/>
        <v>100</v>
      </c>
      <c r="I54" s="257">
        <f>PI!D341</f>
        <v>0</v>
      </c>
      <c r="J54" s="257">
        <f>PI!E341</f>
        <v>0</v>
      </c>
      <c r="K54" s="257">
        <f>PI!F341</f>
        <v>0</v>
      </c>
      <c r="L54" s="257">
        <f>PI!G341</f>
        <v>0</v>
      </c>
      <c r="M54" s="257">
        <f>PI!H341</f>
        <v>0</v>
      </c>
      <c r="N54" s="257">
        <f>PI!I341</f>
        <v>100</v>
      </c>
      <c r="O54" s="257">
        <f>PI!J341</f>
        <v>100</v>
      </c>
      <c r="P54" s="257">
        <f>PI!K341</f>
        <v>100</v>
      </c>
      <c r="Q54" s="257">
        <f>PI!L341</f>
        <v>100</v>
      </c>
      <c r="R54" s="257">
        <f>PI!M341</f>
        <v>100</v>
      </c>
      <c r="S54" s="257">
        <f>PI!N341</f>
        <v>100</v>
      </c>
      <c r="T54" s="90">
        <f>PI!O341</f>
        <v>100</v>
      </c>
      <c r="U54" s="197"/>
      <c r="W54" s="51"/>
      <c r="X54" s="275" t="s">
        <v>338</v>
      </c>
      <c r="Y54" s="301" t="s">
        <v>276</v>
      </c>
      <c r="Z54" s="293" t="s">
        <v>149</v>
      </c>
      <c r="AA54" s="294" t="s">
        <v>353</v>
      </c>
      <c r="AB54" s="295"/>
      <c r="AC54" s="257">
        <f t="shared" ref="AC54:AC56" si="46">AJ54</f>
        <v>108.55</v>
      </c>
      <c r="AD54" s="257">
        <f t="shared" ref="AD54:AD56" si="47">AP54</f>
        <v>100</v>
      </c>
      <c r="AE54" s="212">
        <f>PI!AH341</f>
        <v>100</v>
      </c>
      <c r="AF54" s="212">
        <f>PI!AI341</f>
        <v>100</v>
      </c>
      <c r="AG54" s="212">
        <f>PI!AJ341</f>
        <v>100</v>
      </c>
      <c r="AH54" s="212">
        <f>PI!AK341</f>
        <v>100</v>
      </c>
      <c r="AI54" s="212">
        <f>PI!AL341</f>
        <v>100</v>
      </c>
      <c r="AJ54" s="212">
        <f>PI!AM341</f>
        <v>108.55</v>
      </c>
      <c r="AK54" s="212">
        <f>PI!AN341</f>
        <v>108.55</v>
      </c>
      <c r="AL54" s="212">
        <f>PI!AO341</f>
        <v>108.55</v>
      </c>
      <c r="AM54" s="212">
        <f>PI!AP341</f>
        <v>100</v>
      </c>
      <c r="AN54" s="212">
        <f>PI!AQ341</f>
        <v>100</v>
      </c>
      <c r="AO54" s="212">
        <f>PI!AR341</f>
        <v>100</v>
      </c>
      <c r="AP54" s="213">
        <f>PI!AS341</f>
        <v>100</v>
      </c>
      <c r="AQ54" s="868"/>
      <c r="AR54" s="868">
        <v>2</v>
      </c>
      <c r="AS54" s="51"/>
      <c r="AT54" s="275" t="str">
        <v>HCR, OCR, dan Produktivitas Pegawai</v>
      </c>
      <c r="AU54" s="301" t="s">
        <v>276</v>
      </c>
      <c r="AV54" s="293" t="s">
        <v>149</v>
      </c>
      <c r="AW54" s="294" t="s">
        <v>353</v>
      </c>
      <c r="AX54" s="295"/>
      <c r="AY54" s="257">
        <f t="shared" ref="AY54:AY56" si="48">BF54</f>
        <v>108.55</v>
      </c>
      <c r="AZ54" s="257">
        <f t="shared" ref="AZ54:AZ56" si="49">BL54</f>
        <v>100</v>
      </c>
      <c r="BA54" s="502">
        <f>IFERROR(IF(AE54/I54*100&gt;110,110,AE54/I54*100),100)</f>
        <v>100</v>
      </c>
      <c r="BB54" s="502">
        <f t="shared" ref="BB54:BL57" si="50">IFERROR(IF(AF54/J54*100&gt;110,110,AF54/J54*100),100)</f>
        <v>100</v>
      </c>
      <c r="BC54" s="502">
        <f t="shared" si="50"/>
        <v>100</v>
      </c>
      <c r="BD54" s="502">
        <f t="shared" si="50"/>
        <v>100</v>
      </c>
      <c r="BE54" s="502">
        <f t="shared" si="50"/>
        <v>100</v>
      </c>
      <c r="BF54" s="502">
        <f t="shared" si="50"/>
        <v>108.55</v>
      </c>
      <c r="BG54" s="502">
        <f t="shared" si="50"/>
        <v>108.55</v>
      </c>
      <c r="BH54" s="502">
        <f t="shared" si="50"/>
        <v>108.55</v>
      </c>
      <c r="BI54" s="502">
        <f t="shared" si="50"/>
        <v>100</v>
      </c>
      <c r="BJ54" s="502">
        <f t="shared" si="50"/>
        <v>100</v>
      </c>
      <c r="BK54" s="502">
        <f t="shared" si="50"/>
        <v>100</v>
      </c>
      <c r="BL54" s="503">
        <f t="shared" si="50"/>
        <v>100</v>
      </c>
      <c r="BO54" s="51"/>
      <c r="BP54" s="275" t="str">
        <v>HCR, OCR, dan Produktivitas Pegawai</v>
      </c>
      <c r="BQ54" s="301" t="s">
        <v>276</v>
      </c>
      <c r="BR54" s="293" t="s">
        <v>149</v>
      </c>
      <c r="BS54" s="294" t="s">
        <v>353</v>
      </c>
      <c r="BT54" s="295">
        <v>2</v>
      </c>
      <c r="BU54" s="257">
        <f t="shared" ref="BU54:BU56" si="51">CB54</f>
        <v>2.17</v>
      </c>
      <c r="BV54" s="257">
        <f t="shared" ref="BV54:BV56" si="52">CH54</f>
        <v>2</v>
      </c>
      <c r="BW54" s="502" cm="1">
        <f t="array" ref="BW54:CH54">ROUNDDOWN(BT54*BA54:BL54/100,2)</f>
        <v>2</v>
      </c>
      <c r="BX54" s="502">
        <v>2</v>
      </c>
      <c r="BY54" s="502">
        <v>2</v>
      </c>
      <c r="BZ54" s="502">
        <v>2</v>
      </c>
      <c r="CA54" s="502">
        <v>2</v>
      </c>
      <c r="CB54" s="502">
        <v>2.17</v>
      </c>
      <c r="CC54" s="502">
        <v>2.17</v>
      </c>
      <c r="CD54" s="502">
        <v>2.17</v>
      </c>
      <c r="CE54" s="502">
        <v>2</v>
      </c>
      <c r="CF54" s="502">
        <v>2</v>
      </c>
      <c r="CG54" s="502">
        <v>2</v>
      </c>
      <c r="CH54" s="503">
        <v>2</v>
      </c>
    </row>
    <row r="55" spans="1:86" s="198" customFormat="1" ht="16.5">
      <c r="A55" s="51"/>
      <c r="B55" s="52" t="s">
        <v>340</v>
      </c>
      <c r="C55" s="301" t="s">
        <v>276</v>
      </c>
      <c r="D55" s="293" t="s">
        <v>149</v>
      </c>
      <c r="E55" s="294"/>
      <c r="F55" s="295"/>
      <c r="G55" s="257">
        <f t="shared" si="34"/>
        <v>100</v>
      </c>
      <c r="H55" s="257">
        <f t="shared" si="35"/>
        <v>100</v>
      </c>
      <c r="I55" s="257">
        <f>PI!D346</f>
        <v>0</v>
      </c>
      <c r="J55" s="257">
        <f>PI!E346</f>
        <v>0</v>
      </c>
      <c r="K55" s="257">
        <f>PI!F346</f>
        <v>0</v>
      </c>
      <c r="L55" s="257">
        <f>PI!G346</f>
        <v>0</v>
      </c>
      <c r="M55" s="257">
        <f>PI!H346</f>
        <v>0</v>
      </c>
      <c r="N55" s="257">
        <f>PI!I346</f>
        <v>100</v>
      </c>
      <c r="O55" s="257">
        <f>PI!J346</f>
        <v>100</v>
      </c>
      <c r="P55" s="257">
        <f>PI!K346</f>
        <v>100</v>
      </c>
      <c r="Q55" s="257">
        <f>PI!L346</f>
        <v>100</v>
      </c>
      <c r="R55" s="257">
        <f>PI!M346</f>
        <v>100</v>
      </c>
      <c r="S55" s="257">
        <f>PI!N346</f>
        <v>100</v>
      </c>
      <c r="T55" s="90">
        <f>PI!O346</f>
        <v>100</v>
      </c>
      <c r="U55" s="197"/>
      <c r="W55" s="51"/>
      <c r="X55" s="52" t="s">
        <v>340</v>
      </c>
      <c r="Y55" s="301" t="s">
        <v>276</v>
      </c>
      <c r="Z55" s="293" t="s">
        <v>149</v>
      </c>
      <c r="AA55" s="294"/>
      <c r="AB55" s="295"/>
      <c r="AC55" s="257">
        <f t="shared" si="46"/>
        <v>90</v>
      </c>
      <c r="AD55" s="257">
        <f t="shared" si="47"/>
        <v>0</v>
      </c>
      <c r="AE55" s="212">
        <f>PI!AH346</f>
        <v>100</v>
      </c>
      <c r="AF55" s="212">
        <f>PI!AI346</f>
        <v>100</v>
      </c>
      <c r="AG55" s="212">
        <f>PI!AJ346</f>
        <v>100</v>
      </c>
      <c r="AH55" s="212">
        <f>PI!AK346</f>
        <v>100</v>
      </c>
      <c r="AI55" s="212">
        <f>PI!AL346</f>
        <v>100</v>
      </c>
      <c r="AJ55" s="212">
        <f>PI!AM346</f>
        <v>90</v>
      </c>
      <c r="AK55" s="212">
        <f>PI!AN346</f>
        <v>90</v>
      </c>
      <c r="AL55" s="212">
        <f>PI!AO346</f>
        <v>90</v>
      </c>
      <c r="AM55" s="212">
        <f>PI!AP346</f>
        <v>90</v>
      </c>
      <c r="AN55" s="212">
        <f>PI!AQ346</f>
        <v>90</v>
      </c>
      <c r="AO55" s="212">
        <f>PI!AR346</f>
        <v>0</v>
      </c>
      <c r="AP55" s="213">
        <f>PI!AS346</f>
        <v>0</v>
      </c>
      <c r="AQ55" s="868"/>
      <c r="AR55" s="868">
        <v>2</v>
      </c>
      <c r="AS55" s="51"/>
      <c r="AT55" s="52" t="str">
        <v>Produktivitas Unit</v>
      </c>
      <c r="AU55" s="301" t="s">
        <v>276</v>
      </c>
      <c r="AV55" s="293" t="s">
        <v>149</v>
      </c>
      <c r="AW55" s="294"/>
      <c r="AX55" s="295"/>
      <c r="AY55" s="257">
        <f t="shared" si="48"/>
        <v>90</v>
      </c>
      <c r="AZ55" s="257">
        <f t="shared" si="49"/>
        <v>0</v>
      </c>
      <c r="BA55" s="502">
        <f>IFERROR(IF(AE55/I55*100&gt;110,110,AE55/I55*100),100)</f>
        <v>100</v>
      </c>
      <c r="BB55" s="502">
        <f t="shared" si="50"/>
        <v>100</v>
      </c>
      <c r="BC55" s="502">
        <f t="shared" si="50"/>
        <v>100</v>
      </c>
      <c r="BD55" s="502">
        <f t="shared" si="50"/>
        <v>100</v>
      </c>
      <c r="BE55" s="502">
        <f t="shared" si="50"/>
        <v>100</v>
      </c>
      <c r="BF55" s="502">
        <f t="shared" si="50"/>
        <v>90</v>
      </c>
      <c r="BG55" s="502">
        <f t="shared" si="50"/>
        <v>90</v>
      </c>
      <c r="BH55" s="502">
        <f t="shared" si="50"/>
        <v>90</v>
      </c>
      <c r="BI55" s="502">
        <f t="shared" si="50"/>
        <v>90</v>
      </c>
      <c r="BJ55" s="502">
        <f t="shared" si="50"/>
        <v>90</v>
      </c>
      <c r="BK55" s="502">
        <f t="shared" si="50"/>
        <v>0</v>
      </c>
      <c r="BL55" s="503">
        <f t="shared" si="50"/>
        <v>0</v>
      </c>
      <c r="BO55" s="51"/>
      <c r="BP55" s="52" t="str">
        <v>Produktivitas Unit</v>
      </c>
      <c r="BQ55" s="301" t="s">
        <v>276</v>
      </c>
      <c r="BR55" s="293" t="s">
        <v>149</v>
      </c>
      <c r="BS55" s="294"/>
      <c r="BT55" s="295">
        <v>1</v>
      </c>
      <c r="BU55" s="257">
        <f t="shared" si="51"/>
        <v>0.9</v>
      </c>
      <c r="BV55" s="257">
        <f t="shared" si="52"/>
        <v>0</v>
      </c>
      <c r="BW55" s="502" cm="1">
        <f t="array" ref="BW55:CH55">ROUNDDOWN(BT55*BA55:BL55/100,2)</f>
        <v>1</v>
      </c>
      <c r="BX55" s="502">
        <v>1</v>
      </c>
      <c r="BY55" s="502">
        <v>1</v>
      </c>
      <c r="BZ55" s="502">
        <v>1</v>
      </c>
      <c r="CA55" s="502">
        <v>1</v>
      </c>
      <c r="CB55" s="502">
        <v>0.9</v>
      </c>
      <c r="CC55" s="502">
        <v>0.9</v>
      </c>
      <c r="CD55" s="502">
        <v>0.9</v>
      </c>
      <c r="CE55" s="502">
        <v>0.9</v>
      </c>
      <c r="CF55" s="502">
        <v>0.9</v>
      </c>
      <c r="CG55" s="502">
        <v>0</v>
      </c>
      <c r="CH55" s="503">
        <v>0</v>
      </c>
    </row>
    <row r="56" spans="1:86" s="198" customFormat="1" ht="16.5">
      <c r="A56" s="51"/>
      <c r="B56" s="52" t="s">
        <v>342</v>
      </c>
      <c r="C56" s="301" t="s">
        <v>276</v>
      </c>
      <c r="D56" s="293" t="s">
        <v>149</v>
      </c>
      <c r="E56" s="294"/>
      <c r="F56" s="295"/>
      <c r="G56" s="257">
        <f t="shared" ref="G56" si="53">N56</f>
        <v>100</v>
      </c>
      <c r="H56" s="257">
        <f t="shared" ref="H56" si="54">T56</f>
        <v>100</v>
      </c>
      <c r="I56" s="257">
        <f>PI!D353</f>
        <v>100</v>
      </c>
      <c r="J56" s="257">
        <f>PI!E353</f>
        <v>100</v>
      </c>
      <c r="K56" s="257">
        <f>PI!F353</f>
        <v>100</v>
      </c>
      <c r="L56" s="257">
        <f>PI!G353</f>
        <v>100</v>
      </c>
      <c r="M56" s="257">
        <f>PI!H353</f>
        <v>100</v>
      </c>
      <c r="N56" s="257">
        <f>PI!I353</f>
        <v>100</v>
      </c>
      <c r="O56" s="257">
        <f>PI!J353</f>
        <v>100</v>
      </c>
      <c r="P56" s="257">
        <f>PI!K353</f>
        <v>100</v>
      </c>
      <c r="Q56" s="257">
        <f>PI!L353</f>
        <v>100</v>
      </c>
      <c r="R56" s="257">
        <f>PI!M353</f>
        <v>100</v>
      </c>
      <c r="S56" s="257">
        <f>PI!N353</f>
        <v>100</v>
      </c>
      <c r="T56" s="90">
        <f>PI!O353</f>
        <v>100</v>
      </c>
      <c r="U56" s="197"/>
      <c r="W56" s="51"/>
      <c r="X56" s="52" t="s">
        <v>342</v>
      </c>
      <c r="Y56" s="301" t="s">
        <v>276</v>
      </c>
      <c r="Z56" s="293" t="s">
        <v>149</v>
      </c>
      <c r="AA56" s="294"/>
      <c r="AB56" s="295"/>
      <c r="AC56" s="257">
        <f t="shared" si="46"/>
        <v>107.83500000000001</v>
      </c>
      <c r="AD56" s="257">
        <f t="shared" si="47"/>
        <v>110</v>
      </c>
      <c r="AE56" s="212">
        <f>PI!AH353</f>
        <v>100</v>
      </c>
      <c r="AF56" s="212">
        <f>PI!AI353</f>
        <v>100</v>
      </c>
      <c r="AG56" s="212">
        <f>PI!AJ353</f>
        <v>100</v>
      </c>
      <c r="AH56" s="212">
        <f>PI!AK353</f>
        <v>100</v>
      </c>
      <c r="AI56" s="212">
        <f>PI!AL353</f>
        <v>100</v>
      </c>
      <c r="AJ56" s="212">
        <f>PI!AM353</f>
        <v>107.83500000000001</v>
      </c>
      <c r="AK56" s="212">
        <f>PI!AN353</f>
        <v>110</v>
      </c>
      <c r="AL56" s="212">
        <f>PI!AO353</f>
        <v>107.84</v>
      </c>
      <c r="AM56" s="212">
        <f>PI!AP353</f>
        <v>110</v>
      </c>
      <c r="AN56" s="212">
        <f>PI!AQ353</f>
        <v>110</v>
      </c>
      <c r="AO56" s="212">
        <f>PI!AR353</f>
        <v>110</v>
      </c>
      <c r="AP56" s="213">
        <f>PI!AS353</f>
        <v>110</v>
      </c>
      <c r="AQ56" s="868"/>
      <c r="AR56" s="868">
        <v>2</v>
      </c>
      <c r="AS56" s="51"/>
      <c r="AT56" s="52" t="str">
        <v>Pengelolaan Komunikasi dan TJSL</v>
      </c>
      <c r="AU56" s="301" t="s">
        <v>276</v>
      </c>
      <c r="AV56" s="293" t="s">
        <v>149</v>
      </c>
      <c r="AW56" s="294"/>
      <c r="AX56" s="295"/>
      <c r="AY56" s="257">
        <f t="shared" si="48"/>
        <v>107.83500000000001</v>
      </c>
      <c r="AZ56" s="257">
        <f t="shared" si="49"/>
        <v>110.00000000000001</v>
      </c>
      <c r="BA56" s="502">
        <f>IFERROR(IF(AE56/I56*100&gt;110,110,AE56/I56*100),100)</f>
        <v>100</v>
      </c>
      <c r="BB56" s="502">
        <f t="shared" si="50"/>
        <v>100</v>
      </c>
      <c r="BC56" s="502">
        <f t="shared" si="50"/>
        <v>100</v>
      </c>
      <c r="BD56" s="502">
        <f t="shared" si="50"/>
        <v>100</v>
      </c>
      <c r="BE56" s="502">
        <f t="shared" si="50"/>
        <v>100</v>
      </c>
      <c r="BF56" s="502">
        <f t="shared" si="50"/>
        <v>107.83500000000001</v>
      </c>
      <c r="BG56" s="502">
        <f t="shared" si="50"/>
        <v>110.00000000000001</v>
      </c>
      <c r="BH56" s="502">
        <f t="shared" si="50"/>
        <v>107.84</v>
      </c>
      <c r="BI56" s="502">
        <f t="shared" si="50"/>
        <v>110.00000000000001</v>
      </c>
      <c r="BJ56" s="502">
        <f t="shared" si="50"/>
        <v>110.00000000000001</v>
      </c>
      <c r="BK56" s="502">
        <f t="shared" si="50"/>
        <v>110.00000000000001</v>
      </c>
      <c r="BL56" s="503">
        <f t="shared" si="50"/>
        <v>110.00000000000001</v>
      </c>
      <c r="BO56" s="51"/>
      <c r="BP56" s="52" t="str">
        <v>Pengelolaan Komunikasi dan TJSL</v>
      </c>
      <c r="BQ56" s="301" t="s">
        <v>276</v>
      </c>
      <c r="BR56" s="293" t="s">
        <v>149</v>
      </c>
      <c r="BS56" s="294"/>
      <c r="BT56" s="295">
        <v>1</v>
      </c>
      <c r="BU56" s="257">
        <f t="shared" si="51"/>
        <v>1.07</v>
      </c>
      <c r="BV56" s="257">
        <f t="shared" si="52"/>
        <v>1.1000000000000001</v>
      </c>
      <c r="BW56" s="502" cm="1">
        <f t="array" ref="BW56:CH56">ROUNDDOWN(BT56*BA56:BL56/100,2)</f>
        <v>1</v>
      </c>
      <c r="BX56" s="502">
        <v>1</v>
      </c>
      <c r="BY56" s="502">
        <v>1</v>
      </c>
      <c r="BZ56" s="502">
        <v>1</v>
      </c>
      <c r="CA56" s="502">
        <v>1</v>
      </c>
      <c r="CB56" s="502">
        <v>1.07</v>
      </c>
      <c r="CC56" s="502">
        <v>1.1000000000000001</v>
      </c>
      <c r="CD56" s="502">
        <v>1.07</v>
      </c>
      <c r="CE56" s="502">
        <v>1.1000000000000001</v>
      </c>
      <c r="CF56" s="502">
        <v>1.1000000000000001</v>
      </c>
      <c r="CG56" s="502">
        <v>1.1000000000000001</v>
      </c>
      <c r="CH56" s="503">
        <v>1.1000000000000001</v>
      </c>
    </row>
    <row r="57" spans="1:86" s="198" customFormat="1" ht="16.5">
      <c r="A57" s="51"/>
      <c r="B57" s="275" t="s">
        <v>344</v>
      </c>
      <c r="C57" s="328" t="s">
        <v>276</v>
      </c>
      <c r="D57" s="293" t="s">
        <v>149</v>
      </c>
      <c r="E57" s="294" t="s">
        <v>361</v>
      </c>
      <c r="F57" s="295"/>
      <c r="G57" s="257">
        <f>N57</f>
        <v>100</v>
      </c>
      <c r="H57" s="257">
        <f>T57</f>
        <v>100</v>
      </c>
      <c r="I57" s="257">
        <f>PI!D353</f>
        <v>100</v>
      </c>
      <c r="J57" s="257">
        <f>PI!E353</f>
        <v>100</v>
      </c>
      <c r="K57" s="257">
        <f>PI!F353</f>
        <v>100</v>
      </c>
      <c r="L57" s="257">
        <f>PI!G353</f>
        <v>100</v>
      </c>
      <c r="M57" s="257">
        <f>PI!H353</f>
        <v>100</v>
      </c>
      <c r="N57" s="257">
        <f>PI!I353</f>
        <v>100</v>
      </c>
      <c r="O57" s="257">
        <f>PI!J353</f>
        <v>100</v>
      </c>
      <c r="P57" s="257">
        <f>PI!K353</f>
        <v>100</v>
      </c>
      <c r="Q57" s="257">
        <f>PI!L353</f>
        <v>100</v>
      </c>
      <c r="R57" s="257">
        <f>PI!M353</f>
        <v>100</v>
      </c>
      <c r="S57" s="257">
        <f>PI!N353</f>
        <v>100</v>
      </c>
      <c r="T57" s="90">
        <f>PI!O353</f>
        <v>100</v>
      </c>
      <c r="U57" s="197"/>
      <c r="W57" s="51"/>
      <c r="X57" s="275" t="s">
        <v>344</v>
      </c>
      <c r="Y57" s="328" t="s">
        <v>276</v>
      </c>
      <c r="Z57" s="293" t="s">
        <v>149</v>
      </c>
      <c r="AA57" s="294" t="s">
        <v>361</v>
      </c>
      <c r="AB57" s="295"/>
      <c r="AC57" s="257">
        <f>AJ57</f>
        <v>100</v>
      </c>
      <c r="AD57" s="257">
        <f>AP57</f>
        <v>0</v>
      </c>
      <c r="AE57" s="212">
        <f>PI!AH359</f>
        <v>100</v>
      </c>
      <c r="AF57" s="212">
        <f>PI!AI359</f>
        <v>100</v>
      </c>
      <c r="AG57" s="212">
        <f>PI!U359</f>
        <v>100</v>
      </c>
      <c r="AH57" s="212">
        <f>PI!AK359</f>
        <v>100</v>
      </c>
      <c r="AI57" s="212">
        <f>PI!AL359</f>
        <v>100</v>
      </c>
      <c r="AJ57" s="212">
        <f>PI!AM359</f>
        <v>100</v>
      </c>
      <c r="AK57" s="212">
        <f>PI!AN359</f>
        <v>100</v>
      </c>
      <c r="AL57" s="212">
        <f>PI!AO359</f>
        <v>100</v>
      </c>
      <c r="AM57" s="212">
        <f>PI!AP359</f>
        <v>100</v>
      </c>
      <c r="AN57" s="212">
        <f>PI!AQ359</f>
        <v>100</v>
      </c>
      <c r="AO57" s="212">
        <f>PI!AR359</f>
        <v>0</v>
      </c>
      <c r="AP57" s="213">
        <f>PI!AS359</f>
        <v>0</v>
      </c>
      <c r="AQ57" s="868"/>
      <c r="AR57" s="868">
        <v>2</v>
      </c>
      <c r="AS57" s="51"/>
      <c r="AT57" s="275" t="str">
        <v>Peningkatan Layanan dan Budaya K3</v>
      </c>
      <c r="AU57" s="328" t="s">
        <v>276</v>
      </c>
      <c r="AV57" s="293" t="s">
        <v>149</v>
      </c>
      <c r="AW57" s="294" t="s">
        <v>361</v>
      </c>
      <c r="AX57" s="295"/>
      <c r="AY57" s="257">
        <f>BF57</f>
        <v>100</v>
      </c>
      <c r="AZ57" s="257">
        <f>BL57</f>
        <v>0</v>
      </c>
      <c r="BA57" s="502">
        <f>IFERROR(IF(AE57/I57*100&gt;110,110,AE57/I57*100),100)</f>
        <v>100</v>
      </c>
      <c r="BB57" s="502">
        <f t="shared" si="50"/>
        <v>100</v>
      </c>
      <c r="BC57" s="502">
        <f t="shared" si="50"/>
        <v>100</v>
      </c>
      <c r="BD57" s="502">
        <f t="shared" si="50"/>
        <v>100</v>
      </c>
      <c r="BE57" s="502">
        <f t="shared" si="50"/>
        <v>100</v>
      </c>
      <c r="BF57" s="502">
        <f t="shared" si="50"/>
        <v>100</v>
      </c>
      <c r="BG57" s="502">
        <f t="shared" si="50"/>
        <v>100</v>
      </c>
      <c r="BH57" s="502">
        <f t="shared" si="50"/>
        <v>100</v>
      </c>
      <c r="BI57" s="502">
        <f t="shared" si="50"/>
        <v>100</v>
      </c>
      <c r="BJ57" s="502">
        <f t="shared" si="50"/>
        <v>100</v>
      </c>
      <c r="BK57" s="502">
        <f t="shared" si="50"/>
        <v>0</v>
      </c>
      <c r="BL57" s="503">
        <f t="shared" si="50"/>
        <v>0</v>
      </c>
      <c r="BO57" s="51"/>
      <c r="BP57" s="275" t="str">
        <v>Peningkatan Layanan dan Budaya K3</v>
      </c>
      <c r="BQ57" s="328" t="s">
        <v>276</v>
      </c>
      <c r="BR57" s="293" t="s">
        <v>149</v>
      </c>
      <c r="BS57" s="294" t="s">
        <v>361</v>
      </c>
      <c r="BT57" s="295">
        <v>1</v>
      </c>
      <c r="BU57" s="257">
        <f>CB57</f>
        <v>1</v>
      </c>
      <c r="BV57" s="257">
        <f>CH57</f>
        <v>0</v>
      </c>
      <c r="BW57" s="502" cm="1">
        <f t="array" ref="BW57:CH57">ROUNDDOWN(BT57*BA57:BL57/100,2)</f>
        <v>1</v>
      </c>
      <c r="BX57" s="502">
        <v>1</v>
      </c>
      <c r="BY57" s="502">
        <v>1</v>
      </c>
      <c r="BZ57" s="502">
        <v>1</v>
      </c>
      <c r="CA57" s="502">
        <v>1</v>
      </c>
      <c r="CB57" s="502">
        <v>1</v>
      </c>
      <c r="CC57" s="502">
        <v>1</v>
      </c>
      <c r="CD57" s="502">
        <v>1</v>
      </c>
      <c r="CE57" s="502">
        <v>1</v>
      </c>
      <c r="CF57" s="502">
        <v>1</v>
      </c>
      <c r="CG57" s="502">
        <v>0</v>
      </c>
      <c r="CH57" s="503">
        <v>0</v>
      </c>
    </row>
    <row r="58" spans="1:86" s="198" customFormat="1" ht="16.5">
      <c r="A58" s="51">
        <v>14</v>
      </c>
      <c r="B58" s="271" t="s">
        <v>345</v>
      </c>
      <c r="C58" s="301"/>
      <c r="D58" s="293"/>
      <c r="E58" s="294" t="s">
        <v>364</v>
      </c>
      <c r="F58" s="295">
        <v>4</v>
      </c>
      <c r="G58" s="257"/>
      <c r="H58" s="257"/>
      <c r="I58" s="257"/>
      <c r="J58" s="257"/>
      <c r="K58" s="257"/>
      <c r="L58" s="257"/>
      <c r="M58" s="257"/>
      <c r="N58" s="257"/>
      <c r="O58" s="257"/>
      <c r="P58" s="257"/>
      <c r="Q58" s="257"/>
      <c r="R58" s="257"/>
      <c r="S58" s="257"/>
      <c r="T58" s="90"/>
      <c r="U58" s="197"/>
      <c r="W58" s="51">
        <v>14</v>
      </c>
      <c r="X58" s="271" t="s">
        <v>345</v>
      </c>
      <c r="Y58" s="301"/>
      <c r="Z58" s="293"/>
      <c r="AA58" s="294" t="s">
        <v>364</v>
      </c>
      <c r="AB58" s="295">
        <v>4</v>
      </c>
      <c r="AC58" s="257"/>
      <c r="AD58" s="257"/>
      <c r="AE58" s="219"/>
      <c r="AF58" s="219"/>
      <c r="AG58" s="219"/>
      <c r="AH58" s="219"/>
      <c r="AI58" s="219"/>
      <c r="AJ58" s="219"/>
      <c r="AK58" s="219"/>
      <c r="AL58" s="219"/>
      <c r="AM58" s="219"/>
      <c r="AN58" s="219"/>
      <c r="AO58" s="219"/>
      <c r="AP58" s="486"/>
      <c r="AQ58" s="868"/>
      <c r="AR58" s="868" t="e">
        <v>#VALUE!</v>
      </c>
      <c r="AS58" s="490">
        <v>14</v>
      </c>
      <c r="AT58" s="271" t="str">
        <v>Perbaikan Proses Bisnis dan Keberlanjutan</v>
      </c>
      <c r="AU58" s="331"/>
      <c r="AV58" s="497"/>
      <c r="AW58" s="498" t="s">
        <v>364</v>
      </c>
      <c r="AX58" s="499">
        <v>4</v>
      </c>
      <c r="AY58" s="489"/>
      <c r="AZ58" s="489"/>
      <c r="BA58" s="504"/>
      <c r="BB58" s="504"/>
      <c r="BC58" s="504"/>
      <c r="BD58" s="504"/>
      <c r="BE58" s="504"/>
      <c r="BF58" s="504"/>
      <c r="BG58" s="504"/>
      <c r="BH58" s="504"/>
      <c r="BI58" s="504"/>
      <c r="BJ58" s="504"/>
      <c r="BK58" s="504"/>
      <c r="BL58" s="505"/>
      <c r="BO58" s="490">
        <v>14</v>
      </c>
      <c r="BP58" s="271" t="str">
        <v>Perbaikan Proses Bisnis dan Keberlanjutan</v>
      </c>
      <c r="BQ58" s="331"/>
      <c r="BR58" s="497"/>
      <c r="BS58" s="498" t="s">
        <v>364</v>
      </c>
      <c r="BT58" s="499">
        <v>4</v>
      </c>
      <c r="BU58" s="489"/>
      <c r="BV58" s="489"/>
      <c r="BW58" s="504"/>
      <c r="BX58" s="504"/>
      <c r="BY58" s="504"/>
      <c r="BZ58" s="504"/>
      <c r="CA58" s="504"/>
      <c r="CB58" s="504"/>
      <c r="CC58" s="504"/>
      <c r="CD58" s="504"/>
      <c r="CE58" s="504"/>
      <c r="CF58" s="504"/>
      <c r="CG58" s="504"/>
      <c r="CH58" s="505"/>
    </row>
    <row r="59" spans="1:86" s="198" customFormat="1" ht="16.5">
      <c r="A59" s="51"/>
      <c r="B59" s="275" t="s">
        <v>347</v>
      </c>
      <c r="C59" s="301" t="s">
        <v>276</v>
      </c>
      <c r="D59" s="293" t="s">
        <v>149</v>
      </c>
      <c r="E59" s="294"/>
      <c r="F59" s="295"/>
      <c r="G59" s="257">
        <f>N59</f>
        <v>100</v>
      </c>
      <c r="H59" s="257">
        <f>T59</f>
        <v>100</v>
      </c>
      <c r="I59" s="257">
        <f>PI!D364</f>
        <v>100</v>
      </c>
      <c r="J59" s="257">
        <f>PI!E364</f>
        <v>100</v>
      </c>
      <c r="K59" s="257">
        <f>PI!F364</f>
        <v>100</v>
      </c>
      <c r="L59" s="257">
        <f>PI!G364</f>
        <v>100</v>
      </c>
      <c r="M59" s="257">
        <f>PI!H364</f>
        <v>100</v>
      </c>
      <c r="N59" s="257">
        <f>PI!I364</f>
        <v>100</v>
      </c>
      <c r="O59" s="257">
        <f>PI!J364</f>
        <v>100</v>
      </c>
      <c r="P59" s="257">
        <f>PI!K364</f>
        <v>100</v>
      </c>
      <c r="Q59" s="257">
        <f>PI!L364</f>
        <v>100</v>
      </c>
      <c r="R59" s="257">
        <f>PI!M364</f>
        <v>100</v>
      </c>
      <c r="S59" s="257">
        <f>PI!N364</f>
        <v>100</v>
      </c>
      <c r="T59" s="90">
        <f>PI!O364</f>
        <v>100</v>
      </c>
      <c r="U59" s="197"/>
      <c r="W59" s="51"/>
      <c r="X59" s="275" t="s">
        <v>347</v>
      </c>
      <c r="Y59" s="301" t="s">
        <v>276</v>
      </c>
      <c r="Z59" s="293" t="s">
        <v>149</v>
      </c>
      <c r="AA59" s="294"/>
      <c r="AB59" s="295"/>
      <c r="AC59" s="257">
        <f>AJ59</f>
        <v>114.98</v>
      </c>
      <c r="AD59" s="257">
        <f>AP59</f>
        <v>0</v>
      </c>
      <c r="AE59" s="212">
        <f>PI!AH364</f>
        <v>100</v>
      </c>
      <c r="AF59" s="212">
        <f>PI!AI364</f>
        <v>100</v>
      </c>
      <c r="AG59" s="212">
        <f>PI!AJ364</f>
        <v>100</v>
      </c>
      <c r="AH59" s="212">
        <f>PI!AK364</f>
        <v>100</v>
      </c>
      <c r="AI59" s="212">
        <f>PI!AL364</f>
        <v>100</v>
      </c>
      <c r="AJ59" s="212">
        <f>PI!AM364</f>
        <v>114.98</v>
      </c>
      <c r="AK59" s="212">
        <f>PI!AN364</f>
        <v>114.98</v>
      </c>
      <c r="AL59" s="212">
        <f>PI!AO364</f>
        <v>100</v>
      </c>
      <c r="AM59" s="212">
        <f>PI!AP364</f>
        <v>100</v>
      </c>
      <c r="AN59" s="212">
        <f>PI!AQ364</f>
        <v>100</v>
      </c>
      <c r="AO59" s="212">
        <f>PI!AR364</f>
        <v>0</v>
      </c>
      <c r="AP59" s="213">
        <f>PI!AS364</f>
        <v>0</v>
      </c>
      <c r="AQ59" s="868"/>
      <c r="AR59" s="868">
        <v>2</v>
      </c>
      <c r="AS59" s="51"/>
      <c r="AT59" s="275" t="str">
        <v>Implementasi PLN Bisnis Ekselen</v>
      </c>
      <c r="AU59" s="301" t="s">
        <v>276</v>
      </c>
      <c r="AV59" s="293" t="s">
        <v>149</v>
      </c>
      <c r="AW59" s="294"/>
      <c r="AX59" s="295"/>
      <c r="AY59" s="257">
        <f>BF59</f>
        <v>110</v>
      </c>
      <c r="AZ59" s="257">
        <f>BL59</f>
        <v>0</v>
      </c>
      <c r="BA59" s="502">
        <f>IFERROR(IF(AE59/I59*100&gt;110,110,AE59/I59*100),100)</f>
        <v>100</v>
      </c>
      <c r="BB59" s="502">
        <f t="shared" ref="BB59:BL62" si="55">IFERROR(IF(AF59/J59*100&gt;110,110,AF59/J59*100),100)</f>
        <v>100</v>
      </c>
      <c r="BC59" s="502">
        <f t="shared" si="55"/>
        <v>100</v>
      </c>
      <c r="BD59" s="502">
        <f t="shared" si="55"/>
        <v>100</v>
      </c>
      <c r="BE59" s="502">
        <f t="shared" si="55"/>
        <v>100</v>
      </c>
      <c r="BF59" s="502">
        <f t="shared" si="55"/>
        <v>110</v>
      </c>
      <c r="BG59" s="502">
        <f t="shared" si="55"/>
        <v>110</v>
      </c>
      <c r="BH59" s="502">
        <f t="shared" si="55"/>
        <v>100</v>
      </c>
      <c r="BI59" s="502">
        <f t="shared" si="55"/>
        <v>100</v>
      </c>
      <c r="BJ59" s="502">
        <f t="shared" si="55"/>
        <v>100</v>
      </c>
      <c r="BK59" s="502">
        <f t="shared" si="55"/>
        <v>0</v>
      </c>
      <c r="BL59" s="503">
        <f t="shared" si="55"/>
        <v>0</v>
      </c>
      <c r="BO59" s="51"/>
      <c r="BP59" s="275" t="str">
        <v>Implementasi PLN Bisnis Ekselen</v>
      </c>
      <c r="BQ59" s="301" t="s">
        <v>276</v>
      </c>
      <c r="BR59" s="293" t="s">
        <v>149</v>
      </c>
      <c r="BS59" s="294"/>
      <c r="BT59" s="295">
        <v>1</v>
      </c>
      <c r="BU59" s="257">
        <f>CB59</f>
        <v>1.1000000000000001</v>
      </c>
      <c r="BV59" s="257">
        <f>CH59</f>
        <v>0</v>
      </c>
      <c r="BW59" s="502" cm="1">
        <f t="array" ref="BW59:CH59">ROUNDDOWN(BT59*BA59:BL59/100,2)</f>
        <v>1</v>
      </c>
      <c r="BX59" s="502">
        <v>1</v>
      </c>
      <c r="BY59" s="502">
        <v>1</v>
      </c>
      <c r="BZ59" s="502">
        <v>1</v>
      </c>
      <c r="CA59" s="502">
        <v>1</v>
      </c>
      <c r="CB59" s="502">
        <v>1.1000000000000001</v>
      </c>
      <c r="CC59" s="502">
        <v>1.1000000000000001</v>
      </c>
      <c r="CD59" s="502">
        <v>1</v>
      </c>
      <c r="CE59" s="502">
        <v>1</v>
      </c>
      <c r="CF59" s="502">
        <v>1</v>
      </c>
      <c r="CG59" s="502">
        <v>0</v>
      </c>
      <c r="CH59" s="503">
        <v>0</v>
      </c>
    </row>
    <row r="60" spans="1:86" s="198" customFormat="1" ht="16.5">
      <c r="A60" s="51"/>
      <c r="B60" s="275" t="s">
        <v>349</v>
      </c>
      <c r="C60" s="301" t="s">
        <v>276</v>
      </c>
      <c r="D60" s="293" t="s">
        <v>350</v>
      </c>
      <c r="E60" s="294"/>
      <c r="F60" s="295"/>
      <c r="G60" s="257">
        <f>N60</f>
        <v>3</v>
      </c>
      <c r="H60" s="257">
        <f>T60</f>
        <v>4</v>
      </c>
      <c r="I60" s="257">
        <f>PI!D365</f>
        <v>0</v>
      </c>
      <c r="J60" s="257">
        <f>PI!E365</f>
        <v>2</v>
      </c>
      <c r="K60" s="257">
        <f>PI!F365</f>
        <v>2.5</v>
      </c>
      <c r="L60" s="257">
        <f>PI!G365</f>
        <v>2.65</v>
      </c>
      <c r="M60" s="257">
        <f>PI!H365</f>
        <v>2.8</v>
      </c>
      <c r="N60" s="257">
        <f>PI!I365</f>
        <v>3</v>
      </c>
      <c r="O60" s="257">
        <f>PI!J365</f>
        <v>3.15</v>
      </c>
      <c r="P60" s="257">
        <f>PI!K365</f>
        <v>3.3</v>
      </c>
      <c r="Q60" s="257">
        <f>PI!L365</f>
        <v>3.5</v>
      </c>
      <c r="R60" s="257">
        <f>PI!M365</f>
        <v>3.65</v>
      </c>
      <c r="S60" s="257">
        <f>PI!N365</f>
        <v>3.8</v>
      </c>
      <c r="T60" s="90">
        <f>PI!O365</f>
        <v>4</v>
      </c>
      <c r="U60" s="197"/>
      <c r="W60" s="51"/>
      <c r="X60" s="275" t="s">
        <v>349</v>
      </c>
      <c r="Y60" s="301" t="s">
        <v>276</v>
      </c>
      <c r="Z60" s="293" t="s">
        <v>350</v>
      </c>
      <c r="AA60" s="294"/>
      <c r="AB60" s="295"/>
      <c r="AC60" s="257">
        <f>AJ60</f>
        <v>3.023333333333333</v>
      </c>
      <c r="AD60" s="257">
        <f>AP60</f>
        <v>0</v>
      </c>
      <c r="AE60" s="212">
        <f>PI!AH365</f>
        <v>0</v>
      </c>
      <c r="AF60" s="212">
        <f>PI!AI365</f>
        <v>1.26</v>
      </c>
      <c r="AG60" s="212">
        <f>PI!AJ365</f>
        <v>2.5049999999999994</v>
      </c>
      <c r="AH60" s="212">
        <f>PI!AK365</f>
        <v>3.01</v>
      </c>
      <c r="AI60" s="212">
        <f>PI!AL365</f>
        <v>2.92</v>
      </c>
      <c r="AJ60" s="212">
        <f>PI!AM365</f>
        <v>3.023333333333333</v>
      </c>
      <c r="AK60" s="212">
        <f>PI!AN365</f>
        <v>3.38</v>
      </c>
      <c r="AL60" s="212">
        <f>PI!AO365</f>
        <v>3.24</v>
      </c>
      <c r="AM60" s="212">
        <f>PI!AP365</f>
        <v>3.5</v>
      </c>
      <c r="AN60" s="212">
        <f>PI!AQ365</f>
        <v>3.65</v>
      </c>
      <c r="AO60" s="212">
        <f>PI!AR365</f>
        <v>0</v>
      </c>
      <c r="AP60" s="213">
        <f>PI!AS365</f>
        <v>0</v>
      </c>
      <c r="AQ60" s="868"/>
      <c r="AR60" s="868">
        <v>2</v>
      </c>
      <c r="AS60" s="51"/>
      <c r="AT60" s="275" t="str">
        <v>Maturity Level Gudang</v>
      </c>
      <c r="AU60" s="301" t="s">
        <v>276</v>
      </c>
      <c r="AV60" s="293" t="s">
        <v>350</v>
      </c>
      <c r="AW60" s="294"/>
      <c r="AX60" s="295"/>
      <c r="AY60" s="257">
        <f>BF60</f>
        <v>100.77777777777777</v>
      </c>
      <c r="AZ60" s="257">
        <f>BL60</f>
        <v>0</v>
      </c>
      <c r="BA60" s="502">
        <f>IFERROR(IF(AE60/I60*100&gt;110,110,AE60/I60*100),100)</f>
        <v>100</v>
      </c>
      <c r="BB60" s="502">
        <f t="shared" si="55"/>
        <v>63</v>
      </c>
      <c r="BC60" s="502">
        <f t="shared" si="55"/>
        <v>100.19999999999997</v>
      </c>
      <c r="BD60" s="502">
        <f t="shared" si="55"/>
        <v>110</v>
      </c>
      <c r="BE60" s="502">
        <f t="shared" si="55"/>
        <v>104.28571428571429</v>
      </c>
      <c r="BF60" s="502">
        <f t="shared" si="55"/>
        <v>100.77777777777777</v>
      </c>
      <c r="BG60" s="502">
        <f t="shared" si="55"/>
        <v>107.3015873015873</v>
      </c>
      <c r="BH60" s="502">
        <f t="shared" si="55"/>
        <v>98.181818181818187</v>
      </c>
      <c r="BI60" s="502">
        <f t="shared" si="55"/>
        <v>100</v>
      </c>
      <c r="BJ60" s="502">
        <f t="shared" si="55"/>
        <v>100</v>
      </c>
      <c r="BK60" s="502">
        <f t="shared" si="55"/>
        <v>0</v>
      </c>
      <c r="BL60" s="503">
        <f t="shared" si="55"/>
        <v>0</v>
      </c>
      <c r="BO60" s="51"/>
      <c r="BP60" s="275" t="str">
        <v>Maturity Level Gudang</v>
      </c>
      <c r="BQ60" s="301" t="s">
        <v>276</v>
      </c>
      <c r="BR60" s="293" t="s">
        <v>350</v>
      </c>
      <c r="BS60" s="294"/>
      <c r="BT60" s="295">
        <v>1</v>
      </c>
      <c r="BU60" s="257">
        <f>CB60</f>
        <v>1</v>
      </c>
      <c r="BV60" s="257">
        <f>CH60</f>
        <v>0</v>
      </c>
      <c r="BW60" s="502" cm="1">
        <f t="array" ref="BW60:CH60">ROUNDDOWN(BT60*BA60:BL60/100,2)</f>
        <v>1</v>
      </c>
      <c r="BX60" s="502">
        <v>0.63</v>
      </c>
      <c r="BY60" s="502">
        <v>1</v>
      </c>
      <c r="BZ60" s="502">
        <v>1.1000000000000001</v>
      </c>
      <c r="CA60" s="502">
        <v>1.04</v>
      </c>
      <c r="CB60" s="502">
        <v>1</v>
      </c>
      <c r="CC60" s="502">
        <v>1.07</v>
      </c>
      <c r="CD60" s="502">
        <v>0.98</v>
      </c>
      <c r="CE60" s="502">
        <v>1</v>
      </c>
      <c r="CF60" s="502">
        <v>1</v>
      </c>
      <c r="CG60" s="502">
        <v>0</v>
      </c>
      <c r="CH60" s="503">
        <v>0</v>
      </c>
    </row>
    <row r="61" spans="1:86" s="198" customFormat="1" ht="16.5">
      <c r="A61" s="51"/>
      <c r="B61" s="275" t="s">
        <v>352</v>
      </c>
      <c r="C61" s="301" t="s">
        <v>276</v>
      </c>
      <c r="D61" s="293" t="s">
        <v>149</v>
      </c>
      <c r="E61" s="294" t="s">
        <v>396</v>
      </c>
      <c r="F61" s="295"/>
      <c r="G61" s="257">
        <f>N61</f>
        <v>100</v>
      </c>
      <c r="H61" s="257">
        <f>T61</f>
        <v>100</v>
      </c>
      <c r="I61" s="257">
        <f>PI!D366</f>
        <v>100</v>
      </c>
      <c r="J61" s="257">
        <f>PI!E366</f>
        <v>100</v>
      </c>
      <c r="K61" s="257">
        <f>PI!F366</f>
        <v>100</v>
      </c>
      <c r="L61" s="257">
        <f>PI!G366</f>
        <v>100</v>
      </c>
      <c r="M61" s="257">
        <f>PI!H366</f>
        <v>100</v>
      </c>
      <c r="N61" s="257">
        <f>PI!I366</f>
        <v>100</v>
      </c>
      <c r="O61" s="257">
        <f>PI!J366</f>
        <v>100</v>
      </c>
      <c r="P61" s="257">
        <f>PI!K366</f>
        <v>100</v>
      </c>
      <c r="Q61" s="257">
        <f>PI!L366</f>
        <v>100</v>
      </c>
      <c r="R61" s="257">
        <f>PI!M366</f>
        <v>100</v>
      </c>
      <c r="S61" s="257">
        <f>PI!N366</f>
        <v>100</v>
      </c>
      <c r="T61" s="90">
        <f>PI!O366</f>
        <v>100</v>
      </c>
      <c r="U61" s="197"/>
      <c r="W61" s="51"/>
      <c r="X61" s="275" t="s">
        <v>352</v>
      </c>
      <c r="Y61" s="301" t="s">
        <v>276</v>
      </c>
      <c r="Z61" s="293" t="s">
        <v>149</v>
      </c>
      <c r="AA61" s="294" t="s">
        <v>396</v>
      </c>
      <c r="AB61" s="295"/>
      <c r="AC61" s="257">
        <f>AJ61</f>
        <v>110</v>
      </c>
      <c r="AD61" s="257">
        <f>AP61</f>
        <v>0</v>
      </c>
      <c r="AE61" s="212">
        <f>PI!AH366</f>
        <v>100</v>
      </c>
      <c r="AF61" s="212">
        <f>PI!AI366</f>
        <v>100</v>
      </c>
      <c r="AG61" s="212">
        <f>PI!AJ366</f>
        <v>100</v>
      </c>
      <c r="AH61" s="212">
        <f>PI!AK366</f>
        <v>100</v>
      </c>
      <c r="AI61" s="212">
        <f>PI!AL366</f>
        <v>100</v>
      </c>
      <c r="AJ61" s="212">
        <f>PI!AM366</f>
        <v>110</v>
      </c>
      <c r="AK61" s="212">
        <f>PI!AN366</f>
        <v>110</v>
      </c>
      <c r="AL61" s="212">
        <f>PI!AO366</f>
        <v>110</v>
      </c>
      <c r="AM61" s="212">
        <f>PI!AP366</f>
        <v>110</v>
      </c>
      <c r="AN61" s="212">
        <f>PI!AQ366</f>
        <v>110</v>
      </c>
      <c r="AO61" s="212">
        <f>PI!AR366</f>
        <v>0</v>
      </c>
      <c r="AP61" s="213">
        <f>PI!AS366</f>
        <v>0</v>
      </c>
      <c r="AQ61" s="868"/>
      <c r="AR61" s="868">
        <v>2</v>
      </c>
      <c r="AS61" s="51"/>
      <c r="AT61" s="275" t="str">
        <v>Maturity Level Sustainbility</v>
      </c>
      <c r="AU61" s="301" t="s">
        <v>276</v>
      </c>
      <c r="AV61" s="293" t="s">
        <v>149</v>
      </c>
      <c r="AW61" s="294" t="s">
        <v>396</v>
      </c>
      <c r="AX61" s="295"/>
      <c r="AY61" s="257">
        <f>BF61</f>
        <v>110.00000000000001</v>
      </c>
      <c r="AZ61" s="257">
        <f>BL61</f>
        <v>0</v>
      </c>
      <c r="BA61" s="502">
        <f>IFERROR(IF(AE61/I61*100&gt;110,110,AE61/I61*100),100)</f>
        <v>100</v>
      </c>
      <c r="BB61" s="502">
        <f t="shared" si="55"/>
        <v>100</v>
      </c>
      <c r="BC61" s="502">
        <f t="shared" si="55"/>
        <v>100</v>
      </c>
      <c r="BD61" s="502">
        <f t="shared" si="55"/>
        <v>100</v>
      </c>
      <c r="BE61" s="502">
        <f t="shared" si="55"/>
        <v>100</v>
      </c>
      <c r="BF61" s="502">
        <f t="shared" si="55"/>
        <v>110.00000000000001</v>
      </c>
      <c r="BG61" s="502">
        <f t="shared" si="55"/>
        <v>110.00000000000001</v>
      </c>
      <c r="BH61" s="502">
        <f t="shared" si="55"/>
        <v>110.00000000000001</v>
      </c>
      <c r="BI61" s="502">
        <f t="shared" si="55"/>
        <v>110.00000000000001</v>
      </c>
      <c r="BJ61" s="502">
        <f t="shared" si="55"/>
        <v>110.00000000000001</v>
      </c>
      <c r="BK61" s="502">
        <f t="shared" si="55"/>
        <v>0</v>
      </c>
      <c r="BL61" s="503">
        <f t="shared" si="55"/>
        <v>0</v>
      </c>
      <c r="BO61" s="51"/>
      <c r="BP61" s="275" t="str">
        <v>Maturity Level Sustainbility</v>
      </c>
      <c r="BQ61" s="301" t="s">
        <v>276</v>
      </c>
      <c r="BR61" s="293" t="s">
        <v>149</v>
      </c>
      <c r="BS61" s="294" t="s">
        <v>396</v>
      </c>
      <c r="BT61" s="295">
        <v>1</v>
      </c>
      <c r="BU61" s="257">
        <f>CB61</f>
        <v>1.1000000000000001</v>
      </c>
      <c r="BV61" s="257">
        <f>CH61</f>
        <v>0</v>
      </c>
      <c r="BW61" s="502" cm="1">
        <f t="array" ref="BW61:CH61">ROUNDDOWN(BT61*BA61:BL61/100,2)</f>
        <v>1</v>
      </c>
      <c r="BX61" s="502">
        <v>1</v>
      </c>
      <c r="BY61" s="502">
        <v>1</v>
      </c>
      <c r="BZ61" s="502">
        <v>1</v>
      </c>
      <c r="CA61" s="502">
        <v>1</v>
      </c>
      <c r="CB61" s="502">
        <v>1.1000000000000001</v>
      </c>
      <c r="CC61" s="502">
        <v>1.1000000000000001</v>
      </c>
      <c r="CD61" s="502">
        <v>1.1000000000000001</v>
      </c>
      <c r="CE61" s="502">
        <v>1.1000000000000001</v>
      </c>
      <c r="CF61" s="502">
        <v>1.1000000000000001</v>
      </c>
      <c r="CG61" s="502">
        <v>0</v>
      </c>
      <c r="CH61" s="503">
        <v>0</v>
      </c>
    </row>
    <row r="62" spans="1:86" s="198" customFormat="1" ht="33">
      <c r="A62" s="51"/>
      <c r="B62" s="52" t="s">
        <v>354</v>
      </c>
      <c r="C62" s="301" t="s">
        <v>276</v>
      </c>
      <c r="D62" s="293" t="s">
        <v>149</v>
      </c>
      <c r="E62" s="294" t="s">
        <v>397</v>
      </c>
      <c r="F62" s="295"/>
      <c r="G62" s="257">
        <f>N62</f>
        <v>100</v>
      </c>
      <c r="H62" s="257">
        <f>T62</f>
        <v>100</v>
      </c>
      <c r="I62" s="257">
        <f>PI!D367</f>
        <v>100</v>
      </c>
      <c r="J62" s="257">
        <f>PI!E367</f>
        <v>100</v>
      </c>
      <c r="K62" s="257">
        <f>PI!F367</f>
        <v>100</v>
      </c>
      <c r="L62" s="257">
        <f>PI!G367</f>
        <v>100</v>
      </c>
      <c r="M62" s="257">
        <f>PI!H367</f>
        <v>100</v>
      </c>
      <c r="N62" s="257">
        <f>PI!I367</f>
        <v>100</v>
      </c>
      <c r="O62" s="257">
        <f>PI!J367</f>
        <v>100</v>
      </c>
      <c r="P62" s="257">
        <f>PI!K367</f>
        <v>100</v>
      </c>
      <c r="Q62" s="257">
        <f>PI!L367</f>
        <v>100</v>
      </c>
      <c r="R62" s="257">
        <f>PI!M367</f>
        <v>100</v>
      </c>
      <c r="S62" s="257">
        <f>PI!N367</f>
        <v>100</v>
      </c>
      <c r="T62" s="90">
        <f>PI!O367</f>
        <v>100</v>
      </c>
      <c r="U62" s="197"/>
      <c r="W62" s="51"/>
      <c r="X62" s="52" t="s">
        <v>354</v>
      </c>
      <c r="Y62" s="301" t="s">
        <v>276</v>
      </c>
      <c r="Z62" s="293" t="s">
        <v>149</v>
      </c>
      <c r="AA62" s="294" t="s">
        <v>397</v>
      </c>
      <c r="AB62" s="295"/>
      <c r="AC62" s="257">
        <f>AJ62</f>
        <v>100</v>
      </c>
      <c r="AD62" s="257">
        <f>AP62</f>
        <v>0</v>
      </c>
      <c r="AE62" s="212">
        <f>PI!AH367</f>
        <v>100</v>
      </c>
      <c r="AF62" s="212">
        <f>PI!AI367</f>
        <v>100</v>
      </c>
      <c r="AG62" s="212">
        <f>PI!AJ367</f>
        <v>100</v>
      </c>
      <c r="AH62" s="212">
        <f>PI!AK367</f>
        <v>100</v>
      </c>
      <c r="AI62" s="212">
        <f>PI!AL367</f>
        <v>100</v>
      </c>
      <c r="AJ62" s="212">
        <f>PI!AM367</f>
        <v>100</v>
      </c>
      <c r="AK62" s="212">
        <f>PI!AN367</f>
        <v>100</v>
      </c>
      <c r="AL62" s="212">
        <f>PI!AO367</f>
        <v>100</v>
      </c>
      <c r="AM62" s="212">
        <f>PI!AP367</f>
        <v>100</v>
      </c>
      <c r="AN62" s="212">
        <f>PI!AQ367</f>
        <v>100</v>
      </c>
      <c r="AO62" s="212">
        <f>PI!AR367</f>
        <v>0</v>
      </c>
      <c r="AP62" s="213">
        <f>PI!AS367</f>
        <v>0</v>
      </c>
      <c r="AQ62" s="868"/>
      <c r="AR62" s="868">
        <v>2</v>
      </c>
      <c r="AS62" s="51"/>
      <c r="AT62" s="52" t="str">
        <v>Implementasi Roadmap Perbaikan Penerapan Manajemen Risiko dan Pencapaian Perlakuan Risiko</v>
      </c>
      <c r="AU62" s="301" t="s">
        <v>276</v>
      </c>
      <c r="AV62" s="293" t="s">
        <v>149</v>
      </c>
      <c r="AW62" s="294" t="s">
        <v>397</v>
      </c>
      <c r="AX62" s="295"/>
      <c r="AY62" s="257">
        <f>BF62</f>
        <v>100</v>
      </c>
      <c r="AZ62" s="257">
        <f>BL62</f>
        <v>0</v>
      </c>
      <c r="BA62" s="502">
        <f>IFERROR(IF(AE62/I62*100&gt;110,110,AE62/I62*100),100)</f>
        <v>100</v>
      </c>
      <c r="BB62" s="502">
        <f t="shared" si="55"/>
        <v>100</v>
      </c>
      <c r="BC62" s="502">
        <f t="shared" si="55"/>
        <v>100</v>
      </c>
      <c r="BD62" s="502">
        <f t="shared" si="55"/>
        <v>100</v>
      </c>
      <c r="BE62" s="502">
        <f t="shared" si="55"/>
        <v>100</v>
      </c>
      <c r="BF62" s="502">
        <f t="shared" si="55"/>
        <v>100</v>
      </c>
      <c r="BG62" s="502">
        <f t="shared" si="55"/>
        <v>100</v>
      </c>
      <c r="BH62" s="502">
        <f t="shared" si="55"/>
        <v>100</v>
      </c>
      <c r="BI62" s="502">
        <f t="shared" si="55"/>
        <v>100</v>
      </c>
      <c r="BJ62" s="502">
        <f t="shared" si="55"/>
        <v>100</v>
      </c>
      <c r="BK62" s="502">
        <f t="shared" si="55"/>
        <v>0</v>
      </c>
      <c r="BL62" s="503">
        <f t="shared" si="55"/>
        <v>0</v>
      </c>
      <c r="BO62" s="51"/>
      <c r="BP62" s="52" t="str">
        <v>Implementasi Roadmap Perbaikan Penerapan Manajemen Risiko dan Pencapaian Perlakuan Risiko</v>
      </c>
      <c r="BQ62" s="301" t="s">
        <v>276</v>
      </c>
      <c r="BR62" s="293" t="s">
        <v>149</v>
      </c>
      <c r="BS62" s="294" t="s">
        <v>397</v>
      </c>
      <c r="BT62" s="295">
        <v>1</v>
      </c>
      <c r="BU62" s="257">
        <f>CB62</f>
        <v>1</v>
      </c>
      <c r="BV62" s="257">
        <f>CH62</f>
        <v>0</v>
      </c>
      <c r="BW62" s="502" cm="1">
        <f t="array" ref="BW62:CH62">ROUNDDOWN(BT62*BA62:BL62/100,2)</f>
        <v>1</v>
      </c>
      <c r="BX62" s="502">
        <v>1</v>
      </c>
      <c r="BY62" s="502">
        <v>1</v>
      </c>
      <c r="BZ62" s="502">
        <v>1</v>
      </c>
      <c r="CA62" s="502">
        <v>1</v>
      </c>
      <c r="CB62" s="502">
        <v>1</v>
      </c>
      <c r="CC62" s="502">
        <v>1</v>
      </c>
      <c r="CD62" s="502">
        <v>1</v>
      </c>
      <c r="CE62" s="502">
        <v>1</v>
      </c>
      <c r="CF62" s="502">
        <v>1</v>
      </c>
      <c r="CG62" s="502">
        <v>0</v>
      </c>
      <c r="CH62" s="503">
        <v>0</v>
      </c>
    </row>
    <row r="63" spans="1:86" s="198" customFormat="1" ht="16.5">
      <c r="A63" s="51">
        <v>15</v>
      </c>
      <c r="B63" s="267" t="s">
        <v>355</v>
      </c>
      <c r="C63" s="301"/>
      <c r="D63" s="293"/>
      <c r="E63" s="294"/>
      <c r="F63" s="295"/>
      <c r="G63" s="257"/>
      <c r="H63" s="257"/>
      <c r="I63" s="257"/>
      <c r="J63" s="257"/>
      <c r="K63" s="257"/>
      <c r="L63" s="257"/>
      <c r="M63" s="257"/>
      <c r="N63" s="257"/>
      <c r="O63" s="257"/>
      <c r="P63" s="257"/>
      <c r="Q63" s="257"/>
      <c r="R63" s="257"/>
      <c r="S63" s="257"/>
      <c r="T63" s="90"/>
      <c r="U63" s="197"/>
      <c r="W63" s="51">
        <v>15</v>
      </c>
      <c r="X63" s="267" t="s">
        <v>355</v>
      </c>
      <c r="Y63" s="301"/>
      <c r="Z63" s="293"/>
      <c r="AA63" s="294"/>
      <c r="AB63" s="295"/>
      <c r="AC63" s="257"/>
      <c r="AD63" s="257"/>
      <c r="AE63" s="212"/>
      <c r="AF63" s="213"/>
      <c r="AG63" s="212"/>
      <c r="AH63" s="212"/>
      <c r="AI63" s="212"/>
      <c r="AJ63" s="212"/>
      <c r="AK63" s="212"/>
      <c r="AL63" s="212"/>
      <c r="AM63" s="212"/>
      <c r="AN63" s="212"/>
      <c r="AO63" s="212"/>
      <c r="AP63" s="213"/>
      <c r="AQ63" s="868"/>
      <c r="AR63" s="868" t="e">
        <v>#VALUE!</v>
      </c>
      <c r="AS63" s="490">
        <v>15</v>
      </c>
      <c r="AT63" s="267" t="str">
        <v>Kepatuhan :</v>
      </c>
      <c r="AU63" s="331"/>
      <c r="AV63" s="497"/>
      <c r="AW63" s="498"/>
      <c r="AX63" s="499"/>
      <c r="AY63" s="489"/>
      <c r="AZ63" s="489"/>
      <c r="BA63" s="504"/>
      <c r="BB63" s="505"/>
      <c r="BC63" s="504"/>
      <c r="BD63" s="504"/>
      <c r="BE63" s="504"/>
      <c r="BF63" s="504"/>
      <c r="BG63" s="504"/>
      <c r="BH63" s="504"/>
      <c r="BI63" s="504"/>
      <c r="BJ63" s="504"/>
      <c r="BK63" s="504"/>
      <c r="BL63" s="505"/>
      <c r="BO63" s="490">
        <v>15</v>
      </c>
      <c r="BP63" s="267" t="str">
        <v>Kepatuhan :</v>
      </c>
      <c r="BQ63" s="331"/>
      <c r="BR63" s="497"/>
      <c r="BS63" s="498"/>
      <c r="BT63" s="499"/>
      <c r="BU63" s="489"/>
      <c r="BV63" s="489"/>
      <c r="BW63" s="504"/>
      <c r="BX63" s="505"/>
      <c r="BY63" s="504"/>
      <c r="BZ63" s="504"/>
      <c r="CA63" s="504"/>
      <c r="CB63" s="504"/>
      <c r="CC63" s="504"/>
      <c r="CD63" s="504"/>
      <c r="CE63" s="504"/>
      <c r="CF63" s="504"/>
      <c r="CG63" s="504"/>
      <c r="CH63" s="505"/>
    </row>
    <row r="64" spans="1:86" s="198" customFormat="1" ht="16.5">
      <c r="A64" s="51"/>
      <c r="B64" s="52" t="s">
        <v>356</v>
      </c>
      <c r="C64" s="301"/>
      <c r="D64" s="293"/>
      <c r="E64" s="294"/>
      <c r="F64" s="295" t="s">
        <v>357</v>
      </c>
      <c r="G64" s="257"/>
      <c r="H64" s="257"/>
      <c r="I64" s="257"/>
      <c r="J64" s="257"/>
      <c r="K64" s="257"/>
      <c r="L64" s="257"/>
      <c r="M64" s="257"/>
      <c r="N64" s="257"/>
      <c r="O64" s="257"/>
      <c r="P64" s="257"/>
      <c r="Q64" s="257"/>
      <c r="R64" s="257"/>
      <c r="S64" s="257"/>
      <c r="T64" s="90"/>
      <c r="U64" s="197"/>
      <c r="W64" s="51"/>
      <c r="X64" s="52" t="s">
        <v>356</v>
      </c>
      <c r="Y64" s="301"/>
      <c r="Z64" s="293"/>
      <c r="AA64" s="294"/>
      <c r="AB64" s="295" t="s">
        <v>357</v>
      </c>
      <c r="AC64" s="257"/>
      <c r="AD64" s="257"/>
      <c r="AE64" s="212"/>
      <c r="AF64" s="213"/>
      <c r="AG64" s="212"/>
      <c r="AH64" s="212"/>
      <c r="AI64" s="212"/>
      <c r="AJ64" s="212"/>
      <c r="AK64" s="212"/>
      <c r="AL64" s="212"/>
      <c r="AM64" s="212"/>
      <c r="AN64" s="212"/>
      <c r="AO64" s="212"/>
      <c r="AP64" s="213"/>
      <c r="AQ64" s="868"/>
      <c r="AR64" s="868">
        <v>2</v>
      </c>
      <c r="AS64" s="51"/>
      <c r="AT64" s="52" t="str">
        <v>Pengelolaan K3, Keamanan dan Lingkungan Hidup</v>
      </c>
      <c r="AU64" s="301"/>
      <c r="AV64" s="293"/>
      <c r="AW64" s="294"/>
      <c r="AX64" s="295" t="s">
        <v>357</v>
      </c>
      <c r="AY64" s="257"/>
      <c r="AZ64" s="257"/>
      <c r="BA64" s="502"/>
      <c r="BB64" s="503"/>
      <c r="BC64" s="502"/>
      <c r="BD64" s="502"/>
      <c r="BE64" s="502"/>
      <c r="BF64" s="502"/>
      <c r="BG64" s="502"/>
      <c r="BH64" s="502"/>
      <c r="BI64" s="502"/>
      <c r="BJ64" s="502"/>
      <c r="BK64" s="502"/>
      <c r="BL64" s="503"/>
      <c r="BO64" s="51"/>
      <c r="BP64" s="52" t="str">
        <v>Pengelolaan K3, Keamanan dan Lingkungan Hidup</v>
      </c>
      <c r="BQ64" s="301"/>
      <c r="BR64" s="293"/>
      <c r="BS64" s="294"/>
      <c r="BT64" s="295" t="s">
        <v>357</v>
      </c>
      <c r="BU64" s="257"/>
      <c r="BV64" s="257"/>
      <c r="BW64" s="502"/>
      <c r="BX64" s="503"/>
      <c r="BY64" s="502"/>
      <c r="BZ64" s="502"/>
      <c r="CA64" s="502"/>
      <c r="CB64" s="502"/>
      <c r="CC64" s="502"/>
      <c r="CD64" s="502"/>
      <c r="CE64" s="502"/>
      <c r="CF64" s="502"/>
      <c r="CG64" s="502"/>
      <c r="CH64" s="503"/>
    </row>
    <row r="65" spans="1:86" s="198" customFormat="1" ht="33">
      <c r="A65" s="51"/>
      <c r="B65" s="52" t="s">
        <v>358</v>
      </c>
      <c r="C65" s="301"/>
      <c r="D65" s="293"/>
      <c r="E65" s="294"/>
      <c r="F65" s="295" t="s">
        <v>359</v>
      </c>
      <c r="G65" s="257"/>
      <c r="H65" s="257"/>
      <c r="I65" s="257"/>
      <c r="J65" s="257"/>
      <c r="K65" s="257"/>
      <c r="L65" s="257"/>
      <c r="M65" s="257"/>
      <c r="N65" s="257"/>
      <c r="O65" s="257"/>
      <c r="P65" s="257"/>
      <c r="Q65" s="257"/>
      <c r="R65" s="257"/>
      <c r="S65" s="257"/>
      <c r="T65" s="90"/>
      <c r="U65" s="197"/>
      <c r="W65" s="51"/>
      <c r="X65" s="52" t="s">
        <v>358</v>
      </c>
      <c r="Y65" s="301"/>
      <c r="Z65" s="293"/>
      <c r="AA65" s="294"/>
      <c r="AB65" s="295" t="s">
        <v>359</v>
      </c>
      <c r="AC65" s="257"/>
      <c r="AD65" s="257"/>
      <c r="AE65" s="212"/>
      <c r="AF65" s="213"/>
      <c r="AG65" s="212"/>
      <c r="AH65" s="212"/>
      <c r="AI65" s="212"/>
      <c r="AJ65" s="212"/>
      <c r="AK65" s="212"/>
      <c r="AL65" s="212"/>
      <c r="AM65" s="212"/>
      <c r="AN65" s="212"/>
      <c r="AO65" s="212"/>
      <c r="AP65" s="213"/>
      <c r="AQ65" s="868"/>
      <c r="AR65" s="868">
        <v>2</v>
      </c>
      <c r="AS65" s="51"/>
      <c r="AT65" s="52" t="str">
        <v>Maturity Level Implementasi Sistem Manajemen Anti Penyuapan (SMAP)</v>
      </c>
      <c r="AU65" s="301"/>
      <c r="AV65" s="293"/>
      <c r="AW65" s="294"/>
      <c r="AX65" s="295" t="s">
        <v>359</v>
      </c>
      <c r="AY65" s="257"/>
      <c r="AZ65" s="257"/>
      <c r="BA65" s="502"/>
      <c r="BB65" s="503"/>
      <c r="BC65" s="502"/>
      <c r="BD65" s="502"/>
      <c r="BE65" s="502"/>
      <c r="BF65" s="502"/>
      <c r="BG65" s="502"/>
      <c r="BH65" s="502"/>
      <c r="BI65" s="502"/>
      <c r="BJ65" s="502"/>
      <c r="BK65" s="502"/>
      <c r="BL65" s="503"/>
      <c r="BO65" s="51"/>
      <c r="BP65" s="52" t="str">
        <v>Maturity Level Implementasi Sistem Manajemen Anti Penyuapan (SMAP)</v>
      </c>
      <c r="BQ65" s="301"/>
      <c r="BR65" s="293"/>
      <c r="BS65" s="294"/>
      <c r="BT65" s="295" t="s">
        <v>359</v>
      </c>
      <c r="BU65" s="257"/>
      <c r="BV65" s="257"/>
      <c r="BW65" s="502"/>
      <c r="BX65" s="503"/>
      <c r="BY65" s="502"/>
      <c r="BZ65" s="502"/>
      <c r="CA65" s="502"/>
      <c r="CB65" s="502"/>
      <c r="CC65" s="502"/>
      <c r="CD65" s="502"/>
      <c r="CE65" s="502"/>
      <c r="CF65" s="502"/>
      <c r="CG65" s="502"/>
      <c r="CH65" s="503"/>
    </row>
    <row r="66" spans="1:86" s="198" customFormat="1" ht="16.5">
      <c r="A66" s="51"/>
      <c r="B66" s="275" t="s">
        <v>360</v>
      </c>
      <c r="C66" s="301"/>
      <c r="D66" s="293"/>
      <c r="E66" s="294" t="s">
        <v>398</v>
      </c>
      <c r="F66" s="295" t="s">
        <v>362</v>
      </c>
      <c r="G66" s="257"/>
      <c r="H66" s="257"/>
      <c r="I66" s="257"/>
      <c r="J66" s="257"/>
      <c r="K66" s="257"/>
      <c r="L66" s="257"/>
      <c r="M66" s="257"/>
      <c r="N66" s="257"/>
      <c r="O66" s="257"/>
      <c r="P66" s="257"/>
      <c r="Q66" s="257"/>
      <c r="R66" s="257"/>
      <c r="S66" s="257"/>
      <c r="T66" s="90"/>
      <c r="U66" s="197"/>
      <c r="W66" s="51"/>
      <c r="X66" s="275" t="s">
        <v>360</v>
      </c>
      <c r="Y66" s="301"/>
      <c r="Z66" s="293"/>
      <c r="AA66" s="294" t="s">
        <v>398</v>
      </c>
      <c r="AB66" s="295" t="s">
        <v>362</v>
      </c>
      <c r="AC66" s="257"/>
      <c r="AD66" s="257"/>
      <c r="AE66" s="212"/>
      <c r="AF66" s="213"/>
      <c r="AG66" s="212"/>
      <c r="AH66" s="212"/>
      <c r="AI66" s="212"/>
      <c r="AJ66" s="212"/>
      <c r="AK66" s="212"/>
      <c r="AL66" s="212"/>
      <c r="AM66" s="212"/>
      <c r="AN66" s="212"/>
      <c r="AO66" s="212"/>
      <c r="AP66" s="213"/>
      <c r="AQ66" s="868"/>
      <c r="AR66" s="868">
        <v>2</v>
      </c>
      <c r="AS66" s="51"/>
      <c r="AT66" s="275" t="str">
        <v>Ketepatan penyampaian pelaporan dan
Akurasi Data Kinerja</v>
      </c>
      <c r="AU66" s="301"/>
      <c r="AV66" s="293"/>
      <c r="AW66" s="294" t="s">
        <v>398</v>
      </c>
      <c r="AX66" s="295" t="s">
        <v>362</v>
      </c>
      <c r="AY66" s="257"/>
      <c r="AZ66" s="257"/>
      <c r="BA66" s="502"/>
      <c r="BB66" s="503"/>
      <c r="BC66" s="502"/>
      <c r="BD66" s="502"/>
      <c r="BE66" s="502"/>
      <c r="BF66" s="502"/>
      <c r="BG66" s="502"/>
      <c r="BH66" s="502"/>
      <c r="BI66" s="502"/>
      <c r="BJ66" s="502"/>
      <c r="BK66" s="502"/>
      <c r="BL66" s="503"/>
      <c r="BO66" s="51"/>
      <c r="BP66" s="275" t="str">
        <v>Ketepatan penyampaian pelaporan dan
Akurasi Data Kinerja</v>
      </c>
      <c r="BQ66" s="301"/>
      <c r="BR66" s="293"/>
      <c r="BS66" s="294" t="s">
        <v>398</v>
      </c>
      <c r="BT66" s="295" t="s">
        <v>362</v>
      </c>
      <c r="BU66" s="257"/>
      <c r="BV66" s="257"/>
      <c r="BW66" s="502"/>
      <c r="BX66" s="503"/>
      <c r="BY66" s="502"/>
      <c r="BZ66" s="502"/>
      <c r="CA66" s="502"/>
      <c r="CB66" s="502"/>
      <c r="CC66" s="502"/>
      <c r="CD66" s="502"/>
      <c r="CE66" s="502"/>
      <c r="CF66" s="502"/>
      <c r="CG66" s="502"/>
      <c r="CH66" s="503"/>
    </row>
    <row r="67" spans="1:86" s="198" customFormat="1" ht="16.5">
      <c r="A67" s="51"/>
      <c r="B67" s="275" t="s">
        <v>363</v>
      </c>
      <c r="C67" s="301"/>
      <c r="D67" s="293"/>
      <c r="E67" s="294"/>
      <c r="F67" s="295" t="s">
        <v>365</v>
      </c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90"/>
      <c r="U67" s="197"/>
      <c r="W67" s="51"/>
      <c r="X67" s="275" t="s">
        <v>363</v>
      </c>
      <c r="Y67" s="301"/>
      <c r="Z67" s="293"/>
      <c r="AA67" s="294"/>
      <c r="AB67" s="295" t="s">
        <v>365</v>
      </c>
      <c r="AC67" s="257"/>
      <c r="AD67" s="257"/>
      <c r="AE67" s="212"/>
      <c r="AF67" s="213"/>
      <c r="AG67" s="212"/>
      <c r="AH67" s="212"/>
      <c r="AI67" s="212"/>
      <c r="AJ67" s="212"/>
      <c r="AK67" s="212"/>
      <c r="AL67" s="212"/>
      <c r="AM67" s="212"/>
      <c r="AN67" s="212"/>
      <c r="AO67" s="212"/>
      <c r="AP67" s="213"/>
      <c r="AQ67" s="868"/>
      <c r="AR67" s="868">
        <v>2</v>
      </c>
      <c r="AS67" s="51"/>
      <c r="AT67" s="275" t="str">
        <v>Tindak Lanjut Temuan Auditor</v>
      </c>
      <c r="AU67" s="301"/>
      <c r="AV67" s="293"/>
      <c r="AW67" s="294"/>
      <c r="AX67" s="295" t="s">
        <v>365</v>
      </c>
      <c r="AY67" s="257"/>
      <c r="AZ67" s="257"/>
      <c r="BA67" s="502"/>
      <c r="BB67" s="503"/>
      <c r="BC67" s="502"/>
      <c r="BD67" s="502"/>
      <c r="BE67" s="502"/>
      <c r="BF67" s="502"/>
      <c r="BG67" s="502"/>
      <c r="BH67" s="502"/>
      <c r="BI67" s="502"/>
      <c r="BJ67" s="502"/>
      <c r="BK67" s="502"/>
      <c r="BL67" s="503"/>
      <c r="BO67" s="51"/>
      <c r="BP67" s="275" t="str">
        <v>Tindak Lanjut Temuan Auditor</v>
      </c>
      <c r="BQ67" s="301"/>
      <c r="BR67" s="293"/>
      <c r="BS67" s="294"/>
      <c r="BT67" s="295" t="s">
        <v>365</v>
      </c>
      <c r="BU67" s="257"/>
      <c r="BV67" s="257"/>
      <c r="BW67" s="502"/>
      <c r="BX67" s="503"/>
      <c r="BY67" s="502"/>
      <c r="BZ67" s="502"/>
      <c r="CA67" s="502"/>
      <c r="CB67" s="502"/>
      <c r="CC67" s="502"/>
      <c r="CD67" s="502"/>
      <c r="CE67" s="502"/>
      <c r="CF67" s="502"/>
      <c r="CG67" s="502"/>
      <c r="CH67" s="503"/>
    </row>
    <row r="68" spans="1:86" s="198" customFormat="1" ht="16.5">
      <c r="A68" s="51"/>
      <c r="B68" s="275" t="s">
        <v>366</v>
      </c>
      <c r="C68" s="301"/>
      <c r="D68" s="293"/>
      <c r="E68" s="294" t="s">
        <v>399</v>
      </c>
      <c r="F68" s="295" t="s">
        <v>367</v>
      </c>
      <c r="G68" s="257"/>
      <c r="H68" s="257"/>
      <c r="I68" s="257"/>
      <c r="J68" s="257"/>
      <c r="K68" s="257"/>
      <c r="L68" s="257"/>
      <c r="M68" s="257"/>
      <c r="N68" s="257"/>
      <c r="O68" s="257"/>
      <c r="P68" s="257"/>
      <c r="Q68" s="257"/>
      <c r="R68" s="257"/>
      <c r="S68" s="257"/>
      <c r="T68" s="90"/>
      <c r="U68" s="197"/>
      <c r="W68" s="51"/>
      <c r="X68" s="275" t="s">
        <v>366</v>
      </c>
      <c r="Y68" s="301"/>
      <c r="Z68" s="293"/>
      <c r="AA68" s="294" t="s">
        <v>399</v>
      </c>
      <c r="AB68" s="295" t="s">
        <v>367</v>
      </c>
      <c r="AC68" s="257"/>
      <c r="AD68" s="257"/>
      <c r="AE68" s="312"/>
      <c r="AF68" s="313"/>
      <c r="AG68" s="312"/>
      <c r="AH68" s="312"/>
      <c r="AI68" s="312"/>
      <c r="AJ68" s="312"/>
      <c r="AK68" s="312"/>
      <c r="AL68" s="312"/>
      <c r="AM68" s="312"/>
      <c r="AN68" s="312"/>
      <c r="AO68" s="312"/>
      <c r="AP68" s="313"/>
      <c r="AQ68" s="868"/>
      <c r="AR68" s="868">
        <v>2</v>
      </c>
      <c r="AS68" s="51"/>
      <c r="AT68" s="275" t="str">
        <v>Pencapaian Beyond RKAP</v>
      </c>
      <c r="AU68" s="301"/>
      <c r="AV68" s="293"/>
      <c r="AW68" s="294" t="s">
        <v>399</v>
      </c>
      <c r="AX68" s="295" t="s">
        <v>367</v>
      </c>
      <c r="AY68" s="257"/>
      <c r="AZ68" s="257"/>
      <c r="BA68" s="508"/>
      <c r="BB68" s="509"/>
      <c r="BC68" s="508"/>
      <c r="BD68" s="508"/>
      <c r="BE68" s="508"/>
      <c r="BF68" s="508"/>
      <c r="BG68" s="508"/>
      <c r="BH68" s="508"/>
      <c r="BI68" s="508"/>
      <c r="BJ68" s="508"/>
      <c r="BK68" s="508"/>
      <c r="BL68" s="509"/>
      <c r="BO68" s="51"/>
      <c r="BP68" s="275" t="str">
        <v>Pencapaian Beyond RKAP</v>
      </c>
      <c r="BQ68" s="301"/>
      <c r="BR68" s="293"/>
      <c r="BS68" s="294" t="s">
        <v>399</v>
      </c>
      <c r="BT68" s="295" t="s">
        <v>367</v>
      </c>
      <c r="BU68" s="257"/>
      <c r="BV68" s="257"/>
      <c r="BW68" s="508"/>
      <c r="BX68" s="509"/>
      <c r="BY68" s="508"/>
      <c r="BZ68" s="508"/>
      <c r="CA68" s="508"/>
      <c r="CB68" s="508"/>
      <c r="CC68" s="508"/>
      <c r="CD68" s="508"/>
      <c r="CE68" s="508"/>
      <c r="CF68" s="508"/>
      <c r="CG68" s="508"/>
      <c r="CH68" s="509"/>
    </row>
    <row r="69" spans="1:86" s="198" customFormat="1" ht="16.5">
      <c r="A69" s="58"/>
      <c r="B69" s="276" t="s">
        <v>104</v>
      </c>
      <c r="C69" s="277"/>
      <c r="D69" s="278"/>
      <c r="E69" s="279"/>
      <c r="F69" s="279">
        <f>F7+F17</f>
        <v>100</v>
      </c>
      <c r="G69" s="279"/>
      <c r="H69" s="279"/>
      <c r="I69" s="279"/>
      <c r="J69" s="279"/>
      <c r="K69" s="279"/>
      <c r="L69" s="279"/>
      <c r="M69" s="279"/>
      <c r="N69" s="279"/>
      <c r="O69" s="279"/>
      <c r="P69" s="279"/>
      <c r="Q69" s="279"/>
      <c r="R69" s="279"/>
      <c r="S69" s="279"/>
      <c r="T69" s="58"/>
      <c r="U69" s="200"/>
      <c r="W69" s="58"/>
      <c r="X69" s="276" t="s">
        <v>104</v>
      </c>
      <c r="Y69" s="277"/>
      <c r="Z69" s="278"/>
      <c r="AA69" s="279"/>
      <c r="AB69" s="279">
        <f>AB7+AB17</f>
        <v>100</v>
      </c>
      <c r="AC69" s="279"/>
      <c r="AD69" s="279"/>
      <c r="AE69" s="223"/>
      <c r="AF69" s="221"/>
      <c r="AG69" s="223"/>
      <c r="AH69" s="223"/>
      <c r="AI69" s="223"/>
      <c r="AJ69" s="223"/>
      <c r="AK69" s="223"/>
      <c r="AL69" s="223"/>
      <c r="AM69" s="223"/>
      <c r="AN69" s="223"/>
      <c r="AO69" s="223"/>
      <c r="AP69" s="221"/>
      <c r="AQ69" s="868"/>
      <c r="AR69" s="868" t="e">
        <v>#VALUE!</v>
      </c>
      <c r="AS69" s="58"/>
      <c r="AT69" s="276" t="str">
        <v>TOTAL BOBOT</v>
      </c>
      <c r="AU69" s="277"/>
      <c r="AV69" s="278"/>
      <c r="AW69" s="279"/>
      <c r="AX69" s="279">
        <f>AX7+AX17</f>
        <v>100</v>
      </c>
      <c r="AY69" s="279"/>
      <c r="AZ69" s="279"/>
      <c r="BA69" s="223"/>
      <c r="BB69" s="221"/>
      <c r="BC69" s="223"/>
      <c r="BD69" s="223"/>
      <c r="BE69" s="223"/>
      <c r="BF69" s="223"/>
      <c r="BG69" s="223"/>
      <c r="BH69" s="223"/>
      <c r="BI69" s="223"/>
      <c r="BJ69" s="223"/>
      <c r="BK69" s="223"/>
      <c r="BL69" s="221"/>
      <c r="BO69" s="58"/>
      <c r="BP69" s="276" t="str">
        <v>TOTAL BOBOT</v>
      </c>
      <c r="BQ69" s="277"/>
      <c r="BR69" s="278"/>
      <c r="BS69" s="279"/>
      <c r="BT69" s="279">
        <f>BT7+BT17</f>
        <v>100</v>
      </c>
      <c r="BU69" s="279"/>
      <c r="BV69" s="279"/>
      <c r="BW69" s="511">
        <f>SUM(BW8:BW68)</f>
        <v>95.520000000000024</v>
      </c>
      <c r="BX69" s="511">
        <f t="shared" ref="BX69:CH69" si="56">SUM(BX8:BX68)</f>
        <v>95.180000000000035</v>
      </c>
      <c r="BY69" s="511">
        <f t="shared" si="56"/>
        <v>101.53000000000003</v>
      </c>
      <c r="BZ69" s="511">
        <f t="shared" si="56"/>
        <v>100.92000000000002</v>
      </c>
      <c r="CA69" s="511">
        <f t="shared" si="56"/>
        <v>100.61000000000004</v>
      </c>
      <c r="CB69" s="511">
        <f t="shared" si="56"/>
        <v>102.7</v>
      </c>
      <c r="CC69" s="511">
        <f t="shared" si="56"/>
        <v>102.61000000000003</v>
      </c>
      <c r="CD69" s="511">
        <f t="shared" si="56"/>
        <v>102.74000000000001</v>
      </c>
      <c r="CE69" s="511">
        <f t="shared" si="56"/>
        <v>103.22000000000003</v>
      </c>
      <c r="CF69" s="511">
        <f t="shared" si="56"/>
        <v>103.02000000000002</v>
      </c>
      <c r="CG69" s="511">
        <f t="shared" si="56"/>
        <v>68.459999999999994</v>
      </c>
      <c r="CH69" s="511">
        <f t="shared" si="56"/>
        <v>62.750000000000007</v>
      </c>
    </row>
    <row r="70" spans="1:86" s="201" customFormat="1">
      <c r="E70" s="202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</row>
    <row r="71" spans="1:86" s="201" customFormat="1">
      <c r="A71" s="203"/>
      <c r="B71" s="204" t="s">
        <v>368</v>
      </c>
      <c r="C71" s="204"/>
      <c r="D71" s="247">
        <f>COUNTA(D8:D68)</f>
        <v>42</v>
      </c>
      <c r="E71" s="203"/>
      <c r="F71" s="4"/>
      <c r="G71" s="205"/>
      <c r="H71" s="205"/>
      <c r="I71" s="205"/>
      <c r="J71" s="205"/>
      <c r="K71" s="205"/>
      <c r="L71" s="205"/>
      <c r="M71" s="205"/>
      <c r="N71" s="205"/>
      <c r="O71" s="205"/>
      <c r="P71" s="205"/>
      <c r="Q71" s="205"/>
      <c r="R71" s="205"/>
      <c r="S71" s="205"/>
      <c r="T71" s="205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</row>
    <row r="72" spans="1:86" s="201" customFormat="1">
      <c r="E72" s="20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</row>
    <row r="73" spans="1:86" s="201" customFormat="1">
      <c r="A73" s="117" t="s">
        <v>369</v>
      </c>
      <c r="B73" s="118"/>
      <c r="C73" s="118"/>
      <c r="D73" s="119"/>
      <c r="E73" s="119"/>
      <c r="F73" s="119"/>
      <c r="G73" s="299"/>
      <c r="H73" s="119"/>
      <c r="I73" s="119"/>
      <c r="J73" s="119"/>
      <c r="K73" s="119"/>
      <c r="L73" s="119"/>
      <c r="M73" s="119"/>
      <c r="Q73" s="119"/>
      <c r="S73" s="119"/>
    </row>
    <row r="74" spans="1:86" s="201" customFormat="1">
      <c r="A74" s="119">
        <v>3</v>
      </c>
      <c r="B74" s="206" t="s">
        <v>370</v>
      </c>
      <c r="C74" s="118"/>
      <c r="D74" s="119"/>
      <c r="E74" s="119"/>
      <c r="F74" s="119"/>
      <c r="G74" s="119"/>
      <c r="H74" s="119"/>
      <c r="I74" s="119"/>
      <c r="J74" s="119"/>
      <c r="K74" s="119"/>
      <c r="L74" s="119"/>
      <c r="M74" s="119"/>
      <c r="Q74" s="119"/>
      <c r="S74" s="119"/>
    </row>
    <row r="75" spans="1:86" s="201" customFormat="1">
      <c r="A75" s="119">
        <v>1</v>
      </c>
      <c r="B75" s="206" t="s">
        <v>371</v>
      </c>
      <c r="C75" s="118"/>
      <c r="D75" s="119"/>
      <c r="E75" s="119"/>
      <c r="F75" s="119"/>
      <c r="G75" s="119"/>
      <c r="H75" s="119"/>
      <c r="I75" s="119"/>
      <c r="J75" s="119"/>
      <c r="K75" s="119"/>
      <c r="L75" s="119"/>
      <c r="M75" s="119"/>
      <c r="Q75" s="119"/>
      <c r="S75" s="119"/>
    </row>
    <row r="76" spans="1:86" customFormat="1">
      <c r="A76" s="119"/>
      <c r="B76" s="118"/>
      <c r="C76" s="118"/>
      <c r="D76" s="119"/>
      <c r="E76" s="119"/>
      <c r="F76" s="119"/>
      <c r="G76" s="119"/>
      <c r="H76" s="119"/>
      <c r="I76" s="119"/>
      <c r="J76" s="119"/>
      <c r="K76" s="119"/>
      <c r="L76" s="119"/>
      <c r="M76" s="119"/>
      <c r="Q76" s="119"/>
      <c r="S76" s="119"/>
    </row>
    <row r="77" spans="1:86" customFormat="1">
      <c r="A77" s="119"/>
      <c r="B77" s="118"/>
      <c r="C77" s="118"/>
      <c r="D77" s="119"/>
      <c r="E77" s="119"/>
      <c r="F77" s="119"/>
      <c r="G77" s="119"/>
      <c r="H77" s="119"/>
      <c r="I77" s="119"/>
      <c r="J77" s="119"/>
      <c r="K77" s="119"/>
      <c r="L77" s="119"/>
      <c r="M77" s="119"/>
      <c r="Q77" s="119"/>
      <c r="S77" s="119"/>
    </row>
    <row r="78" spans="1:86" customFormat="1">
      <c r="A78" s="121"/>
      <c r="B78" s="122"/>
      <c r="C78" s="122"/>
      <c r="D78" s="121"/>
      <c r="E78" s="121"/>
      <c r="F78" s="121"/>
      <c r="G78" s="121"/>
      <c r="H78" s="121"/>
      <c r="I78" s="121"/>
      <c r="J78" s="121"/>
      <c r="K78" s="121"/>
      <c r="L78" s="121"/>
      <c r="M78" s="121"/>
    </row>
    <row r="79" spans="1:86" customFormat="1">
      <c r="E79" s="105"/>
      <c r="Q79" s="121"/>
      <c r="S79" s="121"/>
    </row>
    <row r="80" spans="1:86">
      <c r="E80" s="37"/>
    </row>
  </sheetData>
  <mergeCells count="29">
    <mergeCell ref="BU4:BV4"/>
    <mergeCell ref="BW4:CH4"/>
    <mergeCell ref="BO4:BO5"/>
    <mergeCell ref="BP4:BQ5"/>
    <mergeCell ref="BR4:BR5"/>
    <mergeCell ref="BS4:BS5"/>
    <mergeCell ref="BT4:BT5"/>
    <mergeCell ref="I4:T4"/>
    <mergeCell ref="A4:A5"/>
    <mergeCell ref="B4:C5"/>
    <mergeCell ref="D4:D5"/>
    <mergeCell ref="E4:E5"/>
    <mergeCell ref="F4:F5"/>
    <mergeCell ref="G4:H4"/>
    <mergeCell ref="AX4:AX5"/>
    <mergeCell ref="AY4:AZ4"/>
    <mergeCell ref="BA4:BL4"/>
    <mergeCell ref="W4:W5"/>
    <mergeCell ref="X4:Y5"/>
    <mergeCell ref="AE4:AP4"/>
    <mergeCell ref="Z4:Z5"/>
    <mergeCell ref="AB4:AB5"/>
    <mergeCell ref="AA4:AA5"/>
    <mergeCell ref="AC4:AD4"/>
    <mergeCell ref="AS4:AS5"/>
    <mergeCell ref="AT4:AU5"/>
    <mergeCell ref="AV4:AV5"/>
    <mergeCell ref="AW4:AW5"/>
    <mergeCell ref="AQ4:AR6"/>
  </mergeCells>
  <conditionalFormatting sqref="A74">
    <cfRule type="iconSet" priority="72">
      <iconSet iconSet="3ArrowsGray" showValue="0">
        <cfvo type="percent" val="0"/>
        <cfvo type="num" val="2"/>
        <cfvo type="num" val="3"/>
      </iconSet>
    </cfRule>
  </conditionalFormatting>
  <conditionalFormatting sqref="A75">
    <cfRule type="iconSet" priority="71">
      <iconSet iconSet="3ArrowsGray" showValue="0">
        <cfvo type="percent" val="0"/>
        <cfvo type="num" val="2"/>
        <cfvo type="num" val="3"/>
      </iconSet>
    </cfRule>
  </conditionalFormatting>
  <conditionalFormatting sqref="C8">
    <cfRule type="iconSet" priority="100">
      <iconSet iconSet="3ArrowsGray" showValue="0">
        <cfvo type="percent" val="0"/>
        <cfvo type="num" val="2"/>
        <cfvo type="num" val="3"/>
      </iconSet>
    </cfRule>
  </conditionalFormatting>
  <conditionalFormatting sqref="C9">
    <cfRule type="iconSet" priority="50">
      <iconSet iconSet="3ArrowsGray" showValue="0">
        <cfvo type="percent" val="0"/>
        <cfvo type="num" val="2"/>
        <cfvo type="num" val="3"/>
      </iconSet>
    </cfRule>
    <cfRule type="iconSet" priority="49">
      <iconSet iconSet="3ArrowsGray" showValue="0">
        <cfvo type="percent" val="0"/>
        <cfvo type="num" val="2"/>
        <cfvo type="num" val="3"/>
      </iconSet>
    </cfRule>
  </conditionalFormatting>
  <conditionalFormatting sqref="C10:C16">
    <cfRule type="iconSet" priority="48244">
      <iconSet iconSet="3ArrowsGray" showValue="0">
        <cfvo type="percent" val="0"/>
        <cfvo type="num" val="2"/>
        <cfvo type="num" val="3"/>
      </iconSet>
    </cfRule>
  </conditionalFormatting>
  <conditionalFormatting sqref="C21:C23">
    <cfRule type="iconSet" priority="55">
      <iconSet iconSet="3ArrowsGray" showValue="0">
        <cfvo type="percent" val="0"/>
        <cfvo type="num" val="2"/>
        <cfvo type="num" val="3"/>
      </iconSet>
    </cfRule>
    <cfRule type="iconSet" priority="56">
      <iconSet iconSet="3ArrowsGray" showValue="0">
        <cfvo type="percent" val="0"/>
        <cfvo type="num" val="2"/>
        <cfvo type="num" val="3"/>
      </iconSet>
    </cfRule>
  </conditionalFormatting>
  <conditionalFormatting sqref="C33:C34">
    <cfRule type="iconSet" priority="47660">
      <iconSet iconSet="3ArrowsGray" showValue="0">
        <cfvo type="percent" val="0"/>
        <cfvo type="num" val="2"/>
        <cfvo type="num" val="3"/>
      </iconSet>
    </cfRule>
    <cfRule type="iconSet" priority="47661">
      <iconSet iconSet="3ArrowsGray" showValue="0">
        <cfvo type="percent" val="0"/>
        <cfvo type="num" val="2"/>
        <cfvo type="num" val="3"/>
      </iconSet>
    </cfRule>
  </conditionalFormatting>
  <conditionalFormatting sqref="C35">
    <cfRule type="iconSet" priority="48378">
      <iconSet iconSet="3ArrowsGray" showValue="0">
        <cfvo type="percent" val="0"/>
        <cfvo type="num" val="2"/>
        <cfvo type="num" val="3"/>
      </iconSet>
    </cfRule>
    <cfRule type="iconSet" priority="48377">
      <iconSet iconSet="3ArrowsGray" showValue="0">
        <cfvo type="percent" val="0"/>
        <cfvo type="num" val="2"/>
        <cfvo type="num" val="3"/>
      </iconSet>
    </cfRule>
  </conditionalFormatting>
  <conditionalFormatting sqref="C36:C50 C19:C20 C8 C24:C32">
    <cfRule type="iconSet" priority="47744">
      <iconSet iconSet="3ArrowsGray" showValue="0">
        <cfvo type="percent" val="0"/>
        <cfvo type="num" val="2"/>
        <cfvo type="num" val="3"/>
      </iconSet>
    </cfRule>
  </conditionalFormatting>
  <conditionalFormatting sqref="C36:C50 C19:C20 C24:C32">
    <cfRule type="iconSet" priority="47749">
      <iconSet iconSet="3ArrowsGray" showValue="0">
        <cfvo type="percent" val="0"/>
        <cfvo type="num" val="2"/>
        <cfvo type="num" val="3"/>
      </iconSet>
    </cfRule>
  </conditionalFormatting>
  <conditionalFormatting sqref="C51">
    <cfRule type="iconSet" priority="93">
      <iconSet iconSet="3ArrowsGray" showValue="0">
        <cfvo type="percent" val="0"/>
        <cfvo type="num" val="2"/>
        <cfvo type="num" val="3"/>
      </iconSet>
    </cfRule>
  </conditionalFormatting>
  <conditionalFormatting sqref="C51:C68 C18 C10:C16">
    <cfRule type="iconSet" priority="47534">
      <iconSet iconSet="3ArrowsGray" showValue="0">
        <cfvo type="percent" val="0"/>
        <cfvo type="num" val="2"/>
        <cfvo type="num" val="3"/>
      </iconSet>
    </cfRule>
  </conditionalFormatting>
  <conditionalFormatting sqref="C70">
    <cfRule type="iconSet" priority="74">
      <iconSet iconSet="3ArrowsGray" showValue="0">
        <cfvo type="percent" val="0"/>
        <cfvo type="num" val="2"/>
        <cfvo type="num" val="3"/>
      </iconSet>
    </cfRule>
  </conditionalFormatting>
  <conditionalFormatting sqref="C71">
    <cfRule type="iconSet" priority="77">
      <iconSet iconSet="3ArrowsGray" showValue="0">
        <cfvo type="percent" val="0"/>
        <cfvo type="num" val="2"/>
        <cfvo type="num" val="3"/>
      </iconSet>
    </cfRule>
  </conditionalFormatting>
  <conditionalFormatting sqref="D70">
    <cfRule type="iconSet" priority="76">
      <iconSet iconSet="3ArrowsGray" showValue="0">
        <cfvo type="percent" val="0"/>
        <cfvo type="num" val="2"/>
        <cfvo type="num" val="3"/>
      </iconSet>
    </cfRule>
    <cfRule type="iconSet" priority="64">
      <iconSet iconSet="3ArrowsGray" showValue="0">
        <cfvo type="percent" val="0"/>
        <cfvo type="num" val="2"/>
        <cfvo type="num" val="3"/>
      </iconSet>
    </cfRule>
  </conditionalFormatting>
  <conditionalFormatting sqref="E70">
    <cfRule type="iconSet" priority="75">
      <iconSet iconSet="3ArrowsGray" showValue="0">
        <cfvo type="percent" val="0"/>
        <cfvo type="num" val="2"/>
        <cfvo type="num" val="3"/>
      </iconSet>
    </cfRule>
  </conditionalFormatting>
  <conditionalFormatting sqref="G70:H70">
    <cfRule type="iconSet" priority="29932">
      <iconSet iconSet="3ArrowsGray" showValue="0">
        <cfvo type="percent" val="0"/>
        <cfvo type="num" val="2"/>
        <cfvo type="num" val="3"/>
      </iconSet>
    </cfRule>
  </conditionalFormatting>
  <conditionalFormatting sqref="G71:H71">
    <cfRule type="iconSet" priority="29931">
      <iconSet iconSet="3ArrowsGray" showValue="0">
        <cfvo type="percent" val="0"/>
        <cfvo type="num" val="2"/>
        <cfvo type="num" val="3"/>
      </iconSet>
    </cfRule>
  </conditionalFormatting>
  <conditionalFormatting sqref="I70:T70">
    <cfRule type="iconSet" priority="73">
      <iconSet iconSet="3ArrowsGray" showValue="0">
        <cfvo type="percent" val="0"/>
        <cfvo type="num" val="2"/>
        <cfvo type="num" val="3"/>
      </iconSet>
    </cfRule>
  </conditionalFormatting>
  <conditionalFormatting sqref="I71:T71">
    <cfRule type="iconSet" priority="66">
      <iconSet iconSet="3ArrowsGray" showValue="0">
        <cfvo type="percent" val="0"/>
        <cfvo type="num" val="2"/>
        <cfvo type="num" val="3"/>
      </iconSet>
    </cfRule>
    <cfRule type="iconSet" priority="65">
      <iconSet iconSet="3ArrowsGray" showValue="0">
        <cfvo type="percent" val="0"/>
        <cfvo type="num" val="2"/>
        <cfvo type="num" val="3"/>
      </iconSet>
    </cfRule>
  </conditionalFormatting>
  <conditionalFormatting sqref="Y8">
    <cfRule type="iconSet" priority="34">
      <iconSet iconSet="3ArrowsGray" showValue="0">
        <cfvo type="percent" val="0"/>
        <cfvo type="num" val="2"/>
        <cfvo type="num" val="3"/>
      </iconSet>
    </cfRule>
  </conditionalFormatting>
  <conditionalFormatting sqref="Y9">
    <cfRule type="iconSet" priority="29">
      <iconSet iconSet="3ArrowsGray" showValue="0">
        <cfvo type="percent" val="0"/>
        <cfvo type="num" val="2"/>
        <cfvo type="num" val="3"/>
      </iconSet>
    </cfRule>
    <cfRule type="iconSet" priority="30">
      <iconSet iconSet="3ArrowsGray" showValue="0">
        <cfvo type="percent" val="0"/>
        <cfvo type="num" val="2"/>
        <cfvo type="num" val="3"/>
      </iconSet>
    </cfRule>
  </conditionalFormatting>
  <conditionalFormatting sqref="Y10:Y16">
    <cfRule type="iconSet" priority="40">
      <iconSet iconSet="3ArrowsGray" showValue="0">
        <cfvo type="percent" val="0"/>
        <cfvo type="num" val="2"/>
        <cfvo type="num" val="3"/>
      </iconSet>
    </cfRule>
  </conditionalFormatting>
  <conditionalFormatting sqref="Y21:Y23">
    <cfRule type="iconSet" priority="31">
      <iconSet iconSet="3ArrowsGray" showValue="0">
        <cfvo type="percent" val="0"/>
        <cfvo type="num" val="2"/>
        <cfvo type="num" val="3"/>
      </iconSet>
    </cfRule>
    <cfRule type="iconSet" priority="32">
      <iconSet iconSet="3ArrowsGray" showValue="0">
        <cfvo type="percent" val="0"/>
        <cfvo type="num" val="2"/>
        <cfvo type="num" val="3"/>
      </iconSet>
    </cfRule>
  </conditionalFormatting>
  <conditionalFormatting sqref="Y33:Y34">
    <cfRule type="iconSet" priority="37">
      <iconSet iconSet="3ArrowsGray" showValue="0">
        <cfvo type="percent" val="0"/>
        <cfvo type="num" val="2"/>
        <cfvo type="num" val="3"/>
      </iconSet>
    </cfRule>
    <cfRule type="iconSet" priority="36">
      <iconSet iconSet="3ArrowsGray" showValue="0">
        <cfvo type="percent" val="0"/>
        <cfvo type="num" val="2"/>
        <cfvo type="num" val="3"/>
      </iconSet>
    </cfRule>
  </conditionalFormatting>
  <conditionalFormatting sqref="Y35">
    <cfRule type="iconSet" priority="42">
      <iconSet iconSet="3ArrowsGray" showValue="0">
        <cfvo type="percent" val="0"/>
        <cfvo type="num" val="2"/>
        <cfvo type="num" val="3"/>
      </iconSet>
    </cfRule>
    <cfRule type="iconSet" priority="41">
      <iconSet iconSet="3ArrowsGray" showValue="0">
        <cfvo type="percent" val="0"/>
        <cfvo type="num" val="2"/>
        <cfvo type="num" val="3"/>
      </iconSet>
    </cfRule>
  </conditionalFormatting>
  <conditionalFormatting sqref="Y36:Y50 Y19:Y20 Y8 Y24:Y32">
    <cfRule type="iconSet" priority="38">
      <iconSet iconSet="3ArrowsGray" showValue="0">
        <cfvo type="percent" val="0"/>
        <cfvo type="num" val="2"/>
        <cfvo type="num" val="3"/>
      </iconSet>
    </cfRule>
  </conditionalFormatting>
  <conditionalFormatting sqref="Y36:Y50 Y19:Y20 Y24:Y32">
    <cfRule type="iconSet" priority="39">
      <iconSet iconSet="3ArrowsGray" showValue="0">
        <cfvo type="percent" val="0"/>
        <cfvo type="num" val="2"/>
        <cfvo type="num" val="3"/>
      </iconSet>
    </cfRule>
  </conditionalFormatting>
  <conditionalFormatting sqref="Y51">
    <cfRule type="iconSet" priority="33">
      <iconSet iconSet="3ArrowsGray" showValue="0">
        <cfvo type="percent" val="0"/>
        <cfvo type="num" val="2"/>
        <cfvo type="num" val="3"/>
      </iconSet>
    </cfRule>
  </conditionalFormatting>
  <conditionalFormatting sqref="Y51:Y68 Y18 Y10:Y16">
    <cfRule type="iconSet" priority="35">
      <iconSet iconSet="3ArrowsGray" showValue="0">
        <cfvo type="percent" val="0"/>
        <cfvo type="num" val="2"/>
        <cfvo type="num" val="3"/>
      </iconSet>
    </cfRule>
  </conditionalFormatting>
  <conditionalFormatting sqref="AU8">
    <cfRule type="iconSet" priority="20">
      <iconSet iconSet="3ArrowsGray" showValue="0">
        <cfvo type="percent" val="0"/>
        <cfvo type="num" val="2"/>
        <cfvo type="num" val="3"/>
      </iconSet>
    </cfRule>
  </conditionalFormatting>
  <conditionalFormatting sqref="AU9">
    <cfRule type="iconSet" priority="16">
      <iconSet iconSet="3ArrowsGray" showValue="0">
        <cfvo type="percent" val="0"/>
        <cfvo type="num" val="2"/>
        <cfvo type="num" val="3"/>
      </iconSet>
    </cfRule>
    <cfRule type="iconSet" priority="15">
      <iconSet iconSet="3ArrowsGray" showValue="0">
        <cfvo type="percent" val="0"/>
        <cfvo type="num" val="2"/>
        <cfvo type="num" val="3"/>
      </iconSet>
    </cfRule>
  </conditionalFormatting>
  <conditionalFormatting sqref="AU10:AU16">
    <cfRule type="iconSet" priority="26">
      <iconSet iconSet="3ArrowsGray" showValue="0">
        <cfvo type="percent" val="0"/>
        <cfvo type="num" val="2"/>
        <cfvo type="num" val="3"/>
      </iconSet>
    </cfRule>
  </conditionalFormatting>
  <conditionalFormatting sqref="AU21:AU23">
    <cfRule type="iconSet" priority="18">
      <iconSet iconSet="3ArrowsGray" showValue="0">
        <cfvo type="percent" val="0"/>
        <cfvo type="num" val="2"/>
        <cfvo type="num" val="3"/>
      </iconSet>
    </cfRule>
    <cfRule type="iconSet" priority="17">
      <iconSet iconSet="3ArrowsGray" showValue="0">
        <cfvo type="percent" val="0"/>
        <cfvo type="num" val="2"/>
        <cfvo type="num" val="3"/>
      </iconSet>
    </cfRule>
  </conditionalFormatting>
  <conditionalFormatting sqref="AU33:AU34">
    <cfRule type="iconSet" priority="22">
      <iconSet iconSet="3ArrowsGray" showValue="0">
        <cfvo type="percent" val="0"/>
        <cfvo type="num" val="2"/>
        <cfvo type="num" val="3"/>
      </iconSet>
    </cfRule>
    <cfRule type="iconSet" priority="23">
      <iconSet iconSet="3ArrowsGray" showValue="0">
        <cfvo type="percent" val="0"/>
        <cfvo type="num" val="2"/>
        <cfvo type="num" val="3"/>
      </iconSet>
    </cfRule>
  </conditionalFormatting>
  <conditionalFormatting sqref="AU35">
    <cfRule type="iconSet" priority="27">
      <iconSet iconSet="3ArrowsGray" showValue="0">
        <cfvo type="percent" val="0"/>
        <cfvo type="num" val="2"/>
        <cfvo type="num" val="3"/>
      </iconSet>
    </cfRule>
    <cfRule type="iconSet" priority="28">
      <iconSet iconSet="3ArrowsGray" showValue="0">
        <cfvo type="percent" val="0"/>
        <cfvo type="num" val="2"/>
        <cfvo type="num" val="3"/>
      </iconSet>
    </cfRule>
  </conditionalFormatting>
  <conditionalFormatting sqref="AU36:AU50 AU19:AU20 AU8 AU24:AU32">
    <cfRule type="iconSet" priority="24">
      <iconSet iconSet="3ArrowsGray" showValue="0">
        <cfvo type="percent" val="0"/>
        <cfvo type="num" val="2"/>
        <cfvo type="num" val="3"/>
      </iconSet>
    </cfRule>
  </conditionalFormatting>
  <conditionalFormatting sqref="AU36:AU50 AU19:AU20 AU24:AU32">
    <cfRule type="iconSet" priority="25">
      <iconSet iconSet="3ArrowsGray" showValue="0">
        <cfvo type="percent" val="0"/>
        <cfvo type="num" val="2"/>
        <cfvo type="num" val="3"/>
      </iconSet>
    </cfRule>
  </conditionalFormatting>
  <conditionalFormatting sqref="AU51">
    <cfRule type="iconSet" priority="19">
      <iconSet iconSet="3ArrowsGray" showValue="0">
        <cfvo type="percent" val="0"/>
        <cfvo type="num" val="2"/>
        <cfvo type="num" val="3"/>
      </iconSet>
    </cfRule>
  </conditionalFormatting>
  <conditionalFormatting sqref="AU51:AU68 AU18 AU10:AU16">
    <cfRule type="iconSet" priority="21">
      <iconSet iconSet="3ArrowsGray" showValue="0">
        <cfvo type="percent" val="0"/>
        <cfvo type="num" val="2"/>
        <cfvo type="num" val="3"/>
      </iconSet>
    </cfRule>
  </conditionalFormatting>
  <conditionalFormatting sqref="BQ8">
    <cfRule type="iconSet" priority="6">
      <iconSet iconSet="3ArrowsGray" showValue="0">
        <cfvo type="percent" val="0"/>
        <cfvo type="num" val="2"/>
        <cfvo type="num" val="3"/>
      </iconSet>
    </cfRule>
  </conditionalFormatting>
  <conditionalFormatting sqref="BQ9">
    <cfRule type="iconSet" priority="1">
      <iconSet iconSet="3ArrowsGray" showValue="0">
        <cfvo type="percent" val="0"/>
        <cfvo type="num" val="2"/>
        <cfvo type="num" val="3"/>
      </iconSet>
    </cfRule>
    <cfRule type="iconSet" priority="2">
      <iconSet iconSet="3ArrowsGray" showValue="0">
        <cfvo type="percent" val="0"/>
        <cfvo type="num" val="2"/>
        <cfvo type="num" val="3"/>
      </iconSet>
    </cfRule>
  </conditionalFormatting>
  <conditionalFormatting sqref="BQ10:BQ16">
    <cfRule type="iconSet" priority="12">
      <iconSet iconSet="3ArrowsGray" showValue="0">
        <cfvo type="percent" val="0"/>
        <cfvo type="num" val="2"/>
        <cfvo type="num" val="3"/>
      </iconSet>
    </cfRule>
  </conditionalFormatting>
  <conditionalFormatting sqref="BQ21:BQ23">
    <cfRule type="iconSet" priority="4">
      <iconSet iconSet="3ArrowsGray" showValue="0">
        <cfvo type="percent" val="0"/>
        <cfvo type="num" val="2"/>
        <cfvo type="num" val="3"/>
      </iconSet>
    </cfRule>
    <cfRule type="iconSet" priority="3">
      <iconSet iconSet="3ArrowsGray" showValue="0">
        <cfvo type="percent" val="0"/>
        <cfvo type="num" val="2"/>
        <cfvo type="num" val="3"/>
      </iconSet>
    </cfRule>
  </conditionalFormatting>
  <conditionalFormatting sqref="BQ33:BQ34">
    <cfRule type="iconSet" priority="9">
      <iconSet iconSet="3ArrowsGray" showValue="0">
        <cfvo type="percent" val="0"/>
        <cfvo type="num" val="2"/>
        <cfvo type="num" val="3"/>
      </iconSet>
    </cfRule>
    <cfRule type="iconSet" priority="8">
      <iconSet iconSet="3ArrowsGray" showValue="0">
        <cfvo type="percent" val="0"/>
        <cfvo type="num" val="2"/>
        <cfvo type="num" val="3"/>
      </iconSet>
    </cfRule>
  </conditionalFormatting>
  <conditionalFormatting sqref="BQ35">
    <cfRule type="iconSet" priority="14">
      <iconSet iconSet="3ArrowsGray" showValue="0">
        <cfvo type="percent" val="0"/>
        <cfvo type="num" val="2"/>
        <cfvo type="num" val="3"/>
      </iconSet>
    </cfRule>
    <cfRule type="iconSet" priority="13">
      <iconSet iconSet="3ArrowsGray" showValue="0">
        <cfvo type="percent" val="0"/>
        <cfvo type="num" val="2"/>
        <cfvo type="num" val="3"/>
      </iconSet>
    </cfRule>
  </conditionalFormatting>
  <conditionalFormatting sqref="BQ36:BQ50 BQ19:BQ20 BQ8 BQ24:BQ32">
    <cfRule type="iconSet" priority="10">
      <iconSet iconSet="3ArrowsGray" showValue="0">
        <cfvo type="percent" val="0"/>
        <cfvo type="num" val="2"/>
        <cfvo type="num" val="3"/>
      </iconSet>
    </cfRule>
  </conditionalFormatting>
  <conditionalFormatting sqref="BQ36:BQ50 BQ19:BQ20 BQ24:BQ32">
    <cfRule type="iconSet" priority="11">
      <iconSet iconSet="3ArrowsGray" showValue="0">
        <cfvo type="percent" val="0"/>
        <cfvo type="num" val="2"/>
        <cfvo type="num" val="3"/>
      </iconSet>
    </cfRule>
  </conditionalFormatting>
  <conditionalFormatting sqref="BQ51">
    <cfRule type="iconSet" priority="5">
      <iconSet iconSet="3ArrowsGray" showValue="0">
        <cfvo type="percent" val="0"/>
        <cfvo type="num" val="2"/>
        <cfvo type="num" val="3"/>
      </iconSet>
    </cfRule>
  </conditionalFormatting>
  <conditionalFormatting sqref="BQ51:BQ68 BQ18 BQ10:BQ16">
    <cfRule type="iconSet" priority="7">
      <iconSet iconSet="3ArrowsGray" showValue="0">
        <cfvo type="percent" val="0"/>
        <cfvo type="num" val="2"/>
        <cfvo type="num" val="3"/>
      </iconSet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47" fitToHeight="0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0000"/>
    <pageSetUpPr fitToPage="1"/>
  </sheetPr>
  <dimension ref="A1:CH68"/>
  <sheetViews>
    <sheetView topLeftCell="BO1" zoomScale="70" zoomScaleNormal="70" workbookViewId="0">
      <selection activeCell="BU24" sqref="BU24"/>
    </sheetView>
  </sheetViews>
  <sheetFormatPr defaultColWidth="8.85546875" defaultRowHeight="15"/>
  <cols>
    <col min="1" max="1" width="5.7109375" style="28" customWidth="1"/>
    <col min="2" max="2" width="60" style="30" customWidth="1"/>
    <col min="3" max="3" width="2.85546875" style="377" customWidth="1"/>
    <col min="4" max="4" width="20.140625" style="28" customWidth="1"/>
    <col min="5" max="5" width="106.7109375" style="336" hidden="1" customWidth="1"/>
    <col min="6" max="6" width="10.140625" style="30" customWidth="1"/>
    <col min="7" max="20" width="11.28515625" style="30" customWidth="1"/>
    <col min="21" max="22" width="8.85546875" style="31" customWidth="1"/>
    <col min="23" max="23" width="5.5703125" style="30" customWidth="1"/>
    <col min="24" max="24" width="60" style="30" customWidth="1"/>
    <col min="25" max="25" width="4.140625" style="30" customWidth="1"/>
    <col min="26" max="26" width="11.7109375" style="30" bestFit="1" customWidth="1"/>
    <col min="27" max="27" width="120.28515625" style="30" hidden="1" customWidth="1"/>
    <col min="28" max="28" width="7.28515625" style="30" bestFit="1" customWidth="1"/>
    <col min="29" max="29" width="11" style="30" customWidth="1"/>
    <col min="30" max="30" width="11.140625" style="30" customWidth="1"/>
    <col min="31" max="42" width="11.28515625" style="30" customWidth="1"/>
    <col min="43" max="44" width="8.85546875" style="30"/>
    <col min="45" max="45" width="5.5703125" style="30" customWidth="1"/>
    <col min="46" max="46" width="60" style="30" customWidth="1"/>
    <col min="47" max="47" width="4.140625" style="30" customWidth="1"/>
    <col min="48" max="48" width="11.7109375" style="30" bestFit="1" customWidth="1"/>
    <col min="49" max="49" width="120.28515625" style="30" hidden="1" customWidth="1"/>
    <col min="50" max="50" width="7.28515625" style="30" bestFit="1" customWidth="1"/>
    <col min="51" max="51" width="14.28515625" style="30" customWidth="1"/>
    <col min="52" max="52" width="12.42578125" style="30" bestFit="1" customWidth="1"/>
    <col min="53" max="64" width="11.28515625" style="30" customWidth="1"/>
    <col min="65" max="66" width="8.85546875" style="30"/>
    <col min="67" max="67" width="5.5703125" style="30" customWidth="1"/>
    <col min="68" max="68" width="60" style="30" customWidth="1"/>
    <col min="69" max="69" width="4.140625" style="30" customWidth="1"/>
    <col min="70" max="70" width="11.7109375" style="30" bestFit="1" customWidth="1"/>
    <col min="71" max="71" width="0" style="30" hidden="1" customWidth="1"/>
    <col min="72" max="72" width="10.5703125" style="30" bestFit="1" customWidth="1"/>
    <col min="73" max="73" width="14.28515625" style="30" customWidth="1"/>
    <col min="74" max="74" width="12.42578125" style="30" bestFit="1" customWidth="1"/>
    <col min="75" max="86" width="11.28515625" style="30" customWidth="1"/>
    <col min="87" max="16384" width="8.85546875" style="30"/>
  </cols>
  <sheetData>
    <row r="1" spans="1:86" ht="15.75">
      <c r="B1" s="29" t="s">
        <v>251</v>
      </c>
      <c r="C1" s="362"/>
      <c r="I1" s="22"/>
    </row>
    <row r="2" spans="1:86" ht="15.75">
      <c r="B2" s="29" t="s">
        <v>123</v>
      </c>
      <c r="C2" s="362"/>
    </row>
    <row r="3" spans="1:86" ht="15.75">
      <c r="B3" s="29" t="s">
        <v>372</v>
      </c>
      <c r="C3" s="362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</row>
    <row r="4" spans="1:86" s="33" customFormat="1" ht="15" customHeight="1">
      <c r="A4" s="818" t="s">
        <v>8</v>
      </c>
      <c r="B4" s="820" t="s">
        <v>451</v>
      </c>
      <c r="C4" s="821"/>
      <c r="D4" s="818" t="s">
        <v>93</v>
      </c>
      <c r="E4" s="818" t="s">
        <v>271</v>
      </c>
      <c r="F4" s="818" t="s">
        <v>99</v>
      </c>
      <c r="G4" s="824" t="s">
        <v>100</v>
      </c>
      <c r="H4" s="825"/>
      <c r="I4" s="807" t="s">
        <v>381</v>
      </c>
      <c r="J4" s="808"/>
      <c r="K4" s="808"/>
      <c r="L4" s="808"/>
      <c r="M4" s="808"/>
      <c r="N4" s="808"/>
      <c r="O4" s="808"/>
      <c r="P4" s="808"/>
      <c r="Q4" s="808"/>
      <c r="R4" s="808"/>
      <c r="S4" s="808"/>
      <c r="T4" s="809"/>
      <c r="U4" s="32"/>
      <c r="V4"/>
      <c r="W4" s="812" t="s">
        <v>8</v>
      </c>
      <c r="X4" s="814" t="s">
        <v>451</v>
      </c>
      <c r="Y4" s="815"/>
      <c r="Z4" s="790" t="s">
        <v>93</v>
      </c>
      <c r="AA4" s="795" t="s">
        <v>271</v>
      </c>
      <c r="AB4" s="790" t="s">
        <v>99</v>
      </c>
      <c r="AC4" s="790" t="s">
        <v>486</v>
      </c>
      <c r="AD4" s="790" t="s">
        <v>487</v>
      </c>
      <c r="AE4" s="807" t="s">
        <v>494</v>
      </c>
      <c r="AF4" s="808"/>
      <c r="AG4" s="808"/>
      <c r="AH4" s="808"/>
      <c r="AI4" s="808"/>
      <c r="AJ4" s="808"/>
      <c r="AK4" s="808"/>
      <c r="AL4" s="808"/>
      <c r="AM4" s="808"/>
      <c r="AN4" s="808"/>
      <c r="AO4" s="808"/>
      <c r="AP4" s="809"/>
      <c r="AS4" s="812" t="s">
        <v>8</v>
      </c>
      <c r="AT4" s="814" t="s">
        <v>451</v>
      </c>
      <c r="AU4" s="815"/>
      <c r="AV4" s="790" t="s">
        <v>93</v>
      </c>
      <c r="AW4" s="795" t="s">
        <v>271</v>
      </c>
      <c r="AX4" s="790" t="s">
        <v>99</v>
      </c>
      <c r="AY4" s="790" t="s">
        <v>485</v>
      </c>
      <c r="AZ4" s="790" t="s">
        <v>484</v>
      </c>
      <c r="BA4" s="807" t="s">
        <v>483</v>
      </c>
      <c r="BB4" s="808"/>
      <c r="BC4" s="808"/>
      <c r="BD4" s="808"/>
      <c r="BE4" s="808"/>
      <c r="BF4" s="808"/>
      <c r="BG4" s="808"/>
      <c r="BH4" s="808"/>
      <c r="BI4" s="808"/>
      <c r="BJ4" s="808"/>
      <c r="BK4" s="808"/>
      <c r="BL4" s="809"/>
      <c r="BO4" s="812" t="s">
        <v>8</v>
      </c>
      <c r="BP4" s="814" t="s">
        <v>451</v>
      </c>
      <c r="BQ4" s="815"/>
      <c r="BR4" s="790" t="s">
        <v>93</v>
      </c>
      <c r="BS4" s="795" t="s">
        <v>271</v>
      </c>
      <c r="BT4" s="790" t="s">
        <v>99</v>
      </c>
      <c r="BU4" s="790" t="s">
        <v>485</v>
      </c>
      <c r="BV4" s="790" t="s">
        <v>484</v>
      </c>
      <c r="BW4" s="807" t="s">
        <v>483</v>
      </c>
      <c r="BX4" s="808"/>
      <c r="BY4" s="808"/>
      <c r="BZ4" s="808"/>
      <c r="CA4" s="808"/>
      <c r="CB4" s="808"/>
      <c r="CC4" s="808"/>
      <c r="CD4" s="808"/>
      <c r="CE4" s="808"/>
      <c r="CF4" s="808"/>
      <c r="CG4" s="808"/>
      <c r="CH4" s="809"/>
    </row>
    <row r="5" spans="1:86" s="33" customFormat="1" ht="15" customHeight="1">
      <c r="A5" s="819"/>
      <c r="B5" s="822"/>
      <c r="C5" s="823"/>
      <c r="D5" s="819"/>
      <c r="E5" s="819"/>
      <c r="F5" s="819"/>
      <c r="G5" s="428" t="s">
        <v>273</v>
      </c>
      <c r="H5" s="428" t="s">
        <v>274</v>
      </c>
      <c r="I5" s="424" t="s">
        <v>94</v>
      </c>
      <c r="J5" s="424" t="s">
        <v>95</v>
      </c>
      <c r="K5" s="424" t="s">
        <v>96</v>
      </c>
      <c r="L5" s="424" t="s">
        <v>488</v>
      </c>
      <c r="M5" s="424" t="s">
        <v>489</v>
      </c>
      <c r="N5" s="424" t="s">
        <v>490</v>
      </c>
      <c r="O5" s="424" t="s">
        <v>491</v>
      </c>
      <c r="P5" s="424" t="s">
        <v>165</v>
      </c>
      <c r="Q5" s="424" t="s">
        <v>167</v>
      </c>
      <c r="R5" s="424" t="s">
        <v>492</v>
      </c>
      <c r="S5" s="424" t="s">
        <v>171</v>
      </c>
      <c r="T5" s="424" t="s">
        <v>493</v>
      </c>
      <c r="U5" s="32"/>
      <c r="V5"/>
      <c r="W5" s="813"/>
      <c r="X5" s="816"/>
      <c r="Y5" s="817"/>
      <c r="Z5" s="791"/>
      <c r="AA5" s="796"/>
      <c r="AB5" s="791"/>
      <c r="AC5" s="791"/>
      <c r="AD5" s="791"/>
      <c r="AE5" s="424" t="s">
        <v>94</v>
      </c>
      <c r="AF5" s="424" t="s">
        <v>95</v>
      </c>
      <c r="AG5" s="424" t="s">
        <v>96</v>
      </c>
      <c r="AH5" s="424" t="s">
        <v>488</v>
      </c>
      <c r="AI5" s="424" t="s">
        <v>489</v>
      </c>
      <c r="AJ5" s="424" t="s">
        <v>490</v>
      </c>
      <c r="AK5" s="424" t="s">
        <v>491</v>
      </c>
      <c r="AL5" s="424" t="s">
        <v>165</v>
      </c>
      <c r="AM5" s="424" t="s">
        <v>167</v>
      </c>
      <c r="AN5" s="424" t="s">
        <v>492</v>
      </c>
      <c r="AO5" s="424" t="s">
        <v>171</v>
      </c>
      <c r="AP5" s="424" t="s">
        <v>493</v>
      </c>
      <c r="AS5" s="813"/>
      <c r="AT5" s="816"/>
      <c r="AU5" s="817"/>
      <c r="AV5" s="791"/>
      <c r="AW5" s="796"/>
      <c r="AX5" s="791"/>
      <c r="AY5" s="791"/>
      <c r="AZ5" s="791"/>
      <c r="BA5" s="424" t="s">
        <v>94</v>
      </c>
      <c r="BB5" s="424" t="s">
        <v>95</v>
      </c>
      <c r="BC5" s="424" t="s">
        <v>96</v>
      </c>
      <c r="BD5" s="424" t="s">
        <v>488</v>
      </c>
      <c r="BE5" s="424" t="s">
        <v>489</v>
      </c>
      <c r="BF5" s="424" t="s">
        <v>490</v>
      </c>
      <c r="BG5" s="424" t="s">
        <v>491</v>
      </c>
      <c r="BH5" s="424" t="s">
        <v>165</v>
      </c>
      <c r="BI5" s="424" t="s">
        <v>167</v>
      </c>
      <c r="BJ5" s="424" t="s">
        <v>492</v>
      </c>
      <c r="BK5" s="424" t="s">
        <v>171</v>
      </c>
      <c r="BL5" s="424" t="s">
        <v>493</v>
      </c>
      <c r="BO5" s="813"/>
      <c r="BP5" s="816"/>
      <c r="BQ5" s="817"/>
      <c r="BR5" s="791"/>
      <c r="BS5" s="796"/>
      <c r="BT5" s="791"/>
      <c r="BU5" s="791"/>
      <c r="BV5" s="791"/>
      <c r="BW5" s="424" t="s">
        <v>94</v>
      </c>
      <c r="BX5" s="424" t="s">
        <v>95</v>
      </c>
      <c r="BY5" s="424" t="s">
        <v>96</v>
      </c>
      <c r="BZ5" s="424" t="s">
        <v>488</v>
      </c>
      <c r="CA5" s="424" t="s">
        <v>489</v>
      </c>
      <c r="CB5" s="424" t="s">
        <v>490</v>
      </c>
      <c r="CC5" s="424" t="s">
        <v>491</v>
      </c>
      <c r="CD5" s="424" t="s">
        <v>165</v>
      </c>
      <c r="CE5" s="424" t="s">
        <v>167</v>
      </c>
      <c r="CF5" s="424" t="s">
        <v>492</v>
      </c>
      <c r="CG5" s="424" t="s">
        <v>171</v>
      </c>
      <c r="CH5" s="424" t="s">
        <v>493</v>
      </c>
    </row>
    <row r="6" spans="1:86" s="33" customFormat="1" ht="15" customHeight="1">
      <c r="A6" s="428">
        <v>1</v>
      </c>
      <c r="B6" s="456">
        <v>2</v>
      </c>
      <c r="C6" s="400"/>
      <c r="D6" s="428">
        <v>3</v>
      </c>
      <c r="E6" s="428">
        <v>4</v>
      </c>
      <c r="F6" s="428">
        <v>5</v>
      </c>
      <c r="G6" s="428">
        <v>6</v>
      </c>
      <c r="H6" s="428">
        <v>7</v>
      </c>
      <c r="I6" s="428">
        <v>8</v>
      </c>
      <c r="J6" s="428">
        <v>9</v>
      </c>
      <c r="K6" s="428">
        <v>10</v>
      </c>
      <c r="L6" s="428">
        <v>11</v>
      </c>
      <c r="M6" s="428">
        <v>12</v>
      </c>
      <c r="N6" s="428">
        <v>13</v>
      </c>
      <c r="O6" s="428">
        <v>14</v>
      </c>
      <c r="P6" s="428">
        <v>15</v>
      </c>
      <c r="Q6" s="428">
        <v>16</v>
      </c>
      <c r="R6" s="428">
        <v>17</v>
      </c>
      <c r="S6" s="428">
        <v>18</v>
      </c>
      <c r="T6" s="428">
        <v>19</v>
      </c>
      <c r="U6" s="32"/>
      <c r="V6"/>
      <c r="W6" s="427">
        <v>1</v>
      </c>
      <c r="X6" s="810">
        <v>2</v>
      </c>
      <c r="Y6" s="811"/>
      <c r="Z6" s="455">
        <v>3</v>
      </c>
      <c r="AA6" s="425">
        <v>4</v>
      </c>
      <c r="AB6" s="455">
        <v>4</v>
      </c>
      <c r="AC6" s="455">
        <v>5</v>
      </c>
      <c r="AD6" s="424">
        <v>6</v>
      </c>
      <c r="AE6" s="427">
        <v>7</v>
      </c>
      <c r="AF6" s="424">
        <v>8</v>
      </c>
      <c r="AG6" s="427">
        <v>9</v>
      </c>
      <c r="AH6" s="424">
        <v>10</v>
      </c>
      <c r="AI6" s="427">
        <v>11</v>
      </c>
      <c r="AJ6" s="424">
        <v>12</v>
      </c>
      <c r="AK6" s="427">
        <v>13</v>
      </c>
      <c r="AL6" s="424">
        <v>14</v>
      </c>
      <c r="AM6" s="427">
        <v>15</v>
      </c>
      <c r="AN6" s="424">
        <v>16</v>
      </c>
      <c r="AO6" s="427">
        <v>17</v>
      </c>
      <c r="AP6" s="424">
        <v>18</v>
      </c>
      <c r="AS6" s="427">
        <v>1</v>
      </c>
      <c r="AT6" s="810">
        <v>2</v>
      </c>
      <c r="AU6" s="811"/>
      <c r="AV6" s="455">
        <v>3</v>
      </c>
      <c r="AW6" s="425">
        <v>4</v>
      </c>
      <c r="AX6" s="455">
        <v>4</v>
      </c>
      <c r="AY6" s="455">
        <v>5</v>
      </c>
      <c r="AZ6" s="424">
        <v>6</v>
      </c>
      <c r="BA6" s="427">
        <v>7</v>
      </c>
      <c r="BB6" s="424">
        <v>8</v>
      </c>
      <c r="BC6" s="427">
        <v>9</v>
      </c>
      <c r="BD6" s="424">
        <v>10</v>
      </c>
      <c r="BE6" s="427">
        <v>11</v>
      </c>
      <c r="BF6" s="424">
        <v>12</v>
      </c>
      <c r="BG6" s="427">
        <v>13</v>
      </c>
      <c r="BH6" s="424">
        <v>14</v>
      </c>
      <c r="BI6" s="427">
        <v>15</v>
      </c>
      <c r="BJ6" s="424">
        <v>16</v>
      </c>
      <c r="BK6" s="427">
        <v>17</v>
      </c>
      <c r="BL6" s="424">
        <v>18</v>
      </c>
      <c r="BO6" s="427">
        <v>1</v>
      </c>
      <c r="BP6" s="810">
        <v>2</v>
      </c>
      <c r="BQ6" s="811"/>
      <c r="BR6" s="455">
        <v>3</v>
      </c>
      <c r="BS6" s="425">
        <v>4</v>
      </c>
      <c r="BT6" s="455">
        <v>4</v>
      </c>
      <c r="BU6" s="455">
        <v>5</v>
      </c>
      <c r="BV6" s="424">
        <v>6</v>
      </c>
      <c r="BW6" s="427">
        <v>7</v>
      </c>
      <c r="BX6" s="424">
        <v>8</v>
      </c>
      <c r="BY6" s="427">
        <v>9</v>
      </c>
      <c r="BZ6" s="424">
        <v>10</v>
      </c>
      <c r="CA6" s="427">
        <v>11</v>
      </c>
      <c r="CB6" s="424">
        <v>12</v>
      </c>
      <c r="CC6" s="427">
        <v>13</v>
      </c>
      <c r="CD6" s="424">
        <v>14</v>
      </c>
      <c r="CE6" s="427">
        <v>15</v>
      </c>
      <c r="CF6" s="424">
        <v>16</v>
      </c>
      <c r="CG6" s="427">
        <v>17</v>
      </c>
      <c r="CH6" s="424">
        <v>18</v>
      </c>
    </row>
    <row r="7" spans="1:86" s="35" customFormat="1" ht="16.5">
      <c r="A7" s="65" t="s">
        <v>267</v>
      </c>
      <c r="B7" s="48" t="s">
        <v>15</v>
      </c>
      <c r="C7" s="369"/>
      <c r="D7" s="50"/>
      <c r="E7" s="337"/>
      <c r="F7" s="68">
        <f>SUM(F8:F16)</f>
        <v>40</v>
      </c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107"/>
      <c r="U7" s="34"/>
      <c r="V7"/>
      <c r="W7" s="47" t="s">
        <v>267</v>
      </c>
      <c r="X7" s="48" t="s">
        <v>15</v>
      </c>
      <c r="Y7" s="363"/>
      <c r="Z7" s="50"/>
      <c r="AA7" s="48"/>
      <c r="AB7" s="62">
        <v>40</v>
      </c>
      <c r="AC7" s="62"/>
      <c r="AD7" s="62"/>
      <c r="AE7" s="260"/>
      <c r="AF7" s="260"/>
      <c r="AG7" s="260"/>
      <c r="AH7" s="260"/>
      <c r="AI7" s="260"/>
      <c r="AJ7" s="260"/>
      <c r="AK7" s="260"/>
      <c r="AL7" s="260"/>
      <c r="AM7" s="260"/>
      <c r="AN7" s="260"/>
      <c r="AO7" s="260"/>
      <c r="AP7" s="260"/>
      <c r="AS7" s="47" t="s">
        <v>267</v>
      </c>
      <c r="AT7" s="48" t="s">
        <v>15</v>
      </c>
      <c r="AU7" s="363"/>
      <c r="AV7" s="50"/>
      <c r="AW7" s="48"/>
      <c r="AX7" s="62">
        <v>40</v>
      </c>
      <c r="AY7" s="62"/>
      <c r="AZ7" s="62"/>
      <c r="BA7" s="260"/>
      <c r="BB7" s="260"/>
      <c r="BC7" s="260"/>
      <c r="BD7" s="260"/>
      <c r="BE7" s="260"/>
      <c r="BF7" s="260"/>
      <c r="BG7" s="260"/>
      <c r="BH7" s="260"/>
      <c r="BI7" s="260"/>
      <c r="BJ7" s="260"/>
      <c r="BK7" s="260"/>
      <c r="BL7" s="260"/>
      <c r="BO7" s="47" t="s">
        <v>267</v>
      </c>
      <c r="BP7" s="48" t="s">
        <v>15</v>
      </c>
      <c r="BQ7" s="363"/>
      <c r="BR7" s="50"/>
      <c r="BS7" s="48"/>
      <c r="BT7" s="62">
        <v>40</v>
      </c>
      <c r="BU7" s="62"/>
      <c r="BV7" s="62"/>
      <c r="BW7" s="260"/>
      <c r="BX7" s="260"/>
      <c r="BY7" s="260"/>
      <c r="BZ7" s="260"/>
      <c r="CA7" s="260"/>
      <c r="CB7" s="260"/>
      <c r="CC7" s="260"/>
      <c r="CD7" s="260"/>
      <c r="CE7" s="260"/>
      <c r="CF7" s="260"/>
      <c r="CG7" s="260"/>
      <c r="CH7" s="260"/>
    </row>
    <row r="8" spans="1:86" ht="16.5">
      <c r="A8" s="248">
        <v>1</v>
      </c>
      <c r="B8" s="271" t="s">
        <v>382</v>
      </c>
      <c r="C8" s="370" t="s">
        <v>276</v>
      </c>
      <c r="D8" s="76" t="s">
        <v>383</v>
      </c>
      <c r="E8" s="338" t="s">
        <v>400</v>
      </c>
      <c r="F8" s="77">
        <v>14</v>
      </c>
      <c r="G8" s="92">
        <f>N8</f>
        <v>39.700000000000003</v>
      </c>
      <c r="H8" s="92">
        <f>T8</f>
        <v>80.8</v>
      </c>
      <c r="I8" s="92">
        <f>KPI!D8</f>
        <v>6.54</v>
      </c>
      <c r="J8" s="92">
        <f>KPI!E8</f>
        <v>12.76</v>
      </c>
      <c r="K8" s="92">
        <f>KPI!F8</f>
        <v>19.68</v>
      </c>
      <c r="L8" s="92">
        <f>KPI!G8</f>
        <v>26.37</v>
      </c>
      <c r="M8" s="92">
        <f>KPI!H8</f>
        <v>33.24</v>
      </c>
      <c r="N8" s="92">
        <f>KPI!I8</f>
        <v>39.700000000000003</v>
      </c>
      <c r="O8" s="92">
        <f>KPI!J8</f>
        <v>46.24</v>
      </c>
      <c r="P8" s="92">
        <f>KPI!K8</f>
        <v>52.96</v>
      </c>
      <c r="Q8" s="92">
        <f>KPI!L8</f>
        <v>59.74</v>
      </c>
      <c r="R8" s="92">
        <f>KPI!M8</f>
        <v>66.819999999999993</v>
      </c>
      <c r="S8" s="92">
        <f>KPI!N8</f>
        <v>73.760000000000005</v>
      </c>
      <c r="T8" s="108">
        <f>KPI!O8</f>
        <v>80.8</v>
      </c>
      <c r="U8" s="22"/>
      <c r="V8"/>
      <c r="W8" s="51">
        <v>1</v>
      </c>
      <c r="X8" s="267" t="s">
        <v>382</v>
      </c>
      <c r="Y8" s="364" t="s">
        <v>276</v>
      </c>
      <c r="Z8" s="53" t="s">
        <v>383</v>
      </c>
      <c r="AA8" s="61" t="s">
        <v>400</v>
      </c>
      <c r="AB8" s="53">
        <v>14</v>
      </c>
      <c r="AC8" s="89">
        <f>AJ8</f>
        <v>37.635657317000003</v>
      </c>
      <c r="AD8" s="89">
        <f>AP8</f>
        <v>0</v>
      </c>
      <c r="AE8" s="111">
        <f>KPI!AH8</f>
        <v>7.5138379950000003</v>
      </c>
      <c r="AF8" s="111">
        <f>KPI!AI8</f>
        <v>14.121420571000002</v>
      </c>
      <c r="AG8" s="111">
        <f>KPI!AJ8</f>
        <v>20.408071021000001</v>
      </c>
      <c r="AH8" s="111">
        <f>KPI!AK8</f>
        <v>25.735401896000003</v>
      </c>
      <c r="AI8" s="111">
        <f>KPI!AL8</f>
        <v>31.812937064000003</v>
      </c>
      <c r="AJ8" s="111">
        <f>KPI!AM8</f>
        <v>37.635657317000003</v>
      </c>
      <c r="AK8" s="111">
        <f>KPI!AN8</f>
        <v>43.715482449000007</v>
      </c>
      <c r="AL8" s="111">
        <f>KPI!AO8</f>
        <v>49.775069007000006</v>
      </c>
      <c r="AM8" s="111">
        <f>KPI!AP8</f>
        <v>55.865174559000003</v>
      </c>
      <c r="AN8" s="111">
        <f>KPI!AQ8</f>
        <v>62.369689695000005</v>
      </c>
      <c r="AO8" s="111">
        <f>KPI!AR8</f>
        <v>0</v>
      </c>
      <c r="AP8" s="111">
        <f>KPI!AS8</f>
        <v>0</v>
      </c>
      <c r="AS8" s="51">
        <v>1</v>
      </c>
      <c r="AT8" s="267" t="s">
        <v>382</v>
      </c>
      <c r="AU8" s="364" t="s">
        <v>276</v>
      </c>
      <c r="AV8" s="53" t="s">
        <v>383</v>
      </c>
      <c r="AW8" s="61" t="s">
        <v>400</v>
      </c>
      <c r="AX8" s="53">
        <v>14</v>
      </c>
      <c r="AY8" s="89">
        <f>BF8</f>
        <v>94.800144375314872</v>
      </c>
      <c r="AZ8" s="89">
        <f>BL8</f>
        <v>0</v>
      </c>
      <c r="BA8" s="111">
        <f>IF(AE8/I8*100&gt;110,110,AE8/I8*100)</f>
        <v>110</v>
      </c>
      <c r="BB8" s="111">
        <f t="shared" ref="BB8:BL8" si="0">IF(AF8/J8*100&gt;110,110,AF8/J8*100)</f>
        <v>110</v>
      </c>
      <c r="BC8" s="111">
        <f t="shared" si="0"/>
        <v>103.69954787093496</v>
      </c>
      <c r="BD8" s="111">
        <f t="shared" si="0"/>
        <v>97.59348462646949</v>
      </c>
      <c r="BE8" s="111">
        <f t="shared" si="0"/>
        <v>95.706790204572812</v>
      </c>
      <c r="BF8" s="111">
        <f t="shared" si="0"/>
        <v>94.800144375314872</v>
      </c>
      <c r="BG8" s="111">
        <f t="shared" si="0"/>
        <v>94.540403220155724</v>
      </c>
      <c r="BH8" s="111">
        <f t="shared" si="0"/>
        <v>93.986157490558924</v>
      </c>
      <c r="BI8" s="111">
        <f t="shared" si="0"/>
        <v>93.513850952460658</v>
      </c>
      <c r="BJ8" s="111">
        <f t="shared" si="0"/>
        <v>93.339852880874005</v>
      </c>
      <c r="BK8" s="111">
        <f t="shared" si="0"/>
        <v>0</v>
      </c>
      <c r="BL8" s="111">
        <f t="shared" si="0"/>
        <v>0</v>
      </c>
      <c r="BO8" s="51">
        <v>1</v>
      </c>
      <c r="BP8" s="267" t="s">
        <v>382</v>
      </c>
      <c r="BQ8" s="364" t="s">
        <v>276</v>
      </c>
      <c r="BR8" s="53" t="s">
        <v>383</v>
      </c>
      <c r="BS8" s="61" t="s">
        <v>400</v>
      </c>
      <c r="BT8" s="513">
        <v>14</v>
      </c>
      <c r="BU8" s="89">
        <f>CB8</f>
        <v>13.272020212544083</v>
      </c>
      <c r="BV8" s="89">
        <f>CH8</f>
        <v>0</v>
      </c>
      <c r="BW8" s="111" cm="1">
        <f t="array" ref="BW8:CH8">BT8*BA8:BL8/100</f>
        <v>15.4</v>
      </c>
      <c r="BX8" s="111">
        <v>15.4</v>
      </c>
      <c r="BY8" s="111">
        <v>14.517936701930894</v>
      </c>
      <c r="BZ8" s="111">
        <v>13.663087847705729</v>
      </c>
      <c r="CA8" s="111">
        <v>13.398950628640193</v>
      </c>
      <c r="CB8" s="111">
        <v>13.272020212544083</v>
      </c>
      <c r="CC8" s="111">
        <v>13.235656450821802</v>
      </c>
      <c r="CD8" s="111">
        <v>13.158062048678248</v>
      </c>
      <c r="CE8" s="111">
        <v>13.091939133344493</v>
      </c>
      <c r="CF8" s="111">
        <v>13.067579403322361</v>
      </c>
      <c r="CG8" s="111">
        <v>0</v>
      </c>
      <c r="CH8" s="111">
        <v>0</v>
      </c>
    </row>
    <row r="9" spans="1:86" ht="16.5">
      <c r="A9" s="250">
        <v>2</v>
      </c>
      <c r="B9" s="267" t="s">
        <v>384</v>
      </c>
      <c r="C9" s="371"/>
      <c r="D9" s="76"/>
      <c r="E9" s="338"/>
      <c r="F9" s="77">
        <v>14</v>
      </c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108"/>
      <c r="U9" s="22"/>
      <c r="V9"/>
      <c r="W9" s="51">
        <v>2</v>
      </c>
      <c r="X9" s="267" t="s">
        <v>384</v>
      </c>
      <c r="Y9" s="364"/>
      <c r="Z9" s="53"/>
      <c r="AA9" s="61"/>
      <c r="AB9" s="53">
        <v>14</v>
      </c>
      <c r="AC9" s="89"/>
      <c r="AD9" s="89"/>
      <c r="AE9" s="512"/>
      <c r="AF9" s="512"/>
      <c r="AG9" s="512"/>
      <c r="AH9" s="512"/>
      <c r="AI9" s="512"/>
      <c r="AJ9" s="512"/>
      <c r="AK9" s="512"/>
      <c r="AL9" s="512"/>
      <c r="AM9" s="512"/>
      <c r="AN9" s="512"/>
      <c r="AO9" s="512"/>
      <c r="AP9" s="512"/>
      <c r="AS9" s="51">
        <v>2</v>
      </c>
      <c r="AT9" s="267" t="s">
        <v>384</v>
      </c>
      <c r="AU9" s="364"/>
      <c r="AV9" s="53"/>
      <c r="AW9" s="61"/>
      <c r="AX9" s="53">
        <v>14</v>
      </c>
      <c r="AY9" s="89"/>
      <c r="AZ9" s="89"/>
      <c r="BA9" s="512"/>
      <c r="BB9" s="512"/>
      <c r="BC9" s="512"/>
      <c r="BD9" s="512"/>
      <c r="BE9" s="512"/>
      <c r="BF9" s="512"/>
      <c r="BG9" s="512"/>
      <c r="BH9" s="512"/>
      <c r="BI9" s="512"/>
      <c r="BJ9" s="512"/>
      <c r="BK9" s="512"/>
      <c r="BL9" s="512"/>
      <c r="BO9" s="51">
        <v>2</v>
      </c>
      <c r="BP9" s="267" t="s">
        <v>384</v>
      </c>
      <c r="BQ9" s="364"/>
      <c r="BR9" s="53"/>
      <c r="BS9" s="61"/>
      <c r="BT9" s="513">
        <v>14</v>
      </c>
      <c r="BU9" s="89"/>
      <c r="BV9" s="89"/>
      <c r="BW9" s="512"/>
      <c r="BX9" s="512"/>
      <c r="BY9" s="512"/>
      <c r="BZ9" s="512"/>
      <c r="CA9" s="512"/>
      <c r="CB9" s="512"/>
      <c r="CC9" s="512"/>
      <c r="CD9" s="512"/>
      <c r="CE9" s="512"/>
      <c r="CF9" s="512"/>
      <c r="CG9" s="512"/>
      <c r="CH9" s="512"/>
    </row>
    <row r="10" spans="1:86" ht="16.5">
      <c r="A10" s="251"/>
      <c r="B10" s="275" t="s">
        <v>401</v>
      </c>
      <c r="C10" s="370" t="s">
        <v>278</v>
      </c>
      <c r="D10" s="76" t="s">
        <v>402</v>
      </c>
      <c r="E10" s="338" t="s">
        <v>279</v>
      </c>
      <c r="F10" s="77"/>
      <c r="G10" s="92">
        <f>N10</f>
        <v>194.62</v>
      </c>
      <c r="H10" s="92">
        <f>T10</f>
        <v>389.24</v>
      </c>
      <c r="I10" s="92">
        <f>KPI!D32</f>
        <v>32.44</v>
      </c>
      <c r="J10" s="92">
        <f>KPI!E32</f>
        <v>64.87</v>
      </c>
      <c r="K10" s="92">
        <f>KPI!F32</f>
        <v>97.31</v>
      </c>
      <c r="L10" s="92">
        <f>KPI!G32</f>
        <v>129.75</v>
      </c>
      <c r="M10" s="92">
        <f>KPI!H32</f>
        <v>162.18</v>
      </c>
      <c r="N10" s="92">
        <f>KPI!I32</f>
        <v>194.62</v>
      </c>
      <c r="O10" s="92">
        <f>KPI!J32</f>
        <v>227.06</v>
      </c>
      <c r="P10" s="92">
        <f>KPI!K32</f>
        <v>259.49</v>
      </c>
      <c r="Q10" s="92">
        <f>KPI!L32</f>
        <v>291.93</v>
      </c>
      <c r="R10" s="92">
        <f>KPI!M32</f>
        <v>324.37</v>
      </c>
      <c r="S10" s="92">
        <f>KPI!N32</f>
        <v>356.8</v>
      </c>
      <c r="T10" s="108">
        <f>KPI!O32</f>
        <v>389.24</v>
      </c>
      <c r="U10" s="22"/>
      <c r="V10"/>
      <c r="W10" s="51"/>
      <c r="X10" s="52" t="s">
        <v>401</v>
      </c>
      <c r="Y10" s="364" t="s">
        <v>278</v>
      </c>
      <c r="Z10" s="53" t="s">
        <v>402</v>
      </c>
      <c r="AA10" s="61" t="s">
        <v>279</v>
      </c>
      <c r="AB10" s="53"/>
      <c r="AC10" s="89">
        <f t="shared" ref="AC10:AC12" si="1">AJ10</f>
        <v>210.30229841269841</v>
      </c>
      <c r="AD10" s="89">
        <f t="shared" ref="AD10:AD48" si="2">AP10</f>
        <v>0</v>
      </c>
      <c r="AE10" s="111">
        <f>KPI!AH32</f>
        <v>12.866101803710123</v>
      </c>
      <c r="AF10" s="111">
        <f>KPI!AI32</f>
        <v>15.49250368094232</v>
      </c>
      <c r="AG10" s="111">
        <f>KPI!AJ32</f>
        <v>17.329474132424949</v>
      </c>
      <c r="AH10" s="111">
        <f>KPI!AK32</f>
        <v>43.424826296666168</v>
      </c>
      <c r="AI10" s="111">
        <f>KPI!AL32</f>
        <v>131.17240589545116</v>
      </c>
      <c r="AJ10" s="111">
        <f>KPI!AM32</f>
        <v>210.30229841269841</v>
      </c>
      <c r="AK10" s="111">
        <f>KPI!AN32</f>
        <v>223.38745406158915</v>
      </c>
      <c r="AL10" s="111">
        <f>KPI!AO32</f>
        <v>228.80562323483539</v>
      </c>
      <c r="AM10" s="111">
        <f>KPI!AP32</f>
        <v>243.85041218034991</v>
      </c>
      <c r="AN10" s="111">
        <f>KPI!AQ32</f>
        <v>330.04879919527218</v>
      </c>
      <c r="AO10" s="111">
        <f>KPI!AR32</f>
        <v>0</v>
      </c>
      <c r="AP10" s="111">
        <f>KPI!AS32</f>
        <v>0</v>
      </c>
      <c r="AS10" s="51"/>
      <c r="AT10" s="52" t="s">
        <v>401</v>
      </c>
      <c r="AU10" s="364" t="s">
        <v>278</v>
      </c>
      <c r="AV10" s="53" t="s">
        <v>402</v>
      </c>
      <c r="AW10" s="61" t="s">
        <v>279</v>
      </c>
      <c r="AX10" s="53"/>
      <c r="AY10" s="89">
        <f t="shared" ref="AY10:AY48" si="3">BF10</f>
        <v>91.942093097986643</v>
      </c>
      <c r="AZ10" s="89">
        <f t="shared" ref="AZ10:AZ48" si="4">BL10</f>
        <v>110</v>
      </c>
      <c r="BA10" s="111">
        <f>IF((2-(AE10/I10))*100&gt;110,110,(2-(AE10/I10))*100)</f>
        <v>110</v>
      </c>
      <c r="BB10" s="111">
        <f t="shared" ref="BB10:BL11" si="5">IF((2-(AF10/J10))*100&gt;110,110,(2-(AF10/J10))*100)</f>
        <v>110</v>
      </c>
      <c r="BC10" s="111">
        <f t="shared" si="5"/>
        <v>110</v>
      </c>
      <c r="BD10" s="111">
        <f t="shared" si="5"/>
        <v>110</v>
      </c>
      <c r="BE10" s="111">
        <f t="shared" si="5"/>
        <v>110</v>
      </c>
      <c r="BF10" s="111">
        <f t="shared" si="5"/>
        <v>91.942093097986643</v>
      </c>
      <c r="BG10" s="111">
        <f t="shared" si="5"/>
        <v>101.61743413124762</v>
      </c>
      <c r="BH10" s="111">
        <f t="shared" si="5"/>
        <v>110</v>
      </c>
      <c r="BI10" s="111">
        <f t="shared" si="5"/>
        <v>110</v>
      </c>
      <c r="BJ10" s="111">
        <f t="shared" si="5"/>
        <v>98.249283474035138</v>
      </c>
      <c r="BK10" s="111">
        <f t="shared" si="5"/>
        <v>110</v>
      </c>
      <c r="BL10" s="111">
        <f t="shared" si="5"/>
        <v>110</v>
      </c>
      <c r="BO10" s="51"/>
      <c r="BP10" s="52" t="s">
        <v>401</v>
      </c>
      <c r="BQ10" s="364" t="s">
        <v>278</v>
      </c>
      <c r="BR10" s="53" t="s">
        <v>402</v>
      </c>
      <c r="BS10" s="61" t="s">
        <v>279</v>
      </c>
      <c r="BT10" s="142">
        <v>4.666666666666667</v>
      </c>
      <c r="BU10" s="89">
        <f t="shared" ref="BU10:BU12" si="6">CB10</f>
        <v>4.2906310112393768</v>
      </c>
      <c r="BV10" s="89">
        <f t="shared" ref="BV10:BV12" si="7">CH10</f>
        <v>5.1333333333333337</v>
      </c>
      <c r="BW10" s="111" cm="1">
        <f t="array" ref="BW10:CH10">BT10*BA10:BL10/100</f>
        <v>5.1333333333333337</v>
      </c>
      <c r="BX10" s="111">
        <v>5.1333333333333337</v>
      </c>
      <c r="BY10" s="111">
        <v>5.1333333333333337</v>
      </c>
      <c r="BZ10" s="111">
        <v>5.1333333333333337</v>
      </c>
      <c r="CA10" s="111">
        <v>5.1333333333333337</v>
      </c>
      <c r="CB10" s="111">
        <v>4.2906310112393768</v>
      </c>
      <c r="CC10" s="111">
        <v>4.7421469261248896</v>
      </c>
      <c r="CD10" s="111">
        <v>5.1333333333333337</v>
      </c>
      <c r="CE10" s="111">
        <v>5.1333333333333337</v>
      </c>
      <c r="CF10" s="111">
        <v>4.5849665621216396</v>
      </c>
      <c r="CG10" s="111">
        <v>5.1333333333333337</v>
      </c>
      <c r="CH10" s="111">
        <v>5.1333333333333337</v>
      </c>
    </row>
    <row r="11" spans="1:86" ht="16.5">
      <c r="A11" s="251"/>
      <c r="B11" s="275" t="s">
        <v>403</v>
      </c>
      <c r="C11" s="370" t="s">
        <v>278</v>
      </c>
      <c r="D11" s="76" t="s">
        <v>404</v>
      </c>
      <c r="E11" s="338" t="s">
        <v>280</v>
      </c>
      <c r="F11" s="77"/>
      <c r="G11" s="92">
        <f>N11</f>
        <v>1.76</v>
      </c>
      <c r="H11" s="92">
        <f>T11</f>
        <v>3.53</v>
      </c>
      <c r="I11" s="92">
        <f>KPI!D54</f>
        <v>0.28999999999999998</v>
      </c>
      <c r="J11" s="92">
        <f>KPI!E54</f>
        <v>0.59</v>
      </c>
      <c r="K11" s="92">
        <f>KPI!F54</f>
        <v>0.88</v>
      </c>
      <c r="L11" s="92">
        <f>KPI!G54</f>
        <v>1.18</v>
      </c>
      <c r="M11" s="92">
        <f>KPI!H54</f>
        <v>1.47</v>
      </c>
      <c r="N11" s="92">
        <f>KPI!I54</f>
        <v>1.76</v>
      </c>
      <c r="O11" s="92">
        <f>KPI!J54</f>
        <v>2.06</v>
      </c>
      <c r="P11" s="92">
        <f>KPI!K54</f>
        <v>2.35</v>
      </c>
      <c r="Q11" s="92">
        <f>KPI!L54</f>
        <v>2.65</v>
      </c>
      <c r="R11" s="92">
        <f>KPI!M54</f>
        <v>2.94</v>
      </c>
      <c r="S11" s="92">
        <f>KPI!N54</f>
        <v>3.23</v>
      </c>
      <c r="T11" s="108">
        <f>KPI!O54</f>
        <v>3.53</v>
      </c>
      <c r="U11" s="22"/>
      <c r="V11"/>
      <c r="W11" s="51"/>
      <c r="X11" s="52" t="s">
        <v>403</v>
      </c>
      <c r="Y11" s="364" t="s">
        <v>278</v>
      </c>
      <c r="Z11" s="53" t="s">
        <v>404</v>
      </c>
      <c r="AA11" s="61" t="s">
        <v>280</v>
      </c>
      <c r="AB11" s="53"/>
      <c r="AC11" s="89">
        <f t="shared" si="1"/>
        <v>1.6972486772486772</v>
      </c>
      <c r="AD11" s="89">
        <f t="shared" si="2"/>
        <v>0</v>
      </c>
      <c r="AE11" s="111">
        <f>KPI!AH54</f>
        <v>0.12101760917474377</v>
      </c>
      <c r="AF11" s="111">
        <f>KPI!AI54</f>
        <v>0.13323944263064677</v>
      </c>
      <c r="AG11" s="111">
        <f>KPI!AJ54</f>
        <v>0.22648499041941664</v>
      </c>
      <c r="AH11" s="111">
        <f>KPI!AK54</f>
        <v>0.57531394088774623</v>
      </c>
      <c r="AI11" s="111">
        <f>KPI!AL54</f>
        <v>1.2213763121620189</v>
      </c>
      <c r="AJ11" s="111">
        <f>KPI!AM54</f>
        <v>1.6972486772486772</v>
      </c>
      <c r="AK11" s="111">
        <f>KPI!AN54</f>
        <v>1.9675579774426561</v>
      </c>
      <c r="AL11" s="111">
        <f>KPI!AO54</f>
        <v>1.9942460902921215</v>
      </c>
      <c r="AM11" s="111">
        <f>KPI!AP54</f>
        <v>2.3221105316285331</v>
      </c>
      <c r="AN11" s="111">
        <f>KPI!AQ54</f>
        <v>3.0893373569722118</v>
      </c>
      <c r="AO11" s="111">
        <f>KPI!AR54</f>
        <v>0</v>
      </c>
      <c r="AP11" s="111">
        <f>KPI!AS54</f>
        <v>0</v>
      </c>
      <c r="AS11" s="51"/>
      <c r="AT11" s="52" t="s">
        <v>403</v>
      </c>
      <c r="AU11" s="364" t="s">
        <v>278</v>
      </c>
      <c r="AV11" s="53" t="s">
        <v>404</v>
      </c>
      <c r="AW11" s="61" t="s">
        <v>280</v>
      </c>
      <c r="AX11" s="53"/>
      <c r="AY11" s="89">
        <f t="shared" si="3"/>
        <v>103.56541606541607</v>
      </c>
      <c r="AZ11" s="89">
        <f t="shared" si="4"/>
        <v>110</v>
      </c>
      <c r="BA11" s="111">
        <f>IF((2-(AE11/I11))*100&gt;110,110,(2-(AE11/I11))*100)</f>
        <v>110</v>
      </c>
      <c r="BB11" s="111">
        <f t="shared" si="5"/>
        <v>110</v>
      </c>
      <c r="BC11" s="111">
        <f t="shared" si="5"/>
        <v>110</v>
      </c>
      <c r="BD11" s="111">
        <f t="shared" si="5"/>
        <v>110</v>
      </c>
      <c r="BE11" s="111">
        <f t="shared" si="5"/>
        <v>110</v>
      </c>
      <c r="BF11" s="111">
        <f t="shared" si="5"/>
        <v>103.56541606541607</v>
      </c>
      <c r="BG11" s="111">
        <f t="shared" si="5"/>
        <v>104.48747682317203</v>
      </c>
      <c r="BH11" s="111">
        <f t="shared" si="5"/>
        <v>110</v>
      </c>
      <c r="BI11" s="111">
        <f t="shared" si="5"/>
        <v>110</v>
      </c>
      <c r="BJ11" s="111">
        <f t="shared" si="5"/>
        <v>94.920498062169671</v>
      </c>
      <c r="BK11" s="111">
        <f t="shared" si="5"/>
        <v>110</v>
      </c>
      <c r="BL11" s="111">
        <f t="shared" si="5"/>
        <v>110</v>
      </c>
      <c r="BO11" s="51"/>
      <c r="BP11" s="52" t="s">
        <v>403</v>
      </c>
      <c r="BQ11" s="364" t="s">
        <v>278</v>
      </c>
      <c r="BR11" s="53" t="s">
        <v>404</v>
      </c>
      <c r="BS11" s="61" t="s">
        <v>280</v>
      </c>
      <c r="BT11" s="142">
        <v>4.666666666666667</v>
      </c>
      <c r="BU11" s="89">
        <f t="shared" si="6"/>
        <v>4.8330527497194167</v>
      </c>
      <c r="BV11" s="89">
        <f t="shared" si="7"/>
        <v>5.1333333333333337</v>
      </c>
      <c r="BW11" s="111" cm="1">
        <f t="array" ref="BW11:CH11">BT11*BA11:BL11/100</f>
        <v>5.1333333333333337</v>
      </c>
      <c r="BX11" s="111">
        <v>5.1333333333333337</v>
      </c>
      <c r="BY11" s="111">
        <v>5.1333333333333337</v>
      </c>
      <c r="BZ11" s="111">
        <v>5.1333333333333337</v>
      </c>
      <c r="CA11" s="111">
        <v>5.1333333333333337</v>
      </c>
      <c r="CB11" s="111">
        <v>4.8330527497194167</v>
      </c>
      <c r="CC11" s="111">
        <v>4.876082251748028</v>
      </c>
      <c r="CD11" s="111">
        <v>5.1333333333333337</v>
      </c>
      <c r="CE11" s="111">
        <v>5.1333333333333337</v>
      </c>
      <c r="CF11" s="111">
        <v>4.4296232429012514</v>
      </c>
      <c r="CG11" s="111">
        <v>5.1333333333333337</v>
      </c>
      <c r="CH11" s="111">
        <v>5.1333333333333337</v>
      </c>
    </row>
    <row r="12" spans="1:86" ht="16.5">
      <c r="A12" s="252"/>
      <c r="B12" s="275" t="s">
        <v>405</v>
      </c>
      <c r="C12" s="370" t="s">
        <v>278</v>
      </c>
      <c r="D12" s="76" t="s">
        <v>140</v>
      </c>
      <c r="E12" s="338" t="s">
        <v>406</v>
      </c>
      <c r="F12" s="77"/>
      <c r="G12" s="92">
        <f>N12</f>
        <v>24.23</v>
      </c>
      <c r="H12" s="92">
        <f>T12</f>
        <v>48.47</v>
      </c>
      <c r="I12" s="92">
        <f>KPI!D74</f>
        <v>4.04</v>
      </c>
      <c r="J12" s="92">
        <f>KPI!E74</f>
        <v>8.08</v>
      </c>
      <c r="K12" s="92">
        <f>KPI!F74</f>
        <v>12.12</v>
      </c>
      <c r="L12" s="92">
        <f>KPI!G74</f>
        <v>16.16</v>
      </c>
      <c r="M12" s="92">
        <f>KPI!H74</f>
        <v>20.190000000000001</v>
      </c>
      <c r="N12" s="92">
        <f>KPI!I74</f>
        <v>24.23</v>
      </c>
      <c r="O12" s="92">
        <f>KPI!J74</f>
        <v>28.27</v>
      </c>
      <c r="P12" s="92">
        <f>KPI!K74</f>
        <v>32.31</v>
      </c>
      <c r="Q12" s="92">
        <f>KPI!L74</f>
        <v>36.35</v>
      </c>
      <c r="R12" s="92">
        <f>KPI!M74</f>
        <v>40.39</v>
      </c>
      <c r="S12" s="92">
        <f>KPI!N74</f>
        <v>44.43</v>
      </c>
      <c r="T12" s="108">
        <f>KPI!O74</f>
        <v>48.47</v>
      </c>
      <c r="U12" s="22"/>
      <c r="V12"/>
      <c r="W12" s="51"/>
      <c r="X12" s="52" t="s">
        <v>405</v>
      </c>
      <c r="Y12" s="364" t="s">
        <v>278</v>
      </c>
      <c r="Z12" s="53" t="s">
        <v>140</v>
      </c>
      <c r="AA12" s="61" t="s">
        <v>406</v>
      </c>
      <c r="AB12" s="53"/>
      <c r="AC12" s="89">
        <f t="shared" si="1"/>
        <v>17.651</v>
      </c>
      <c r="AD12" s="89">
        <f t="shared" si="2"/>
        <v>0</v>
      </c>
      <c r="AE12" s="111">
        <f>KPI!AH74</f>
        <v>1.7090000000000001</v>
      </c>
      <c r="AF12" s="111">
        <f>KPI!AI74</f>
        <v>2.1909999999999998</v>
      </c>
      <c r="AG12" s="111">
        <f>KPI!AJ74</f>
        <v>2.419</v>
      </c>
      <c r="AH12" s="111">
        <f>KPI!AK74</f>
        <v>5.2450000000000001</v>
      </c>
      <c r="AI12" s="111">
        <f>KPI!AL74</f>
        <v>11.946</v>
      </c>
      <c r="AJ12" s="111">
        <f>KPI!AM74</f>
        <v>17.651</v>
      </c>
      <c r="AK12" s="111">
        <f>KPI!AN74</f>
        <v>18.875</v>
      </c>
      <c r="AL12" s="111">
        <f>KPI!AO74</f>
        <v>20.253</v>
      </c>
      <c r="AM12" s="111">
        <f>KPI!AP74</f>
        <v>22.542999999999999</v>
      </c>
      <c r="AN12" s="111">
        <f>KPI!AQ74</f>
        <v>28.983000000000001</v>
      </c>
      <c r="AO12" s="111">
        <f>KPI!AR74</f>
        <v>0</v>
      </c>
      <c r="AP12" s="111">
        <f>KPI!AS74</f>
        <v>0</v>
      </c>
      <c r="AS12" s="51"/>
      <c r="AT12" s="52" t="s">
        <v>405</v>
      </c>
      <c r="AU12" s="364" t="s">
        <v>278</v>
      </c>
      <c r="AV12" s="53" t="s">
        <v>140</v>
      </c>
      <c r="AW12" s="61" t="s">
        <v>406</v>
      </c>
      <c r="AX12" s="53"/>
      <c r="AY12" s="89">
        <f t="shared" si="3"/>
        <v>110</v>
      </c>
      <c r="AZ12" s="89">
        <f t="shared" si="4"/>
        <v>110</v>
      </c>
      <c r="BA12" s="111">
        <f>IF(((I12-(AE12-I12))/I12)*100&gt;110,110,((I12-(AE12-I12))/I12)*100)</f>
        <v>110</v>
      </c>
      <c r="BB12" s="111">
        <f t="shared" ref="BB12:BL12" si="8">IF(((J12-(AF12-J12))/J12)*100&gt;110,110,((J12-(AF12-J12))/J12)*100)</f>
        <v>110</v>
      </c>
      <c r="BC12" s="111">
        <f t="shared" si="8"/>
        <v>110</v>
      </c>
      <c r="BD12" s="111">
        <f t="shared" si="8"/>
        <v>110</v>
      </c>
      <c r="BE12" s="111">
        <f t="shared" si="8"/>
        <v>110</v>
      </c>
      <c r="BF12" s="111">
        <f t="shared" si="8"/>
        <v>110</v>
      </c>
      <c r="BG12" s="111">
        <f t="shared" si="8"/>
        <v>110</v>
      </c>
      <c r="BH12" s="111">
        <f t="shared" si="8"/>
        <v>110</v>
      </c>
      <c r="BI12" s="111">
        <f t="shared" si="8"/>
        <v>110</v>
      </c>
      <c r="BJ12" s="111">
        <f t="shared" si="8"/>
        <v>110</v>
      </c>
      <c r="BK12" s="111">
        <f t="shared" si="8"/>
        <v>110</v>
      </c>
      <c r="BL12" s="111">
        <f t="shared" si="8"/>
        <v>110</v>
      </c>
      <c r="BO12" s="51"/>
      <c r="BP12" s="52" t="s">
        <v>405</v>
      </c>
      <c r="BQ12" s="364" t="s">
        <v>278</v>
      </c>
      <c r="BR12" s="53" t="s">
        <v>140</v>
      </c>
      <c r="BS12" s="61" t="s">
        <v>406</v>
      </c>
      <c r="BT12" s="142">
        <v>4.666666666666667</v>
      </c>
      <c r="BU12" s="89">
        <f t="shared" si="6"/>
        <v>5.1333333333333337</v>
      </c>
      <c r="BV12" s="89">
        <f t="shared" si="7"/>
        <v>5.1333333333333337</v>
      </c>
      <c r="BW12" s="111" cm="1">
        <f t="array" ref="BW12:CH12">BT12*BA12:BL12/100</f>
        <v>5.1333333333333337</v>
      </c>
      <c r="BX12" s="111">
        <v>5.1333333333333337</v>
      </c>
      <c r="BY12" s="111">
        <v>5.1333333333333337</v>
      </c>
      <c r="BZ12" s="111">
        <v>5.1333333333333337</v>
      </c>
      <c r="CA12" s="111">
        <v>5.1333333333333337</v>
      </c>
      <c r="CB12" s="111">
        <v>5.1333333333333337</v>
      </c>
      <c r="CC12" s="111">
        <v>5.1333333333333337</v>
      </c>
      <c r="CD12" s="111">
        <v>5.1333333333333337</v>
      </c>
      <c r="CE12" s="111">
        <v>5.1333333333333337</v>
      </c>
      <c r="CF12" s="111">
        <v>5.1333333333333337</v>
      </c>
      <c r="CG12" s="111">
        <v>5.1333333333333337</v>
      </c>
      <c r="CH12" s="111">
        <v>5.1333333333333337</v>
      </c>
    </row>
    <row r="13" spans="1:86" ht="16.5">
      <c r="A13" s="251">
        <v>3</v>
      </c>
      <c r="B13" s="271" t="s">
        <v>390</v>
      </c>
      <c r="C13" s="370"/>
      <c r="D13" s="76"/>
      <c r="E13" s="338"/>
      <c r="F13" s="77">
        <v>12</v>
      </c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108"/>
      <c r="U13" s="22"/>
      <c r="V13"/>
      <c r="W13" s="51">
        <v>3</v>
      </c>
      <c r="X13" s="267" t="s">
        <v>390</v>
      </c>
      <c r="Y13" s="364"/>
      <c r="Z13" s="53"/>
      <c r="AA13" s="61"/>
      <c r="AB13" s="53">
        <v>12</v>
      </c>
      <c r="AC13" s="89"/>
      <c r="AD13" s="89"/>
      <c r="AE13" s="111"/>
      <c r="AF13" s="111"/>
      <c r="AG13" s="111"/>
      <c r="AH13" s="111"/>
      <c r="AI13" s="111"/>
      <c r="AJ13" s="111"/>
      <c r="AK13" s="111"/>
      <c r="AL13" s="111"/>
      <c r="AM13" s="111"/>
      <c r="AN13" s="111"/>
      <c r="AO13" s="111"/>
      <c r="AP13" s="111"/>
      <c r="AS13" s="51">
        <v>3</v>
      </c>
      <c r="AT13" s="267" t="s">
        <v>390</v>
      </c>
      <c r="AU13" s="364"/>
      <c r="AV13" s="53"/>
      <c r="AW13" s="61"/>
      <c r="AX13" s="53">
        <v>12</v>
      </c>
      <c r="AY13" s="89"/>
      <c r="AZ13" s="89"/>
      <c r="BA13" s="111"/>
      <c r="BB13" s="111"/>
      <c r="BC13" s="111"/>
      <c r="BD13" s="111"/>
      <c r="BE13" s="111"/>
      <c r="BF13" s="111"/>
      <c r="BG13" s="111"/>
      <c r="BH13" s="111"/>
      <c r="BI13" s="111"/>
      <c r="BJ13" s="111"/>
      <c r="BK13" s="111"/>
      <c r="BL13" s="111"/>
      <c r="BO13" s="51">
        <v>3</v>
      </c>
      <c r="BP13" s="267" t="s">
        <v>390</v>
      </c>
      <c r="BQ13" s="364"/>
      <c r="BR13" s="53"/>
      <c r="BS13" s="61"/>
      <c r="BT13" s="513">
        <v>12</v>
      </c>
      <c r="BU13" s="89"/>
      <c r="BV13" s="89"/>
      <c r="BW13" s="111"/>
      <c r="BX13" s="111"/>
      <c r="BY13" s="111"/>
      <c r="BZ13" s="111"/>
      <c r="CA13" s="111"/>
      <c r="CB13" s="111"/>
      <c r="CC13" s="111"/>
      <c r="CD13" s="111"/>
      <c r="CE13" s="111"/>
      <c r="CF13" s="111"/>
      <c r="CG13" s="111"/>
      <c r="CH13" s="111"/>
    </row>
    <row r="14" spans="1:86" ht="15.6" customHeight="1">
      <c r="A14" s="251"/>
      <c r="B14" s="275" t="s">
        <v>391</v>
      </c>
      <c r="C14" s="370" t="s">
        <v>278</v>
      </c>
      <c r="D14" s="76" t="s">
        <v>149</v>
      </c>
      <c r="E14" s="338" t="s">
        <v>407</v>
      </c>
      <c r="F14" s="77"/>
      <c r="G14" s="92">
        <f>N14</f>
        <v>9.7899999999999991</v>
      </c>
      <c r="H14" s="92">
        <f>T14</f>
        <v>9.3699999999999992</v>
      </c>
      <c r="I14" s="92">
        <f>KPI!D89</f>
        <v>10.36</v>
      </c>
      <c r="J14" s="92">
        <f>KPI!E89</f>
        <v>10.36</v>
      </c>
      <c r="K14" s="92">
        <f>KPI!F89</f>
        <v>10.36</v>
      </c>
      <c r="L14" s="92">
        <f>KPI!G89</f>
        <v>10.17</v>
      </c>
      <c r="M14" s="92">
        <f>KPI!H89</f>
        <v>9.98</v>
      </c>
      <c r="N14" s="92">
        <f>KPI!I89</f>
        <v>9.7899999999999991</v>
      </c>
      <c r="O14" s="92">
        <f>KPI!J89</f>
        <v>9.7200000000000006</v>
      </c>
      <c r="P14" s="92">
        <f>KPI!K89</f>
        <v>9.65</v>
      </c>
      <c r="Q14" s="92">
        <f>KPI!L89</f>
        <v>9.58</v>
      </c>
      <c r="R14" s="92">
        <f>KPI!M89</f>
        <v>9.51</v>
      </c>
      <c r="S14" s="92">
        <f>KPI!N89</f>
        <v>9.44</v>
      </c>
      <c r="T14" s="108">
        <f>KPI!O89</f>
        <v>9.3699999999999992</v>
      </c>
      <c r="U14" s="22"/>
      <c r="V14"/>
      <c r="W14" s="51"/>
      <c r="X14" s="52" t="s">
        <v>391</v>
      </c>
      <c r="Y14" s="364" t="s">
        <v>278</v>
      </c>
      <c r="Z14" s="53" t="s">
        <v>149</v>
      </c>
      <c r="AA14" s="61" t="s">
        <v>407</v>
      </c>
      <c r="AB14" s="53"/>
      <c r="AC14" s="89">
        <f t="shared" ref="AC14:AC16" si="9">AJ14</f>
        <v>7.2818607557456394</v>
      </c>
      <c r="AD14" s="89">
        <f t="shared" si="2"/>
        <v>0</v>
      </c>
      <c r="AE14" s="111">
        <f>KPI!AH89</f>
        <v>-7.3511601633070995</v>
      </c>
      <c r="AF14" s="111">
        <f>KPI!AI89</f>
        <v>-6.5258103352265229</v>
      </c>
      <c r="AG14" s="111">
        <f>KPI!AJ89</f>
        <v>-1.4319315839986146</v>
      </c>
      <c r="AH14" s="111">
        <f>KPI!AK89</f>
        <v>4.1872286973182007</v>
      </c>
      <c r="AI14" s="111">
        <f>KPI!AL89</f>
        <v>6.8399212986973561</v>
      </c>
      <c r="AJ14" s="111">
        <f>KPI!AM89</f>
        <v>7.2818607557456394</v>
      </c>
      <c r="AK14" s="111">
        <f>KPI!AN89</f>
        <v>7.8285434996578616</v>
      </c>
      <c r="AL14" s="111">
        <f>KPI!AO89</f>
        <v>7.8288026195481271</v>
      </c>
      <c r="AM14" s="111">
        <f>KPI!AP89</f>
        <v>7.9794982755546888</v>
      </c>
      <c r="AN14" s="111">
        <f>KPI!AQ89</f>
        <v>7.8292269767726559</v>
      </c>
      <c r="AO14" s="111">
        <f>KPI!AR89</f>
        <v>0</v>
      </c>
      <c r="AP14" s="111">
        <f>KPI!AS89</f>
        <v>0</v>
      </c>
      <c r="AS14" s="51"/>
      <c r="AT14" s="52" t="s">
        <v>391</v>
      </c>
      <c r="AU14" s="364" t="s">
        <v>278</v>
      </c>
      <c r="AV14" s="53" t="s">
        <v>149</v>
      </c>
      <c r="AW14" s="61" t="s">
        <v>407</v>
      </c>
      <c r="AX14" s="53"/>
      <c r="AY14" s="89">
        <f t="shared" si="3"/>
        <v>110</v>
      </c>
      <c r="AZ14" s="89">
        <f t="shared" si="4"/>
        <v>110</v>
      </c>
      <c r="BA14" s="111">
        <f>IF((2-(AE14/I14))*100&gt;110,110,(2-(AE14/I14))*100)</f>
        <v>110</v>
      </c>
      <c r="BB14" s="111">
        <f t="shared" ref="BB14:BL14" si="10">IF((2-(AF14/J14))*100&gt;110,110,(2-(AF14/J14))*100)</f>
        <v>110</v>
      </c>
      <c r="BC14" s="111">
        <f t="shared" si="10"/>
        <v>110</v>
      </c>
      <c r="BD14" s="111">
        <f t="shared" si="10"/>
        <v>110</v>
      </c>
      <c r="BE14" s="111">
        <f t="shared" si="10"/>
        <v>110</v>
      </c>
      <c r="BF14" s="111">
        <f t="shared" si="10"/>
        <v>110</v>
      </c>
      <c r="BG14" s="111">
        <f t="shared" si="10"/>
        <v>110</v>
      </c>
      <c r="BH14" s="111">
        <f t="shared" si="10"/>
        <v>110</v>
      </c>
      <c r="BI14" s="111">
        <f t="shared" si="10"/>
        <v>110</v>
      </c>
      <c r="BJ14" s="111">
        <f t="shared" si="10"/>
        <v>110</v>
      </c>
      <c r="BK14" s="111">
        <f t="shared" si="10"/>
        <v>110</v>
      </c>
      <c r="BL14" s="111">
        <f t="shared" si="10"/>
        <v>110</v>
      </c>
      <c r="BO14" s="51"/>
      <c r="BP14" s="52" t="s">
        <v>391</v>
      </c>
      <c r="BQ14" s="364" t="s">
        <v>278</v>
      </c>
      <c r="BR14" s="53" t="s">
        <v>149</v>
      </c>
      <c r="BS14" s="61" t="s">
        <v>407</v>
      </c>
      <c r="BT14" s="53">
        <v>4</v>
      </c>
      <c r="BU14" s="89">
        <f t="shared" ref="BU14:BU16" si="11">CB14</f>
        <v>4.4000000000000004</v>
      </c>
      <c r="BV14" s="89">
        <f t="shared" ref="BV14:BV16" si="12">CH14</f>
        <v>4.4000000000000004</v>
      </c>
      <c r="BW14" s="111" cm="1">
        <f t="array" ref="BW14:CH14">BT14*BA14:BL14/100</f>
        <v>4.4000000000000004</v>
      </c>
      <c r="BX14" s="111">
        <v>4.4000000000000004</v>
      </c>
      <c r="BY14" s="111">
        <v>4.4000000000000004</v>
      </c>
      <c r="BZ14" s="111">
        <v>4.4000000000000004</v>
      </c>
      <c r="CA14" s="111">
        <v>4.4000000000000004</v>
      </c>
      <c r="CB14" s="111">
        <v>4.4000000000000004</v>
      </c>
      <c r="CC14" s="111">
        <v>4.4000000000000004</v>
      </c>
      <c r="CD14" s="111">
        <v>4.4000000000000004</v>
      </c>
      <c r="CE14" s="111">
        <v>4.4000000000000004</v>
      </c>
      <c r="CF14" s="111">
        <v>4.4000000000000004</v>
      </c>
      <c r="CG14" s="111">
        <v>4.4000000000000004</v>
      </c>
      <c r="CH14" s="111">
        <v>4.4000000000000004</v>
      </c>
    </row>
    <row r="15" spans="1:86" ht="16.5">
      <c r="A15" s="251"/>
      <c r="B15" s="275" t="s">
        <v>392</v>
      </c>
      <c r="C15" s="370" t="s">
        <v>276</v>
      </c>
      <c r="D15" s="76" t="s">
        <v>149</v>
      </c>
      <c r="E15" s="338" t="s">
        <v>408</v>
      </c>
      <c r="F15" s="77"/>
      <c r="G15" s="92">
        <f>N15</f>
        <v>47.560137457044668</v>
      </c>
      <c r="H15" s="92">
        <f>T15</f>
        <v>100</v>
      </c>
      <c r="I15" s="92">
        <f>KPI!D115</f>
        <v>7.9266895761741116</v>
      </c>
      <c r="J15" s="92">
        <f>KPI!E115</f>
        <v>15.853379152348223</v>
      </c>
      <c r="K15" s="92">
        <f>KPI!F115</f>
        <v>23.780068728522334</v>
      </c>
      <c r="L15" s="92">
        <f>KPI!G115</f>
        <v>31.706758304696447</v>
      </c>
      <c r="M15" s="92">
        <f>KPI!H115</f>
        <v>39.633447880870563</v>
      </c>
      <c r="N15" s="92">
        <f>KPI!I115</f>
        <v>47.560137457044668</v>
      </c>
      <c r="O15" s="92">
        <f>KPI!J115</f>
        <v>56.300114547537227</v>
      </c>
      <c r="P15" s="92">
        <f>KPI!K115</f>
        <v>65.040091638029779</v>
      </c>
      <c r="Q15" s="92">
        <f>KPI!L115</f>
        <v>73.780068728522338</v>
      </c>
      <c r="R15" s="92">
        <f>KPI!M115</f>
        <v>82.520045819014882</v>
      </c>
      <c r="S15" s="92">
        <f>KPI!N115</f>
        <v>91.260022909507441</v>
      </c>
      <c r="T15" s="108">
        <f>KPI!O115</f>
        <v>100</v>
      </c>
      <c r="U15" s="22"/>
      <c r="V15"/>
      <c r="W15" s="51"/>
      <c r="X15" s="52" t="s">
        <v>392</v>
      </c>
      <c r="Y15" s="364" t="s">
        <v>276</v>
      </c>
      <c r="Z15" s="53" t="s">
        <v>149</v>
      </c>
      <c r="AA15" s="61" t="s">
        <v>408</v>
      </c>
      <c r="AB15" s="53"/>
      <c r="AC15" s="89">
        <f t="shared" si="9"/>
        <v>60.138794233289644</v>
      </c>
      <c r="AD15" s="89">
        <f t="shared" si="2"/>
        <v>111.49685452162517</v>
      </c>
      <c r="AE15" s="111">
        <f>KPI!AH115</f>
        <v>3.8621231979030148</v>
      </c>
      <c r="AF15" s="111">
        <f>KPI!AI115</f>
        <v>6.3887287024901704</v>
      </c>
      <c r="AG15" s="111">
        <f>KPI!AJ115</f>
        <v>19.804062909567495</v>
      </c>
      <c r="AH15" s="111">
        <f>KPI!AK115</f>
        <v>25.67981651376147</v>
      </c>
      <c r="AI15" s="111">
        <f>KPI!AL115</f>
        <v>32.756094364351242</v>
      </c>
      <c r="AJ15" s="111">
        <f>KPI!AM115</f>
        <v>60.138794233289644</v>
      </c>
      <c r="AK15" s="111">
        <f>KPI!AN115</f>
        <v>79.221100917431187</v>
      </c>
      <c r="AL15" s="111">
        <f>KPI!AO115</f>
        <v>88.92110091743119</v>
      </c>
      <c r="AM15" s="111">
        <f>KPI!AP115</f>
        <v>101.83328964613368</v>
      </c>
      <c r="AN15" s="111">
        <f>KPI!AQ115</f>
        <v>111.49685452162517</v>
      </c>
      <c r="AO15" s="111">
        <f>KPI!AR115</f>
        <v>111.49685452162517</v>
      </c>
      <c r="AP15" s="111">
        <f>KPI!AS115</f>
        <v>111.49685452162517</v>
      </c>
      <c r="AS15" s="51"/>
      <c r="AT15" s="52" t="s">
        <v>392</v>
      </c>
      <c r="AU15" s="364" t="s">
        <v>276</v>
      </c>
      <c r="AV15" s="53" t="s">
        <v>149</v>
      </c>
      <c r="AW15" s="61" t="s">
        <v>408</v>
      </c>
      <c r="AX15" s="53"/>
      <c r="AY15" s="89">
        <f t="shared" si="3"/>
        <v>110</v>
      </c>
      <c r="AZ15" s="89">
        <f t="shared" si="4"/>
        <v>110</v>
      </c>
      <c r="BA15" s="111">
        <f>IF(AE15/I15*100&gt;110,110,AE15/I15*100)</f>
        <v>48.723028204759132</v>
      </c>
      <c r="BB15" s="111">
        <f t="shared" ref="BB15:BL16" si="13">IF(AF15/J15*100&gt;110,110,AF15/J15*100)</f>
        <v>40.298845067008088</v>
      </c>
      <c r="BC15" s="111">
        <f t="shared" si="13"/>
        <v>83.280091137054072</v>
      </c>
      <c r="BD15" s="111">
        <f t="shared" si="13"/>
        <v>80.99161783422602</v>
      </c>
      <c r="BE15" s="111">
        <f t="shared" si="13"/>
        <v>82.647602254562528</v>
      </c>
      <c r="BF15" s="111">
        <f t="shared" si="13"/>
        <v>110</v>
      </c>
      <c r="BG15" s="111">
        <f t="shared" si="13"/>
        <v>110</v>
      </c>
      <c r="BH15" s="111">
        <f t="shared" si="13"/>
        <v>110</v>
      </c>
      <c r="BI15" s="111">
        <f t="shared" si="13"/>
        <v>110</v>
      </c>
      <c r="BJ15" s="111">
        <f t="shared" si="13"/>
        <v>110</v>
      </c>
      <c r="BK15" s="111">
        <f t="shared" si="13"/>
        <v>110</v>
      </c>
      <c r="BL15" s="111">
        <f t="shared" si="13"/>
        <v>110</v>
      </c>
      <c r="BO15" s="51"/>
      <c r="BP15" s="52" t="s">
        <v>392</v>
      </c>
      <c r="BQ15" s="364" t="s">
        <v>276</v>
      </c>
      <c r="BR15" s="53" t="s">
        <v>149</v>
      </c>
      <c r="BS15" s="61" t="s">
        <v>408</v>
      </c>
      <c r="BT15" s="53">
        <v>4</v>
      </c>
      <c r="BU15" s="89">
        <f t="shared" si="11"/>
        <v>4.4000000000000004</v>
      </c>
      <c r="BV15" s="89">
        <f t="shared" si="12"/>
        <v>4.4000000000000004</v>
      </c>
      <c r="BW15" s="111" cm="1">
        <f t="array" ref="BW15:CH15">BT15*BA15:BL15/100</f>
        <v>1.9489211281903653</v>
      </c>
      <c r="BX15" s="111">
        <v>1.6119538026803235</v>
      </c>
      <c r="BY15" s="111">
        <v>3.3312036454821627</v>
      </c>
      <c r="BZ15" s="111">
        <v>3.2396647133690406</v>
      </c>
      <c r="CA15" s="111">
        <v>3.305904090182501</v>
      </c>
      <c r="CB15" s="111">
        <v>4.4000000000000004</v>
      </c>
      <c r="CC15" s="111">
        <v>4.4000000000000004</v>
      </c>
      <c r="CD15" s="111">
        <v>4.4000000000000004</v>
      </c>
      <c r="CE15" s="111">
        <v>4.4000000000000004</v>
      </c>
      <c r="CF15" s="111">
        <v>4.4000000000000004</v>
      </c>
      <c r="CG15" s="111">
        <v>4.4000000000000004</v>
      </c>
      <c r="CH15" s="111">
        <v>4.4000000000000004</v>
      </c>
    </row>
    <row r="16" spans="1:86" ht="15.6" customHeight="1">
      <c r="A16" s="251"/>
      <c r="B16" s="52" t="s">
        <v>393</v>
      </c>
      <c r="C16" s="370" t="s">
        <v>276</v>
      </c>
      <c r="D16" s="76" t="s">
        <v>72</v>
      </c>
      <c r="E16" s="338" t="s">
        <v>409</v>
      </c>
      <c r="F16" s="77"/>
      <c r="G16" s="92">
        <f>N16</f>
        <v>729</v>
      </c>
      <c r="H16" s="92">
        <f>T16</f>
        <v>1457</v>
      </c>
      <c r="I16" s="92">
        <f>KPI!D130</f>
        <v>153</v>
      </c>
      <c r="J16" s="92">
        <f>KPI!E130</f>
        <v>305</v>
      </c>
      <c r="K16" s="92">
        <f>KPI!F130</f>
        <v>457</v>
      </c>
      <c r="L16" s="92">
        <f>KPI!G130</f>
        <v>609</v>
      </c>
      <c r="M16" s="92">
        <f>KPI!H130</f>
        <v>670</v>
      </c>
      <c r="N16" s="92">
        <f>KPI!I130</f>
        <v>729</v>
      </c>
      <c r="O16" s="92">
        <f>KPI!J130</f>
        <v>911</v>
      </c>
      <c r="P16" s="92">
        <f>KPI!K130</f>
        <v>1093</v>
      </c>
      <c r="Q16" s="92">
        <f>KPI!L130</f>
        <v>1275</v>
      </c>
      <c r="R16" s="92">
        <f>KPI!M130</f>
        <v>1457</v>
      </c>
      <c r="S16" s="92">
        <f>KPI!N130</f>
        <v>1457</v>
      </c>
      <c r="T16" s="108">
        <f>KPI!O130</f>
        <v>1457</v>
      </c>
      <c r="U16" s="22"/>
      <c r="V16"/>
      <c r="W16" s="51"/>
      <c r="X16" s="52" t="s">
        <v>393</v>
      </c>
      <c r="Y16" s="364" t="s">
        <v>276</v>
      </c>
      <c r="Z16" s="53" t="s">
        <v>72</v>
      </c>
      <c r="AA16" s="61" t="s">
        <v>409</v>
      </c>
      <c r="AB16" s="53">
        <v>0</v>
      </c>
      <c r="AC16" s="89">
        <f t="shared" si="9"/>
        <v>1049</v>
      </c>
      <c r="AD16" s="89">
        <f t="shared" si="2"/>
        <v>1458</v>
      </c>
      <c r="AE16" s="111">
        <f>KPI!AH130</f>
        <v>11</v>
      </c>
      <c r="AF16" s="111">
        <f>KPI!AI130</f>
        <v>100</v>
      </c>
      <c r="AG16" s="111">
        <f>KPI!AJ130</f>
        <v>423</v>
      </c>
      <c r="AH16" s="111">
        <f>KPI!AK130</f>
        <v>657</v>
      </c>
      <c r="AI16" s="111">
        <f>KPI!AL130</f>
        <v>883</v>
      </c>
      <c r="AJ16" s="111">
        <f>KPI!AM130</f>
        <v>1049</v>
      </c>
      <c r="AK16" s="111">
        <f>KPI!AN130</f>
        <v>1140</v>
      </c>
      <c r="AL16" s="111">
        <f>KPI!AO130</f>
        <v>1186</v>
      </c>
      <c r="AM16" s="111">
        <f>KPI!AP130</f>
        <v>1449</v>
      </c>
      <c r="AN16" s="111">
        <f>KPI!AQ130</f>
        <v>1458</v>
      </c>
      <c r="AO16" s="111">
        <f>KPI!AR130</f>
        <v>1458</v>
      </c>
      <c r="AP16" s="111">
        <f>KPI!AS130</f>
        <v>1458</v>
      </c>
      <c r="AS16" s="51"/>
      <c r="AT16" s="52" t="s">
        <v>393</v>
      </c>
      <c r="AU16" s="364" t="s">
        <v>276</v>
      </c>
      <c r="AV16" s="53" t="s">
        <v>72</v>
      </c>
      <c r="AW16" s="61" t="s">
        <v>409</v>
      </c>
      <c r="AX16" s="53">
        <v>0</v>
      </c>
      <c r="AY16" s="89">
        <f t="shared" si="3"/>
        <v>110</v>
      </c>
      <c r="AZ16" s="89">
        <f t="shared" si="4"/>
        <v>100.06863417982154</v>
      </c>
      <c r="BA16" s="111">
        <f>IF(AE16/I16*100&gt;110,110,AE16/I16*100)</f>
        <v>7.18954248366013</v>
      </c>
      <c r="BB16" s="111">
        <f t="shared" si="13"/>
        <v>32.786885245901637</v>
      </c>
      <c r="BC16" s="111">
        <f t="shared" si="13"/>
        <v>92.560175054704601</v>
      </c>
      <c r="BD16" s="111">
        <f t="shared" si="13"/>
        <v>107.88177339901478</v>
      </c>
      <c r="BE16" s="111">
        <f t="shared" si="13"/>
        <v>110</v>
      </c>
      <c r="BF16" s="111">
        <f t="shared" si="13"/>
        <v>110</v>
      </c>
      <c r="BG16" s="111">
        <f t="shared" si="13"/>
        <v>110</v>
      </c>
      <c r="BH16" s="111">
        <f t="shared" si="13"/>
        <v>108.50869167429093</v>
      </c>
      <c r="BI16" s="111">
        <f t="shared" si="13"/>
        <v>110</v>
      </c>
      <c r="BJ16" s="111">
        <f t="shared" si="13"/>
        <v>100.06863417982154</v>
      </c>
      <c r="BK16" s="111">
        <f t="shared" si="13"/>
        <v>100.06863417982154</v>
      </c>
      <c r="BL16" s="111">
        <f t="shared" si="13"/>
        <v>100.06863417982154</v>
      </c>
      <c r="BO16" s="51"/>
      <c r="BP16" s="52" t="s">
        <v>393</v>
      </c>
      <c r="BQ16" s="364" t="s">
        <v>276</v>
      </c>
      <c r="BR16" s="53" t="s">
        <v>72</v>
      </c>
      <c r="BS16" s="61" t="s">
        <v>409</v>
      </c>
      <c r="BT16" s="53">
        <v>4</v>
      </c>
      <c r="BU16" s="89">
        <f t="shared" si="11"/>
        <v>4.4000000000000004</v>
      </c>
      <c r="BV16" s="89">
        <f t="shared" si="12"/>
        <v>4.0027453671928619</v>
      </c>
      <c r="BW16" s="111" cm="1">
        <f t="array" ref="BW16:CH16">BT16*BA16:BL16/100</f>
        <v>0.28758169934640521</v>
      </c>
      <c r="BX16" s="111">
        <v>1.3114754098360655</v>
      </c>
      <c r="BY16" s="111">
        <v>3.7024070021881839</v>
      </c>
      <c r="BZ16" s="111">
        <v>4.3152709359605907</v>
      </c>
      <c r="CA16" s="111">
        <v>4.4000000000000004</v>
      </c>
      <c r="CB16" s="111">
        <v>4.4000000000000004</v>
      </c>
      <c r="CC16" s="111">
        <v>4.4000000000000004</v>
      </c>
      <c r="CD16" s="111">
        <v>4.3403476669716374</v>
      </c>
      <c r="CE16" s="111">
        <v>4.4000000000000004</v>
      </c>
      <c r="CF16" s="111">
        <v>4.0027453671928619</v>
      </c>
      <c r="CG16" s="111">
        <v>4.0027453671928619</v>
      </c>
      <c r="CH16" s="111">
        <v>4.0027453671928619</v>
      </c>
    </row>
    <row r="17" spans="1:86" s="35" customFormat="1" ht="16.5">
      <c r="A17" s="249" t="s">
        <v>283</v>
      </c>
      <c r="B17" s="55" t="s">
        <v>284</v>
      </c>
      <c r="C17" s="372"/>
      <c r="D17" s="129"/>
      <c r="E17" s="339"/>
      <c r="F17" s="158">
        <f>SUM(F18:F54)</f>
        <v>60</v>
      </c>
      <c r="G17" s="158"/>
      <c r="H17" s="158"/>
      <c r="I17" s="158"/>
      <c r="J17" s="158"/>
      <c r="K17" s="158"/>
      <c r="L17" s="158"/>
      <c r="M17" s="158"/>
      <c r="N17" s="158"/>
      <c r="O17" s="158"/>
      <c r="P17" s="158"/>
      <c r="Q17" s="158"/>
      <c r="R17" s="158"/>
      <c r="S17" s="158"/>
      <c r="T17" s="159"/>
      <c r="U17" s="22"/>
      <c r="V17"/>
      <c r="W17" s="47" t="s">
        <v>283</v>
      </c>
      <c r="X17" s="48" t="s">
        <v>284</v>
      </c>
      <c r="Y17" s="363"/>
      <c r="Z17" s="50"/>
      <c r="AA17" s="48"/>
      <c r="AB17" s="139">
        <v>60</v>
      </c>
      <c r="AC17" s="139"/>
      <c r="AD17" s="139">
        <f t="shared" si="2"/>
        <v>0</v>
      </c>
      <c r="AE17" s="168"/>
      <c r="AF17" s="168"/>
      <c r="AG17" s="168"/>
      <c r="AH17" s="168"/>
      <c r="AI17" s="168"/>
      <c r="AJ17" s="168"/>
      <c r="AK17" s="168"/>
      <c r="AL17" s="168"/>
      <c r="AM17" s="168"/>
      <c r="AN17" s="168"/>
      <c r="AO17" s="168"/>
      <c r="AP17" s="168"/>
      <c r="AS17" s="47" t="s">
        <v>283</v>
      </c>
      <c r="AT17" s="48" t="s">
        <v>284</v>
      </c>
      <c r="AU17" s="363"/>
      <c r="AV17" s="50"/>
      <c r="AW17" s="48"/>
      <c r="AX17" s="139">
        <v>60</v>
      </c>
      <c r="AY17" s="139"/>
      <c r="AZ17" s="139"/>
      <c r="BA17" s="168"/>
      <c r="BB17" s="168"/>
      <c r="BC17" s="168"/>
      <c r="BD17" s="168"/>
      <c r="BE17" s="168"/>
      <c r="BF17" s="168"/>
      <c r="BG17" s="168"/>
      <c r="BH17" s="168"/>
      <c r="BI17" s="168"/>
      <c r="BJ17" s="168"/>
      <c r="BK17" s="168"/>
      <c r="BL17" s="168"/>
      <c r="BO17" s="47" t="s">
        <v>283</v>
      </c>
      <c r="BP17" s="48" t="s">
        <v>284</v>
      </c>
      <c r="BQ17" s="363"/>
      <c r="BR17" s="50"/>
      <c r="BS17" s="48"/>
      <c r="BT17" s="139">
        <v>60</v>
      </c>
      <c r="BU17" s="139"/>
      <c r="BV17" s="139"/>
      <c r="BW17" s="168"/>
      <c r="BX17" s="168"/>
      <c r="BY17" s="168"/>
      <c r="BZ17" s="168"/>
      <c r="CA17" s="168"/>
      <c r="CB17" s="168"/>
      <c r="CC17" s="168"/>
      <c r="CD17" s="168"/>
      <c r="CE17" s="168"/>
      <c r="CF17" s="168"/>
      <c r="CG17" s="168"/>
      <c r="CH17" s="168"/>
    </row>
    <row r="18" spans="1:86" ht="16.5">
      <c r="A18" s="250">
        <v>4</v>
      </c>
      <c r="B18" s="271" t="s">
        <v>285</v>
      </c>
      <c r="C18" s="370"/>
      <c r="D18" s="76"/>
      <c r="E18" s="340"/>
      <c r="F18" s="77">
        <v>9</v>
      </c>
      <c r="G18" s="92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108"/>
      <c r="U18" s="22"/>
      <c r="V18"/>
      <c r="W18" s="51">
        <v>4</v>
      </c>
      <c r="X18" s="267" t="s">
        <v>285</v>
      </c>
      <c r="Y18" s="364"/>
      <c r="Z18" s="53"/>
      <c r="AA18" s="61"/>
      <c r="AB18" s="53">
        <v>9</v>
      </c>
      <c r="AC18" s="89"/>
      <c r="AD18" s="89"/>
      <c r="AE18" s="95"/>
      <c r="AF18" s="95"/>
      <c r="AG18" s="95"/>
      <c r="AH18" s="95"/>
      <c r="AI18" s="95"/>
      <c r="AJ18" s="95"/>
      <c r="AK18" s="95"/>
      <c r="AL18" s="95"/>
      <c r="AM18" s="95"/>
      <c r="AN18" s="95"/>
      <c r="AO18" s="95"/>
      <c r="AP18" s="95"/>
      <c r="AS18" s="51">
        <v>4</v>
      </c>
      <c r="AT18" s="267" t="s">
        <v>285</v>
      </c>
      <c r="AU18" s="364"/>
      <c r="AV18" s="53"/>
      <c r="AW18" s="61"/>
      <c r="AX18" s="53">
        <v>9</v>
      </c>
      <c r="AY18" s="89"/>
      <c r="AZ18" s="89"/>
      <c r="BA18" s="95"/>
      <c r="BB18" s="95"/>
      <c r="BC18" s="95"/>
      <c r="BD18" s="95"/>
      <c r="BE18" s="95"/>
      <c r="BF18" s="95"/>
      <c r="BG18" s="95"/>
      <c r="BH18" s="95"/>
      <c r="BI18" s="95"/>
      <c r="BJ18" s="95"/>
      <c r="BK18" s="95"/>
      <c r="BL18" s="95"/>
      <c r="BO18" s="51">
        <v>4</v>
      </c>
      <c r="BP18" s="267" t="s">
        <v>285</v>
      </c>
      <c r="BQ18" s="364"/>
      <c r="BR18" s="53"/>
      <c r="BS18" s="61"/>
      <c r="BT18" s="513">
        <v>9</v>
      </c>
      <c r="BU18" s="89"/>
      <c r="BV18" s="89"/>
      <c r="BW18" s="95"/>
      <c r="BX18" s="95"/>
      <c r="BY18" s="95"/>
      <c r="BZ18" s="95"/>
      <c r="CA18" s="95"/>
      <c r="CB18" s="95"/>
      <c r="CC18" s="95"/>
      <c r="CD18" s="95"/>
      <c r="CE18" s="95"/>
      <c r="CF18" s="95"/>
      <c r="CG18" s="95"/>
      <c r="CH18" s="95"/>
    </row>
    <row r="19" spans="1:86" ht="15.6" customHeight="1">
      <c r="A19" s="251"/>
      <c r="B19" s="275" t="s">
        <v>287</v>
      </c>
      <c r="C19" s="370" t="s">
        <v>278</v>
      </c>
      <c r="D19" s="76" t="s">
        <v>136</v>
      </c>
      <c r="E19" s="340" t="s">
        <v>410</v>
      </c>
      <c r="F19" s="77"/>
      <c r="G19" s="92">
        <f>N19</f>
        <v>33</v>
      </c>
      <c r="H19" s="92">
        <f>T19</f>
        <v>62</v>
      </c>
      <c r="I19" s="92">
        <f>PI!D8</f>
        <v>6</v>
      </c>
      <c r="J19" s="92">
        <f>PI!E8</f>
        <v>11</v>
      </c>
      <c r="K19" s="92">
        <f>PI!F8</f>
        <v>17</v>
      </c>
      <c r="L19" s="92">
        <f>PI!G8</f>
        <v>22</v>
      </c>
      <c r="M19" s="92">
        <f>PI!H8</f>
        <v>28</v>
      </c>
      <c r="N19" s="92">
        <f>PI!I8</f>
        <v>33</v>
      </c>
      <c r="O19" s="92">
        <f>PI!J8</f>
        <v>39</v>
      </c>
      <c r="P19" s="92">
        <f>PI!K8</f>
        <v>44</v>
      </c>
      <c r="Q19" s="92">
        <f>PI!L8</f>
        <v>50</v>
      </c>
      <c r="R19" s="92">
        <f>PI!M8</f>
        <v>55</v>
      </c>
      <c r="S19" s="92">
        <f>PI!N8</f>
        <v>61</v>
      </c>
      <c r="T19" s="108">
        <f>PI!O8</f>
        <v>62</v>
      </c>
      <c r="U19" s="22"/>
      <c r="V19"/>
      <c r="W19" s="51"/>
      <c r="X19" s="52" t="s">
        <v>287</v>
      </c>
      <c r="Y19" s="364" t="s">
        <v>278</v>
      </c>
      <c r="Z19" s="53" t="s">
        <v>136</v>
      </c>
      <c r="AA19" s="61" t="s">
        <v>410</v>
      </c>
      <c r="AB19" s="53"/>
      <c r="AC19" s="89">
        <f t="shared" ref="AC19:AC48" si="14">AJ19</f>
        <v>31</v>
      </c>
      <c r="AD19" s="89">
        <f t="shared" si="2"/>
        <v>54</v>
      </c>
      <c r="AE19" s="95">
        <f>PI!AH8</f>
        <v>2</v>
      </c>
      <c r="AF19" s="95">
        <f>PI!AI8</f>
        <v>3</v>
      </c>
      <c r="AG19" s="95">
        <f>PI!AJ8</f>
        <v>8</v>
      </c>
      <c r="AH19" s="95">
        <f>PI!AK8</f>
        <v>11</v>
      </c>
      <c r="AI19" s="95">
        <f>PI!AL8</f>
        <v>29</v>
      </c>
      <c r="AJ19" s="95">
        <f>PI!AM8</f>
        <v>31</v>
      </c>
      <c r="AK19" s="95">
        <f>PI!AN8</f>
        <v>38</v>
      </c>
      <c r="AL19" s="95">
        <f>PI!AO8</f>
        <v>38</v>
      </c>
      <c r="AM19" s="95">
        <f>PI!AP8</f>
        <v>46</v>
      </c>
      <c r="AN19" s="95">
        <f>PI!AQ8</f>
        <v>54</v>
      </c>
      <c r="AO19" s="95">
        <f>PI!AR8</f>
        <v>54</v>
      </c>
      <c r="AP19" s="95">
        <f>PI!AS8</f>
        <v>54</v>
      </c>
      <c r="AS19" s="51"/>
      <c r="AT19" s="52" t="s">
        <v>287</v>
      </c>
      <c r="AU19" s="364" t="s">
        <v>278</v>
      </c>
      <c r="AV19" s="53" t="s">
        <v>136</v>
      </c>
      <c r="AW19" s="61" t="s">
        <v>410</v>
      </c>
      <c r="AX19" s="53"/>
      <c r="AY19" s="89">
        <f t="shared" si="3"/>
        <v>106.06060606060606</v>
      </c>
      <c r="AZ19" s="89">
        <f t="shared" si="4"/>
        <v>110</v>
      </c>
      <c r="BA19" s="95">
        <f>IF(((I19-(AE19-I19))/I19)*100&gt;110,110,((I19-(AE19-I19))/I19)*100)</f>
        <v>110</v>
      </c>
      <c r="BB19" s="95">
        <f t="shared" ref="BB19:BL19" si="15">IF(((J19-(AF19-J19))/J19)*100&gt;110,110,((J19-(AF19-J19))/J19)*100)</f>
        <v>110</v>
      </c>
      <c r="BC19" s="95">
        <f t="shared" si="15"/>
        <v>110</v>
      </c>
      <c r="BD19" s="95">
        <f t="shared" si="15"/>
        <v>110</v>
      </c>
      <c r="BE19" s="95">
        <f t="shared" si="15"/>
        <v>96.428571428571431</v>
      </c>
      <c r="BF19" s="95">
        <f t="shared" si="15"/>
        <v>106.06060606060606</v>
      </c>
      <c r="BG19" s="95">
        <f t="shared" si="15"/>
        <v>102.56410256410255</v>
      </c>
      <c r="BH19" s="95">
        <f t="shared" si="15"/>
        <v>110</v>
      </c>
      <c r="BI19" s="95">
        <f t="shared" si="15"/>
        <v>108</v>
      </c>
      <c r="BJ19" s="95">
        <f t="shared" si="15"/>
        <v>101.81818181818181</v>
      </c>
      <c r="BK19" s="95">
        <f t="shared" si="15"/>
        <v>110</v>
      </c>
      <c r="BL19" s="95">
        <f t="shared" si="15"/>
        <v>110</v>
      </c>
      <c r="BO19" s="51"/>
      <c r="BP19" s="52" t="s">
        <v>287</v>
      </c>
      <c r="BQ19" s="364" t="s">
        <v>278</v>
      </c>
      <c r="BR19" s="53" t="s">
        <v>136</v>
      </c>
      <c r="BS19" s="61" t="s">
        <v>410</v>
      </c>
      <c r="BT19" s="53">
        <v>3</v>
      </c>
      <c r="BU19" s="89">
        <f t="shared" ref="BU19:BU21" si="16">CB19</f>
        <v>3.1818181818181817</v>
      </c>
      <c r="BV19" s="89">
        <f t="shared" ref="BV19:BV21" si="17">CH19</f>
        <v>3.3</v>
      </c>
      <c r="BW19" s="111" cm="1">
        <f t="array" ref="BW19:CH19">BT19*BA19:BL19/100</f>
        <v>3.3</v>
      </c>
      <c r="BX19" s="95">
        <v>3.3</v>
      </c>
      <c r="BY19" s="95">
        <v>3.3</v>
      </c>
      <c r="BZ19" s="95">
        <v>3.3</v>
      </c>
      <c r="CA19" s="95">
        <v>2.8928571428571428</v>
      </c>
      <c r="CB19" s="95">
        <v>3.1818181818181817</v>
      </c>
      <c r="CC19" s="95">
        <v>3.0769230769230766</v>
      </c>
      <c r="CD19" s="95">
        <v>3.3</v>
      </c>
      <c r="CE19" s="95">
        <v>3.24</v>
      </c>
      <c r="CF19" s="95">
        <v>3.0545454545454542</v>
      </c>
      <c r="CG19" s="95">
        <v>3.3</v>
      </c>
      <c r="CH19" s="95">
        <v>3.3</v>
      </c>
    </row>
    <row r="20" spans="1:86" ht="15.6" customHeight="1">
      <c r="A20" s="251"/>
      <c r="B20" s="275" t="s">
        <v>289</v>
      </c>
      <c r="C20" s="370" t="s">
        <v>278</v>
      </c>
      <c r="D20" s="76" t="s">
        <v>136</v>
      </c>
      <c r="E20" s="340" t="s">
        <v>411</v>
      </c>
      <c r="F20" s="77"/>
      <c r="G20" s="92">
        <f>N20</f>
        <v>43</v>
      </c>
      <c r="H20" s="92">
        <f>T20</f>
        <v>86</v>
      </c>
      <c r="I20" s="92">
        <f>PI!D9</f>
        <v>7</v>
      </c>
      <c r="J20" s="92">
        <f>PI!E9</f>
        <v>14</v>
      </c>
      <c r="K20" s="92">
        <f>PI!F9</f>
        <v>22</v>
      </c>
      <c r="L20" s="92">
        <f>PI!G9</f>
        <v>29</v>
      </c>
      <c r="M20" s="92">
        <f>PI!H9</f>
        <v>36</v>
      </c>
      <c r="N20" s="92">
        <f>PI!I9</f>
        <v>43</v>
      </c>
      <c r="O20" s="92">
        <f>PI!J9</f>
        <v>50</v>
      </c>
      <c r="P20" s="92">
        <f>PI!K9</f>
        <v>57</v>
      </c>
      <c r="Q20" s="92">
        <f>PI!L9</f>
        <v>65</v>
      </c>
      <c r="R20" s="92">
        <f>PI!M9</f>
        <v>72</v>
      </c>
      <c r="S20" s="92">
        <f>PI!N9</f>
        <v>79</v>
      </c>
      <c r="T20" s="108">
        <f>PI!O9</f>
        <v>86</v>
      </c>
      <c r="U20" s="22"/>
      <c r="V20"/>
      <c r="W20" s="51"/>
      <c r="X20" s="52" t="s">
        <v>289</v>
      </c>
      <c r="Y20" s="364" t="s">
        <v>278</v>
      </c>
      <c r="Z20" s="53" t="s">
        <v>136</v>
      </c>
      <c r="AA20" s="61" t="s">
        <v>411</v>
      </c>
      <c r="AB20" s="53"/>
      <c r="AC20" s="89">
        <f t="shared" si="14"/>
        <v>34</v>
      </c>
      <c r="AD20" s="89">
        <f t="shared" si="2"/>
        <v>65</v>
      </c>
      <c r="AE20" s="95">
        <f>PI!AH9</f>
        <v>0</v>
      </c>
      <c r="AF20" s="95">
        <f>PI!AI9</f>
        <v>6</v>
      </c>
      <c r="AG20" s="95">
        <f>PI!AJ9</f>
        <v>8</v>
      </c>
      <c r="AH20" s="95">
        <f>PI!AK9</f>
        <v>8</v>
      </c>
      <c r="AI20" s="95">
        <f>PI!AL9</f>
        <v>23</v>
      </c>
      <c r="AJ20" s="95">
        <f>PI!AM9</f>
        <v>34</v>
      </c>
      <c r="AK20" s="95">
        <f>PI!AN9</f>
        <v>42</v>
      </c>
      <c r="AL20" s="95">
        <f>PI!AO9</f>
        <v>44</v>
      </c>
      <c r="AM20" s="95">
        <f>PI!AP9</f>
        <v>55</v>
      </c>
      <c r="AN20" s="95">
        <f>PI!AQ9</f>
        <v>65</v>
      </c>
      <c r="AO20" s="95">
        <f>PI!AR9</f>
        <v>65</v>
      </c>
      <c r="AP20" s="95">
        <f>PI!AS9</f>
        <v>65</v>
      </c>
      <c r="AS20" s="51"/>
      <c r="AT20" s="52" t="s">
        <v>289</v>
      </c>
      <c r="AU20" s="364" t="s">
        <v>278</v>
      </c>
      <c r="AV20" s="53" t="s">
        <v>136</v>
      </c>
      <c r="AW20" s="61" t="s">
        <v>411</v>
      </c>
      <c r="AX20" s="53"/>
      <c r="AY20" s="89">
        <f t="shared" si="3"/>
        <v>110</v>
      </c>
      <c r="AZ20" s="89">
        <f t="shared" si="4"/>
        <v>110</v>
      </c>
      <c r="BA20" s="95">
        <f>IF((2-(AE20/I20))*100&gt;110,110,(2-(AE20/I20))*100)</f>
        <v>110</v>
      </c>
      <c r="BB20" s="95">
        <f t="shared" ref="BB20:BL20" si="18">IF((2-(AF20/J20))*100&gt;110,110,(2-(AF20/J20))*100)</f>
        <v>110</v>
      </c>
      <c r="BC20" s="95">
        <f t="shared" si="18"/>
        <v>110</v>
      </c>
      <c r="BD20" s="95">
        <f t="shared" si="18"/>
        <v>110</v>
      </c>
      <c r="BE20" s="95">
        <f t="shared" si="18"/>
        <v>110</v>
      </c>
      <c r="BF20" s="95">
        <f t="shared" si="18"/>
        <v>110</v>
      </c>
      <c r="BG20" s="95">
        <f t="shared" si="18"/>
        <v>110</v>
      </c>
      <c r="BH20" s="95">
        <f t="shared" si="18"/>
        <v>110</v>
      </c>
      <c r="BI20" s="95">
        <f t="shared" si="18"/>
        <v>110</v>
      </c>
      <c r="BJ20" s="95">
        <f t="shared" si="18"/>
        <v>109.72222222222223</v>
      </c>
      <c r="BK20" s="95">
        <f t="shared" si="18"/>
        <v>110</v>
      </c>
      <c r="BL20" s="95">
        <f t="shared" si="18"/>
        <v>110</v>
      </c>
      <c r="BO20" s="51"/>
      <c r="BP20" s="52" t="s">
        <v>289</v>
      </c>
      <c r="BQ20" s="364" t="s">
        <v>278</v>
      </c>
      <c r="BR20" s="53" t="s">
        <v>136</v>
      </c>
      <c r="BS20" s="61" t="s">
        <v>411</v>
      </c>
      <c r="BT20" s="53">
        <v>3</v>
      </c>
      <c r="BU20" s="89">
        <f t="shared" si="16"/>
        <v>3.3</v>
      </c>
      <c r="BV20" s="89">
        <f t="shared" si="17"/>
        <v>3.3</v>
      </c>
      <c r="BW20" s="111" cm="1">
        <f t="array" ref="BW20:CH20">BT20*BA20:BL20/100</f>
        <v>3.3</v>
      </c>
      <c r="BX20" s="95">
        <v>3.3</v>
      </c>
      <c r="BY20" s="95">
        <v>3.3</v>
      </c>
      <c r="BZ20" s="95">
        <v>3.3</v>
      </c>
      <c r="CA20" s="95">
        <v>3.3</v>
      </c>
      <c r="CB20" s="95">
        <v>3.3</v>
      </c>
      <c r="CC20" s="95">
        <v>3.3</v>
      </c>
      <c r="CD20" s="95">
        <v>3.3</v>
      </c>
      <c r="CE20" s="95">
        <v>3.3</v>
      </c>
      <c r="CF20" s="95">
        <v>3.291666666666667</v>
      </c>
      <c r="CG20" s="95">
        <v>3.3</v>
      </c>
      <c r="CH20" s="95">
        <v>3.3</v>
      </c>
    </row>
    <row r="21" spans="1:86" ht="15.6" customHeight="1">
      <c r="A21" s="251"/>
      <c r="B21" s="275" t="s">
        <v>291</v>
      </c>
      <c r="C21" s="373" t="s">
        <v>278</v>
      </c>
      <c r="D21" s="76" t="s">
        <v>72</v>
      </c>
      <c r="E21" s="340" t="s">
        <v>412</v>
      </c>
      <c r="F21" s="77"/>
      <c r="G21" s="92">
        <f>N21</f>
        <v>1</v>
      </c>
      <c r="H21" s="92">
        <f>T21</f>
        <v>2</v>
      </c>
      <c r="I21" s="92">
        <f>PI!D33</f>
        <v>0</v>
      </c>
      <c r="J21" s="92">
        <f>PI!E33</f>
        <v>0</v>
      </c>
      <c r="K21" s="92">
        <f>PI!F33</f>
        <v>1</v>
      </c>
      <c r="L21" s="92">
        <f>PI!G33</f>
        <v>1</v>
      </c>
      <c r="M21" s="92">
        <f>PI!H33</f>
        <v>1</v>
      </c>
      <c r="N21" s="92">
        <f>PI!I33</f>
        <v>1</v>
      </c>
      <c r="O21" s="92">
        <v>2</v>
      </c>
      <c r="P21" s="92">
        <v>2</v>
      </c>
      <c r="Q21" s="92">
        <v>2</v>
      </c>
      <c r="R21" s="92">
        <v>2</v>
      </c>
      <c r="S21" s="92">
        <v>2</v>
      </c>
      <c r="T21" s="108">
        <v>2</v>
      </c>
      <c r="U21" s="22"/>
      <c r="V21"/>
      <c r="W21" s="51"/>
      <c r="X21" s="52" t="s">
        <v>291</v>
      </c>
      <c r="Y21" s="364" t="s">
        <v>278</v>
      </c>
      <c r="Z21" s="53" t="s">
        <v>72</v>
      </c>
      <c r="AA21" s="61" t="s">
        <v>412</v>
      </c>
      <c r="AB21" s="53"/>
      <c r="AC21" s="89">
        <f t="shared" si="14"/>
        <v>2</v>
      </c>
      <c r="AD21" s="89">
        <f t="shared" si="2"/>
        <v>3</v>
      </c>
      <c r="AE21" s="95">
        <f>PI!AH33</f>
        <v>0</v>
      </c>
      <c r="AF21" s="95">
        <f>PI!AI33</f>
        <v>0</v>
      </c>
      <c r="AG21" s="95">
        <f>PI!AJ33</f>
        <v>0</v>
      </c>
      <c r="AH21" s="95">
        <f>PI!AK33</f>
        <v>0</v>
      </c>
      <c r="AI21" s="95">
        <f>PI!AL33</f>
        <v>1</v>
      </c>
      <c r="AJ21" s="95">
        <f>PI!AM33</f>
        <v>2</v>
      </c>
      <c r="AK21" s="95">
        <f>PI!AN33</f>
        <v>3</v>
      </c>
      <c r="AL21" s="95">
        <f>PI!AO33</f>
        <v>3</v>
      </c>
      <c r="AM21" s="95">
        <f>PI!AP33</f>
        <v>3</v>
      </c>
      <c r="AN21" s="95">
        <f>PI!AQ33</f>
        <v>3</v>
      </c>
      <c r="AO21" s="95">
        <f>PI!AR33</f>
        <v>3</v>
      </c>
      <c r="AP21" s="95">
        <f>PI!AS33</f>
        <v>3</v>
      </c>
      <c r="AS21" s="51"/>
      <c r="AT21" s="52" t="s">
        <v>291</v>
      </c>
      <c r="AU21" s="364" t="s">
        <v>278</v>
      </c>
      <c r="AV21" s="53" t="s">
        <v>72</v>
      </c>
      <c r="AW21" s="61" t="s">
        <v>412</v>
      </c>
      <c r="AX21" s="53"/>
      <c r="AY21" s="89">
        <f t="shared" si="3"/>
        <v>0</v>
      </c>
      <c r="AZ21" s="89">
        <f t="shared" si="4"/>
        <v>50</v>
      </c>
      <c r="BA21" s="95">
        <f>IFERROR(IF((2-(AE21/I21))*100&gt;110,110,(2-(AE21/I21))*100),100)</f>
        <v>100</v>
      </c>
      <c r="BB21" s="95">
        <f t="shared" ref="BB21:BL21" si="19">IFERROR(IF((2-(AF21/J21))*100&gt;110,110,(2-(AF21/J21))*100),100)</f>
        <v>100</v>
      </c>
      <c r="BC21" s="95">
        <f t="shared" si="19"/>
        <v>110</v>
      </c>
      <c r="BD21" s="95">
        <f t="shared" si="19"/>
        <v>110</v>
      </c>
      <c r="BE21" s="95">
        <f t="shared" si="19"/>
        <v>100</v>
      </c>
      <c r="BF21" s="95">
        <f t="shared" si="19"/>
        <v>0</v>
      </c>
      <c r="BG21" s="95">
        <f t="shared" si="19"/>
        <v>50</v>
      </c>
      <c r="BH21" s="95">
        <f t="shared" si="19"/>
        <v>50</v>
      </c>
      <c r="BI21" s="95">
        <f t="shared" si="19"/>
        <v>50</v>
      </c>
      <c r="BJ21" s="95">
        <f t="shared" si="19"/>
        <v>50</v>
      </c>
      <c r="BK21" s="95">
        <f t="shared" si="19"/>
        <v>50</v>
      </c>
      <c r="BL21" s="95">
        <f t="shared" si="19"/>
        <v>50</v>
      </c>
      <c r="BO21" s="51"/>
      <c r="BP21" s="52" t="s">
        <v>291</v>
      </c>
      <c r="BQ21" s="364" t="s">
        <v>278</v>
      </c>
      <c r="BR21" s="53" t="s">
        <v>72</v>
      </c>
      <c r="BS21" s="61" t="s">
        <v>412</v>
      </c>
      <c r="BT21" s="53">
        <v>3</v>
      </c>
      <c r="BU21" s="89">
        <f t="shared" si="16"/>
        <v>0</v>
      </c>
      <c r="BV21" s="89">
        <f t="shared" si="17"/>
        <v>1.5</v>
      </c>
      <c r="BW21" s="111" cm="1">
        <f t="array" ref="BW21:CH21">BT21*BA21:BL21/100</f>
        <v>3</v>
      </c>
      <c r="BX21" s="95">
        <v>3</v>
      </c>
      <c r="BY21" s="95">
        <v>3.3</v>
      </c>
      <c r="BZ21" s="95">
        <v>3.3</v>
      </c>
      <c r="CA21" s="95">
        <v>3</v>
      </c>
      <c r="CB21" s="95">
        <v>0</v>
      </c>
      <c r="CC21" s="95">
        <v>1.5</v>
      </c>
      <c r="CD21" s="95">
        <v>1.5</v>
      </c>
      <c r="CE21" s="95">
        <v>1.5</v>
      </c>
      <c r="CF21" s="95">
        <v>1.5</v>
      </c>
      <c r="CG21" s="95">
        <v>1.5</v>
      </c>
      <c r="CH21" s="95">
        <v>1.5</v>
      </c>
    </row>
    <row r="22" spans="1:86" ht="16.5">
      <c r="A22" s="252">
        <v>5</v>
      </c>
      <c r="B22" s="271" t="s">
        <v>293</v>
      </c>
      <c r="C22" s="373"/>
      <c r="D22" s="76"/>
      <c r="E22" s="341"/>
      <c r="F22" s="78">
        <v>8</v>
      </c>
      <c r="G22" s="92"/>
      <c r="H22" s="92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123"/>
      <c r="U22" s="22"/>
      <c r="V22"/>
      <c r="W22" s="51">
        <v>5</v>
      </c>
      <c r="X22" s="267" t="s">
        <v>293</v>
      </c>
      <c r="Y22" s="364"/>
      <c r="Z22" s="53"/>
      <c r="AA22" s="61"/>
      <c r="AB22" s="53">
        <v>8</v>
      </c>
      <c r="AC22" s="89"/>
      <c r="AD22" s="89"/>
      <c r="AE22" s="227"/>
      <c r="AF22" s="227"/>
      <c r="AG22" s="227"/>
      <c r="AH22" s="227"/>
      <c r="AI22" s="227"/>
      <c r="AJ22" s="227"/>
      <c r="AK22" s="227"/>
      <c r="AL22" s="227"/>
      <c r="AM22" s="227"/>
      <c r="AN22" s="227"/>
      <c r="AO22" s="227"/>
      <c r="AP22" s="227"/>
      <c r="AS22" s="51">
        <v>5</v>
      </c>
      <c r="AT22" s="267" t="s">
        <v>293</v>
      </c>
      <c r="AU22" s="364"/>
      <c r="AV22" s="53"/>
      <c r="AW22" s="61"/>
      <c r="AX22" s="53">
        <v>8</v>
      </c>
      <c r="AY22" s="89"/>
      <c r="AZ22" s="89"/>
      <c r="BA22" s="227"/>
      <c r="BB22" s="227"/>
      <c r="BC22" s="227"/>
      <c r="BD22" s="227"/>
      <c r="BE22" s="227"/>
      <c r="BF22" s="227"/>
      <c r="BG22" s="227"/>
      <c r="BH22" s="227"/>
      <c r="BI22" s="227"/>
      <c r="BJ22" s="227"/>
      <c r="BK22" s="227"/>
      <c r="BL22" s="227"/>
      <c r="BO22" s="51">
        <v>5</v>
      </c>
      <c r="BP22" s="267" t="s">
        <v>293</v>
      </c>
      <c r="BQ22" s="364"/>
      <c r="BR22" s="53"/>
      <c r="BS22" s="61"/>
      <c r="BT22" s="513">
        <v>8</v>
      </c>
      <c r="BU22" s="89"/>
      <c r="BV22" s="89"/>
      <c r="BW22" s="227"/>
      <c r="BX22" s="227"/>
      <c r="BY22" s="227"/>
      <c r="BZ22" s="227"/>
      <c r="CA22" s="227"/>
      <c r="CB22" s="227"/>
      <c r="CC22" s="227"/>
      <c r="CD22" s="227"/>
      <c r="CE22" s="227"/>
      <c r="CF22" s="227"/>
      <c r="CG22" s="227"/>
      <c r="CH22" s="227"/>
    </row>
    <row r="23" spans="1:86" ht="15.6" customHeight="1">
      <c r="A23" s="251"/>
      <c r="B23" s="275" t="s">
        <v>294</v>
      </c>
      <c r="C23" s="373" t="s">
        <v>278</v>
      </c>
      <c r="D23" s="76" t="s">
        <v>149</v>
      </c>
      <c r="E23" s="341" t="s">
        <v>413</v>
      </c>
      <c r="F23" s="78"/>
      <c r="G23" s="92">
        <f>N23</f>
        <v>0.09</v>
      </c>
      <c r="H23" s="92">
        <f>T23</f>
        <v>0.09</v>
      </c>
      <c r="I23" s="308">
        <f>PI!D55</f>
        <v>0.09</v>
      </c>
      <c r="J23" s="308">
        <f>PI!E55</f>
        <v>0.09</v>
      </c>
      <c r="K23" s="308">
        <f>PI!F55</f>
        <v>0.09</v>
      </c>
      <c r="L23" s="308">
        <f>PI!G55</f>
        <v>0.09</v>
      </c>
      <c r="M23" s="308">
        <f>PI!H55</f>
        <v>0.09</v>
      </c>
      <c r="N23" s="308">
        <f>PI!I55</f>
        <v>0.09</v>
      </c>
      <c r="O23" s="308">
        <f>PI!J55</f>
        <v>0.09</v>
      </c>
      <c r="P23" s="308">
        <f>PI!K55</f>
        <v>0.09</v>
      </c>
      <c r="Q23" s="308">
        <f>PI!L55</f>
        <v>0.09</v>
      </c>
      <c r="R23" s="308">
        <f>PI!M55</f>
        <v>0.09</v>
      </c>
      <c r="S23" s="308">
        <f>PI!N55</f>
        <v>0.09</v>
      </c>
      <c r="T23" s="389">
        <f>PI!O55</f>
        <v>0.09</v>
      </c>
      <c r="U23" s="22"/>
      <c r="V23"/>
      <c r="W23" s="51"/>
      <c r="X23" s="52" t="s">
        <v>294</v>
      </c>
      <c r="Y23" s="364" t="s">
        <v>278</v>
      </c>
      <c r="Z23" s="53" t="s">
        <v>149</v>
      </c>
      <c r="AA23" s="61" t="s">
        <v>413</v>
      </c>
      <c r="AB23" s="53"/>
      <c r="AC23" s="89">
        <f t="shared" si="14"/>
        <v>0</v>
      </c>
      <c r="AD23" s="89">
        <f t="shared" si="2"/>
        <v>0</v>
      </c>
      <c r="AE23" s="227">
        <f>PI!AH55</f>
        <v>0</v>
      </c>
      <c r="AF23" s="227">
        <f>PI!AI55</f>
        <v>0</v>
      </c>
      <c r="AG23" s="227">
        <f>PI!AJ55</f>
        <v>0</v>
      </c>
      <c r="AH23" s="227">
        <f>PI!AK55</f>
        <v>0</v>
      </c>
      <c r="AI23" s="227">
        <f>PI!AL55</f>
        <v>0</v>
      </c>
      <c r="AJ23" s="227">
        <f>PI!AM55</f>
        <v>0</v>
      </c>
      <c r="AK23" s="227">
        <f>PI!AN55</f>
        <v>0</v>
      </c>
      <c r="AL23" s="227">
        <f>PI!AO55</f>
        <v>0</v>
      </c>
      <c r="AM23" s="227">
        <f>PI!AP55</f>
        <v>0</v>
      </c>
      <c r="AN23" s="227">
        <f>PI!AQ55</f>
        <v>0</v>
      </c>
      <c r="AO23" s="227">
        <f>PI!AR55</f>
        <v>0</v>
      </c>
      <c r="AP23" s="227">
        <f>PI!AS55</f>
        <v>0</v>
      </c>
      <c r="AS23" s="51"/>
      <c r="AT23" s="52" t="s">
        <v>294</v>
      </c>
      <c r="AU23" s="364" t="s">
        <v>278</v>
      </c>
      <c r="AV23" s="53" t="s">
        <v>149</v>
      </c>
      <c r="AW23" s="61" t="s">
        <v>413</v>
      </c>
      <c r="AX23" s="53"/>
      <c r="AY23" s="89">
        <f t="shared" si="3"/>
        <v>110</v>
      </c>
      <c r="AZ23" s="89">
        <f t="shared" si="4"/>
        <v>110</v>
      </c>
      <c r="BA23" s="227">
        <f>IFERROR(IF((2-(AE23/I23))*100&gt;110,110,(2-(AE23/I23))*100),100)</f>
        <v>110</v>
      </c>
      <c r="BB23" s="227">
        <f t="shared" ref="BB23:BL24" si="20">IFERROR(IF((2-(AF23/J23))*100&gt;110,110,(2-(AF23/J23))*100),100)</f>
        <v>110</v>
      </c>
      <c r="BC23" s="227">
        <f t="shared" si="20"/>
        <v>110</v>
      </c>
      <c r="BD23" s="227">
        <f t="shared" si="20"/>
        <v>110</v>
      </c>
      <c r="BE23" s="227">
        <f t="shared" si="20"/>
        <v>110</v>
      </c>
      <c r="BF23" s="227">
        <f t="shared" si="20"/>
        <v>110</v>
      </c>
      <c r="BG23" s="227">
        <f t="shared" si="20"/>
        <v>110</v>
      </c>
      <c r="BH23" s="227">
        <f t="shared" si="20"/>
        <v>110</v>
      </c>
      <c r="BI23" s="227">
        <f t="shared" si="20"/>
        <v>110</v>
      </c>
      <c r="BJ23" s="227">
        <f t="shared" si="20"/>
        <v>110</v>
      </c>
      <c r="BK23" s="227">
        <f t="shared" si="20"/>
        <v>110</v>
      </c>
      <c r="BL23" s="227">
        <f t="shared" si="20"/>
        <v>110</v>
      </c>
      <c r="BO23" s="51"/>
      <c r="BP23" s="52" t="s">
        <v>294</v>
      </c>
      <c r="BQ23" s="364" t="s">
        <v>278</v>
      </c>
      <c r="BR23" s="53" t="s">
        <v>149</v>
      </c>
      <c r="BS23" s="61" t="s">
        <v>413</v>
      </c>
      <c r="BT23" s="53">
        <v>2</v>
      </c>
      <c r="BU23" s="89">
        <f t="shared" ref="BU23:BU26" si="21">CB23</f>
        <v>2.2000000000000002</v>
      </c>
      <c r="BV23" s="89">
        <f t="shared" ref="BV23:BV26" si="22">CH23</f>
        <v>2.2000000000000002</v>
      </c>
      <c r="BW23" s="111" cm="1">
        <f t="array" ref="BW23:CH23">BT23*BA23:BL23/100</f>
        <v>2.2000000000000002</v>
      </c>
      <c r="BX23" s="227">
        <v>2.2000000000000002</v>
      </c>
      <c r="BY23" s="227">
        <v>2.2000000000000002</v>
      </c>
      <c r="BZ23" s="227">
        <v>2.2000000000000002</v>
      </c>
      <c r="CA23" s="227">
        <v>2.2000000000000002</v>
      </c>
      <c r="CB23" s="227">
        <v>2.2000000000000002</v>
      </c>
      <c r="CC23" s="227">
        <v>2.2000000000000002</v>
      </c>
      <c r="CD23" s="227">
        <v>2.2000000000000002</v>
      </c>
      <c r="CE23" s="227">
        <v>2.2000000000000002</v>
      </c>
      <c r="CF23" s="227">
        <v>2.2000000000000002</v>
      </c>
      <c r="CG23" s="227">
        <v>2.2000000000000002</v>
      </c>
      <c r="CH23" s="227">
        <v>2.2000000000000002</v>
      </c>
    </row>
    <row r="24" spans="1:86" ht="15.6" customHeight="1">
      <c r="A24" s="250"/>
      <c r="B24" s="275" t="s">
        <v>295</v>
      </c>
      <c r="C24" s="373" t="s">
        <v>278</v>
      </c>
      <c r="D24" s="76" t="s">
        <v>149</v>
      </c>
      <c r="E24" s="341" t="s">
        <v>414</v>
      </c>
      <c r="F24" s="78"/>
      <c r="G24" s="92">
        <f>N24</f>
        <v>0.04</v>
      </c>
      <c r="H24" s="92">
        <f>T24</f>
        <v>0.04</v>
      </c>
      <c r="I24" s="106">
        <f>PI!D77</f>
        <v>0.04</v>
      </c>
      <c r="J24" s="106">
        <f>PI!E77</f>
        <v>0.04</v>
      </c>
      <c r="K24" s="106">
        <f>PI!F77</f>
        <v>0.04</v>
      </c>
      <c r="L24" s="106">
        <f>PI!G77</f>
        <v>0.04</v>
      </c>
      <c r="M24" s="106">
        <f>PI!H77</f>
        <v>0.04</v>
      </c>
      <c r="N24" s="106">
        <f>PI!I77</f>
        <v>0.04</v>
      </c>
      <c r="O24" s="106">
        <f>PI!J77</f>
        <v>0.04</v>
      </c>
      <c r="P24" s="106">
        <f>PI!K77</f>
        <v>0.04</v>
      </c>
      <c r="Q24" s="106">
        <f>PI!L77</f>
        <v>0.04</v>
      </c>
      <c r="R24" s="106">
        <f>PI!M77</f>
        <v>0.04</v>
      </c>
      <c r="S24" s="106">
        <f>PI!N77</f>
        <v>0.04</v>
      </c>
      <c r="T24" s="109">
        <f>PI!O77</f>
        <v>0.04</v>
      </c>
      <c r="U24" s="22"/>
      <c r="V24"/>
      <c r="W24" s="51"/>
      <c r="X24" s="52" t="s">
        <v>295</v>
      </c>
      <c r="Y24" s="364" t="s">
        <v>278</v>
      </c>
      <c r="Z24" s="53" t="s">
        <v>149</v>
      </c>
      <c r="AA24" s="61" t="s">
        <v>414</v>
      </c>
      <c r="AB24" s="53"/>
      <c r="AC24" s="89">
        <f t="shared" si="14"/>
        <v>0</v>
      </c>
      <c r="AD24" s="89">
        <f t="shared" si="2"/>
        <v>3.0349013657056147E-2</v>
      </c>
      <c r="AE24" s="227">
        <f>PI!AH77</f>
        <v>0</v>
      </c>
      <c r="AF24" s="227">
        <f>PI!AI77</f>
        <v>0</v>
      </c>
      <c r="AG24" s="227">
        <f>PI!AJ77</f>
        <v>0</v>
      </c>
      <c r="AH24" s="227">
        <f>PI!AK77</f>
        <v>0</v>
      </c>
      <c r="AI24" s="227">
        <f>PI!AL77</f>
        <v>0</v>
      </c>
      <c r="AJ24" s="227">
        <f>PI!AM77</f>
        <v>0</v>
      </c>
      <c r="AK24" s="227">
        <f>PI!AN77</f>
        <v>0</v>
      </c>
      <c r="AL24" s="227">
        <f>PI!AO77</f>
        <v>0</v>
      </c>
      <c r="AM24" s="227">
        <f>PI!AP77</f>
        <v>0</v>
      </c>
      <c r="AN24" s="227">
        <f>PI!AQ77</f>
        <v>0</v>
      </c>
      <c r="AO24" s="227">
        <f>PI!AR77</f>
        <v>3.0349013657056147E-2</v>
      </c>
      <c r="AP24" s="227">
        <f>PI!AS77</f>
        <v>3.0349013657056147E-2</v>
      </c>
      <c r="AS24" s="51"/>
      <c r="AT24" s="52" t="s">
        <v>295</v>
      </c>
      <c r="AU24" s="364" t="s">
        <v>278</v>
      </c>
      <c r="AV24" s="53" t="s">
        <v>149</v>
      </c>
      <c r="AW24" s="61" t="s">
        <v>414</v>
      </c>
      <c r="AX24" s="53"/>
      <c r="AY24" s="89">
        <f t="shared" si="3"/>
        <v>110</v>
      </c>
      <c r="AZ24" s="89">
        <f t="shared" si="4"/>
        <v>110</v>
      </c>
      <c r="BA24" s="227">
        <f>IFERROR(IF((2-(AE24/I24))*100&gt;110,110,(2-(AE24/I24))*100),100)</f>
        <v>110</v>
      </c>
      <c r="BB24" s="227">
        <f t="shared" si="20"/>
        <v>110</v>
      </c>
      <c r="BC24" s="227">
        <f t="shared" si="20"/>
        <v>110</v>
      </c>
      <c r="BD24" s="227">
        <f t="shared" si="20"/>
        <v>110</v>
      </c>
      <c r="BE24" s="227">
        <f t="shared" si="20"/>
        <v>110</v>
      </c>
      <c r="BF24" s="227">
        <f t="shared" si="20"/>
        <v>110</v>
      </c>
      <c r="BG24" s="227">
        <f t="shared" si="20"/>
        <v>110</v>
      </c>
      <c r="BH24" s="227">
        <f t="shared" si="20"/>
        <v>110</v>
      </c>
      <c r="BI24" s="227">
        <f t="shared" si="20"/>
        <v>110</v>
      </c>
      <c r="BJ24" s="227">
        <f t="shared" si="20"/>
        <v>110</v>
      </c>
      <c r="BK24" s="227">
        <f t="shared" si="20"/>
        <v>110</v>
      </c>
      <c r="BL24" s="227">
        <f t="shared" si="20"/>
        <v>110</v>
      </c>
      <c r="BO24" s="51"/>
      <c r="BP24" s="52" t="s">
        <v>295</v>
      </c>
      <c r="BQ24" s="364" t="s">
        <v>278</v>
      </c>
      <c r="BR24" s="53" t="s">
        <v>149</v>
      </c>
      <c r="BS24" s="61" t="s">
        <v>414</v>
      </c>
      <c r="BT24" s="53">
        <v>2</v>
      </c>
      <c r="BU24" s="89">
        <f t="shared" si="21"/>
        <v>2.2000000000000002</v>
      </c>
      <c r="BV24" s="89">
        <f t="shared" si="22"/>
        <v>2.2000000000000002</v>
      </c>
      <c r="BW24" s="111" cm="1">
        <f t="array" ref="BW24:CH24">BT24*BA24:BL24/100</f>
        <v>2.2000000000000002</v>
      </c>
      <c r="BX24" s="227">
        <v>2.2000000000000002</v>
      </c>
      <c r="BY24" s="227">
        <v>2.2000000000000002</v>
      </c>
      <c r="BZ24" s="227">
        <v>2.2000000000000002</v>
      </c>
      <c r="CA24" s="227">
        <v>2.2000000000000002</v>
      </c>
      <c r="CB24" s="227">
        <v>2.2000000000000002</v>
      </c>
      <c r="CC24" s="227">
        <v>2.2000000000000002</v>
      </c>
      <c r="CD24" s="227">
        <v>2.2000000000000002</v>
      </c>
      <c r="CE24" s="227">
        <v>2.2000000000000002</v>
      </c>
      <c r="CF24" s="227">
        <v>2.2000000000000002</v>
      </c>
      <c r="CG24" s="227">
        <v>2.2000000000000002</v>
      </c>
      <c r="CH24" s="227">
        <v>2.2000000000000002</v>
      </c>
    </row>
    <row r="25" spans="1:86" ht="16.5">
      <c r="A25" s="251"/>
      <c r="B25" s="275" t="s">
        <v>297</v>
      </c>
      <c r="C25" s="373" t="s">
        <v>276</v>
      </c>
      <c r="D25" s="76" t="s">
        <v>193</v>
      </c>
      <c r="E25" s="341" t="s">
        <v>415</v>
      </c>
      <c r="F25" s="78"/>
      <c r="G25" s="92">
        <f>N25</f>
        <v>4.9000000000000004</v>
      </c>
      <c r="H25" s="92">
        <f>T25</f>
        <v>4.9000000000000004</v>
      </c>
      <c r="I25" s="92">
        <f>PI!D97</f>
        <v>4.9000000000000004</v>
      </c>
      <c r="J25" s="92">
        <f>PI!E97</f>
        <v>4.9000000000000004</v>
      </c>
      <c r="K25" s="92">
        <f>PI!F97</f>
        <v>4.9000000000000004</v>
      </c>
      <c r="L25" s="92">
        <f>PI!G97</f>
        <v>4.9000000000000004</v>
      </c>
      <c r="M25" s="92">
        <f>PI!H97</f>
        <v>4.9000000000000004</v>
      </c>
      <c r="N25" s="92">
        <f>PI!I97</f>
        <v>4.9000000000000004</v>
      </c>
      <c r="O25" s="92">
        <f>PI!J97</f>
        <v>4.9000000000000004</v>
      </c>
      <c r="P25" s="92">
        <f>PI!K97</f>
        <v>4.9000000000000004</v>
      </c>
      <c r="Q25" s="92">
        <f>PI!L97</f>
        <v>4.9000000000000004</v>
      </c>
      <c r="R25" s="92">
        <f>PI!M97</f>
        <v>4.9000000000000004</v>
      </c>
      <c r="S25" s="92">
        <f>PI!N97</f>
        <v>4.9000000000000004</v>
      </c>
      <c r="T25" s="108">
        <f>PI!O97</f>
        <v>4.9000000000000004</v>
      </c>
      <c r="U25" s="22"/>
      <c r="V25"/>
      <c r="W25" s="51"/>
      <c r="X25" s="52" t="s">
        <v>297</v>
      </c>
      <c r="Y25" s="364" t="s">
        <v>276</v>
      </c>
      <c r="Z25" s="53" t="s">
        <v>193</v>
      </c>
      <c r="AA25" s="61" t="s">
        <v>415</v>
      </c>
      <c r="AB25" s="53"/>
      <c r="AC25" s="89">
        <f t="shared" si="14"/>
        <v>4.9000000000000004</v>
      </c>
      <c r="AD25" s="89">
        <f t="shared" si="2"/>
        <v>4.9000000000000004</v>
      </c>
      <c r="AE25" s="95">
        <f>PI!AH97</f>
        <v>4.91</v>
      </c>
      <c r="AF25" s="95">
        <f>PI!AI97</f>
        <v>4.91</v>
      </c>
      <c r="AG25" s="95">
        <f>PI!AJ97</f>
        <v>4.91</v>
      </c>
      <c r="AH25" s="95">
        <f>PI!AK97</f>
        <v>4.91</v>
      </c>
      <c r="AI25" s="95">
        <f>PI!AL97</f>
        <v>4.9000000000000004</v>
      </c>
      <c r="AJ25" s="95">
        <f>PI!AM97</f>
        <v>4.9000000000000004</v>
      </c>
      <c r="AK25" s="95">
        <f>PI!AN97</f>
        <v>4.9000000000000004</v>
      </c>
      <c r="AL25" s="95">
        <f>PI!AO97</f>
        <v>4.9000000000000004</v>
      </c>
      <c r="AM25" s="95">
        <f>PI!AP97</f>
        <v>4.9000000000000004</v>
      </c>
      <c r="AN25" s="95">
        <f>PI!AQ97</f>
        <v>4.9000000000000004</v>
      </c>
      <c r="AO25" s="95">
        <f>PI!AR97</f>
        <v>4.9000000000000004</v>
      </c>
      <c r="AP25" s="95">
        <f>PI!AS97</f>
        <v>4.9000000000000004</v>
      </c>
      <c r="AS25" s="51"/>
      <c r="AT25" s="52" t="s">
        <v>297</v>
      </c>
      <c r="AU25" s="364" t="s">
        <v>276</v>
      </c>
      <c r="AV25" s="53" t="s">
        <v>193</v>
      </c>
      <c r="AW25" s="61" t="s">
        <v>415</v>
      </c>
      <c r="AX25" s="53"/>
      <c r="AY25" s="89">
        <f t="shared" si="3"/>
        <v>100</v>
      </c>
      <c r="AZ25" s="89">
        <f t="shared" si="4"/>
        <v>100</v>
      </c>
      <c r="BA25" s="95">
        <f>IF(AE25/I25*100&gt;110,110,AE25/I25*100)</f>
        <v>100.20408163265306</v>
      </c>
      <c r="BB25" s="95">
        <f t="shared" ref="BB25:BL26" si="23">IF(AF25/J25*100&gt;110,110,AF25/J25*100)</f>
        <v>100.20408163265306</v>
      </c>
      <c r="BC25" s="95">
        <f t="shared" si="23"/>
        <v>100.20408163265306</v>
      </c>
      <c r="BD25" s="95">
        <f t="shared" si="23"/>
        <v>100.20408163265306</v>
      </c>
      <c r="BE25" s="95">
        <f t="shared" si="23"/>
        <v>100</v>
      </c>
      <c r="BF25" s="95">
        <f t="shared" si="23"/>
        <v>100</v>
      </c>
      <c r="BG25" s="95">
        <f t="shared" si="23"/>
        <v>100</v>
      </c>
      <c r="BH25" s="95">
        <f t="shared" si="23"/>
        <v>100</v>
      </c>
      <c r="BI25" s="95">
        <f t="shared" si="23"/>
        <v>100</v>
      </c>
      <c r="BJ25" s="95">
        <f t="shared" si="23"/>
        <v>100</v>
      </c>
      <c r="BK25" s="95">
        <f t="shared" si="23"/>
        <v>100</v>
      </c>
      <c r="BL25" s="95">
        <f t="shared" si="23"/>
        <v>100</v>
      </c>
      <c r="BO25" s="51"/>
      <c r="BP25" s="52" t="s">
        <v>297</v>
      </c>
      <c r="BQ25" s="364" t="s">
        <v>276</v>
      </c>
      <c r="BR25" s="53" t="s">
        <v>193</v>
      </c>
      <c r="BS25" s="61" t="s">
        <v>415</v>
      </c>
      <c r="BT25" s="53">
        <v>2</v>
      </c>
      <c r="BU25" s="89">
        <f t="shared" si="21"/>
        <v>2</v>
      </c>
      <c r="BV25" s="89">
        <f t="shared" si="22"/>
        <v>2</v>
      </c>
      <c r="BW25" s="111" cm="1">
        <f t="array" ref="BW25:CH25">BT25*BA25:BL25/100</f>
        <v>2.0040816326530613</v>
      </c>
      <c r="BX25" s="95">
        <v>2.0040816326530613</v>
      </c>
      <c r="BY25" s="95">
        <v>2.0040816326530613</v>
      </c>
      <c r="BZ25" s="95">
        <v>2.0040816326530613</v>
      </c>
      <c r="CA25" s="95">
        <v>2</v>
      </c>
      <c r="CB25" s="95">
        <v>2</v>
      </c>
      <c r="CC25" s="95">
        <v>2</v>
      </c>
      <c r="CD25" s="95">
        <v>2</v>
      </c>
      <c r="CE25" s="95">
        <v>2</v>
      </c>
      <c r="CF25" s="95">
        <v>2</v>
      </c>
      <c r="CG25" s="95">
        <v>2</v>
      </c>
      <c r="CH25" s="95">
        <v>2</v>
      </c>
    </row>
    <row r="26" spans="1:86" ht="33">
      <c r="A26" s="251"/>
      <c r="B26" s="275" t="s">
        <v>299</v>
      </c>
      <c r="C26" s="373" t="s">
        <v>276</v>
      </c>
      <c r="D26" s="76" t="s">
        <v>300</v>
      </c>
      <c r="E26" s="341" t="s">
        <v>416</v>
      </c>
      <c r="F26" s="78"/>
      <c r="G26" s="92">
        <f>N26</f>
        <v>9333</v>
      </c>
      <c r="H26" s="92">
        <f>T26</f>
        <v>15555</v>
      </c>
      <c r="I26" s="92">
        <f>PI!D102</f>
        <v>1598</v>
      </c>
      <c r="J26" s="92">
        <f>PI!E102</f>
        <v>3042</v>
      </c>
      <c r="K26" s="92">
        <f>PI!F102</f>
        <v>4641</v>
      </c>
      <c r="L26" s="92">
        <f>PI!G102</f>
        <v>6188</v>
      </c>
      <c r="M26" s="92">
        <f>PI!H102</f>
        <v>7786</v>
      </c>
      <c r="N26" s="92">
        <f>PI!I102</f>
        <v>9333</v>
      </c>
      <c r="O26" s="92">
        <f>PI!J102</f>
        <v>10381</v>
      </c>
      <c r="P26" s="92">
        <f>PI!K102</f>
        <v>11430</v>
      </c>
      <c r="Q26" s="92">
        <f>PI!L102</f>
        <v>12444</v>
      </c>
      <c r="R26" s="92">
        <f>PI!M102</f>
        <v>13492</v>
      </c>
      <c r="S26" s="92">
        <f>PI!N102</f>
        <v>14507</v>
      </c>
      <c r="T26" s="108">
        <f>PI!O102</f>
        <v>15555</v>
      </c>
      <c r="U26" s="22"/>
      <c r="V26"/>
      <c r="W26" s="51"/>
      <c r="X26" s="52" t="s">
        <v>299</v>
      </c>
      <c r="Y26" s="364" t="s">
        <v>276</v>
      </c>
      <c r="Z26" s="53" t="s">
        <v>300</v>
      </c>
      <c r="AA26" s="61" t="s">
        <v>416</v>
      </c>
      <c r="AB26" s="53"/>
      <c r="AC26" s="89">
        <f t="shared" si="14"/>
        <v>10306</v>
      </c>
      <c r="AD26" s="89">
        <f t="shared" si="2"/>
        <v>0</v>
      </c>
      <c r="AE26" s="95">
        <f>PI!AH102</f>
        <v>859</v>
      </c>
      <c r="AF26" s="95">
        <f>PI!AI102</f>
        <v>2014</v>
      </c>
      <c r="AG26" s="95">
        <f>PI!AJ102</f>
        <v>3846</v>
      </c>
      <c r="AH26" s="95">
        <f>PI!AK102</f>
        <v>6356</v>
      </c>
      <c r="AI26" s="95">
        <f>PI!AL102</f>
        <v>8602</v>
      </c>
      <c r="AJ26" s="95">
        <f>PI!AM102</f>
        <v>10306</v>
      </c>
      <c r="AK26" s="95">
        <f>PI!AN102</f>
        <v>12271</v>
      </c>
      <c r="AL26" s="95">
        <f>PI!AO102</f>
        <v>14211</v>
      </c>
      <c r="AM26" s="95">
        <f>PI!AP102</f>
        <v>16109</v>
      </c>
      <c r="AN26" s="95">
        <f>PI!AQ102</f>
        <v>17935</v>
      </c>
      <c r="AO26" s="95">
        <f>PI!AR102</f>
        <v>0</v>
      </c>
      <c r="AP26" s="95">
        <f>PI!AS102</f>
        <v>0</v>
      </c>
      <c r="AS26" s="51"/>
      <c r="AT26" s="52" t="s">
        <v>299</v>
      </c>
      <c r="AU26" s="364" t="s">
        <v>276</v>
      </c>
      <c r="AV26" s="53" t="s">
        <v>300</v>
      </c>
      <c r="AW26" s="61" t="s">
        <v>416</v>
      </c>
      <c r="AX26" s="53"/>
      <c r="AY26" s="89">
        <f t="shared" si="3"/>
        <v>110</v>
      </c>
      <c r="AZ26" s="89">
        <f t="shared" si="4"/>
        <v>0</v>
      </c>
      <c r="BA26" s="95">
        <f>IF(AE26/I26*100&gt;110,110,AE26/I26*100)</f>
        <v>53.754693366708381</v>
      </c>
      <c r="BB26" s="95">
        <f t="shared" si="23"/>
        <v>66.206443129520054</v>
      </c>
      <c r="BC26" s="95">
        <f t="shared" si="23"/>
        <v>82.870071105365227</v>
      </c>
      <c r="BD26" s="95">
        <f t="shared" si="23"/>
        <v>102.71493212669682</v>
      </c>
      <c r="BE26" s="95">
        <f t="shared" si="23"/>
        <v>110</v>
      </c>
      <c r="BF26" s="95">
        <f t="shared" si="23"/>
        <v>110</v>
      </c>
      <c r="BG26" s="95">
        <f t="shared" si="23"/>
        <v>110</v>
      </c>
      <c r="BH26" s="95">
        <f t="shared" si="23"/>
        <v>110</v>
      </c>
      <c r="BI26" s="95">
        <f t="shared" si="23"/>
        <v>110</v>
      </c>
      <c r="BJ26" s="95">
        <f t="shared" si="23"/>
        <v>110</v>
      </c>
      <c r="BK26" s="95">
        <f t="shared" si="23"/>
        <v>0</v>
      </c>
      <c r="BL26" s="95">
        <f t="shared" si="23"/>
        <v>0</v>
      </c>
      <c r="BO26" s="51"/>
      <c r="BP26" s="52" t="s">
        <v>299</v>
      </c>
      <c r="BQ26" s="364" t="s">
        <v>276</v>
      </c>
      <c r="BR26" s="53" t="s">
        <v>300</v>
      </c>
      <c r="BS26" s="61" t="s">
        <v>416</v>
      </c>
      <c r="BT26" s="53">
        <v>2</v>
      </c>
      <c r="BU26" s="89">
        <f t="shared" si="21"/>
        <v>2.2000000000000002</v>
      </c>
      <c r="BV26" s="89">
        <f t="shared" si="22"/>
        <v>0</v>
      </c>
      <c r="BW26" s="111" cm="1">
        <f t="array" ref="BW26:CH26">BT26*BA26:BL26/100</f>
        <v>1.0750938673341677</v>
      </c>
      <c r="BX26" s="95">
        <v>1.3241288625904011</v>
      </c>
      <c r="BY26" s="95">
        <v>1.6574014221073046</v>
      </c>
      <c r="BZ26" s="95">
        <v>2.0542986425339365</v>
      </c>
      <c r="CA26" s="95">
        <v>2.2000000000000002</v>
      </c>
      <c r="CB26" s="95">
        <v>2.2000000000000002</v>
      </c>
      <c r="CC26" s="95">
        <v>2.2000000000000002</v>
      </c>
      <c r="CD26" s="95">
        <v>2.2000000000000002</v>
      </c>
      <c r="CE26" s="95">
        <v>2.2000000000000002</v>
      </c>
      <c r="CF26" s="95">
        <v>2.2000000000000002</v>
      </c>
      <c r="CG26" s="95">
        <v>0</v>
      </c>
      <c r="CH26" s="95">
        <v>0</v>
      </c>
    </row>
    <row r="27" spans="1:86" ht="16.5">
      <c r="A27" s="251">
        <v>6</v>
      </c>
      <c r="B27" s="271" t="s">
        <v>302</v>
      </c>
      <c r="C27" s="373"/>
      <c r="D27" s="76"/>
      <c r="E27" s="341"/>
      <c r="F27" s="78">
        <v>3</v>
      </c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108"/>
      <c r="U27" s="22"/>
      <c r="V27"/>
      <c r="W27" s="51">
        <v>6</v>
      </c>
      <c r="X27" s="267" t="s">
        <v>302</v>
      </c>
      <c r="Y27" s="364"/>
      <c r="Z27" s="53"/>
      <c r="AA27" s="61"/>
      <c r="AB27" s="53">
        <v>3</v>
      </c>
      <c r="AC27" s="89"/>
      <c r="AD27" s="89"/>
      <c r="AE27" s="95"/>
      <c r="AF27" s="95"/>
      <c r="AG27" s="95"/>
      <c r="AH27" s="95"/>
      <c r="AI27" s="95"/>
      <c r="AJ27" s="95"/>
      <c r="AK27" s="95"/>
      <c r="AL27" s="95"/>
      <c r="AM27" s="95"/>
      <c r="AN27" s="95"/>
      <c r="AO27" s="95"/>
      <c r="AP27" s="95"/>
      <c r="AS27" s="51">
        <v>6</v>
      </c>
      <c r="AT27" s="267" t="s">
        <v>302</v>
      </c>
      <c r="AU27" s="364"/>
      <c r="AV27" s="53"/>
      <c r="AW27" s="61"/>
      <c r="AX27" s="53">
        <v>3</v>
      </c>
      <c r="AY27" s="89"/>
      <c r="AZ27" s="89"/>
      <c r="BA27" s="95"/>
      <c r="BB27" s="95"/>
      <c r="BC27" s="95"/>
      <c r="BD27" s="95"/>
      <c r="BE27" s="95"/>
      <c r="BF27" s="95"/>
      <c r="BG27" s="95"/>
      <c r="BH27" s="95"/>
      <c r="BI27" s="95"/>
      <c r="BJ27" s="95"/>
      <c r="BK27" s="95"/>
      <c r="BL27" s="95"/>
      <c r="BO27" s="51">
        <v>6</v>
      </c>
      <c r="BP27" s="267" t="s">
        <v>302</v>
      </c>
      <c r="BQ27" s="364"/>
      <c r="BR27" s="53"/>
      <c r="BS27" s="61"/>
      <c r="BT27" s="513">
        <v>3</v>
      </c>
      <c r="BU27" s="89"/>
      <c r="BV27" s="89"/>
      <c r="BW27" s="95"/>
      <c r="BX27" s="95"/>
      <c r="BY27" s="95"/>
      <c r="BZ27" s="95"/>
      <c r="CA27" s="95"/>
      <c r="CB27" s="95"/>
      <c r="CC27" s="95"/>
      <c r="CD27" s="95"/>
      <c r="CE27" s="95"/>
      <c r="CF27" s="95"/>
      <c r="CG27" s="95"/>
      <c r="CH27" s="95"/>
    </row>
    <row r="28" spans="1:86" ht="15.6" customHeight="1">
      <c r="A28" s="251"/>
      <c r="B28" s="275" t="s">
        <v>303</v>
      </c>
      <c r="C28" s="373" t="s">
        <v>278</v>
      </c>
      <c r="D28" s="76" t="s">
        <v>132</v>
      </c>
      <c r="E28" s="341" t="s">
        <v>417</v>
      </c>
      <c r="F28" s="78"/>
      <c r="G28" s="92">
        <f>N28</f>
        <v>30</v>
      </c>
      <c r="H28" s="92">
        <f>T28</f>
        <v>30</v>
      </c>
      <c r="I28" s="92">
        <f>PI!D113</f>
        <v>30</v>
      </c>
      <c r="J28" s="92">
        <f>PI!E113</f>
        <v>30</v>
      </c>
      <c r="K28" s="92">
        <f>PI!F113</f>
        <v>30</v>
      </c>
      <c r="L28" s="92">
        <f>PI!G113</f>
        <v>30</v>
      </c>
      <c r="M28" s="92">
        <f>PI!H113</f>
        <v>30</v>
      </c>
      <c r="N28" s="92">
        <f>PI!I113</f>
        <v>30</v>
      </c>
      <c r="O28" s="92">
        <f>PI!J113</f>
        <v>30</v>
      </c>
      <c r="P28" s="92">
        <f>PI!K113</f>
        <v>30</v>
      </c>
      <c r="Q28" s="92">
        <f>PI!L113</f>
        <v>30</v>
      </c>
      <c r="R28" s="92">
        <f>PI!M113</f>
        <v>30</v>
      </c>
      <c r="S28" s="92">
        <f>PI!N113</f>
        <v>30</v>
      </c>
      <c r="T28" s="108">
        <f>PI!O113</f>
        <v>30</v>
      </c>
      <c r="U28" s="22"/>
      <c r="V28"/>
      <c r="W28" s="51"/>
      <c r="X28" s="52" t="s">
        <v>303</v>
      </c>
      <c r="Y28" s="364" t="s">
        <v>278</v>
      </c>
      <c r="Z28" s="53" t="s">
        <v>132</v>
      </c>
      <c r="AA28" s="61" t="s">
        <v>417</v>
      </c>
      <c r="AB28" s="53"/>
      <c r="AC28" s="89">
        <f t="shared" si="14"/>
        <v>12.185683213112824</v>
      </c>
      <c r="AD28" s="89">
        <f t="shared" si="2"/>
        <v>13.077215397690221</v>
      </c>
      <c r="AE28" s="95">
        <f>PI!AH113</f>
        <v>11.477160493827162</v>
      </c>
      <c r="AF28" s="95">
        <f>PI!AI113</f>
        <v>11.376080246913579</v>
      </c>
      <c r="AG28" s="95">
        <f>PI!AJ113</f>
        <v>11.304738021751911</v>
      </c>
      <c r="AH28" s="95">
        <f>PI!AK113</f>
        <v>11.329052342605014</v>
      </c>
      <c r="AI28" s="95">
        <f>PI!AL113</f>
        <v>11.959241874084011</v>
      </c>
      <c r="AJ28" s="95">
        <f>PI!AM113</f>
        <v>12.185683213112824</v>
      </c>
      <c r="AK28" s="95">
        <f>PI!AN113</f>
        <v>12.347427026704834</v>
      </c>
      <c r="AL28" s="95">
        <f>PI!AO113</f>
        <v>12.640341240959323</v>
      </c>
      <c r="AM28" s="95">
        <f>PI!AP113</f>
        <v>12.896095961591287</v>
      </c>
      <c r="AN28" s="95">
        <f>PI!AQ113</f>
        <v>13.077215397690221</v>
      </c>
      <c r="AO28" s="95">
        <f>PI!AR113</f>
        <v>13.077215397690221</v>
      </c>
      <c r="AP28" s="95">
        <f>PI!AS113</f>
        <v>13.077215397690221</v>
      </c>
      <c r="AS28" s="51"/>
      <c r="AT28" s="52" t="s">
        <v>303</v>
      </c>
      <c r="AU28" s="364" t="s">
        <v>278</v>
      </c>
      <c r="AV28" s="53" t="s">
        <v>132</v>
      </c>
      <c r="AW28" s="61" t="s">
        <v>417</v>
      </c>
      <c r="AX28" s="53"/>
      <c r="AY28" s="89">
        <f t="shared" si="3"/>
        <v>110</v>
      </c>
      <c r="AZ28" s="89">
        <f t="shared" si="4"/>
        <v>110</v>
      </c>
      <c r="BA28" s="95">
        <f>IFERROR(IF((2-(AE28/I28))*100&gt;110,110,(2-(AE28/I28))*100),100)</f>
        <v>110</v>
      </c>
      <c r="BB28" s="95">
        <f t="shared" ref="BB28:BL28" si="24">IFERROR(IF((2-(AF28/J28))*100&gt;110,110,(2-(AF28/J28))*100),100)</f>
        <v>110</v>
      </c>
      <c r="BC28" s="95">
        <f t="shared" si="24"/>
        <v>110</v>
      </c>
      <c r="BD28" s="95">
        <f t="shared" si="24"/>
        <v>110</v>
      </c>
      <c r="BE28" s="95">
        <f t="shared" si="24"/>
        <v>110</v>
      </c>
      <c r="BF28" s="95">
        <f t="shared" si="24"/>
        <v>110</v>
      </c>
      <c r="BG28" s="95">
        <f t="shared" si="24"/>
        <v>110</v>
      </c>
      <c r="BH28" s="95">
        <f t="shared" si="24"/>
        <v>110</v>
      </c>
      <c r="BI28" s="95">
        <f t="shared" si="24"/>
        <v>110</v>
      </c>
      <c r="BJ28" s="95">
        <f t="shared" si="24"/>
        <v>110</v>
      </c>
      <c r="BK28" s="95">
        <f t="shared" si="24"/>
        <v>110</v>
      </c>
      <c r="BL28" s="95">
        <f t="shared" si="24"/>
        <v>110</v>
      </c>
      <c r="BO28" s="51"/>
      <c r="BP28" s="52" t="s">
        <v>303</v>
      </c>
      <c r="BQ28" s="364" t="s">
        <v>278</v>
      </c>
      <c r="BR28" s="53" t="s">
        <v>132</v>
      </c>
      <c r="BS28" s="61" t="s">
        <v>417</v>
      </c>
      <c r="BT28" s="53">
        <v>1.5</v>
      </c>
      <c r="BU28" s="89">
        <f t="shared" ref="BU28:BU29" si="25">CB28</f>
        <v>1.65</v>
      </c>
      <c r="BV28" s="89">
        <f t="shared" ref="BV28:BV29" si="26">CH28</f>
        <v>1.65</v>
      </c>
      <c r="BW28" s="111" cm="1">
        <f t="array" ref="BW28:CH28">BT28*BA28:BL28/100</f>
        <v>1.65</v>
      </c>
      <c r="BX28" s="95">
        <v>1.65</v>
      </c>
      <c r="BY28" s="95">
        <v>1.65</v>
      </c>
      <c r="BZ28" s="95">
        <v>1.65</v>
      </c>
      <c r="CA28" s="95">
        <v>1.65</v>
      </c>
      <c r="CB28" s="95">
        <v>1.65</v>
      </c>
      <c r="CC28" s="95">
        <v>1.65</v>
      </c>
      <c r="CD28" s="95">
        <v>1.65</v>
      </c>
      <c r="CE28" s="95">
        <v>1.65</v>
      </c>
      <c r="CF28" s="95">
        <v>1.65</v>
      </c>
      <c r="CG28" s="95">
        <v>1.65</v>
      </c>
      <c r="CH28" s="95">
        <v>1.65</v>
      </c>
    </row>
    <row r="29" spans="1:86" ht="15.6" customHeight="1">
      <c r="A29" s="251"/>
      <c r="B29" s="275" t="s">
        <v>304</v>
      </c>
      <c r="C29" s="373" t="s">
        <v>276</v>
      </c>
      <c r="D29" s="76" t="s">
        <v>149</v>
      </c>
      <c r="E29" s="341" t="s">
        <v>418</v>
      </c>
      <c r="F29" s="78"/>
      <c r="G29" s="92">
        <f>N29</f>
        <v>0</v>
      </c>
      <c r="H29" s="92">
        <f>T29</f>
        <v>0</v>
      </c>
      <c r="I29" s="92">
        <f>PI!D129</f>
        <v>0</v>
      </c>
      <c r="J29" s="92">
        <f>PI!E129</f>
        <v>0</v>
      </c>
      <c r="K29" s="92">
        <f>PI!F129</f>
        <v>0</v>
      </c>
      <c r="L29" s="92">
        <f>PI!G129</f>
        <v>0</v>
      </c>
      <c r="M29" s="92">
        <f>PI!H129</f>
        <v>0</v>
      </c>
      <c r="N29" s="92">
        <f>PI!I129</f>
        <v>0</v>
      </c>
      <c r="O29" s="92">
        <f>PI!J129</f>
        <v>0</v>
      </c>
      <c r="P29" s="92">
        <f>PI!K129</f>
        <v>0</v>
      </c>
      <c r="Q29" s="92">
        <f>PI!L129</f>
        <v>0</v>
      </c>
      <c r="R29" s="92">
        <f>PI!M129</f>
        <v>0</v>
      </c>
      <c r="S29" s="92">
        <f>PI!N129</f>
        <v>0</v>
      </c>
      <c r="T29" s="108">
        <f>PI!O129</f>
        <v>0</v>
      </c>
      <c r="U29" s="22"/>
      <c r="V29"/>
      <c r="W29" s="51"/>
      <c r="X29" s="52" t="s">
        <v>304</v>
      </c>
      <c r="Y29" s="364" t="s">
        <v>276</v>
      </c>
      <c r="Z29" s="53" t="s">
        <v>149</v>
      </c>
      <c r="AA29" s="61" t="s">
        <v>418</v>
      </c>
      <c r="AB29" s="53"/>
      <c r="AC29" s="89">
        <f t="shared" si="14"/>
        <v>0</v>
      </c>
      <c r="AD29" s="89">
        <f t="shared" si="2"/>
        <v>0</v>
      </c>
      <c r="AE29" s="95">
        <f>PI!AH129</f>
        <v>0</v>
      </c>
      <c r="AF29" s="95">
        <f>PI!AI129</f>
        <v>0</v>
      </c>
      <c r="AG29" s="95">
        <f>PI!AJ129</f>
        <v>0</v>
      </c>
      <c r="AH29" s="95">
        <f>PI!AK129</f>
        <v>0</v>
      </c>
      <c r="AI29" s="95">
        <f>PI!AL129</f>
        <v>0</v>
      </c>
      <c r="AJ29" s="95">
        <f>PI!AM129</f>
        <v>0</v>
      </c>
      <c r="AK29" s="95">
        <f>PI!AN129</f>
        <v>0</v>
      </c>
      <c r="AL29" s="95">
        <f>PI!AO129</f>
        <v>0</v>
      </c>
      <c r="AM29" s="95">
        <f>PI!AP129</f>
        <v>0</v>
      </c>
      <c r="AN29" s="95">
        <f>PI!AQ129</f>
        <v>0</v>
      </c>
      <c r="AO29" s="95">
        <f>PI!AR129</f>
        <v>0</v>
      </c>
      <c r="AP29" s="95">
        <f>PI!AS129</f>
        <v>0</v>
      </c>
      <c r="AS29" s="51"/>
      <c r="AT29" s="52" t="s">
        <v>304</v>
      </c>
      <c r="AU29" s="364" t="s">
        <v>276</v>
      </c>
      <c r="AV29" s="53" t="s">
        <v>149</v>
      </c>
      <c r="AW29" s="61" t="s">
        <v>418</v>
      </c>
      <c r="AX29" s="53"/>
      <c r="AY29" s="89">
        <f t="shared" si="3"/>
        <v>100</v>
      </c>
      <c r="AZ29" s="89">
        <f t="shared" si="4"/>
        <v>100</v>
      </c>
      <c r="BA29" s="95">
        <f>IFERROR(IF(AE29/I29*100&gt;110,110,AE29/I29*100),100)</f>
        <v>100</v>
      </c>
      <c r="BB29" s="95">
        <f t="shared" ref="BB29:BL29" si="27">IFERROR(IF(AF29/J29*100&gt;110,110,AF29/J29*100),100)</f>
        <v>100</v>
      </c>
      <c r="BC29" s="95">
        <f t="shared" si="27"/>
        <v>100</v>
      </c>
      <c r="BD29" s="95">
        <f t="shared" si="27"/>
        <v>100</v>
      </c>
      <c r="BE29" s="95">
        <f t="shared" si="27"/>
        <v>100</v>
      </c>
      <c r="BF29" s="95">
        <f t="shared" si="27"/>
        <v>100</v>
      </c>
      <c r="BG29" s="95">
        <f t="shared" si="27"/>
        <v>100</v>
      </c>
      <c r="BH29" s="95">
        <f t="shared" si="27"/>
        <v>100</v>
      </c>
      <c r="BI29" s="95">
        <f t="shared" si="27"/>
        <v>100</v>
      </c>
      <c r="BJ29" s="95">
        <f t="shared" si="27"/>
        <v>100</v>
      </c>
      <c r="BK29" s="95">
        <f t="shared" si="27"/>
        <v>100</v>
      </c>
      <c r="BL29" s="95">
        <f t="shared" si="27"/>
        <v>100</v>
      </c>
      <c r="BO29" s="51"/>
      <c r="BP29" s="52" t="s">
        <v>304</v>
      </c>
      <c r="BQ29" s="364" t="s">
        <v>276</v>
      </c>
      <c r="BR29" s="53" t="s">
        <v>149</v>
      </c>
      <c r="BS29" s="61" t="s">
        <v>418</v>
      </c>
      <c r="BT29" s="53">
        <v>1.5</v>
      </c>
      <c r="BU29" s="89">
        <f t="shared" si="25"/>
        <v>1.5</v>
      </c>
      <c r="BV29" s="89">
        <f t="shared" si="26"/>
        <v>1.5</v>
      </c>
      <c r="BW29" s="111" cm="1">
        <f t="array" ref="BW29:CH29">BT29*BA29:BL29/100</f>
        <v>1.5</v>
      </c>
      <c r="BX29" s="95">
        <v>1.5</v>
      </c>
      <c r="BY29" s="95">
        <v>1.5</v>
      </c>
      <c r="BZ29" s="95">
        <v>1.5</v>
      </c>
      <c r="CA29" s="95">
        <v>1.5</v>
      </c>
      <c r="CB29" s="95">
        <v>1.5</v>
      </c>
      <c r="CC29" s="95">
        <v>1.5</v>
      </c>
      <c r="CD29" s="95">
        <v>1.5</v>
      </c>
      <c r="CE29" s="95">
        <v>1.5</v>
      </c>
      <c r="CF29" s="95">
        <v>1.5</v>
      </c>
      <c r="CG29" s="95">
        <v>1.5</v>
      </c>
      <c r="CH29" s="95">
        <v>1.5</v>
      </c>
    </row>
    <row r="30" spans="1:86" ht="16.5">
      <c r="A30" s="251">
        <v>7</v>
      </c>
      <c r="B30" s="271" t="s">
        <v>305</v>
      </c>
      <c r="C30" s="373"/>
      <c r="D30" s="76"/>
      <c r="E30" s="341"/>
      <c r="F30" s="78">
        <v>6</v>
      </c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108"/>
      <c r="U30" s="22"/>
      <c r="V30"/>
      <c r="W30" s="51">
        <v>7</v>
      </c>
      <c r="X30" s="267" t="s">
        <v>305</v>
      </c>
      <c r="Y30" s="364"/>
      <c r="Z30" s="53"/>
      <c r="AA30" s="61"/>
      <c r="AB30" s="53">
        <v>6</v>
      </c>
      <c r="AC30" s="89"/>
      <c r="AD30" s="89"/>
      <c r="AE30" s="95"/>
      <c r="AF30" s="95"/>
      <c r="AG30" s="95"/>
      <c r="AH30" s="95"/>
      <c r="AI30" s="95"/>
      <c r="AJ30" s="95"/>
      <c r="AK30" s="95"/>
      <c r="AL30" s="95"/>
      <c r="AM30" s="95"/>
      <c r="AN30" s="95"/>
      <c r="AO30" s="95"/>
      <c r="AP30" s="95"/>
      <c r="AS30" s="51">
        <v>7</v>
      </c>
      <c r="AT30" s="267" t="s">
        <v>305</v>
      </c>
      <c r="AU30" s="364"/>
      <c r="AV30" s="53"/>
      <c r="AW30" s="61"/>
      <c r="AX30" s="53">
        <v>6</v>
      </c>
      <c r="AY30" s="89"/>
      <c r="AZ30" s="89"/>
      <c r="BA30" s="95"/>
      <c r="BB30" s="95"/>
      <c r="BC30" s="95"/>
      <c r="BD30" s="95"/>
      <c r="BE30" s="95"/>
      <c r="BF30" s="95"/>
      <c r="BG30" s="95"/>
      <c r="BH30" s="95"/>
      <c r="BI30" s="95"/>
      <c r="BJ30" s="95"/>
      <c r="BK30" s="95"/>
      <c r="BL30" s="95"/>
      <c r="BO30" s="51">
        <v>7</v>
      </c>
      <c r="BP30" s="267" t="s">
        <v>305</v>
      </c>
      <c r="BQ30" s="364"/>
      <c r="BR30" s="53"/>
      <c r="BS30" s="61"/>
      <c r="BT30" s="513">
        <v>6</v>
      </c>
      <c r="BU30" s="89"/>
      <c r="BV30" s="89"/>
      <c r="BW30" s="95"/>
      <c r="BX30" s="95"/>
      <c r="BY30" s="95"/>
      <c r="BZ30" s="95"/>
      <c r="CA30" s="95"/>
      <c r="CB30" s="95"/>
      <c r="CC30" s="95"/>
      <c r="CD30" s="95"/>
      <c r="CE30" s="95"/>
      <c r="CF30" s="95"/>
      <c r="CG30" s="95"/>
      <c r="CH30" s="95"/>
    </row>
    <row r="31" spans="1:86" ht="16.5">
      <c r="A31" s="251"/>
      <c r="B31" s="275" t="s">
        <v>307</v>
      </c>
      <c r="C31" s="373" t="s">
        <v>276</v>
      </c>
      <c r="D31" s="76" t="s">
        <v>149</v>
      </c>
      <c r="E31" s="341" t="s">
        <v>419</v>
      </c>
      <c r="F31" s="78"/>
      <c r="G31" s="92">
        <f t="shared" ref="G31:G32" si="28">N31</f>
        <v>100</v>
      </c>
      <c r="H31" s="92">
        <f t="shared" ref="H31:H32" si="29">T31</f>
        <v>100</v>
      </c>
      <c r="I31" s="92">
        <f>PI!D145</f>
        <v>100</v>
      </c>
      <c r="J31" s="92">
        <f>PI!E145</f>
        <v>100</v>
      </c>
      <c r="K31" s="92">
        <f>PI!F145</f>
        <v>100</v>
      </c>
      <c r="L31" s="92">
        <f>PI!G145</f>
        <v>100</v>
      </c>
      <c r="M31" s="92">
        <f>PI!H145</f>
        <v>100</v>
      </c>
      <c r="N31" s="92">
        <f>PI!I145</f>
        <v>100</v>
      </c>
      <c r="O31" s="92">
        <f>PI!J145</f>
        <v>100</v>
      </c>
      <c r="P31" s="92">
        <f>PI!K145</f>
        <v>100</v>
      </c>
      <c r="Q31" s="92">
        <f>PI!L145</f>
        <v>100</v>
      </c>
      <c r="R31" s="92">
        <f>PI!M145</f>
        <v>100</v>
      </c>
      <c r="S31" s="92">
        <f>PI!N145</f>
        <v>100</v>
      </c>
      <c r="T31" s="108">
        <f>PI!O145</f>
        <v>100</v>
      </c>
      <c r="U31" s="22"/>
      <c r="V31"/>
      <c r="W31" s="51"/>
      <c r="X31" s="52" t="s">
        <v>307</v>
      </c>
      <c r="Y31" s="364" t="s">
        <v>276</v>
      </c>
      <c r="Z31" s="53" t="s">
        <v>149</v>
      </c>
      <c r="AA31" s="61" t="s">
        <v>419</v>
      </c>
      <c r="AB31" s="53"/>
      <c r="AC31" s="89">
        <f t="shared" si="14"/>
        <v>110</v>
      </c>
      <c r="AD31" s="89">
        <f t="shared" si="2"/>
        <v>0</v>
      </c>
      <c r="AE31" s="95">
        <f>PI!AH145</f>
        <v>60.75</v>
      </c>
      <c r="AF31" s="95">
        <f>PI!AI145</f>
        <v>76.5</v>
      </c>
      <c r="AG31" s="95">
        <f>PI!AJ145</f>
        <v>107.25</v>
      </c>
      <c r="AH31" s="95">
        <f>PI!AK145</f>
        <v>109.25</v>
      </c>
      <c r="AI31" s="95">
        <f>PI!AL145</f>
        <v>110</v>
      </c>
      <c r="AJ31" s="95">
        <f>PI!AM145</f>
        <v>110</v>
      </c>
      <c r="AK31" s="95">
        <f>PI!AN145</f>
        <v>110</v>
      </c>
      <c r="AL31" s="95">
        <f>PI!AO145</f>
        <v>110</v>
      </c>
      <c r="AM31" s="95">
        <f>PI!AP145</f>
        <v>110</v>
      </c>
      <c r="AN31" s="95">
        <f>PI!AQ145</f>
        <v>110</v>
      </c>
      <c r="AO31" s="95">
        <f>PI!AR145</f>
        <v>0</v>
      </c>
      <c r="AP31" s="95">
        <f>PI!AS145</f>
        <v>0</v>
      </c>
      <c r="AS31" s="51"/>
      <c r="AT31" s="52" t="s">
        <v>307</v>
      </c>
      <c r="AU31" s="364" t="s">
        <v>276</v>
      </c>
      <c r="AV31" s="53" t="s">
        <v>149</v>
      </c>
      <c r="AW31" s="61" t="s">
        <v>419</v>
      </c>
      <c r="AX31" s="53"/>
      <c r="AY31" s="89">
        <f t="shared" si="3"/>
        <v>110.00000000000001</v>
      </c>
      <c r="AZ31" s="89">
        <f t="shared" si="4"/>
        <v>0</v>
      </c>
      <c r="BA31" s="95">
        <f>IFERROR(IF(AE31/I31*100&gt;110,110,AE31/I31*100),100)</f>
        <v>60.750000000000007</v>
      </c>
      <c r="BB31" s="95">
        <f t="shared" ref="BB31:BL32" si="30">IFERROR(IF(AF31/J31*100&gt;110,110,AF31/J31*100),100)</f>
        <v>76.5</v>
      </c>
      <c r="BC31" s="95">
        <f t="shared" si="30"/>
        <v>107.25</v>
      </c>
      <c r="BD31" s="95">
        <f t="shared" si="30"/>
        <v>109.25</v>
      </c>
      <c r="BE31" s="95">
        <f t="shared" si="30"/>
        <v>110.00000000000001</v>
      </c>
      <c r="BF31" s="95">
        <f t="shared" si="30"/>
        <v>110.00000000000001</v>
      </c>
      <c r="BG31" s="95">
        <f t="shared" si="30"/>
        <v>110.00000000000001</v>
      </c>
      <c r="BH31" s="95">
        <f t="shared" si="30"/>
        <v>110.00000000000001</v>
      </c>
      <c r="BI31" s="95">
        <f t="shared" si="30"/>
        <v>110.00000000000001</v>
      </c>
      <c r="BJ31" s="95">
        <f t="shared" si="30"/>
        <v>110.00000000000001</v>
      </c>
      <c r="BK31" s="95">
        <f t="shared" si="30"/>
        <v>0</v>
      </c>
      <c r="BL31" s="95">
        <f t="shared" si="30"/>
        <v>0</v>
      </c>
      <c r="BO31" s="51"/>
      <c r="BP31" s="52" t="s">
        <v>307</v>
      </c>
      <c r="BQ31" s="364" t="s">
        <v>276</v>
      </c>
      <c r="BR31" s="53" t="s">
        <v>149</v>
      </c>
      <c r="BS31" s="61" t="s">
        <v>419</v>
      </c>
      <c r="BT31" s="53">
        <v>3</v>
      </c>
      <c r="BU31" s="89">
        <f t="shared" ref="BU31:BU32" si="31">CB31</f>
        <v>3.3000000000000007</v>
      </c>
      <c r="BV31" s="89">
        <f t="shared" ref="BV31:BV32" si="32">CH31</f>
        <v>0</v>
      </c>
      <c r="BW31" s="111" cm="1">
        <f t="array" ref="BW31:CH31">BT31*BA31:BL31/100</f>
        <v>1.8225000000000002</v>
      </c>
      <c r="BX31" s="95">
        <v>2.2949999999999999</v>
      </c>
      <c r="BY31" s="95">
        <v>3.2174999999999998</v>
      </c>
      <c r="BZ31" s="95">
        <v>3.2774999999999999</v>
      </c>
      <c r="CA31" s="95">
        <v>3.3000000000000007</v>
      </c>
      <c r="CB31" s="95">
        <v>3.3000000000000007</v>
      </c>
      <c r="CC31" s="95">
        <v>3.3000000000000007</v>
      </c>
      <c r="CD31" s="95">
        <v>3.3000000000000007</v>
      </c>
      <c r="CE31" s="95">
        <v>3.3000000000000007</v>
      </c>
      <c r="CF31" s="95">
        <v>3.3000000000000007</v>
      </c>
      <c r="CG31" s="95">
        <v>0</v>
      </c>
      <c r="CH31" s="95">
        <v>0</v>
      </c>
    </row>
    <row r="32" spans="1:86" ht="16.5">
      <c r="A32" s="251"/>
      <c r="B32" s="275" t="s">
        <v>308</v>
      </c>
      <c r="C32" s="373" t="s">
        <v>276</v>
      </c>
      <c r="D32" s="76" t="s">
        <v>149</v>
      </c>
      <c r="E32" s="341" t="s">
        <v>420</v>
      </c>
      <c r="F32" s="78"/>
      <c r="G32" s="92">
        <f t="shared" si="28"/>
        <v>100</v>
      </c>
      <c r="H32" s="92">
        <f t="shared" si="29"/>
        <v>100</v>
      </c>
      <c r="I32" s="92">
        <f>PI!D167</f>
        <v>100</v>
      </c>
      <c r="J32" s="92">
        <f>PI!E167</f>
        <v>100</v>
      </c>
      <c r="K32" s="92">
        <f>PI!F167</f>
        <v>100</v>
      </c>
      <c r="L32" s="92">
        <f>PI!G167</f>
        <v>100</v>
      </c>
      <c r="M32" s="92">
        <f>PI!H167</f>
        <v>100</v>
      </c>
      <c r="N32" s="92">
        <f>PI!I167</f>
        <v>100</v>
      </c>
      <c r="O32" s="92">
        <f>PI!J167</f>
        <v>100</v>
      </c>
      <c r="P32" s="92">
        <f>PI!K167</f>
        <v>100</v>
      </c>
      <c r="Q32" s="92">
        <f>PI!L167</f>
        <v>100</v>
      </c>
      <c r="R32" s="92">
        <f>PI!M167</f>
        <v>100</v>
      </c>
      <c r="S32" s="92">
        <f>PI!N167</f>
        <v>100</v>
      </c>
      <c r="T32" s="108">
        <f>PI!O167</f>
        <v>100</v>
      </c>
      <c r="U32" s="22"/>
      <c r="V32"/>
      <c r="W32" s="51"/>
      <c r="X32" s="52" t="s">
        <v>308</v>
      </c>
      <c r="Y32" s="364" t="s">
        <v>276</v>
      </c>
      <c r="Z32" s="53" t="s">
        <v>149</v>
      </c>
      <c r="AA32" s="61" t="s">
        <v>420</v>
      </c>
      <c r="AB32" s="53"/>
      <c r="AC32" s="89">
        <f t="shared" si="14"/>
        <v>110</v>
      </c>
      <c r="AD32" s="89">
        <f t="shared" si="2"/>
        <v>0</v>
      </c>
      <c r="AE32" s="95">
        <f>PI!AH167</f>
        <v>110</v>
      </c>
      <c r="AF32" s="95">
        <f>PI!AI167</f>
        <v>110</v>
      </c>
      <c r="AG32" s="95">
        <f>PI!AJ167</f>
        <v>110</v>
      </c>
      <c r="AH32" s="95">
        <f>PI!AK167</f>
        <v>110</v>
      </c>
      <c r="AI32" s="95">
        <f>PI!AL167</f>
        <v>110</v>
      </c>
      <c r="AJ32" s="95">
        <f>PI!AM167</f>
        <v>110</v>
      </c>
      <c r="AK32" s="95">
        <f>PI!AN167</f>
        <v>110</v>
      </c>
      <c r="AL32" s="95">
        <f>PI!AO167</f>
        <v>110</v>
      </c>
      <c r="AM32" s="95">
        <f>PI!AP167</f>
        <v>110</v>
      </c>
      <c r="AN32" s="95">
        <f>PI!AQ167</f>
        <v>110</v>
      </c>
      <c r="AO32" s="95">
        <f>PI!AR167</f>
        <v>0</v>
      </c>
      <c r="AP32" s="95">
        <f>PI!AS167</f>
        <v>0</v>
      </c>
      <c r="AS32" s="51"/>
      <c r="AT32" s="52" t="s">
        <v>308</v>
      </c>
      <c r="AU32" s="364" t="s">
        <v>276</v>
      </c>
      <c r="AV32" s="53" t="s">
        <v>149</v>
      </c>
      <c r="AW32" s="61" t="s">
        <v>420</v>
      </c>
      <c r="AX32" s="53"/>
      <c r="AY32" s="89">
        <f t="shared" si="3"/>
        <v>110.00000000000001</v>
      </c>
      <c r="AZ32" s="89">
        <f t="shared" si="4"/>
        <v>0</v>
      </c>
      <c r="BA32" s="95">
        <f>IFERROR(IF(AE32/I32*100&gt;110,110,AE32/I32*100),100)</f>
        <v>110.00000000000001</v>
      </c>
      <c r="BB32" s="95">
        <f t="shared" si="30"/>
        <v>110.00000000000001</v>
      </c>
      <c r="BC32" s="95">
        <f t="shared" si="30"/>
        <v>110.00000000000001</v>
      </c>
      <c r="BD32" s="95">
        <f t="shared" si="30"/>
        <v>110.00000000000001</v>
      </c>
      <c r="BE32" s="95">
        <f t="shared" si="30"/>
        <v>110.00000000000001</v>
      </c>
      <c r="BF32" s="95">
        <f t="shared" si="30"/>
        <v>110.00000000000001</v>
      </c>
      <c r="BG32" s="95">
        <f t="shared" si="30"/>
        <v>110.00000000000001</v>
      </c>
      <c r="BH32" s="95">
        <f t="shared" si="30"/>
        <v>110.00000000000001</v>
      </c>
      <c r="BI32" s="95">
        <f t="shared" si="30"/>
        <v>110.00000000000001</v>
      </c>
      <c r="BJ32" s="95">
        <f t="shared" si="30"/>
        <v>110.00000000000001</v>
      </c>
      <c r="BK32" s="95">
        <f t="shared" si="30"/>
        <v>0</v>
      </c>
      <c r="BL32" s="95">
        <f t="shared" si="30"/>
        <v>0</v>
      </c>
      <c r="BO32" s="51"/>
      <c r="BP32" s="52" t="s">
        <v>308</v>
      </c>
      <c r="BQ32" s="364" t="s">
        <v>276</v>
      </c>
      <c r="BR32" s="53" t="s">
        <v>149</v>
      </c>
      <c r="BS32" s="61" t="s">
        <v>420</v>
      </c>
      <c r="BT32" s="53">
        <v>3</v>
      </c>
      <c r="BU32" s="89">
        <f t="shared" si="31"/>
        <v>3.3000000000000007</v>
      </c>
      <c r="BV32" s="89">
        <f t="shared" si="32"/>
        <v>0</v>
      </c>
      <c r="BW32" s="111" cm="1">
        <f t="array" ref="BW32:CH32">BT32*BA32:BL32/100</f>
        <v>3.3000000000000007</v>
      </c>
      <c r="BX32" s="95">
        <v>3.3000000000000007</v>
      </c>
      <c r="BY32" s="95">
        <v>3.3000000000000007</v>
      </c>
      <c r="BZ32" s="95">
        <v>3.3000000000000007</v>
      </c>
      <c r="CA32" s="95">
        <v>3.3000000000000007</v>
      </c>
      <c r="CB32" s="95">
        <v>3.3000000000000007</v>
      </c>
      <c r="CC32" s="95">
        <v>3.3000000000000007</v>
      </c>
      <c r="CD32" s="95">
        <v>3.3000000000000007</v>
      </c>
      <c r="CE32" s="95">
        <v>3.3000000000000007</v>
      </c>
      <c r="CF32" s="95">
        <v>3.3000000000000007</v>
      </c>
      <c r="CG32" s="95">
        <v>0</v>
      </c>
      <c r="CH32" s="95">
        <v>0</v>
      </c>
    </row>
    <row r="33" spans="1:86" ht="16.5">
      <c r="A33" s="251">
        <v>8</v>
      </c>
      <c r="B33" s="271" t="s">
        <v>31</v>
      </c>
      <c r="C33" s="373"/>
      <c r="D33" s="76"/>
      <c r="E33" s="341"/>
      <c r="F33" s="78">
        <v>10</v>
      </c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108"/>
      <c r="U33" s="22"/>
      <c r="V33"/>
      <c r="W33" s="51">
        <v>8</v>
      </c>
      <c r="X33" s="267" t="s">
        <v>31</v>
      </c>
      <c r="Y33" s="364"/>
      <c r="Z33" s="53"/>
      <c r="AA33" s="61"/>
      <c r="AB33" s="53">
        <v>10</v>
      </c>
      <c r="AC33" s="89"/>
      <c r="AD33" s="89"/>
      <c r="AE33" s="95"/>
      <c r="AF33" s="95"/>
      <c r="AG33" s="95"/>
      <c r="AH33" s="95"/>
      <c r="AI33" s="95"/>
      <c r="AJ33" s="95"/>
      <c r="AK33" s="95"/>
      <c r="AL33" s="95"/>
      <c r="AM33" s="95"/>
      <c r="AN33" s="95"/>
      <c r="AO33" s="95"/>
      <c r="AP33" s="95"/>
      <c r="AS33" s="51">
        <v>8</v>
      </c>
      <c r="AT33" s="267" t="s">
        <v>31</v>
      </c>
      <c r="AU33" s="364"/>
      <c r="AV33" s="53"/>
      <c r="AW33" s="61"/>
      <c r="AX33" s="53">
        <v>10</v>
      </c>
      <c r="AY33" s="89"/>
      <c r="AZ33" s="89"/>
      <c r="BA33" s="95"/>
      <c r="BB33" s="95"/>
      <c r="BC33" s="95"/>
      <c r="BD33" s="95"/>
      <c r="BE33" s="95"/>
      <c r="BF33" s="95"/>
      <c r="BG33" s="95"/>
      <c r="BH33" s="95"/>
      <c r="BI33" s="95"/>
      <c r="BJ33" s="95"/>
      <c r="BK33" s="95"/>
      <c r="BL33" s="95"/>
      <c r="BO33" s="51">
        <v>8</v>
      </c>
      <c r="BP33" s="267" t="s">
        <v>31</v>
      </c>
      <c r="BQ33" s="364"/>
      <c r="BR33" s="53"/>
      <c r="BS33" s="61"/>
      <c r="BT33" s="513">
        <v>10</v>
      </c>
      <c r="BU33" s="89"/>
      <c r="BV33" s="89"/>
      <c r="BW33" s="95"/>
      <c r="BX33" s="95"/>
      <c r="BY33" s="95"/>
      <c r="BZ33" s="95"/>
      <c r="CA33" s="95"/>
      <c r="CB33" s="95"/>
      <c r="CC33" s="95"/>
      <c r="CD33" s="95"/>
      <c r="CE33" s="95"/>
      <c r="CF33" s="95"/>
      <c r="CG33" s="95"/>
      <c r="CH33" s="95"/>
    </row>
    <row r="34" spans="1:86" ht="16.5">
      <c r="A34" s="251"/>
      <c r="B34" s="275" t="s">
        <v>311</v>
      </c>
      <c r="C34" s="373" t="s">
        <v>276</v>
      </c>
      <c r="D34" s="76" t="s">
        <v>312</v>
      </c>
      <c r="E34" s="341" t="s">
        <v>421</v>
      </c>
      <c r="F34" s="78"/>
      <c r="G34" s="92">
        <f>N34</f>
        <v>1.82</v>
      </c>
      <c r="H34" s="92">
        <f>T34</f>
        <v>4.59</v>
      </c>
      <c r="I34" s="92">
        <f>PI!D194</f>
        <v>0.25</v>
      </c>
      <c r="J34" s="92">
        <f>PI!E194</f>
        <v>0.51</v>
      </c>
      <c r="K34" s="92">
        <f>PI!F194</f>
        <v>0.78</v>
      </c>
      <c r="L34" s="92">
        <f>PI!G194</f>
        <v>1.04</v>
      </c>
      <c r="M34" s="92">
        <f>PI!H194</f>
        <v>1.43</v>
      </c>
      <c r="N34" s="92">
        <f>PI!I194</f>
        <v>1.82</v>
      </c>
      <c r="O34" s="92">
        <f>PI!J194</f>
        <v>2.2200000000000002</v>
      </c>
      <c r="P34" s="92">
        <f>PI!K194</f>
        <v>2.62</v>
      </c>
      <c r="Q34" s="92">
        <f>PI!L194</f>
        <v>3.01</v>
      </c>
      <c r="R34" s="92">
        <f>PI!M194</f>
        <v>3.4</v>
      </c>
      <c r="S34" s="92">
        <f>PI!N194</f>
        <v>3.79</v>
      </c>
      <c r="T34" s="108">
        <f>PI!O194</f>
        <v>4.59</v>
      </c>
      <c r="U34" s="22"/>
      <c r="V34"/>
      <c r="W34" s="51"/>
      <c r="X34" s="52" t="s">
        <v>311</v>
      </c>
      <c r="Y34" s="364" t="s">
        <v>276</v>
      </c>
      <c r="Z34" s="53" t="s">
        <v>312</v>
      </c>
      <c r="AA34" s="61" t="s">
        <v>421</v>
      </c>
      <c r="AB34" s="53"/>
      <c r="AC34" s="89">
        <f t="shared" si="14"/>
        <v>0.43064999999999998</v>
      </c>
      <c r="AD34" s="89">
        <f t="shared" si="2"/>
        <v>0</v>
      </c>
      <c r="AE34" s="95">
        <f>PI!AH194</f>
        <v>0.22434999999999999</v>
      </c>
      <c r="AF34" s="95">
        <f>PI!AI194</f>
        <v>0.38955000000000001</v>
      </c>
      <c r="AG34" s="95">
        <f>PI!AJ194</f>
        <v>0.56130000000000002</v>
      </c>
      <c r="AH34" s="95">
        <f>PI!AK194</f>
        <v>0.56825000000000003</v>
      </c>
      <c r="AI34" s="95">
        <f>PI!AL194</f>
        <v>0.32464999999999999</v>
      </c>
      <c r="AJ34" s="95">
        <f>PI!AM194</f>
        <v>0.43064999999999998</v>
      </c>
      <c r="AK34" s="95">
        <f>PI!AN194</f>
        <v>0.58135000000000003</v>
      </c>
      <c r="AL34" s="95">
        <f>PI!AO194</f>
        <v>0.76944999999999997</v>
      </c>
      <c r="AM34" s="95">
        <f>PI!AP194</f>
        <v>1.81965</v>
      </c>
      <c r="AN34" s="95">
        <f>PI!AQ194</f>
        <v>2.0062500000000001</v>
      </c>
      <c r="AO34" s="95">
        <f>PI!AR194</f>
        <v>0</v>
      </c>
      <c r="AP34" s="95">
        <f>PI!AS194</f>
        <v>0</v>
      </c>
      <c r="AS34" s="51"/>
      <c r="AT34" s="52" t="s">
        <v>311</v>
      </c>
      <c r="AU34" s="364" t="s">
        <v>276</v>
      </c>
      <c r="AV34" s="53" t="s">
        <v>312</v>
      </c>
      <c r="AW34" s="61" t="s">
        <v>421</v>
      </c>
      <c r="AX34" s="53"/>
      <c r="AY34" s="89">
        <f t="shared" si="3"/>
        <v>23.662087912087909</v>
      </c>
      <c r="AZ34" s="89">
        <f t="shared" si="4"/>
        <v>0</v>
      </c>
      <c r="BA34" s="95">
        <f>IFERROR(IF(AE34/I34*100&gt;110,110,AE34/I34*100),100)</f>
        <v>89.74</v>
      </c>
      <c r="BB34" s="95">
        <f t="shared" ref="BB34:BL37" si="33">IFERROR(IF(AF34/J34*100&gt;110,110,AF34/J34*100),100)</f>
        <v>76.382352941176464</v>
      </c>
      <c r="BC34" s="95">
        <f t="shared" si="33"/>
        <v>71.961538461538467</v>
      </c>
      <c r="BD34" s="95">
        <f t="shared" si="33"/>
        <v>54.63942307692308</v>
      </c>
      <c r="BE34" s="95">
        <f t="shared" si="33"/>
        <v>22.702797202797203</v>
      </c>
      <c r="BF34" s="95">
        <f t="shared" si="33"/>
        <v>23.662087912087909</v>
      </c>
      <c r="BG34" s="95">
        <f t="shared" si="33"/>
        <v>26.186936936936938</v>
      </c>
      <c r="BH34" s="95">
        <f t="shared" si="33"/>
        <v>29.368320610687022</v>
      </c>
      <c r="BI34" s="95">
        <f t="shared" si="33"/>
        <v>60.45348837209302</v>
      </c>
      <c r="BJ34" s="95">
        <f t="shared" si="33"/>
        <v>59.007352941176471</v>
      </c>
      <c r="BK34" s="95">
        <f t="shared" si="33"/>
        <v>0</v>
      </c>
      <c r="BL34" s="95">
        <f t="shared" si="33"/>
        <v>0</v>
      </c>
      <c r="BO34" s="51"/>
      <c r="BP34" s="52" t="s">
        <v>311</v>
      </c>
      <c r="BQ34" s="364" t="s">
        <v>276</v>
      </c>
      <c r="BR34" s="53" t="s">
        <v>312</v>
      </c>
      <c r="BS34" s="61" t="s">
        <v>421</v>
      </c>
      <c r="BT34" s="53">
        <v>2.5</v>
      </c>
      <c r="BU34" s="89">
        <f t="shared" ref="BU34:BU37" si="34">CB34</f>
        <v>0.5915521978021977</v>
      </c>
      <c r="BV34" s="89">
        <f t="shared" ref="BV34:BV37" si="35">CH34</f>
        <v>0</v>
      </c>
      <c r="BW34" s="111" cm="1">
        <f t="array" ref="BW34:CH34">BT34*BA34:BL34/100</f>
        <v>2.2435</v>
      </c>
      <c r="BX34" s="95">
        <v>1.9095588235294116</v>
      </c>
      <c r="BY34" s="95">
        <v>1.7990384615384616</v>
      </c>
      <c r="BZ34" s="95">
        <v>1.3659855769230771</v>
      </c>
      <c r="CA34" s="95">
        <v>0.56756993006993006</v>
      </c>
      <c r="CB34" s="95">
        <v>0.5915521978021977</v>
      </c>
      <c r="CC34" s="95">
        <v>0.6546734234234235</v>
      </c>
      <c r="CD34" s="95">
        <v>0.7342080152671755</v>
      </c>
      <c r="CE34" s="95">
        <v>1.5113372093023256</v>
      </c>
      <c r="CF34" s="95">
        <v>1.4751838235294119</v>
      </c>
      <c r="CG34" s="95">
        <v>0</v>
      </c>
      <c r="CH34" s="95">
        <v>0</v>
      </c>
    </row>
    <row r="35" spans="1:86" ht="16.5">
      <c r="A35" s="252"/>
      <c r="B35" s="275" t="s">
        <v>313</v>
      </c>
      <c r="C35" s="370" t="s">
        <v>276</v>
      </c>
      <c r="D35" s="76" t="s">
        <v>133</v>
      </c>
      <c r="E35" s="338" t="s">
        <v>422</v>
      </c>
      <c r="F35" s="77"/>
      <c r="G35" s="93">
        <f>N35</f>
        <v>1095</v>
      </c>
      <c r="H35" s="93">
        <f>T35</f>
        <v>2521</v>
      </c>
      <c r="I35" s="93">
        <f xml:space="preserve"> PI!D200</f>
        <v>150</v>
      </c>
      <c r="J35" s="93">
        <f xml:space="preserve"> PI!E200</f>
        <v>304</v>
      </c>
      <c r="K35" s="93">
        <f xml:space="preserve"> PI!F200</f>
        <v>467</v>
      </c>
      <c r="L35" s="93">
        <f xml:space="preserve"> PI!G200</f>
        <v>623</v>
      </c>
      <c r="M35" s="93">
        <f xml:space="preserve"> PI!H200</f>
        <v>863</v>
      </c>
      <c r="N35" s="93">
        <f xml:space="preserve"> PI!I200</f>
        <v>1095</v>
      </c>
      <c r="O35" s="93">
        <f xml:space="preserve"> PI!J200</f>
        <v>1335</v>
      </c>
      <c r="P35" s="93">
        <f xml:space="preserve"> PI!K200</f>
        <v>1575</v>
      </c>
      <c r="Q35" s="93">
        <f xml:space="preserve"> PI!L200</f>
        <v>1808</v>
      </c>
      <c r="R35" s="93">
        <f xml:space="preserve"> PI!M200</f>
        <v>2048</v>
      </c>
      <c r="S35" s="93">
        <f xml:space="preserve"> PI!N200</f>
        <v>2280</v>
      </c>
      <c r="T35" s="123">
        <f xml:space="preserve"> PI!O200</f>
        <v>2521</v>
      </c>
      <c r="U35" s="22"/>
      <c r="V35"/>
      <c r="W35" s="51"/>
      <c r="X35" s="52" t="s">
        <v>313</v>
      </c>
      <c r="Y35" s="364" t="s">
        <v>276</v>
      </c>
      <c r="Z35" s="53" t="s">
        <v>133</v>
      </c>
      <c r="AA35" s="61" t="s">
        <v>422</v>
      </c>
      <c r="AB35" s="53"/>
      <c r="AC35" s="89">
        <f t="shared" si="14"/>
        <v>583</v>
      </c>
      <c r="AD35" s="89">
        <f t="shared" si="2"/>
        <v>0</v>
      </c>
      <c r="AE35" s="95">
        <f>PI!AH200</f>
        <v>70</v>
      </c>
      <c r="AF35" s="95">
        <f>PI!AI200</f>
        <v>196</v>
      </c>
      <c r="AG35" s="95">
        <f>PI!AJ200</f>
        <v>303</v>
      </c>
      <c r="AH35" s="95">
        <f>PI!AK200</f>
        <v>396</v>
      </c>
      <c r="AI35" s="95">
        <f>PI!AL200</f>
        <v>488</v>
      </c>
      <c r="AJ35" s="95">
        <f>PI!AM200</f>
        <v>583</v>
      </c>
      <c r="AK35" s="95">
        <f>PI!AN200</f>
        <v>679</v>
      </c>
      <c r="AL35" s="95">
        <f>PI!AO200</f>
        <v>779</v>
      </c>
      <c r="AM35" s="95">
        <f>PI!AP200</f>
        <v>885</v>
      </c>
      <c r="AN35" s="95">
        <f>PI!AQ200</f>
        <v>1051</v>
      </c>
      <c r="AO35" s="95">
        <f>PI!AR200</f>
        <v>0</v>
      </c>
      <c r="AP35" s="95">
        <f>PI!AS200</f>
        <v>0</v>
      </c>
      <c r="AS35" s="51"/>
      <c r="AT35" s="52" t="s">
        <v>313</v>
      </c>
      <c r="AU35" s="364" t="s">
        <v>276</v>
      </c>
      <c r="AV35" s="53" t="s">
        <v>133</v>
      </c>
      <c r="AW35" s="61" t="s">
        <v>422</v>
      </c>
      <c r="AX35" s="53"/>
      <c r="AY35" s="89">
        <f t="shared" si="3"/>
        <v>53.242009132420087</v>
      </c>
      <c r="AZ35" s="89">
        <f t="shared" si="4"/>
        <v>0</v>
      </c>
      <c r="BA35" s="95">
        <f>IFERROR(IF(AE35/I35*100&gt;110,110,AE35/I35*100),100)</f>
        <v>46.666666666666664</v>
      </c>
      <c r="BB35" s="95">
        <f t="shared" si="33"/>
        <v>64.473684210526315</v>
      </c>
      <c r="BC35" s="95">
        <f t="shared" si="33"/>
        <v>64.882226980728049</v>
      </c>
      <c r="BD35" s="95">
        <f t="shared" si="33"/>
        <v>63.563402889245587</v>
      </c>
      <c r="BE35" s="95">
        <f t="shared" si="33"/>
        <v>56.546929316338357</v>
      </c>
      <c r="BF35" s="95">
        <f t="shared" si="33"/>
        <v>53.242009132420087</v>
      </c>
      <c r="BG35" s="95">
        <f t="shared" si="33"/>
        <v>50.861423220973776</v>
      </c>
      <c r="BH35" s="95">
        <f t="shared" si="33"/>
        <v>49.460317460317462</v>
      </c>
      <c r="BI35" s="95">
        <f t="shared" si="33"/>
        <v>48.94911504424779</v>
      </c>
      <c r="BJ35" s="95">
        <f t="shared" si="33"/>
        <v>51.318359375</v>
      </c>
      <c r="BK35" s="95">
        <f t="shared" si="33"/>
        <v>0</v>
      </c>
      <c r="BL35" s="95">
        <f t="shared" si="33"/>
        <v>0</v>
      </c>
      <c r="BO35" s="51"/>
      <c r="BP35" s="52" t="s">
        <v>313</v>
      </c>
      <c r="BQ35" s="364" t="s">
        <v>276</v>
      </c>
      <c r="BR35" s="53" t="s">
        <v>133</v>
      </c>
      <c r="BS35" s="61" t="s">
        <v>422</v>
      </c>
      <c r="BT35" s="53">
        <v>2.5</v>
      </c>
      <c r="BU35" s="89">
        <f t="shared" si="34"/>
        <v>1.3310502283105021</v>
      </c>
      <c r="BV35" s="89">
        <f t="shared" si="35"/>
        <v>0</v>
      </c>
      <c r="BW35" s="111" cm="1">
        <f t="array" ref="BW35:CH35">BT35*BA35:BL35/100</f>
        <v>1.1666666666666665</v>
      </c>
      <c r="BX35" s="95">
        <v>1.6118421052631577</v>
      </c>
      <c r="BY35" s="95">
        <v>1.6220556745182011</v>
      </c>
      <c r="BZ35" s="95">
        <v>1.5890850722311396</v>
      </c>
      <c r="CA35" s="95">
        <v>1.4136732329084589</v>
      </c>
      <c r="CB35" s="95">
        <v>1.3310502283105021</v>
      </c>
      <c r="CC35" s="95">
        <v>1.2715355805243445</v>
      </c>
      <c r="CD35" s="95">
        <v>1.2365079365079366</v>
      </c>
      <c r="CE35" s="95">
        <v>1.2237278761061947</v>
      </c>
      <c r="CF35" s="95">
        <v>1.282958984375</v>
      </c>
      <c r="CG35" s="95">
        <v>0</v>
      </c>
      <c r="CH35" s="95">
        <v>0</v>
      </c>
    </row>
    <row r="36" spans="1:86" ht="15.6" customHeight="1">
      <c r="A36" s="251"/>
      <c r="B36" s="275" t="s">
        <v>314</v>
      </c>
      <c r="C36" s="373" t="s">
        <v>276</v>
      </c>
      <c r="D36" s="76" t="s">
        <v>133</v>
      </c>
      <c r="E36" s="341" t="s">
        <v>423</v>
      </c>
      <c r="F36" s="78"/>
      <c r="G36" s="93">
        <f>N36</f>
        <v>168</v>
      </c>
      <c r="H36" s="93">
        <f>T36</f>
        <v>276</v>
      </c>
      <c r="I36" s="92">
        <f>PI!D206</f>
        <v>28</v>
      </c>
      <c r="J36" s="92">
        <f>PI!E206</f>
        <v>56</v>
      </c>
      <c r="K36" s="92">
        <f>PI!F206</f>
        <v>84</v>
      </c>
      <c r="L36" s="92">
        <f>PI!G206</f>
        <v>112</v>
      </c>
      <c r="M36" s="92">
        <f>PI!H206</f>
        <v>140</v>
      </c>
      <c r="N36" s="92">
        <f>PI!I206</f>
        <v>168</v>
      </c>
      <c r="O36" s="92">
        <f>PI!J206</f>
        <v>186</v>
      </c>
      <c r="P36" s="92">
        <f>PI!K206</f>
        <v>204</v>
      </c>
      <c r="Q36" s="92">
        <f>PI!L206</f>
        <v>222</v>
      </c>
      <c r="R36" s="92">
        <f>PI!M206</f>
        <v>240</v>
      </c>
      <c r="S36" s="92">
        <f>PI!N206</f>
        <v>258</v>
      </c>
      <c r="T36" s="108">
        <f>PI!O206</f>
        <v>276</v>
      </c>
      <c r="U36" s="22"/>
      <c r="V36"/>
      <c r="W36" s="51"/>
      <c r="X36" s="52" t="s">
        <v>314</v>
      </c>
      <c r="Y36" s="364" t="s">
        <v>276</v>
      </c>
      <c r="Z36" s="53" t="s">
        <v>133</v>
      </c>
      <c r="AA36" s="61" t="s">
        <v>423</v>
      </c>
      <c r="AB36" s="53"/>
      <c r="AC36" s="89">
        <f t="shared" si="14"/>
        <v>160</v>
      </c>
      <c r="AD36" s="89">
        <f t="shared" si="2"/>
        <v>0</v>
      </c>
      <c r="AE36" s="95">
        <f>PI!AH206</f>
        <v>54</v>
      </c>
      <c r="AF36" s="95">
        <f>PI!AI206</f>
        <v>62</v>
      </c>
      <c r="AG36" s="95">
        <f>PI!AJ206</f>
        <v>78</v>
      </c>
      <c r="AH36" s="95">
        <f>PI!AK206</f>
        <v>78</v>
      </c>
      <c r="AI36" s="95">
        <f>PI!AL206</f>
        <v>100</v>
      </c>
      <c r="AJ36" s="95">
        <f>PI!AM206</f>
        <v>160</v>
      </c>
      <c r="AK36" s="95">
        <f>PI!AN206</f>
        <v>230</v>
      </c>
      <c r="AL36" s="95">
        <f>PI!AO206</f>
        <v>260</v>
      </c>
      <c r="AM36" s="95">
        <f>PI!AP206</f>
        <v>282</v>
      </c>
      <c r="AN36" s="95">
        <f>PI!AQ206</f>
        <v>350</v>
      </c>
      <c r="AO36" s="95">
        <f>PI!AR206</f>
        <v>0</v>
      </c>
      <c r="AP36" s="95">
        <f>PI!AS206</f>
        <v>0</v>
      </c>
      <c r="AS36" s="51"/>
      <c r="AT36" s="52" t="s">
        <v>314</v>
      </c>
      <c r="AU36" s="364" t="s">
        <v>276</v>
      </c>
      <c r="AV36" s="53" t="s">
        <v>133</v>
      </c>
      <c r="AW36" s="61" t="s">
        <v>423</v>
      </c>
      <c r="AX36" s="53"/>
      <c r="AY36" s="89">
        <f t="shared" si="3"/>
        <v>95.238095238095227</v>
      </c>
      <c r="AZ36" s="89">
        <f t="shared" si="4"/>
        <v>0</v>
      </c>
      <c r="BA36" s="95">
        <f>IFERROR(IF(AE36/I36*100&gt;110,110,AE36/I36*100),100)</f>
        <v>110</v>
      </c>
      <c r="BB36" s="95">
        <f t="shared" si="33"/>
        <v>110</v>
      </c>
      <c r="BC36" s="95">
        <f t="shared" si="33"/>
        <v>92.857142857142861</v>
      </c>
      <c r="BD36" s="95">
        <f t="shared" si="33"/>
        <v>69.642857142857139</v>
      </c>
      <c r="BE36" s="95">
        <f t="shared" si="33"/>
        <v>71.428571428571431</v>
      </c>
      <c r="BF36" s="95">
        <f t="shared" si="33"/>
        <v>95.238095238095227</v>
      </c>
      <c r="BG36" s="95">
        <f t="shared" si="33"/>
        <v>110</v>
      </c>
      <c r="BH36" s="95">
        <f t="shared" si="33"/>
        <v>110</v>
      </c>
      <c r="BI36" s="95">
        <f t="shared" si="33"/>
        <v>110</v>
      </c>
      <c r="BJ36" s="95">
        <f t="shared" si="33"/>
        <v>110</v>
      </c>
      <c r="BK36" s="95">
        <f t="shared" si="33"/>
        <v>0</v>
      </c>
      <c r="BL36" s="95">
        <f t="shared" si="33"/>
        <v>0</v>
      </c>
      <c r="BO36" s="51"/>
      <c r="BP36" s="52" t="s">
        <v>314</v>
      </c>
      <c r="BQ36" s="364" t="s">
        <v>276</v>
      </c>
      <c r="BR36" s="53" t="s">
        <v>133</v>
      </c>
      <c r="BS36" s="61" t="s">
        <v>423</v>
      </c>
      <c r="BT36" s="53">
        <v>2.5</v>
      </c>
      <c r="BU36" s="89">
        <f t="shared" si="34"/>
        <v>2.3809523809523809</v>
      </c>
      <c r="BV36" s="89">
        <f t="shared" si="35"/>
        <v>0</v>
      </c>
      <c r="BW36" s="111" cm="1">
        <f t="array" ref="BW36:CH36">BT36*BA36:BL36/100</f>
        <v>2.75</v>
      </c>
      <c r="BX36" s="95">
        <v>2.75</v>
      </c>
      <c r="BY36" s="95">
        <v>2.3214285714285716</v>
      </c>
      <c r="BZ36" s="95">
        <v>1.7410714285714284</v>
      </c>
      <c r="CA36" s="95">
        <v>1.7857142857142858</v>
      </c>
      <c r="CB36" s="95">
        <v>2.3809523809523809</v>
      </c>
      <c r="CC36" s="95">
        <v>2.75</v>
      </c>
      <c r="CD36" s="95">
        <v>2.75</v>
      </c>
      <c r="CE36" s="95">
        <v>2.75</v>
      </c>
      <c r="CF36" s="95">
        <v>2.75</v>
      </c>
      <c r="CG36" s="95">
        <v>0</v>
      </c>
      <c r="CH36" s="95">
        <v>0</v>
      </c>
    </row>
    <row r="37" spans="1:86" ht="15.6" customHeight="1">
      <c r="A37" s="284"/>
      <c r="B37" s="52" t="s">
        <v>315</v>
      </c>
      <c r="C37" s="373" t="s">
        <v>276</v>
      </c>
      <c r="D37" s="76" t="s">
        <v>133</v>
      </c>
      <c r="E37" s="341" t="s">
        <v>424</v>
      </c>
      <c r="F37" s="78"/>
      <c r="G37" s="93">
        <f>N37</f>
        <v>4</v>
      </c>
      <c r="H37" s="93">
        <f>T37</f>
        <v>5</v>
      </c>
      <c r="I37" s="92">
        <f>PI!D212</f>
        <v>0</v>
      </c>
      <c r="J37" s="92">
        <f>PI!E212</f>
        <v>0</v>
      </c>
      <c r="K37" s="92">
        <f>PI!F212</f>
        <v>0</v>
      </c>
      <c r="L37" s="92">
        <f>PI!G212</f>
        <v>4</v>
      </c>
      <c r="M37" s="92">
        <f>PI!H212</f>
        <v>4</v>
      </c>
      <c r="N37" s="92">
        <f>PI!I212</f>
        <v>4</v>
      </c>
      <c r="O37" s="92">
        <f>PI!J212</f>
        <v>5</v>
      </c>
      <c r="P37" s="92">
        <f>PI!K212</f>
        <v>5</v>
      </c>
      <c r="Q37" s="92">
        <f>PI!L212</f>
        <v>5</v>
      </c>
      <c r="R37" s="92">
        <f>PI!M212</f>
        <v>5</v>
      </c>
      <c r="S37" s="92">
        <f>PI!N212</f>
        <v>5</v>
      </c>
      <c r="T37" s="108">
        <f>PI!O212</f>
        <v>5</v>
      </c>
      <c r="U37" s="22"/>
      <c r="V37"/>
      <c r="W37" s="51"/>
      <c r="X37" s="52" t="s">
        <v>315</v>
      </c>
      <c r="Y37" s="364" t="s">
        <v>276</v>
      </c>
      <c r="Z37" s="53" t="s">
        <v>133</v>
      </c>
      <c r="AA37" s="61" t="s">
        <v>424</v>
      </c>
      <c r="AB37" s="53"/>
      <c r="AC37" s="89">
        <f t="shared" si="14"/>
        <v>5</v>
      </c>
      <c r="AD37" s="89">
        <f t="shared" si="2"/>
        <v>0</v>
      </c>
      <c r="AE37" s="95">
        <f>PI!AH212</f>
        <v>0</v>
      </c>
      <c r="AF37" s="95">
        <f>PI!AI212</f>
        <v>0</v>
      </c>
      <c r="AG37" s="95">
        <f>PI!AJ212</f>
        <v>0</v>
      </c>
      <c r="AH37" s="95">
        <f>PI!AK212</f>
        <v>5</v>
      </c>
      <c r="AI37" s="95">
        <f>PI!AL212</f>
        <v>5</v>
      </c>
      <c r="AJ37" s="95">
        <f>PI!AM212</f>
        <v>5</v>
      </c>
      <c r="AK37" s="95">
        <f>PI!AN212</f>
        <v>6</v>
      </c>
      <c r="AL37" s="95">
        <f>PI!AO212</f>
        <v>6</v>
      </c>
      <c r="AM37" s="95">
        <f>PI!AP212</f>
        <v>6</v>
      </c>
      <c r="AN37" s="95">
        <f>PI!AQ212</f>
        <v>6</v>
      </c>
      <c r="AO37" s="95">
        <f>PI!AR212</f>
        <v>0</v>
      </c>
      <c r="AP37" s="95">
        <f>PI!AS212</f>
        <v>0</v>
      </c>
      <c r="AS37" s="51"/>
      <c r="AT37" s="52" t="s">
        <v>315</v>
      </c>
      <c r="AU37" s="364" t="s">
        <v>276</v>
      </c>
      <c r="AV37" s="53" t="s">
        <v>133</v>
      </c>
      <c r="AW37" s="61" t="s">
        <v>424</v>
      </c>
      <c r="AX37" s="53"/>
      <c r="AY37" s="89">
        <f t="shared" si="3"/>
        <v>110</v>
      </c>
      <c r="AZ37" s="89">
        <f t="shared" si="4"/>
        <v>0</v>
      </c>
      <c r="BA37" s="95">
        <f>IFERROR(IF(AE37/I37*100&gt;110,110,AE37/I37*100),100)</f>
        <v>100</v>
      </c>
      <c r="BB37" s="95">
        <f t="shared" si="33"/>
        <v>100</v>
      </c>
      <c r="BC37" s="95">
        <f t="shared" si="33"/>
        <v>100</v>
      </c>
      <c r="BD37" s="95">
        <f t="shared" si="33"/>
        <v>110</v>
      </c>
      <c r="BE37" s="95">
        <f t="shared" si="33"/>
        <v>110</v>
      </c>
      <c r="BF37" s="95">
        <f t="shared" si="33"/>
        <v>110</v>
      </c>
      <c r="BG37" s="95">
        <f t="shared" si="33"/>
        <v>110</v>
      </c>
      <c r="BH37" s="95">
        <f t="shared" si="33"/>
        <v>110</v>
      </c>
      <c r="BI37" s="95">
        <f t="shared" si="33"/>
        <v>110</v>
      </c>
      <c r="BJ37" s="95">
        <f t="shared" si="33"/>
        <v>110</v>
      </c>
      <c r="BK37" s="95">
        <f t="shared" si="33"/>
        <v>0</v>
      </c>
      <c r="BL37" s="95">
        <f t="shared" si="33"/>
        <v>0</v>
      </c>
      <c r="BO37" s="51"/>
      <c r="BP37" s="52" t="s">
        <v>315</v>
      </c>
      <c r="BQ37" s="364" t="s">
        <v>276</v>
      </c>
      <c r="BR37" s="53" t="s">
        <v>133</v>
      </c>
      <c r="BS37" s="61" t="s">
        <v>424</v>
      </c>
      <c r="BT37" s="53">
        <v>2.5</v>
      </c>
      <c r="BU37" s="89">
        <f t="shared" si="34"/>
        <v>2.75</v>
      </c>
      <c r="BV37" s="89">
        <f t="shared" si="35"/>
        <v>0</v>
      </c>
      <c r="BW37" s="111" cm="1">
        <f t="array" ref="BW37:CH37">BT37*BA37:BL37/100</f>
        <v>2.5</v>
      </c>
      <c r="BX37" s="95">
        <v>2.5</v>
      </c>
      <c r="BY37" s="95">
        <v>2.5</v>
      </c>
      <c r="BZ37" s="95">
        <v>2.75</v>
      </c>
      <c r="CA37" s="95">
        <v>2.75</v>
      </c>
      <c r="CB37" s="95">
        <v>2.75</v>
      </c>
      <c r="CC37" s="95">
        <v>2.75</v>
      </c>
      <c r="CD37" s="95">
        <v>2.75</v>
      </c>
      <c r="CE37" s="95">
        <v>2.75</v>
      </c>
      <c r="CF37" s="95">
        <v>2.75</v>
      </c>
      <c r="CG37" s="95">
        <v>0</v>
      </c>
      <c r="CH37" s="95">
        <v>0</v>
      </c>
    </row>
    <row r="38" spans="1:86" ht="16.5">
      <c r="A38" s="251">
        <v>9</v>
      </c>
      <c r="B38" s="271" t="s">
        <v>425</v>
      </c>
      <c r="C38" s="373"/>
      <c r="D38" s="76"/>
      <c r="E38" s="341"/>
      <c r="F38" s="78">
        <v>4</v>
      </c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108"/>
      <c r="U38" s="22"/>
      <c r="V38"/>
      <c r="W38" s="51">
        <v>9</v>
      </c>
      <c r="X38" s="267" t="s">
        <v>425</v>
      </c>
      <c r="Y38" s="364"/>
      <c r="Z38" s="53"/>
      <c r="AA38" s="61"/>
      <c r="AB38" s="53">
        <v>4</v>
      </c>
      <c r="AC38" s="89"/>
      <c r="AD38" s="89"/>
      <c r="AE38" s="95"/>
      <c r="AF38" s="95"/>
      <c r="AG38" s="95"/>
      <c r="AH38" s="95"/>
      <c r="AI38" s="95"/>
      <c r="AJ38" s="95"/>
      <c r="AK38" s="95"/>
      <c r="AL38" s="95"/>
      <c r="AM38" s="95"/>
      <c r="AN38" s="95"/>
      <c r="AO38" s="95"/>
      <c r="AP38" s="95"/>
      <c r="AS38" s="51">
        <v>9</v>
      </c>
      <c r="AT38" s="267" t="s">
        <v>425</v>
      </c>
      <c r="AU38" s="364"/>
      <c r="AV38" s="53"/>
      <c r="AW38" s="61"/>
      <c r="AX38" s="53">
        <v>4</v>
      </c>
      <c r="AY38" s="89"/>
      <c r="AZ38" s="89"/>
      <c r="BA38" s="95"/>
      <c r="BB38" s="95"/>
      <c r="BC38" s="95"/>
      <c r="BD38" s="95"/>
      <c r="BE38" s="95"/>
      <c r="BF38" s="95"/>
      <c r="BG38" s="95"/>
      <c r="BH38" s="95"/>
      <c r="BI38" s="95"/>
      <c r="BJ38" s="95"/>
      <c r="BK38" s="95"/>
      <c r="BL38" s="95"/>
      <c r="BO38" s="51">
        <v>9</v>
      </c>
      <c r="BP38" s="267" t="s">
        <v>425</v>
      </c>
      <c r="BQ38" s="364"/>
      <c r="BR38" s="53"/>
      <c r="BS38" s="61"/>
      <c r="BT38" s="513">
        <v>4</v>
      </c>
      <c r="BU38" s="89"/>
      <c r="BV38" s="89"/>
      <c r="BW38" s="95"/>
      <c r="BX38" s="95"/>
      <c r="BY38" s="95"/>
      <c r="BZ38" s="95"/>
      <c r="CA38" s="95"/>
      <c r="CB38" s="95"/>
      <c r="CC38" s="95"/>
      <c r="CD38" s="95"/>
      <c r="CE38" s="95"/>
      <c r="CF38" s="95"/>
      <c r="CG38" s="95"/>
      <c r="CH38" s="95"/>
    </row>
    <row r="39" spans="1:86" ht="16.5">
      <c r="A39" s="251"/>
      <c r="B39" s="275" t="s">
        <v>426</v>
      </c>
      <c r="C39" s="373" t="s">
        <v>276</v>
      </c>
      <c r="D39" s="76" t="s">
        <v>133</v>
      </c>
      <c r="E39" s="341" t="s">
        <v>427</v>
      </c>
      <c r="F39" s="78"/>
      <c r="G39" s="92">
        <f>N39</f>
        <v>4</v>
      </c>
      <c r="H39" s="92">
        <f>T39</f>
        <v>157</v>
      </c>
      <c r="I39" s="92">
        <f>PI!D218</f>
        <v>1</v>
      </c>
      <c r="J39" s="92">
        <f>PI!E218</f>
        <v>1</v>
      </c>
      <c r="K39" s="92">
        <f>PI!F218</f>
        <v>1</v>
      </c>
      <c r="L39" s="92">
        <f>PI!G218</f>
        <v>1</v>
      </c>
      <c r="M39" s="92">
        <f>PI!H218</f>
        <v>2</v>
      </c>
      <c r="N39" s="92">
        <f>PI!I218</f>
        <v>4</v>
      </c>
      <c r="O39" s="92">
        <f>PI!J218</f>
        <v>13</v>
      </c>
      <c r="P39" s="92">
        <f>PI!K218</f>
        <v>21</v>
      </c>
      <c r="Q39" s="92">
        <f>PI!L218</f>
        <v>35</v>
      </c>
      <c r="R39" s="92">
        <f>PI!M218</f>
        <v>57</v>
      </c>
      <c r="S39" s="92">
        <f>PI!N218</f>
        <v>95</v>
      </c>
      <c r="T39" s="108">
        <f>PI!O218</f>
        <v>157</v>
      </c>
      <c r="U39" s="22"/>
      <c r="V39"/>
      <c r="W39" s="51"/>
      <c r="X39" s="52" t="s">
        <v>426</v>
      </c>
      <c r="Y39" s="364" t="s">
        <v>276</v>
      </c>
      <c r="Z39" s="53" t="s">
        <v>133</v>
      </c>
      <c r="AA39" s="61" t="s">
        <v>427</v>
      </c>
      <c r="AB39" s="53"/>
      <c r="AC39" s="89">
        <f t="shared" si="14"/>
        <v>10</v>
      </c>
      <c r="AD39" s="89">
        <f t="shared" si="2"/>
        <v>0</v>
      </c>
      <c r="AE39" s="95">
        <f>PI!AH218</f>
        <v>0</v>
      </c>
      <c r="AF39" s="95">
        <f>PI!AI218</f>
        <v>2</v>
      </c>
      <c r="AG39" s="95">
        <f>PI!AJ218</f>
        <v>7</v>
      </c>
      <c r="AH39" s="95">
        <f>PI!AK218</f>
        <v>10</v>
      </c>
      <c r="AI39" s="95">
        <f>PI!AL218</f>
        <v>10</v>
      </c>
      <c r="AJ39" s="95">
        <f>PI!AM218</f>
        <v>10</v>
      </c>
      <c r="AK39" s="95">
        <f>PI!AN218</f>
        <v>10</v>
      </c>
      <c r="AL39" s="95">
        <f>PI!AO218</f>
        <v>11</v>
      </c>
      <c r="AM39" s="95">
        <f>PI!AP218</f>
        <v>11</v>
      </c>
      <c r="AN39" s="95">
        <f>PI!AQ218</f>
        <v>12</v>
      </c>
      <c r="AO39" s="95">
        <f>PI!AR218</f>
        <v>0</v>
      </c>
      <c r="AP39" s="95">
        <f>PI!AS218</f>
        <v>0</v>
      </c>
      <c r="AS39" s="51"/>
      <c r="AT39" s="52" t="s">
        <v>426</v>
      </c>
      <c r="AU39" s="364" t="s">
        <v>276</v>
      </c>
      <c r="AV39" s="53" t="s">
        <v>133</v>
      </c>
      <c r="AW39" s="61" t="s">
        <v>427</v>
      </c>
      <c r="AX39" s="53"/>
      <c r="AY39" s="89">
        <f t="shared" si="3"/>
        <v>110</v>
      </c>
      <c r="AZ39" s="89">
        <f t="shared" si="4"/>
        <v>0</v>
      </c>
      <c r="BA39" s="95">
        <f>IFERROR(IF(AE39/I39*100&gt;110,110,AE39/I39*100),100)</f>
        <v>0</v>
      </c>
      <c r="BB39" s="95">
        <f t="shared" ref="BB39:BL40" si="36">IFERROR(IF(AF39/J39*100&gt;110,110,AF39/J39*100),100)</f>
        <v>110</v>
      </c>
      <c r="BC39" s="95">
        <f t="shared" si="36"/>
        <v>110</v>
      </c>
      <c r="BD39" s="95">
        <f t="shared" si="36"/>
        <v>110</v>
      </c>
      <c r="BE39" s="95">
        <f t="shared" si="36"/>
        <v>110</v>
      </c>
      <c r="BF39" s="95">
        <f t="shared" si="36"/>
        <v>110</v>
      </c>
      <c r="BG39" s="95">
        <f t="shared" si="36"/>
        <v>76.923076923076934</v>
      </c>
      <c r="BH39" s="95">
        <f t="shared" si="36"/>
        <v>52.380952380952387</v>
      </c>
      <c r="BI39" s="95">
        <f t="shared" si="36"/>
        <v>31.428571428571427</v>
      </c>
      <c r="BJ39" s="95">
        <f t="shared" si="36"/>
        <v>21.052631578947366</v>
      </c>
      <c r="BK39" s="95">
        <f t="shared" si="36"/>
        <v>0</v>
      </c>
      <c r="BL39" s="95">
        <f t="shared" si="36"/>
        <v>0</v>
      </c>
      <c r="BO39" s="51"/>
      <c r="BP39" s="52" t="s">
        <v>426</v>
      </c>
      <c r="BQ39" s="364" t="s">
        <v>276</v>
      </c>
      <c r="BR39" s="53" t="s">
        <v>133</v>
      </c>
      <c r="BS39" s="61" t="s">
        <v>427</v>
      </c>
      <c r="BT39" s="53">
        <v>2</v>
      </c>
      <c r="BU39" s="89">
        <f t="shared" ref="BU39:BU40" si="37">CB39</f>
        <v>2.2000000000000002</v>
      </c>
      <c r="BV39" s="89">
        <f t="shared" ref="BV39:BV40" si="38">CH39</f>
        <v>0</v>
      </c>
      <c r="BW39" s="111" cm="1">
        <f t="array" ref="BW39:CH39">BT39*BA39:BL39/100</f>
        <v>0</v>
      </c>
      <c r="BX39" s="95">
        <v>2.2000000000000002</v>
      </c>
      <c r="BY39" s="95">
        <v>2.2000000000000002</v>
      </c>
      <c r="BZ39" s="95">
        <v>2.2000000000000002</v>
      </c>
      <c r="CA39" s="95">
        <v>2.2000000000000002</v>
      </c>
      <c r="CB39" s="95">
        <v>2.2000000000000002</v>
      </c>
      <c r="CC39" s="95">
        <v>1.5384615384615388</v>
      </c>
      <c r="CD39" s="95">
        <v>1.0476190476190477</v>
      </c>
      <c r="CE39" s="95">
        <v>0.62857142857142856</v>
      </c>
      <c r="CF39" s="95">
        <v>0.42105263157894735</v>
      </c>
      <c r="CG39" s="95">
        <v>0</v>
      </c>
      <c r="CH39" s="95">
        <v>0</v>
      </c>
    </row>
    <row r="40" spans="1:86" ht="15.6" customHeight="1">
      <c r="A40" s="251"/>
      <c r="B40" s="275" t="s">
        <v>428</v>
      </c>
      <c r="C40" s="373" t="s">
        <v>276</v>
      </c>
      <c r="D40" s="76" t="s">
        <v>429</v>
      </c>
      <c r="E40" s="341" t="s">
        <v>430</v>
      </c>
      <c r="F40" s="78"/>
      <c r="G40" s="92">
        <f>N40</f>
        <v>162</v>
      </c>
      <c r="H40" s="92">
        <f>T40</f>
        <v>20987.087</v>
      </c>
      <c r="I40" s="92">
        <f>PI!D224</f>
        <v>40.5</v>
      </c>
      <c r="J40" s="92">
        <f>PI!E224</f>
        <v>40.5</v>
      </c>
      <c r="K40" s="92">
        <f>PI!F224</f>
        <v>40.5</v>
      </c>
      <c r="L40" s="92">
        <f>PI!G224</f>
        <v>40.5</v>
      </c>
      <c r="M40" s="92">
        <f>PI!H224</f>
        <v>81</v>
      </c>
      <c r="N40" s="92">
        <f>PI!I224</f>
        <v>162</v>
      </c>
      <c r="O40" s="92">
        <f>PI!J224</f>
        <v>1737.7840000000001</v>
      </c>
      <c r="P40" s="92">
        <f>PI!K224</f>
        <v>2807.19</v>
      </c>
      <c r="Q40" s="92">
        <f>PI!L224</f>
        <v>4678.6499999999996</v>
      </c>
      <c r="R40" s="92">
        <f>PI!M224</f>
        <v>7619.5159999999996</v>
      </c>
      <c r="S40" s="92">
        <f>PI!N224</f>
        <v>12699.192999999999</v>
      </c>
      <c r="T40" s="108">
        <f>PI!O224</f>
        <v>20987.087</v>
      </c>
      <c r="U40" s="22"/>
      <c r="V40"/>
      <c r="W40" s="51"/>
      <c r="X40" s="52" t="s">
        <v>428</v>
      </c>
      <c r="Y40" s="364" t="s">
        <v>276</v>
      </c>
      <c r="Z40" s="53" t="s">
        <v>429</v>
      </c>
      <c r="AA40" s="61" t="s">
        <v>430</v>
      </c>
      <c r="AB40" s="53"/>
      <c r="AC40" s="89">
        <f t="shared" si="14"/>
        <v>2180</v>
      </c>
      <c r="AD40" s="89">
        <f t="shared" si="2"/>
        <v>0</v>
      </c>
      <c r="AE40" s="95">
        <f>PI!AH224</f>
        <v>0</v>
      </c>
      <c r="AF40" s="95">
        <f>PI!AI224</f>
        <v>778.1</v>
      </c>
      <c r="AG40" s="95">
        <f>PI!AJ224</f>
        <v>1166.7</v>
      </c>
      <c r="AH40" s="95">
        <f>PI!AK224</f>
        <v>1415.6000000000001</v>
      </c>
      <c r="AI40" s="95">
        <f>PI!AL224</f>
        <v>1895.5000000000002</v>
      </c>
      <c r="AJ40" s="95">
        <f>PI!AM224</f>
        <v>2180</v>
      </c>
      <c r="AK40" s="95">
        <f>PI!AN224</f>
        <v>2840.3</v>
      </c>
      <c r="AL40" s="95">
        <f>PI!AO224</f>
        <v>3567.8</v>
      </c>
      <c r="AM40" s="95">
        <f>PI!AP224</f>
        <v>3919.6000000000004</v>
      </c>
      <c r="AN40" s="95">
        <f>PI!AQ224</f>
        <v>4548.5</v>
      </c>
      <c r="AO40" s="95">
        <f>PI!AR224</f>
        <v>0</v>
      </c>
      <c r="AP40" s="95">
        <f>PI!AS224</f>
        <v>0</v>
      </c>
      <c r="AS40" s="51"/>
      <c r="AT40" s="52" t="s">
        <v>428</v>
      </c>
      <c r="AU40" s="364" t="s">
        <v>276</v>
      </c>
      <c r="AV40" s="53" t="s">
        <v>429</v>
      </c>
      <c r="AW40" s="61" t="s">
        <v>430</v>
      </c>
      <c r="AX40" s="53"/>
      <c r="AY40" s="89">
        <f t="shared" si="3"/>
        <v>110</v>
      </c>
      <c r="AZ40" s="89">
        <f t="shared" si="4"/>
        <v>0</v>
      </c>
      <c r="BA40" s="95">
        <f>IFERROR(IF(AE40/I40*100&gt;110,110,AE40/I40*100),100)</f>
        <v>0</v>
      </c>
      <c r="BB40" s="95">
        <f t="shared" si="36"/>
        <v>110</v>
      </c>
      <c r="BC40" s="95">
        <f t="shared" si="36"/>
        <v>110</v>
      </c>
      <c r="BD40" s="95">
        <f t="shared" si="36"/>
        <v>110</v>
      </c>
      <c r="BE40" s="95">
        <f t="shared" si="36"/>
        <v>110</v>
      </c>
      <c r="BF40" s="95">
        <f t="shared" si="36"/>
        <v>110</v>
      </c>
      <c r="BG40" s="95">
        <f t="shared" si="36"/>
        <v>110</v>
      </c>
      <c r="BH40" s="95">
        <f t="shared" si="36"/>
        <v>110</v>
      </c>
      <c r="BI40" s="95">
        <f t="shared" si="36"/>
        <v>83.77630299338486</v>
      </c>
      <c r="BJ40" s="95">
        <f t="shared" si="36"/>
        <v>59.695392725732191</v>
      </c>
      <c r="BK40" s="95">
        <f t="shared" si="36"/>
        <v>0</v>
      </c>
      <c r="BL40" s="95">
        <f t="shared" si="36"/>
        <v>0</v>
      </c>
      <c r="BO40" s="51"/>
      <c r="BP40" s="52" t="s">
        <v>428</v>
      </c>
      <c r="BQ40" s="364" t="s">
        <v>276</v>
      </c>
      <c r="BR40" s="53" t="s">
        <v>429</v>
      </c>
      <c r="BS40" s="61" t="s">
        <v>430</v>
      </c>
      <c r="BT40" s="53">
        <v>2</v>
      </c>
      <c r="BU40" s="89">
        <f t="shared" si="37"/>
        <v>2.2000000000000002</v>
      </c>
      <c r="BV40" s="89">
        <f t="shared" si="38"/>
        <v>0</v>
      </c>
      <c r="BW40" s="111" cm="1">
        <f t="array" ref="BW40:CH40">BT40*BA40:BL40/100</f>
        <v>0</v>
      </c>
      <c r="BX40" s="95">
        <v>2.2000000000000002</v>
      </c>
      <c r="BY40" s="95">
        <v>2.2000000000000002</v>
      </c>
      <c r="BZ40" s="95">
        <v>2.2000000000000002</v>
      </c>
      <c r="CA40" s="95">
        <v>2.2000000000000002</v>
      </c>
      <c r="CB40" s="95">
        <v>2.2000000000000002</v>
      </c>
      <c r="CC40" s="95">
        <v>2.2000000000000002</v>
      </c>
      <c r="CD40" s="95">
        <v>2.2000000000000002</v>
      </c>
      <c r="CE40" s="95">
        <v>1.6755260598676971</v>
      </c>
      <c r="CF40" s="95">
        <v>1.1939078545146438</v>
      </c>
      <c r="CG40" s="95">
        <v>0</v>
      </c>
      <c r="CH40" s="95">
        <v>0</v>
      </c>
    </row>
    <row r="41" spans="1:86" ht="16.5">
      <c r="A41" s="251">
        <v>10</v>
      </c>
      <c r="B41" s="271" t="s">
        <v>320</v>
      </c>
      <c r="C41" s="373"/>
      <c r="D41" s="76"/>
      <c r="E41" s="341"/>
      <c r="F41" s="78">
        <v>8</v>
      </c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108"/>
      <c r="U41" s="22"/>
      <c r="V41"/>
      <c r="W41" s="51">
        <v>10</v>
      </c>
      <c r="X41" s="267" t="s">
        <v>320</v>
      </c>
      <c r="Y41" s="364"/>
      <c r="Z41" s="53"/>
      <c r="AA41" s="61"/>
      <c r="AB41" s="53">
        <v>8</v>
      </c>
      <c r="AC41" s="89"/>
      <c r="AD41" s="89"/>
      <c r="AE41" s="95"/>
      <c r="AF41" s="95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S41" s="51">
        <v>10</v>
      </c>
      <c r="AT41" s="267" t="s">
        <v>320</v>
      </c>
      <c r="AU41" s="364"/>
      <c r="AV41" s="53"/>
      <c r="AW41" s="61"/>
      <c r="AX41" s="53">
        <v>8</v>
      </c>
      <c r="AY41" s="89"/>
      <c r="AZ41" s="89"/>
      <c r="BA41" s="95"/>
      <c r="BB41" s="95"/>
      <c r="BC41" s="95"/>
      <c r="BD41" s="95"/>
      <c r="BE41" s="95"/>
      <c r="BF41" s="95"/>
      <c r="BG41" s="95"/>
      <c r="BH41" s="95"/>
      <c r="BI41" s="95"/>
      <c r="BJ41" s="95"/>
      <c r="BK41" s="95"/>
      <c r="BL41" s="95"/>
      <c r="BO41" s="51">
        <v>10</v>
      </c>
      <c r="BP41" s="267" t="s">
        <v>320</v>
      </c>
      <c r="BQ41" s="364"/>
      <c r="BR41" s="53"/>
      <c r="BS41" s="61"/>
      <c r="BT41" s="513">
        <v>8</v>
      </c>
      <c r="BU41" s="89"/>
      <c r="BV41" s="89"/>
      <c r="BW41" s="95"/>
      <c r="BX41" s="95"/>
      <c r="BY41" s="95"/>
      <c r="BZ41" s="95"/>
      <c r="CA41" s="95"/>
      <c r="CB41" s="95"/>
      <c r="CC41" s="95"/>
      <c r="CD41" s="95"/>
      <c r="CE41" s="95"/>
      <c r="CF41" s="95"/>
      <c r="CG41" s="95"/>
      <c r="CH41" s="95"/>
    </row>
    <row r="42" spans="1:86" ht="16.5">
      <c r="A42" s="250"/>
      <c r="B42" s="275" t="s">
        <v>321</v>
      </c>
      <c r="C42" s="373" t="s">
        <v>276</v>
      </c>
      <c r="D42" s="76" t="s">
        <v>133</v>
      </c>
      <c r="E42" s="341" t="s">
        <v>431</v>
      </c>
      <c r="F42" s="78"/>
      <c r="G42" s="92">
        <f>N42</f>
        <v>2110</v>
      </c>
      <c r="H42" s="92">
        <f>T42</f>
        <v>2110</v>
      </c>
      <c r="I42" s="92">
        <f>PI!D234</f>
        <v>2110</v>
      </c>
      <c r="J42" s="92">
        <f>PI!E234</f>
        <v>2110</v>
      </c>
      <c r="K42" s="92">
        <f>PI!F234</f>
        <v>2110</v>
      </c>
      <c r="L42" s="92">
        <f>PI!G234</f>
        <v>2110</v>
      </c>
      <c r="M42" s="92">
        <f>PI!H234</f>
        <v>2110</v>
      </c>
      <c r="N42" s="92">
        <f>PI!I234</f>
        <v>2110</v>
      </c>
      <c r="O42" s="92">
        <f>PI!J234</f>
        <v>2110</v>
      </c>
      <c r="P42" s="92">
        <f>PI!K234</f>
        <v>2110</v>
      </c>
      <c r="Q42" s="92">
        <f>PI!L234</f>
        <v>2110</v>
      </c>
      <c r="R42" s="92">
        <f>PI!M234</f>
        <v>2110</v>
      </c>
      <c r="S42" s="92">
        <f>PI!N234</f>
        <v>2110</v>
      </c>
      <c r="T42" s="108">
        <f>PI!O234</f>
        <v>2110</v>
      </c>
      <c r="U42" s="22"/>
      <c r="V42"/>
      <c r="W42" s="51"/>
      <c r="X42" s="52" t="s">
        <v>321</v>
      </c>
      <c r="Y42" s="364" t="s">
        <v>276</v>
      </c>
      <c r="Z42" s="53" t="s">
        <v>133</v>
      </c>
      <c r="AA42" s="61" t="s">
        <v>431</v>
      </c>
      <c r="AB42" s="53"/>
      <c r="AC42" s="89">
        <f t="shared" si="14"/>
        <v>3122.1666666666665</v>
      </c>
      <c r="AD42" s="89">
        <f t="shared" si="2"/>
        <v>2961.9</v>
      </c>
      <c r="AE42" s="95">
        <f>PI!AH234</f>
        <v>3556</v>
      </c>
      <c r="AF42" s="95">
        <f>PI!AI234</f>
        <v>3261</v>
      </c>
      <c r="AG42" s="95">
        <f>PI!AJ234</f>
        <v>3619</v>
      </c>
      <c r="AH42" s="95">
        <f>PI!AK234</f>
        <v>3317</v>
      </c>
      <c r="AI42" s="95">
        <f>PI!AL234</f>
        <v>3190.2</v>
      </c>
      <c r="AJ42" s="95">
        <f>PI!AM234</f>
        <v>3122.1666666666665</v>
      </c>
      <c r="AK42" s="95">
        <f>PI!AN234</f>
        <v>3082.1428571428573</v>
      </c>
      <c r="AL42" s="95">
        <f>PI!AO234</f>
        <v>3052.125</v>
      </c>
      <c r="AM42" s="95">
        <f>PI!AP234</f>
        <v>3004</v>
      </c>
      <c r="AN42" s="95">
        <f>PI!AQ234</f>
        <v>2961.9</v>
      </c>
      <c r="AO42" s="95">
        <f>PI!AR234</f>
        <v>2961.9</v>
      </c>
      <c r="AP42" s="95">
        <f>PI!AS234</f>
        <v>2961.9</v>
      </c>
      <c r="AS42" s="51"/>
      <c r="AT42" s="52" t="s">
        <v>321</v>
      </c>
      <c r="AU42" s="364" t="s">
        <v>276</v>
      </c>
      <c r="AV42" s="53" t="s">
        <v>133</v>
      </c>
      <c r="AW42" s="61" t="s">
        <v>431</v>
      </c>
      <c r="AX42" s="53"/>
      <c r="AY42" s="89">
        <f t="shared" si="3"/>
        <v>110</v>
      </c>
      <c r="AZ42" s="89">
        <f t="shared" si="4"/>
        <v>110</v>
      </c>
      <c r="BA42" s="95">
        <f>IFERROR(IF(AE42/I42*100&gt;110,110,AE42/I42*100),100)</f>
        <v>110</v>
      </c>
      <c r="BB42" s="95">
        <f t="shared" ref="BB42:BL44" si="39">IFERROR(IF(AF42/J42*100&gt;110,110,AF42/J42*100),100)</f>
        <v>110</v>
      </c>
      <c r="BC42" s="95">
        <f t="shared" si="39"/>
        <v>110</v>
      </c>
      <c r="BD42" s="95">
        <f t="shared" si="39"/>
        <v>110</v>
      </c>
      <c r="BE42" s="95">
        <f t="shared" si="39"/>
        <v>110</v>
      </c>
      <c r="BF42" s="95">
        <f t="shared" si="39"/>
        <v>110</v>
      </c>
      <c r="BG42" s="95">
        <f t="shared" si="39"/>
        <v>110</v>
      </c>
      <c r="BH42" s="95">
        <f t="shared" si="39"/>
        <v>110</v>
      </c>
      <c r="BI42" s="95">
        <f t="shared" si="39"/>
        <v>110</v>
      </c>
      <c r="BJ42" s="95">
        <f t="shared" si="39"/>
        <v>110</v>
      </c>
      <c r="BK42" s="95">
        <f t="shared" si="39"/>
        <v>110</v>
      </c>
      <c r="BL42" s="95">
        <f t="shared" si="39"/>
        <v>110</v>
      </c>
      <c r="BO42" s="51"/>
      <c r="BP42" s="52" t="s">
        <v>321</v>
      </c>
      <c r="BQ42" s="364" t="s">
        <v>276</v>
      </c>
      <c r="BR42" s="53" t="s">
        <v>133</v>
      </c>
      <c r="BS42" s="61" t="s">
        <v>431</v>
      </c>
      <c r="BT42" s="53">
        <v>4</v>
      </c>
      <c r="BU42" s="89">
        <f t="shared" ref="BU42:BU44" si="40">CB42</f>
        <v>4.4000000000000004</v>
      </c>
      <c r="BV42" s="89">
        <f t="shared" ref="BV42:BV44" si="41">CH42</f>
        <v>4.4000000000000004</v>
      </c>
      <c r="BW42" s="111" cm="1">
        <f t="array" ref="BW42:CH42">BT42*BA42:BL42/100</f>
        <v>4.4000000000000004</v>
      </c>
      <c r="BX42" s="95">
        <v>4.4000000000000004</v>
      </c>
      <c r="BY42" s="95">
        <v>4.4000000000000004</v>
      </c>
      <c r="BZ42" s="95">
        <v>4.4000000000000004</v>
      </c>
      <c r="CA42" s="95">
        <v>4.4000000000000004</v>
      </c>
      <c r="CB42" s="95">
        <v>4.4000000000000004</v>
      </c>
      <c r="CC42" s="95">
        <v>4.4000000000000004</v>
      </c>
      <c r="CD42" s="95">
        <v>4.4000000000000004</v>
      </c>
      <c r="CE42" s="95">
        <v>4.4000000000000004</v>
      </c>
      <c r="CF42" s="95">
        <v>4.4000000000000004</v>
      </c>
      <c r="CG42" s="95">
        <v>4.4000000000000004</v>
      </c>
      <c r="CH42" s="95">
        <v>4.4000000000000004</v>
      </c>
    </row>
    <row r="43" spans="1:86" ht="15.6" customHeight="1">
      <c r="A43" s="251"/>
      <c r="B43" s="275" t="s">
        <v>323</v>
      </c>
      <c r="C43" s="373" t="s">
        <v>278</v>
      </c>
      <c r="D43" s="76" t="s">
        <v>133</v>
      </c>
      <c r="E43" s="341" t="s">
        <v>432</v>
      </c>
      <c r="F43" s="78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108"/>
      <c r="U43" s="22"/>
      <c r="V43"/>
      <c r="W43" s="51"/>
      <c r="X43" s="52" t="s">
        <v>323</v>
      </c>
      <c r="Y43" s="364" t="s">
        <v>278</v>
      </c>
      <c r="Z43" s="53" t="s">
        <v>133</v>
      </c>
      <c r="AA43" s="61" t="s">
        <v>432</v>
      </c>
      <c r="AB43" s="53"/>
      <c r="AC43" s="89">
        <f t="shared" si="14"/>
        <v>0</v>
      </c>
      <c r="AD43" s="89">
        <f t="shared" si="2"/>
        <v>0</v>
      </c>
      <c r="AE43" s="95"/>
      <c r="AF43" s="95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S43" s="51"/>
      <c r="AT43" s="52" t="s">
        <v>323</v>
      </c>
      <c r="AU43" s="364" t="s">
        <v>278</v>
      </c>
      <c r="AV43" s="53" t="s">
        <v>133</v>
      </c>
      <c r="AW43" s="61" t="s">
        <v>432</v>
      </c>
      <c r="AX43" s="53"/>
      <c r="AY43" s="89">
        <f t="shared" si="3"/>
        <v>100</v>
      </c>
      <c r="AZ43" s="89">
        <f t="shared" si="4"/>
        <v>100</v>
      </c>
      <c r="BA43" s="95">
        <f>IFERROR(IF(AE43/I43*100&gt;110,110,AE43/I43*100),100)</f>
        <v>100</v>
      </c>
      <c r="BB43" s="95">
        <f t="shared" si="39"/>
        <v>100</v>
      </c>
      <c r="BC43" s="95">
        <f t="shared" si="39"/>
        <v>100</v>
      </c>
      <c r="BD43" s="95">
        <f t="shared" si="39"/>
        <v>100</v>
      </c>
      <c r="BE43" s="95">
        <f t="shared" si="39"/>
        <v>100</v>
      </c>
      <c r="BF43" s="95">
        <f t="shared" si="39"/>
        <v>100</v>
      </c>
      <c r="BG43" s="95">
        <f t="shared" si="39"/>
        <v>100</v>
      </c>
      <c r="BH43" s="95">
        <f t="shared" si="39"/>
        <v>100</v>
      </c>
      <c r="BI43" s="95">
        <f t="shared" si="39"/>
        <v>100</v>
      </c>
      <c r="BJ43" s="95">
        <f t="shared" si="39"/>
        <v>100</v>
      </c>
      <c r="BK43" s="95">
        <f t="shared" si="39"/>
        <v>100</v>
      </c>
      <c r="BL43" s="95">
        <f t="shared" si="39"/>
        <v>100</v>
      </c>
      <c r="BO43" s="51"/>
      <c r="BP43" s="52" t="s">
        <v>323</v>
      </c>
      <c r="BQ43" s="364" t="s">
        <v>278</v>
      </c>
      <c r="BR43" s="53" t="s">
        <v>133</v>
      </c>
      <c r="BS43" s="61" t="s">
        <v>432</v>
      </c>
      <c r="BT43" s="53">
        <v>4</v>
      </c>
      <c r="BU43" s="89">
        <f t="shared" si="40"/>
        <v>4</v>
      </c>
      <c r="BV43" s="89">
        <f t="shared" si="41"/>
        <v>4</v>
      </c>
      <c r="BW43" s="111" cm="1">
        <f t="array" ref="BW43:CH43">BT43*BA43:BL43/100</f>
        <v>4</v>
      </c>
      <c r="BX43" s="95">
        <v>4</v>
      </c>
      <c r="BY43" s="95">
        <v>4</v>
      </c>
      <c r="BZ43" s="95">
        <v>4</v>
      </c>
      <c r="CA43" s="95">
        <v>4</v>
      </c>
      <c r="CB43" s="95">
        <v>4</v>
      </c>
      <c r="CC43" s="95">
        <v>4</v>
      </c>
      <c r="CD43" s="95">
        <v>4</v>
      </c>
      <c r="CE43" s="95">
        <v>4</v>
      </c>
      <c r="CF43" s="95">
        <v>4</v>
      </c>
      <c r="CG43" s="95">
        <v>4</v>
      </c>
      <c r="CH43" s="95">
        <v>4</v>
      </c>
    </row>
    <row r="44" spans="1:86" ht="16.5">
      <c r="A44" s="251">
        <v>11</v>
      </c>
      <c r="B44" s="271" t="s">
        <v>433</v>
      </c>
      <c r="C44" s="373" t="s">
        <v>276</v>
      </c>
      <c r="D44" s="76" t="s">
        <v>149</v>
      </c>
      <c r="E44" s="341" t="s">
        <v>434</v>
      </c>
      <c r="F44" s="78">
        <v>3</v>
      </c>
      <c r="G44" s="92">
        <f>N44</f>
        <v>100</v>
      </c>
      <c r="H44" s="92">
        <f>T44</f>
        <v>100</v>
      </c>
      <c r="I44" s="92">
        <f>PI!D246</f>
        <v>100</v>
      </c>
      <c r="J44" s="92">
        <f>PI!E246</f>
        <v>100</v>
      </c>
      <c r="K44" s="92">
        <f>PI!F246</f>
        <v>100</v>
      </c>
      <c r="L44" s="92">
        <f>PI!G246</f>
        <v>100</v>
      </c>
      <c r="M44" s="92">
        <f>PI!H246</f>
        <v>100</v>
      </c>
      <c r="N44" s="92">
        <f>PI!I246</f>
        <v>100</v>
      </c>
      <c r="O44" s="92">
        <f>PI!J246</f>
        <v>100</v>
      </c>
      <c r="P44" s="92">
        <f>PI!K246</f>
        <v>100</v>
      </c>
      <c r="Q44" s="92">
        <f>PI!L246</f>
        <v>100</v>
      </c>
      <c r="R44" s="92">
        <f>PI!M246</f>
        <v>100</v>
      </c>
      <c r="S44" s="92">
        <f>PI!N246</f>
        <v>100</v>
      </c>
      <c r="T44" s="108">
        <f>PI!O246</f>
        <v>100</v>
      </c>
      <c r="U44" s="22"/>
      <c r="V44"/>
      <c r="W44" s="51">
        <v>11</v>
      </c>
      <c r="X44" s="267" t="s">
        <v>433</v>
      </c>
      <c r="Y44" s="364" t="s">
        <v>276</v>
      </c>
      <c r="Z44" s="53" t="s">
        <v>149</v>
      </c>
      <c r="AA44" s="61" t="s">
        <v>434</v>
      </c>
      <c r="AB44" s="53">
        <v>3</v>
      </c>
      <c r="AC44" s="89">
        <f t="shared" si="14"/>
        <v>100</v>
      </c>
      <c r="AD44" s="89">
        <f t="shared" si="2"/>
        <v>100</v>
      </c>
      <c r="AE44" s="95">
        <f>PI!AH246</f>
        <v>100</v>
      </c>
      <c r="AF44" s="95">
        <f>PI!AI246</f>
        <v>100</v>
      </c>
      <c r="AG44" s="95">
        <f>PI!AJ246</f>
        <v>100</v>
      </c>
      <c r="AH44" s="95">
        <f>PI!AK246</f>
        <v>100</v>
      </c>
      <c r="AI44" s="95">
        <f>PI!AL246</f>
        <v>100</v>
      </c>
      <c r="AJ44" s="95">
        <f>PI!AM246</f>
        <v>100</v>
      </c>
      <c r="AK44" s="95">
        <f>PI!AN246</f>
        <v>100</v>
      </c>
      <c r="AL44" s="95">
        <f>PI!AO246</f>
        <v>100</v>
      </c>
      <c r="AM44" s="95">
        <f>PI!AP246</f>
        <v>100</v>
      </c>
      <c r="AN44" s="95">
        <f>PI!AQ246</f>
        <v>100</v>
      </c>
      <c r="AO44" s="95">
        <f>PI!AR246</f>
        <v>100</v>
      </c>
      <c r="AP44" s="95">
        <f>PI!AS246</f>
        <v>100</v>
      </c>
      <c r="AS44" s="51">
        <v>11</v>
      </c>
      <c r="AT44" s="267" t="s">
        <v>433</v>
      </c>
      <c r="AU44" s="364" t="s">
        <v>276</v>
      </c>
      <c r="AV44" s="53" t="s">
        <v>149</v>
      </c>
      <c r="AW44" s="61" t="s">
        <v>434</v>
      </c>
      <c r="AX44" s="53">
        <v>3</v>
      </c>
      <c r="AY44" s="89">
        <f t="shared" si="3"/>
        <v>100</v>
      </c>
      <c r="AZ44" s="89">
        <f t="shared" si="4"/>
        <v>100</v>
      </c>
      <c r="BA44" s="95">
        <f>IFERROR(IF(AE44/I44*100&gt;110,110,AE44/I44*100),100)</f>
        <v>100</v>
      </c>
      <c r="BB44" s="95">
        <f t="shared" si="39"/>
        <v>100</v>
      </c>
      <c r="BC44" s="95">
        <f t="shared" si="39"/>
        <v>100</v>
      </c>
      <c r="BD44" s="95">
        <f t="shared" si="39"/>
        <v>100</v>
      </c>
      <c r="BE44" s="95">
        <f t="shared" si="39"/>
        <v>100</v>
      </c>
      <c r="BF44" s="95">
        <f t="shared" si="39"/>
        <v>100</v>
      </c>
      <c r="BG44" s="95">
        <f t="shared" si="39"/>
        <v>100</v>
      </c>
      <c r="BH44" s="95">
        <f t="shared" si="39"/>
        <v>100</v>
      </c>
      <c r="BI44" s="95">
        <f t="shared" si="39"/>
        <v>100</v>
      </c>
      <c r="BJ44" s="95">
        <f t="shared" si="39"/>
        <v>100</v>
      </c>
      <c r="BK44" s="95">
        <f t="shared" si="39"/>
        <v>100</v>
      </c>
      <c r="BL44" s="95">
        <f t="shared" si="39"/>
        <v>100</v>
      </c>
      <c r="BO44" s="51">
        <v>11</v>
      </c>
      <c r="BP44" s="267" t="s">
        <v>433</v>
      </c>
      <c r="BQ44" s="364" t="s">
        <v>276</v>
      </c>
      <c r="BR44" s="53" t="s">
        <v>149</v>
      </c>
      <c r="BS44" s="61" t="s">
        <v>434</v>
      </c>
      <c r="BT44" s="513">
        <v>3</v>
      </c>
      <c r="BU44" s="89">
        <f t="shared" si="40"/>
        <v>3</v>
      </c>
      <c r="BV44" s="89">
        <f t="shared" si="41"/>
        <v>3</v>
      </c>
      <c r="BW44" s="111" cm="1">
        <f t="array" ref="BW44:CH44">BT44*BA44:BL44/100</f>
        <v>3</v>
      </c>
      <c r="BX44" s="95">
        <v>3</v>
      </c>
      <c r="BY44" s="95">
        <v>3</v>
      </c>
      <c r="BZ44" s="95">
        <v>3</v>
      </c>
      <c r="CA44" s="95">
        <v>3</v>
      </c>
      <c r="CB44" s="95">
        <v>3</v>
      </c>
      <c r="CC44" s="95">
        <v>3</v>
      </c>
      <c r="CD44" s="95">
        <v>3</v>
      </c>
      <c r="CE44" s="95">
        <v>3</v>
      </c>
      <c r="CF44" s="95">
        <v>3</v>
      </c>
      <c r="CG44" s="95">
        <v>3</v>
      </c>
      <c r="CH44" s="95">
        <v>3</v>
      </c>
    </row>
    <row r="45" spans="1:86" ht="16.5">
      <c r="A45" s="251">
        <v>12</v>
      </c>
      <c r="B45" s="267" t="s">
        <v>324</v>
      </c>
      <c r="C45" s="373"/>
      <c r="D45" s="76" t="s">
        <v>149</v>
      </c>
      <c r="E45" s="341"/>
      <c r="F45" s="78">
        <v>9</v>
      </c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108"/>
      <c r="U45" s="22"/>
      <c r="V45"/>
      <c r="W45" s="51">
        <v>12</v>
      </c>
      <c r="X45" s="267" t="s">
        <v>324</v>
      </c>
      <c r="Y45" s="364"/>
      <c r="Z45" s="53"/>
      <c r="AA45" s="61"/>
      <c r="AB45" s="53">
        <v>9</v>
      </c>
      <c r="AC45" s="89"/>
      <c r="AD45" s="89"/>
      <c r="AE45" s="95"/>
      <c r="AF45" s="95"/>
      <c r="AG45" s="95"/>
      <c r="AH45" s="95"/>
      <c r="AI45" s="95"/>
      <c r="AJ45" s="95"/>
      <c r="AK45" s="95"/>
      <c r="AL45" s="95"/>
      <c r="AM45" s="95"/>
      <c r="AN45" s="95"/>
      <c r="AO45" s="95"/>
      <c r="AP45" s="95"/>
      <c r="AS45" s="51">
        <v>12</v>
      </c>
      <c r="AT45" s="267" t="s">
        <v>324</v>
      </c>
      <c r="AU45" s="364"/>
      <c r="AV45" s="53"/>
      <c r="AW45" s="61"/>
      <c r="AX45" s="53">
        <v>9</v>
      </c>
      <c r="AY45" s="89"/>
      <c r="AZ45" s="89"/>
      <c r="BA45" s="95"/>
      <c r="BB45" s="95"/>
      <c r="BC45" s="95"/>
      <c r="BD45" s="95"/>
      <c r="BE45" s="95"/>
      <c r="BF45" s="95"/>
      <c r="BG45" s="95"/>
      <c r="BH45" s="95"/>
      <c r="BI45" s="95"/>
      <c r="BJ45" s="95"/>
      <c r="BK45" s="95"/>
      <c r="BL45" s="95"/>
      <c r="BO45" s="51">
        <v>12</v>
      </c>
      <c r="BP45" s="267" t="s">
        <v>324</v>
      </c>
      <c r="BQ45" s="364"/>
      <c r="BR45" s="53"/>
      <c r="BS45" s="61"/>
      <c r="BT45" s="513">
        <v>9</v>
      </c>
      <c r="BU45" s="89"/>
      <c r="BV45" s="89"/>
      <c r="BW45" s="95"/>
      <c r="BX45" s="95"/>
      <c r="BY45" s="95"/>
      <c r="BZ45" s="95"/>
      <c r="CA45" s="95"/>
      <c r="CB45" s="95"/>
      <c r="CC45" s="95"/>
      <c r="CD45" s="95"/>
      <c r="CE45" s="95"/>
      <c r="CF45" s="95"/>
      <c r="CG45" s="95"/>
      <c r="CH45" s="95"/>
    </row>
    <row r="46" spans="1:86" ht="15.6" customHeight="1">
      <c r="A46" s="252"/>
      <c r="B46" s="52" t="s">
        <v>435</v>
      </c>
      <c r="C46" s="370" t="s">
        <v>278</v>
      </c>
      <c r="D46" s="76" t="s">
        <v>326</v>
      </c>
      <c r="E46" s="341" t="s">
        <v>436</v>
      </c>
      <c r="F46" s="78"/>
      <c r="G46" s="92">
        <f>N46</f>
        <v>303</v>
      </c>
      <c r="H46" s="92">
        <f>T46</f>
        <v>303</v>
      </c>
      <c r="I46" s="93">
        <f>PI!D265</f>
        <v>303</v>
      </c>
      <c r="J46" s="93">
        <f>PI!E265</f>
        <v>303</v>
      </c>
      <c r="K46" s="93">
        <f>PI!F265</f>
        <v>303</v>
      </c>
      <c r="L46" s="93">
        <f>PI!G265</f>
        <v>303</v>
      </c>
      <c r="M46" s="93">
        <f>PI!H265</f>
        <v>303</v>
      </c>
      <c r="N46" s="93">
        <f>PI!I265</f>
        <v>303</v>
      </c>
      <c r="O46" s="93">
        <f>PI!J265</f>
        <v>303</v>
      </c>
      <c r="P46" s="93">
        <f>PI!K265</f>
        <v>303</v>
      </c>
      <c r="Q46" s="93">
        <f>PI!L265</f>
        <v>303</v>
      </c>
      <c r="R46" s="93">
        <f>PI!M265</f>
        <v>303</v>
      </c>
      <c r="S46" s="93">
        <f>PI!N265</f>
        <v>303</v>
      </c>
      <c r="T46" s="123">
        <f>PI!O265</f>
        <v>303</v>
      </c>
      <c r="U46" s="22"/>
      <c r="V46"/>
      <c r="W46" s="51"/>
      <c r="X46" s="52" t="s">
        <v>435</v>
      </c>
      <c r="Y46" s="364" t="s">
        <v>278</v>
      </c>
      <c r="Z46" s="53" t="s">
        <v>326</v>
      </c>
      <c r="AA46" s="61" t="s">
        <v>436</v>
      </c>
      <c r="AB46" s="53"/>
      <c r="AC46" s="89">
        <f t="shared" si="14"/>
        <v>231.35805433333334</v>
      </c>
      <c r="AD46" s="89">
        <f t="shared" si="2"/>
        <v>259.26290160000002</v>
      </c>
      <c r="AE46" s="95">
        <f>PI!AH264</f>
        <v>292.510561</v>
      </c>
      <c r="AF46" s="95">
        <f>PI!AI264</f>
        <v>239.5197235</v>
      </c>
      <c r="AG46" s="95">
        <f>PI!AJ264</f>
        <v>184.76773166666666</v>
      </c>
      <c r="AH46" s="95">
        <f>PI!AK264</f>
        <v>175.622862</v>
      </c>
      <c r="AI46" s="95">
        <f>PI!AL264</f>
        <v>240.06880959999998</v>
      </c>
      <c r="AJ46" s="95">
        <f>PI!AM264</f>
        <v>231.35805433333334</v>
      </c>
      <c r="AK46" s="95">
        <f>PI!AN264</f>
        <v>223.27793771428574</v>
      </c>
      <c r="AL46" s="95">
        <f>PI!AO264</f>
        <v>223.46695562500003</v>
      </c>
      <c r="AM46" s="95">
        <f>PI!AP264</f>
        <v>243.64695700000004</v>
      </c>
      <c r="AN46" s="95">
        <f>PI!AQ264</f>
        <v>259.26290160000002</v>
      </c>
      <c r="AO46" s="95">
        <f>PI!AR264</f>
        <v>259.26290160000002</v>
      </c>
      <c r="AP46" s="95">
        <f>PI!AS264</f>
        <v>259.26290160000002</v>
      </c>
      <c r="AS46" s="51"/>
      <c r="AT46" s="52" t="s">
        <v>435</v>
      </c>
      <c r="AU46" s="364" t="s">
        <v>278</v>
      </c>
      <c r="AV46" s="53" t="s">
        <v>326</v>
      </c>
      <c r="AW46" s="61" t="s">
        <v>436</v>
      </c>
      <c r="AX46" s="53"/>
      <c r="AY46" s="89">
        <f t="shared" si="3"/>
        <v>110</v>
      </c>
      <c r="AZ46" s="89">
        <f t="shared" si="4"/>
        <v>110</v>
      </c>
      <c r="BA46" s="95">
        <f>IFERROR(IF((2-(AE46/I46))*100&gt;110,110,(2-(AE46/I46))*100),100)</f>
        <v>103.46186105610559</v>
      </c>
      <c r="BB46" s="95">
        <f t="shared" ref="BB46:BL46" si="42">IFERROR(IF((2-(AF46/J46))*100&gt;110,110,(2-(AF46/J46))*100),100)</f>
        <v>110</v>
      </c>
      <c r="BC46" s="95">
        <f t="shared" si="42"/>
        <v>110</v>
      </c>
      <c r="BD46" s="95">
        <f t="shared" si="42"/>
        <v>110</v>
      </c>
      <c r="BE46" s="95">
        <f t="shared" si="42"/>
        <v>110</v>
      </c>
      <c r="BF46" s="95">
        <f t="shared" si="42"/>
        <v>110</v>
      </c>
      <c r="BG46" s="95">
        <f t="shared" si="42"/>
        <v>110</v>
      </c>
      <c r="BH46" s="95">
        <f t="shared" si="42"/>
        <v>110</v>
      </c>
      <c r="BI46" s="95">
        <f t="shared" si="42"/>
        <v>110</v>
      </c>
      <c r="BJ46" s="95">
        <f t="shared" si="42"/>
        <v>110</v>
      </c>
      <c r="BK46" s="95">
        <f t="shared" si="42"/>
        <v>110</v>
      </c>
      <c r="BL46" s="95">
        <f t="shared" si="42"/>
        <v>110</v>
      </c>
      <c r="BO46" s="51"/>
      <c r="BP46" s="52" t="s">
        <v>435</v>
      </c>
      <c r="BQ46" s="364" t="s">
        <v>278</v>
      </c>
      <c r="BR46" s="53" t="s">
        <v>326</v>
      </c>
      <c r="BS46" s="61" t="s">
        <v>436</v>
      </c>
      <c r="BT46" s="53">
        <v>3</v>
      </c>
      <c r="BU46" s="89">
        <f t="shared" ref="BU46:BU48" si="43">CB46</f>
        <v>3.3</v>
      </c>
      <c r="BV46" s="89">
        <f t="shared" ref="BV46:BV48" si="44">CH46</f>
        <v>3.3</v>
      </c>
      <c r="BW46" s="111" cm="1">
        <f t="array" ref="BW46:CH46">BT46*BA46:BL46/100</f>
        <v>3.1038558316831679</v>
      </c>
      <c r="BX46" s="95">
        <v>3.3</v>
      </c>
      <c r="BY46" s="95">
        <v>3.3</v>
      </c>
      <c r="BZ46" s="95">
        <v>3.3</v>
      </c>
      <c r="CA46" s="95">
        <v>3.3</v>
      </c>
      <c r="CB46" s="95">
        <v>3.3</v>
      </c>
      <c r="CC46" s="95">
        <v>3.3</v>
      </c>
      <c r="CD46" s="95">
        <v>3.3</v>
      </c>
      <c r="CE46" s="95">
        <v>3.3</v>
      </c>
      <c r="CF46" s="95">
        <v>3.3</v>
      </c>
      <c r="CG46" s="95">
        <v>3.3</v>
      </c>
      <c r="CH46" s="95">
        <v>3.3</v>
      </c>
    </row>
    <row r="47" spans="1:86" ht="15.6" customHeight="1">
      <c r="A47" s="250"/>
      <c r="B47" s="52" t="s">
        <v>437</v>
      </c>
      <c r="C47" s="370" t="s">
        <v>278</v>
      </c>
      <c r="D47" s="76" t="s">
        <v>326</v>
      </c>
      <c r="E47" s="340" t="s">
        <v>438</v>
      </c>
      <c r="F47" s="77"/>
      <c r="G47" s="92">
        <f>N47</f>
        <v>22.07</v>
      </c>
      <c r="H47" s="92">
        <f>T47</f>
        <v>22.07</v>
      </c>
      <c r="I47" s="93">
        <f>PI!D287</f>
        <v>22.07</v>
      </c>
      <c r="J47" s="93">
        <f>PI!E287</f>
        <v>22.07</v>
      </c>
      <c r="K47" s="93">
        <f>PI!F287</f>
        <v>22.07</v>
      </c>
      <c r="L47" s="93">
        <f>PI!G287</f>
        <v>22.07</v>
      </c>
      <c r="M47" s="93">
        <f>PI!H287</f>
        <v>22.07</v>
      </c>
      <c r="N47" s="93">
        <f>PI!I287</f>
        <v>22.07</v>
      </c>
      <c r="O47" s="93">
        <f>PI!J287</f>
        <v>22.07</v>
      </c>
      <c r="P47" s="93">
        <f>PI!K287</f>
        <v>22.07</v>
      </c>
      <c r="Q47" s="93">
        <f>PI!L287</f>
        <v>22.07</v>
      </c>
      <c r="R47" s="93">
        <f>PI!M287</f>
        <v>22.07</v>
      </c>
      <c r="S47" s="93">
        <f>PI!N287</f>
        <v>22.07</v>
      </c>
      <c r="T47" s="123">
        <f>PI!O287</f>
        <v>22.07</v>
      </c>
      <c r="U47" s="22"/>
      <c r="V47"/>
      <c r="W47" s="51"/>
      <c r="X47" s="52" t="s">
        <v>437</v>
      </c>
      <c r="Y47" s="364" t="s">
        <v>278</v>
      </c>
      <c r="Z47" s="53" t="s">
        <v>326</v>
      </c>
      <c r="AA47" s="61" t="s">
        <v>438</v>
      </c>
      <c r="AB47" s="53"/>
      <c r="AC47" s="89">
        <f t="shared" si="14"/>
        <v>30.291526999999999</v>
      </c>
      <c r="AD47" s="89">
        <f t="shared" si="2"/>
        <v>22.407604299999999</v>
      </c>
      <c r="AE47" s="95">
        <f>PI!AH286</f>
        <v>141.13633999999999</v>
      </c>
      <c r="AF47" s="95">
        <f>PI!AI286</f>
        <v>72.285492499999989</v>
      </c>
      <c r="AG47" s="95">
        <f>PI!AJ286</f>
        <v>48.270994999999992</v>
      </c>
      <c r="AH47" s="95">
        <f>PI!AK286</f>
        <v>39.791144749999994</v>
      </c>
      <c r="AI47" s="95">
        <f>PI!AL286</f>
        <v>32.084212399999998</v>
      </c>
      <c r="AJ47" s="95">
        <f>PI!AM286</f>
        <v>30.291526999999999</v>
      </c>
      <c r="AK47" s="95">
        <f>PI!AN286</f>
        <v>26.43360357142857</v>
      </c>
      <c r="AL47" s="95">
        <f>PI!AO286</f>
        <v>23.51059025</v>
      </c>
      <c r="AM47" s="95">
        <f>PI!AP286</f>
        <v>24.760700222222223</v>
      </c>
      <c r="AN47" s="95">
        <f>PI!AQ286</f>
        <v>22.407604299999999</v>
      </c>
      <c r="AO47" s="95">
        <f>PI!AR286</f>
        <v>22.407604299999999</v>
      </c>
      <c r="AP47" s="95">
        <f>PI!AS286</f>
        <v>22.407604299999999</v>
      </c>
      <c r="AS47" s="51"/>
      <c r="AT47" s="52" t="s">
        <v>437</v>
      </c>
      <c r="AU47" s="364" t="s">
        <v>278</v>
      </c>
      <c r="AV47" s="53" t="s">
        <v>326</v>
      </c>
      <c r="AW47" s="61" t="s">
        <v>438</v>
      </c>
      <c r="AX47" s="53"/>
      <c r="AY47" s="89">
        <f t="shared" si="3"/>
        <v>62.747951971001356</v>
      </c>
      <c r="AZ47" s="89">
        <f t="shared" si="4"/>
        <v>98.470302220208424</v>
      </c>
      <c r="BA47" s="95">
        <f>IF((2-(AE47/I47))*100&gt;110,110,IF((2-(AE47/I47))*100&lt;0,0,(2-(AE47/I47))*100))</f>
        <v>0</v>
      </c>
      <c r="BB47" s="95">
        <f t="shared" ref="BB47:BL47" si="45">IF((2-(AF47/J47))*100&gt;110,110,IF((2-(AF47/J47))*100&lt;0,0,(2-(AF47/J47))*100))</f>
        <v>0</v>
      </c>
      <c r="BC47" s="95">
        <f t="shared" si="45"/>
        <v>0</v>
      </c>
      <c r="BD47" s="95">
        <f t="shared" si="45"/>
        <v>19.704826687811551</v>
      </c>
      <c r="BE47" s="95">
        <f t="shared" si="45"/>
        <v>54.625227004984154</v>
      </c>
      <c r="BF47" s="95">
        <f t="shared" si="45"/>
        <v>62.747951971001356</v>
      </c>
      <c r="BG47" s="95">
        <f t="shared" si="45"/>
        <v>80.228348113146495</v>
      </c>
      <c r="BH47" s="95">
        <f t="shared" si="45"/>
        <v>93.472631400090634</v>
      </c>
      <c r="BI47" s="95">
        <f t="shared" si="45"/>
        <v>87.808336102300771</v>
      </c>
      <c r="BJ47" s="95">
        <f t="shared" si="45"/>
        <v>98.470302220208424</v>
      </c>
      <c r="BK47" s="95">
        <f t="shared" si="45"/>
        <v>98.470302220208424</v>
      </c>
      <c r="BL47" s="95">
        <f t="shared" si="45"/>
        <v>98.470302220208424</v>
      </c>
      <c r="BO47" s="51"/>
      <c r="BP47" s="52" t="s">
        <v>437</v>
      </c>
      <c r="BQ47" s="364" t="s">
        <v>278</v>
      </c>
      <c r="BR47" s="53" t="s">
        <v>326</v>
      </c>
      <c r="BS47" s="61" t="s">
        <v>438</v>
      </c>
      <c r="BT47" s="53">
        <v>3</v>
      </c>
      <c r="BU47" s="89">
        <f t="shared" si="43"/>
        <v>1.8824385591300408</v>
      </c>
      <c r="BV47" s="89">
        <f t="shared" si="44"/>
        <v>2.9541090666062528</v>
      </c>
      <c r="BW47" s="111" cm="1">
        <f t="array" ref="BW47:CH47">BT47*BA47:BL47/100</f>
        <v>0</v>
      </c>
      <c r="BX47" s="95">
        <v>0</v>
      </c>
      <c r="BY47" s="95">
        <v>0</v>
      </c>
      <c r="BZ47" s="95">
        <v>0.5911448006343466</v>
      </c>
      <c r="CA47" s="95">
        <v>1.6387568101495247</v>
      </c>
      <c r="CB47" s="95">
        <v>1.8824385591300408</v>
      </c>
      <c r="CC47" s="95">
        <v>2.4068504433943949</v>
      </c>
      <c r="CD47" s="95">
        <v>2.8041789420027192</v>
      </c>
      <c r="CE47" s="95">
        <v>2.6342500830690234</v>
      </c>
      <c r="CF47" s="95">
        <v>2.9541090666062528</v>
      </c>
      <c r="CG47" s="95">
        <v>2.9541090666062528</v>
      </c>
      <c r="CH47" s="95">
        <v>2.9541090666062528</v>
      </c>
    </row>
    <row r="48" spans="1:86" ht="16.5">
      <c r="A48" s="251"/>
      <c r="B48" s="275" t="s">
        <v>330</v>
      </c>
      <c r="C48" s="370" t="s">
        <v>276</v>
      </c>
      <c r="D48" s="76" t="s">
        <v>326</v>
      </c>
      <c r="E48" s="340" t="s">
        <v>439</v>
      </c>
      <c r="F48" s="77"/>
      <c r="G48" s="92">
        <f>N48</f>
        <v>1.69</v>
      </c>
      <c r="H48" s="92">
        <f>T48</f>
        <v>4.21</v>
      </c>
      <c r="I48" s="93">
        <f>PI!D308</f>
        <v>0.28000000000000003</v>
      </c>
      <c r="J48" s="93">
        <f>PI!E308</f>
        <v>0.56000000000000005</v>
      </c>
      <c r="K48" s="93">
        <f>PI!F308</f>
        <v>0.84</v>
      </c>
      <c r="L48" s="93">
        <f>PI!G308</f>
        <v>1.1200000000000001</v>
      </c>
      <c r="M48" s="93">
        <f>PI!H308</f>
        <v>1.4</v>
      </c>
      <c r="N48" s="93">
        <f>PI!I308</f>
        <v>1.69</v>
      </c>
      <c r="O48" s="93">
        <f>PI!J308</f>
        <v>2.11</v>
      </c>
      <c r="P48" s="93">
        <f>PI!K308</f>
        <v>2.5299999999999998</v>
      </c>
      <c r="Q48" s="93">
        <f>PI!L308</f>
        <v>2.95</v>
      </c>
      <c r="R48" s="93">
        <f>PI!M308</f>
        <v>3.37</v>
      </c>
      <c r="S48" s="93">
        <f>PI!N308</f>
        <v>3.79</v>
      </c>
      <c r="T48" s="123">
        <f>PI!O308</f>
        <v>4.21</v>
      </c>
      <c r="U48" s="22"/>
      <c r="V48"/>
      <c r="W48" s="51"/>
      <c r="X48" s="52" t="s">
        <v>330</v>
      </c>
      <c r="Y48" s="364" t="s">
        <v>276</v>
      </c>
      <c r="Z48" s="53" t="s">
        <v>326</v>
      </c>
      <c r="AA48" s="61" t="s">
        <v>439</v>
      </c>
      <c r="AB48" s="53"/>
      <c r="AC48" s="89">
        <f t="shared" si="14"/>
        <v>8.7684359999999995</v>
      </c>
      <c r="AD48" s="89">
        <f t="shared" si="2"/>
        <v>0</v>
      </c>
      <c r="AE48" s="95">
        <f>PI!AH309</f>
        <v>0</v>
      </c>
      <c r="AF48" s="95">
        <f>PI!AI309</f>
        <v>0</v>
      </c>
      <c r="AG48" s="95">
        <f>PI!AJ309</f>
        <v>0.97739100000000001</v>
      </c>
      <c r="AH48" s="95">
        <f>PI!AK309</f>
        <v>1.844376</v>
      </c>
      <c r="AI48" s="95">
        <f>PI!AL309</f>
        <v>8.7684359999999995</v>
      </c>
      <c r="AJ48" s="95">
        <f>PI!AM309</f>
        <v>8.7684359999999995</v>
      </c>
      <c r="AK48" s="95">
        <f>PI!AN309</f>
        <v>8.7684359999999995</v>
      </c>
      <c r="AL48" s="95">
        <f>PI!AO309</f>
        <v>8.7684359999999995</v>
      </c>
      <c r="AM48" s="95">
        <f>PI!AP309</f>
        <v>12.490337</v>
      </c>
      <c r="AN48" s="95">
        <f>PI!AQ309</f>
        <v>12.592142000000001</v>
      </c>
      <c r="AO48" s="95">
        <f>PI!AR309</f>
        <v>0</v>
      </c>
      <c r="AP48" s="95">
        <f>PI!AS309</f>
        <v>0</v>
      </c>
      <c r="AS48" s="51"/>
      <c r="AT48" s="52" t="s">
        <v>330</v>
      </c>
      <c r="AU48" s="364" t="s">
        <v>276</v>
      </c>
      <c r="AV48" s="53" t="s">
        <v>326</v>
      </c>
      <c r="AW48" s="61" t="s">
        <v>439</v>
      </c>
      <c r="AX48" s="53"/>
      <c r="AY48" s="89">
        <f t="shared" si="3"/>
        <v>110</v>
      </c>
      <c r="AZ48" s="89">
        <f t="shared" si="4"/>
        <v>0</v>
      </c>
      <c r="BA48" s="95">
        <f>IFERROR(IF(AE48/I48*100&gt;110,110,AE48/I48*100),100)</f>
        <v>0</v>
      </c>
      <c r="BB48" s="95">
        <f t="shared" ref="BB48:BL48" si="46">IFERROR(IF(AF48/J48*100&gt;110,110,AF48/J48*100),100)</f>
        <v>0</v>
      </c>
      <c r="BC48" s="95">
        <f t="shared" si="46"/>
        <v>110</v>
      </c>
      <c r="BD48" s="95">
        <f t="shared" si="46"/>
        <v>110</v>
      </c>
      <c r="BE48" s="95">
        <f t="shared" si="46"/>
        <v>110</v>
      </c>
      <c r="BF48" s="95">
        <f t="shared" si="46"/>
        <v>110</v>
      </c>
      <c r="BG48" s="95">
        <f t="shared" si="46"/>
        <v>110</v>
      </c>
      <c r="BH48" s="95">
        <f t="shared" si="46"/>
        <v>110</v>
      </c>
      <c r="BI48" s="95">
        <f t="shared" si="46"/>
        <v>110</v>
      </c>
      <c r="BJ48" s="95">
        <f t="shared" si="46"/>
        <v>110</v>
      </c>
      <c r="BK48" s="95">
        <f t="shared" si="46"/>
        <v>0</v>
      </c>
      <c r="BL48" s="95">
        <f t="shared" si="46"/>
        <v>0</v>
      </c>
      <c r="BO48" s="51"/>
      <c r="BP48" s="52" t="s">
        <v>330</v>
      </c>
      <c r="BQ48" s="364" t="s">
        <v>276</v>
      </c>
      <c r="BR48" s="53" t="s">
        <v>326</v>
      </c>
      <c r="BS48" s="61" t="s">
        <v>439</v>
      </c>
      <c r="BT48" s="53">
        <v>3</v>
      </c>
      <c r="BU48" s="89">
        <f t="shared" si="43"/>
        <v>3.3</v>
      </c>
      <c r="BV48" s="89">
        <f t="shared" si="44"/>
        <v>0</v>
      </c>
      <c r="BW48" s="111" cm="1">
        <f t="array" ref="BW48:CH48">BT48*BA48:BL48/100</f>
        <v>0</v>
      </c>
      <c r="BX48" s="95">
        <v>0</v>
      </c>
      <c r="BY48" s="95">
        <v>3.3</v>
      </c>
      <c r="BZ48" s="95">
        <v>3.3</v>
      </c>
      <c r="CA48" s="95">
        <v>3.3</v>
      </c>
      <c r="CB48" s="95">
        <v>3.3</v>
      </c>
      <c r="CC48" s="95">
        <v>3.3</v>
      </c>
      <c r="CD48" s="95">
        <v>3.3</v>
      </c>
      <c r="CE48" s="95">
        <v>3.3</v>
      </c>
      <c r="CF48" s="95">
        <v>3.3</v>
      </c>
      <c r="CG48" s="95">
        <v>0</v>
      </c>
      <c r="CH48" s="95">
        <v>0</v>
      </c>
    </row>
    <row r="49" spans="1:86" ht="16.5">
      <c r="A49" s="251">
        <v>13</v>
      </c>
      <c r="B49" s="271" t="s">
        <v>355</v>
      </c>
      <c r="C49" s="370"/>
      <c r="D49" s="76"/>
      <c r="E49" s="341"/>
      <c r="F49" s="335"/>
      <c r="G49" s="92"/>
      <c r="H49" s="92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9"/>
      <c r="U49" s="36"/>
      <c r="V49"/>
      <c r="W49" s="51">
        <v>13</v>
      </c>
      <c r="X49" s="267" t="s">
        <v>355</v>
      </c>
      <c r="Y49" s="364"/>
      <c r="Z49" s="53">
        <v>0</v>
      </c>
      <c r="AA49" s="61"/>
      <c r="AB49" s="53"/>
      <c r="AC49" s="89"/>
      <c r="AD49" s="89"/>
      <c r="AE49" s="111"/>
      <c r="AF49" s="111"/>
      <c r="AG49" s="111"/>
      <c r="AH49" s="111"/>
      <c r="AI49" s="111"/>
      <c r="AJ49" s="111"/>
      <c r="AK49" s="111"/>
      <c r="AL49" s="111"/>
      <c r="AM49" s="111"/>
      <c r="AN49" s="111"/>
      <c r="AO49" s="111"/>
      <c r="AP49" s="111"/>
      <c r="AS49" s="51">
        <v>13</v>
      </c>
      <c r="AT49" s="267" t="s">
        <v>355</v>
      </c>
      <c r="AU49" s="364"/>
      <c r="AV49" s="53"/>
      <c r="AW49" s="61"/>
      <c r="AX49" s="53"/>
      <c r="AY49" s="89"/>
      <c r="AZ49" s="89"/>
      <c r="BA49" s="111"/>
      <c r="BB49" s="111"/>
      <c r="BC49" s="111"/>
      <c r="BD49" s="111"/>
      <c r="BE49" s="111"/>
      <c r="BF49" s="111"/>
      <c r="BG49" s="111"/>
      <c r="BH49" s="111"/>
      <c r="BI49" s="111"/>
      <c r="BJ49" s="111"/>
      <c r="BK49" s="111"/>
      <c r="BL49" s="111"/>
      <c r="BO49" s="51">
        <v>13</v>
      </c>
      <c r="BP49" s="267" t="s">
        <v>355</v>
      </c>
      <c r="BQ49" s="364"/>
      <c r="BR49" s="53"/>
      <c r="BS49" s="61"/>
      <c r="BT49" s="53"/>
      <c r="BU49" s="89"/>
      <c r="BV49" s="89"/>
      <c r="BW49" s="111"/>
      <c r="BX49" s="111"/>
      <c r="BY49" s="111"/>
      <c r="BZ49" s="111"/>
      <c r="CA49" s="111"/>
      <c r="CB49" s="111"/>
      <c r="CC49" s="111"/>
      <c r="CD49" s="111"/>
      <c r="CE49" s="111"/>
      <c r="CF49" s="111"/>
      <c r="CG49" s="111"/>
      <c r="CH49" s="111"/>
    </row>
    <row r="50" spans="1:86" ht="16.5">
      <c r="A50" s="251"/>
      <c r="B50" s="275" t="s">
        <v>356</v>
      </c>
      <c r="C50" s="370"/>
      <c r="D50" s="76"/>
      <c r="E50" s="341" t="s">
        <v>396</v>
      </c>
      <c r="F50" s="335" t="s">
        <v>357</v>
      </c>
      <c r="G50" s="92"/>
      <c r="H50" s="92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9"/>
      <c r="U50" s="36"/>
      <c r="V50"/>
      <c r="W50" s="51"/>
      <c r="X50" s="52" t="s">
        <v>356</v>
      </c>
      <c r="Y50" s="364"/>
      <c r="Z50" s="53">
        <v>0</v>
      </c>
      <c r="AA50" s="61" t="s">
        <v>396</v>
      </c>
      <c r="AB50" s="53" t="s">
        <v>357</v>
      </c>
      <c r="AC50" s="89"/>
      <c r="AD50" s="89"/>
      <c r="AE50" s="111"/>
      <c r="AF50" s="111"/>
      <c r="AG50" s="111"/>
      <c r="AH50" s="111"/>
      <c r="AI50" s="111"/>
      <c r="AJ50" s="111"/>
      <c r="AK50" s="111"/>
      <c r="AL50" s="111"/>
      <c r="AM50" s="111"/>
      <c r="AN50" s="111"/>
      <c r="AO50" s="111"/>
      <c r="AP50" s="111"/>
      <c r="AS50" s="51"/>
      <c r="AT50" s="52" t="s">
        <v>356</v>
      </c>
      <c r="AU50" s="364"/>
      <c r="AV50" s="53"/>
      <c r="AW50" s="61" t="s">
        <v>396</v>
      </c>
      <c r="AX50" s="53" t="s">
        <v>357</v>
      </c>
      <c r="AY50" s="89"/>
      <c r="AZ50" s="89"/>
      <c r="BA50" s="111"/>
      <c r="BB50" s="111"/>
      <c r="BC50" s="111"/>
      <c r="BD50" s="111"/>
      <c r="BE50" s="111"/>
      <c r="BF50" s="111"/>
      <c r="BG50" s="111"/>
      <c r="BH50" s="111"/>
      <c r="BI50" s="111"/>
      <c r="BJ50" s="111"/>
      <c r="BK50" s="111"/>
      <c r="BL50" s="111"/>
      <c r="BO50" s="51"/>
      <c r="BP50" s="52" t="s">
        <v>356</v>
      </c>
      <c r="BQ50" s="364"/>
      <c r="BR50" s="53"/>
      <c r="BS50" s="61" t="s">
        <v>396</v>
      </c>
      <c r="BT50" s="53" t="s">
        <v>357</v>
      </c>
      <c r="BU50" s="89"/>
      <c r="BV50" s="89"/>
      <c r="BW50" s="111"/>
      <c r="BX50" s="111"/>
      <c r="BY50" s="111"/>
      <c r="BZ50" s="111"/>
      <c r="CA50" s="111"/>
      <c r="CB50" s="111"/>
      <c r="CC50" s="111"/>
      <c r="CD50" s="111"/>
      <c r="CE50" s="111"/>
      <c r="CF50" s="111"/>
      <c r="CG50" s="111"/>
      <c r="CH50" s="111"/>
    </row>
    <row r="51" spans="1:86" ht="15.6" customHeight="1">
      <c r="A51" s="251"/>
      <c r="B51" s="275" t="s">
        <v>358</v>
      </c>
      <c r="C51" s="370"/>
      <c r="D51" s="76"/>
      <c r="E51" s="341" t="s">
        <v>440</v>
      </c>
      <c r="F51" s="335" t="s">
        <v>359</v>
      </c>
      <c r="G51" s="92"/>
      <c r="H51" s="92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9"/>
      <c r="U51" s="36"/>
      <c r="V51"/>
      <c r="W51" s="51"/>
      <c r="X51" s="52" t="s">
        <v>358</v>
      </c>
      <c r="Y51" s="364"/>
      <c r="Z51" s="53">
        <v>0</v>
      </c>
      <c r="AA51" s="61" t="s">
        <v>440</v>
      </c>
      <c r="AB51" s="53" t="s">
        <v>359</v>
      </c>
      <c r="AC51" s="89"/>
      <c r="AD51" s="89"/>
      <c r="AE51" s="111"/>
      <c r="AF51" s="111"/>
      <c r="AG51" s="111"/>
      <c r="AH51" s="111"/>
      <c r="AI51" s="111"/>
      <c r="AJ51" s="111"/>
      <c r="AK51" s="111"/>
      <c r="AL51" s="111"/>
      <c r="AM51" s="111"/>
      <c r="AN51" s="111"/>
      <c r="AO51" s="111"/>
      <c r="AP51" s="111"/>
      <c r="AS51" s="51"/>
      <c r="AT51" s="52" t="s">
        <v>358</v>
      </c>
      <c r="AU51" s="364"/>
      <c r="AV51" s="53"/>
      <c r="AW51" s="61" t="s">
        <v>440</v>
      </c>
      <c r="AX51" s="53" t="s">
        <v>359</v>
      </c>
      <c r="AY51" s="89"/>
      <c r="AZ51" s="89"/>
      <c r="BA51" s="111"/>
      <c r="BB51" s="111"/>
      <c r="BC51" s="111"/>
      <c r="BD51" s="111"/>
      <c r="BE51" s="111"/>
      <c r="BF51" s="111"/>
      <c r="BG51" s="111"/>
      <c r="BH51" s="111"/>
      <c r="BI51" s="111"/>
      <c r="BJ51" s="111"/>
      <c r="BK51" s="111"/>
      <c r="BL51" s="111"/>
      <c r="BO51" s="51"/>
      <c r="BP51" s="52" t="s">
        <v>358</v>
      </c>
      <c r="BQ51" s="364"/>
      <c r="BR51" s="53"/>
      <c r="BS51" s="61" t="s">
        <v>440</v>
      </c>
      <c r="BT51" s="53" t="s">
        <v>359</v>
      </c>
      <c r="BU51" s="89"/>
      <c r="BV51" s="89"/>
      <c r="BW51" s="111"/>
      <c r="BX51" s="111"/>
      <c r="BY51" s="111"/>
      <c r="BZ51" s="111"/>
      <c r="CA51" s="111"/>
      <c r="CB51" s="111"/>
      <c r="CC51" s="111"/>
      <c r="CD51" s="111"/>
      <c r="CE51" s="111"/>
      <c r="CF51" s="111"/>
      <c r="CG51" s="111"/>
      <c r="CH51" s="111"/>
    </row>
    <row r="52" spans="1:86" ht="33">
      <c r="A52" s="251"/>
      <c r="B52" s="52" t="s">
        <v>495</v>
      </c>
      <c r="C52" s="370"/>
      <c r="D52" s="76"/>
      <c r="E52" s="341" t="s">
        <v>398</v>
      </c>
      <c r="F52" s="186" t="s">
        <v>362</v>
      </c>
      <c r="G52" s="92"/>
      <c r="H52" s="92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9"/>
      <c r="U52" s="36"/>
      <c r="V52"/>
      <c r="W52" s="51"/>
      <c r="X52" s="52" t="s">
        <v>360</v>
      </c>
      <c r="Y52" s="364"/>
      <c r="Z52" s="53">
        <v>0</v>
      </c>
      <c r="AA52" s="61" t="s">
        <v>398</v>
      </c>
      <c r="AB52" s="53" t="s">
        <v>362</v>
      </c>
      <c r="AC52" s="89"/>
      <c r="AD52" s="89"/>
      <c r="AE52" s="111"/>
      <c r="AF52" s="111"/>
      <c r="AG52" s="111"/>
      <c r="AH52" s="111"/>
      <c r="AI52" s="111"/>
      <c r="AJ52" s="111"/>
      <c r="AK52" s="111"/>
      <c r="AL52" s="111"/>
      <c r="AM52" s="111"/>
      <c r="AN52" s="111"/>
      <c r="AO52" s="111"/>
      <c r="AP52" s="111"/>
      <c r="AS52" s="51"/>
      <c r="AT52" s="52" t="s">
        <v>360</v>
      </c>
      <c r="AU52" s="364"/>
      <c r="AV52" s="53"/>
      <c r="AW52" s="61" t="s">
        <v>398</v>
      </c>
      <c r="AX52" s="53" t="s">
        <v>362</v>
      </c>
      <c r="AY52" s="89"/>
      <c r="AZ52" s="89"/>
      <c r="BA52" s="111"/>
      <c r="BB52" s="111"/>
      <c r="BC52" s="111"/>
      <c r="BD52" s="111"/>
      <c r="BE52" s="111"/>
      <c r="BF52" s="111"/>
      <c r="BG52" s="111"/>
      <c r="BH52" s="111"/>
      <c r="BI52" s="111"/>
      <c r="BJ52" s="111"/>
      <c r="BK52" s="111"/>
      <c r="BL52" s="111"/>
      <c r="BO52" s="51"/>
      <c r="BP52" s="52" t="s">
        <v>360</v>
      </c>
      <c r="BQ52" s="364"/>
      <c r="BR52" s="53"/>
      <c r="BS52" s="61" t="s">
        <v>398</v>
      </c>
      <c r="BT52" s="53" t="s">
        <v>362</v>
      </c>
      <c r="BU52" s="89"/>
      <c r="BV52" s="89"/>
      <c r="BW52" s="111"/>
      <c r="BX52" s="111"/>
      <c r="BY52" s="111"/>
      <c r="BZ52" s="111"/>
      <c r="CA52" s="111"/>
      <c r="CB52" s="111"/>
      <c r="CC52" s="111"/>
      <c r="CD52" s="111"/>
      <c r="CE52" s="111"/>
      <c r="CF52" s="111"/>
      <c r="CG52" s="111"/>
      <c r="CH52" s="111"/>
    </row>
    <row r="53" spans="1:86" ht="16.5">
      <c r="A53" s="251"/>
      <c r="B53" s="52" t="s">
        <v>363</v>
      </c>
      <c r="C53" s="370"/>
      <c r="D53" s="76"/>
      <c r="E53" s="341" t="s">
        <v>399</v>
      </c>
      <c r="F53" s="187" t="s">
        <v>365</v>
      </c>
      <c r="G53" s="92"/>
      <c r="H53" s="92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9"/>
      <c r="U53" s="36"/>
      <c r="V53"/>
      <c r="W53" s="51"/>
      <c r="X53" s="52" t="s">
        <v>363</v>
      </c>
      <c r="Y53" s="364"/>
      <c r="Z53" s="53">
        <v>0</v>
      </c>
      <c r="AA53" s="61" t="s">
        <v>399</v>
      </c>
      <c r="AB53" s="53" t="s">
        <v>365</v>
      </c>
      <c r="AC53" s="89"/>
      <c r="AD53" s="89"/>
      <c r="AE53" s="111"/>
      <c r="AF53" s="111"/>
      <c r="AG53" s="111"/>
      <c r="AH53" s="111"/>
      <c r="AI53" s="111"/>
      <c r="AJ53" s="111"/>
      <c r="AK53" s="111"/>
      <c r="AL53" s="111"/>
      <c r="AM53" s="111"/>
      <c r="AN53" s="111"/>
      <c r="AO53" s="111"/>
      <c r="AP53" s="111"/>
      <c r="AS53" s="51"/>
      <c r="AT53" s="52" t="s">
        <v>363</v>
      </c>
      <c r="AU53" s="364"/>
      <c r="AV53" s="53"/>
      <c r="AW53" s="61" t="s">
        <v>399</v>
      </c>
      <c r="AX53" s="53" t="s">
        <v>365</v>
      </c>
      <c r="AY53" s="89"/>
      <c r="AZ53" s="89"/>
      <c r="BA53" s="111"/>
      <c r="BB53" s="111"/>
      <c r="BC53" s="111"/>
      <c r="BD53" s="111"/>
      <c r="BE53" s="111"/>
      <c r="BF53" s="111"/>
      <c r="BG53" s="111"/>
      <c r="BH53" s="111"/>
      <c r="BI53" s="111"/>
      <c r="BJ53" s="111"/>
      <c r="BK53" s="111"/>
      <c r="BL53" s="111"/>
      <c r="BO53" s="51"/>
      <c r="BP53" s="52" t="s">
        <v>363</v>
      </c>
      <c r="BQ53" s="364"/>
      <c r="BR53" s="53"/>
      <c r="BS53" s="61" t="s">
        <v>399</v>
      </c>
      <c r="BT53" s="53" t="s">
        <v>365</v>
      </c>
      <c r="BU53" s="89"/>
      <c r="BV53" s="89"/>
      <c r="BW53" s="111"/>
      <c r="BX53" s="111"/>
      <c r="BY53" s="111"/>
      <c r="BZ53" s="111"/>
      <c r="CA53" s="111"/>
      <c r="CB53" s="111"/>
      <c r="CC53" s="111"/>
      <c r="CD53" s="111"/>
      <c r="CE53" s="111"/>
      <c r="CF53" s="111"/>
      <c r="CG53" s="111"/>
      <c r="CH53" s="111"/>
    </row>
    <row r="54" spans="1:86" ht="33">
      <c r="A54" s="252"/>
      <c r="B54" s="52" t="s">
        <v>366</v>
      </c>
      <c r="C54" s="370"/>
      <c r="D54" s="76"/>
      <c r="E54" s="341" t="s">
        <v>441</v>
      </c>
      <c r="F54" s="78" t="s">
        <v>367</v>
      </c>
      <c r="G54" s="92"/>
      <c r="H54" s="92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9"/>
      <c r="U54" s="36"/>
      <c r="V54"/>
      <c r="W54" s="51"/>
      <c r="X54" s="52" t="s">
        <v>366</v>
      </c>
      <c r="Y54" s="364"/>
      <c r="Z54" s="53">
        <v>0</v>
      </c>
      <c r="AA54" s="61" t="s">
        <v>441</v>
      </c>
      <c r="AB54" s="53" t="s">
        <v>367</v>
      </c>
      <c r="AC54" s="89"/>
      <c r="AD54" s="89"/>
      <c r="AE54" s="111"/>
      <c r="AF54" s="111"/>
      <c r="AG54" s="111"/>
      <c r="AH54" s="111"/>
      <c r="AI54" s="111"/>
      <c r="AJ54" s="111"/>
      <c r="AK54" s="111"/>
      <c r="AL54" s="111"/>
      <c r="AM54" s="111"/>
      <c r="AN54" s="111"/>
      <c r="AO54" s="111"/>
      <c r="AP54" s="111"/>
      <c r="AS54" s="51"/>
      <c r="AT54" s="52" t="s">
        <v>366</v>
      </c>
      <c r="AU54" s="364"/>
      <c r="AV54" s="53"/>
      <c r="AW54" s="61" t="s">
        <v>441</v>
      </c>
      <c r="AX54" s="53" t="s">
        <v>367</v>
      </c>
      <c r="AY54" s="89"/>
      <c r="AZ54" s="89"/>
      <c r="BA54" s="111"/>
      <c r="BB54" s="111"/>
      <c r="BC54" s="111"/>
      <c r="BD54" s="111"/>
      <c r="BE54" s="111"/>
      <c r="BF54" s="111"/>
      <c r="BG54" s="111"/>
      <c r="BH54" s="111"/>
      <c r="BI54" s="111"/>
      <c r="BJ54" s="111"/>
      <c r="BK54" s="111"/>
      <c r="BL54" s="111"/>
      <c r="BO54" s="51"/>
      <c r="BP54" s="52" t="s">
        <v>366</v>
      </c>
      <c r="BQ54" s="364"/>
      <c r="BR54" s="53"/>
      <c r="BS54" s="61" t="s">
        <v>441</v>
      </c>
      <c r="BT54" s="53" t="s">
        <v>367</v>
      </c>
      <c r="BU54" s="89"/>
      <c r="BV54" s="89"/>
      <c r="BW54" s="111"/>
      <c r="BX54" s="111"/>
      <c r="BY54" s="111"/>
      <c r="BZ54" s="111"/>
      <c r="CA54" s="111"/>
      <c r="CB54" s="111"/>
      <c r="CC54" s="111"/>
      <c r="CD54" s="111"/>
      <c r="CE54" s="111"/>
      <c r="CF54" s="111"/>
      <c r="CG54" s="111"/>
      <c r="CH54" s="111"/>
    </row>
    <row r="55" spans="1:86" ht="16.5">
      <c r="A55" s="73"/>
      <c r="B55" s="83" t="s">
        <v>104</v>
      </c>
      <c r="C55" s="374"/>
      <c r="D55" s="85"/>
      <c r="E55" s="342"/>
      <c r="F55" s="86">
        <f>F7+F17</f>
        <v>100</v>
      </c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73"/>
      <c r="V55"/>
      <c r="W55" s="54"/>
      <c r="X55" s="55" t="str">
        <f ca="1">T.TOLIS!X55</f>
        <v>TOTAL BOBOT</v>
      </c>
      <c r="Y55" s="365"/>
      <c r="Z55" s="129"/>
      <c r="AA55" s="55"/>
      <c r="AB55" s="139">
        <f>AB7+AB17</f>
        <v>100</v>
      </c>
      <c r="AC55" s="139"/>
      <c r="AD55" s="139"/>
      <c r="AE55" s="168"/>
      <c r="AF55" s="168"/>
      <c r="AG55" s="168"/>
      <c r="AH55" s="168"/>
      <c r="AI55" s="168"/>
      <c r="AJ55" s="168"/>
      <c r="AK55" s="168"/>
      <c r="AL55" s="168"/>
      <c r="AM55" s="168"/>
      <c r="AN55" s="168"/>
      <c r="AO55" s="168"/>
      <c r="AP55" s="168"/>
      <c r="AS55" s="54"/>
      <c r="AT55" s="55" t="str">
        <f ca="1">T.TOLIS!AT55</f>
        <v>TOTAL BOBOT</v>
      </c>
      <c r="AU55" s="365"/>
      <c r="AV55" s="129"/>
      <c r="AW55" s="55"/>
      <c r="AX55" s="139">
        <f>AX7+AX17</f>
        <v>100</v>
      </c>
      <c r="AY55" s="139"/>
      <c r="AZ55" s="139"/>
      <c r="BA55" s="168"/>
      <c r="BB55" s="168"/>
      <c r="BC55" s="168"/>
      <c r="BD55" s="168"/>
      <c r="BE55" s="168"/>
      <c r="BF55" s="168"/>
      <c r="BG55" s="168"/>
      <c r="BH55" s="168"/>
      <c r="BI55" s="168"/>
      <c r="BJ55" s="168"/>
      <c r="BK55" s="168"/>
      <c r="BL55" s="168"/>
      <c r="BO55" s="54"/>
      <c r="BP55" s="55" t="str">
        <f ca="1">T.TOLIS!BP55</f>
        <v>TOTAL BOBOT</v>
      </c>
      <c r="BQ55" s="365"/>
      <c r="BR55" s="129"/>
      <c r="BS55" s="55"/>
      <c r="BT55" s="139">
        <f>BT7+BT17</f>
        <v>100</v>
      </c>
      <c r="BU55" s="139"/>
      <c r="BV55" s="139"/>
      <c r="BW55" s="514">
        <f>SUM(BW8:BW54)</f>
        <v>85.952200825873831</v>
      </c>
      <c r="BX55" s="514">
        <f t="shared" ref="BX55:CH55" si="47">SUM(BX8:BX54)</f>
        <v>92.068040636552439</v>
      </c>
      <c r="BY55" s="514">
        <f t="shared" si="47"/>
        <v>99.623053111846843</v>
      </c>
      <c r="BZ55" s="514">
        <f t="shared" si="47"/>
        <v>99.541190650582365</v>
      </c>
      <c r="CA55" s="514">
        <f t="shared" si="47"/>
        <v>99.003426120522064</v>
      </c>
      <c r="CB55" s="514">
        <f t="shared" si="47"/>
        <v>96.896848854849523</v>
      </c>
      <c r="CC55" s="514">
        <f t="shared" si="47"/>
        <v>98.985663024754814</v>
      </c>
      <c r="CD55" s="514">
        <f t="shared" si="47"/>
        <v>99.670923657046771</v>
      </c>
      <c r="CE55" s="514">
        <f t="shared" si="47"/>
        <v>99.255351790261159</v>
      </c>
      <c r="CF55" s="514">
        <f t="shared" si="47"/>
        <v>97.041672390687822</v>
      </c>
      <c r="CG55" s="514">
        <f t="shared" si="47"/>
        <v>63.506854433799113</v>
      </c>
      <c r="CH55" s="514">
        <f t="shared" si="47"/>
        <v>63.506854433799113</v>
      </c>
    </row>
    <row r="56" spans="1:86" customFormat="1">
      <c r="C56" s="366"/>
      <c r="E56" s="343"/>
    </row>
    <row r="57" spans="1:86" customFormat="1">
      <c r="A57" s="114"/>
      <c r="B57" s="115" t="s">
        <v>368</v>
      </c>
      <c r="C57" s="375"/>
      <c r="D57" s="4">
        <f>COUNTA(D8:D54)</f>
        <v>31</v>
      </c>
      <c r="E57" s="344"/>
      <c r="F57" s="4"/>
      <c r="G57" s="116"/>
      <c r="H57" s="116"/>
      <c r="I57" s="116"/>
      <c r="J57" s="116"/>
      <c r="K57" s="116"/>
      <c r="L57" s="116"/>
      <c r="M57" s="116"/>
      <c r="N57" s="116"/>
      <c r="O57" s="116"/>
      <c r="P57" s="116"/>
      <c r="Q57" s="116"/>
      <c r="R57" s="116"/>
      <c r="S57" s="116"/>
      <c r="T57" s="116"/>
    </row>
    <row r="58" spans="1:86" customFormat="1">
      <c r="C58" s="366"/>
      <c r="E58" s="343"/>
    </row>
    <row r="59" spans="1:86" customFormat="1">
      <c r="A59" s="117" t="s">
        <v>369</v>
      </c>
      <c r="B59" s="118"/>
      <c r="C59" s="376"/>
      <c r="D59" s="119"/>
      <c r="E59" s="345"/>
      <c r="F59" s="119"/>
      <c r="G59" s="119"/>
      <c r="H59" s="119"/>
      <c r="I59" s="119"/>
      <c r="J59" s="119"/>
      <c r="K59" s="119"/>
      <c r="L59" s="119"/>
      <c r="M59" s="119"/>
      <c r="Q59" s="119"/>
      <c r="S59" s="119"/>
    </row>
    <row r="60" spans="1:86" customFormat="1">
      <c r="A60" s="119">
        <v>3</v>
      </c>
      <c r="B60" s="120" t="s">
        <v>370</v>
      </c>
      <c r="C60" s="376"/>
      <c r="D60" s="119"/>
      <c r="E60" s="345"/>
      <c r="F60" s="119"/>
      <c r="G60" s="119"/>
      <c r="H60" s="119"/>
      <c r="I60" s="119"/>
      <c r="J60" s="119"/>
      <c r="K60" s="119"/>
      <c r="L60" s="119"/>
      <c r="M60" s="119"/>
      <c r="Q60" s="119"/>
      <c r="S60" s="119"/>
    </row>
    <row r="61" spans="1:86" customFormat="1">
      <c r="A61" s="119">
        <v>1</v>
      </c>
      <c r="B61" s="120" t="s">
        <v>371</v>
      </c>
      <c r="C61" s="376"/>
      <c r="D61" s="119"/>
      <c r="E61" s="345"/>
      <c r="F61" s="119"/>
      <c r="G61" s="119"/>
      <c r="H61" s="119"/>
      <c r="I61" s="119"/>
      <c r="J61" s="119"/>
      <c r="K61" s="119"/>
      <c r="L61" s="119"/>
      <c r="M61" s="119"/>
      <c r="Q61" s="119"/>
      <c r="S61" s="119"/>
    </row>
    <row r="62" spans="1:86" customFormat="1">
      <c r="A62" s="119"/>
      <c r="B62" s="118"/>
      <c r="C62" s="376"/>
      <c r="D62" s="119"/>
      <c r="E62" s="345"/>
      <c r="F62" s="119"/>
      <c r="G62" s="119"/>
      <c r="H62" s="119"/>
      <c r="I62" s="119"/>
      <c r="J62" s="119"/>
      <c r="K62" s="119"/>
      <c r="L62" s="119"/>
      <c r="M62" s="119"/>
      <c r="Q62" s="119"/>
      <c r="S62" s="119"/>
    </row>
    <row r="63" spans="1:86" customFormat="1">
      <c r="A63" s="119"/>
      <c r="B63" s="118"/>
      <c r="C63" s="376"/>
      <c r="D63" s="119"/>
      <c r="E63" s="345"/>
      <c r="F63" s="119"/>
      <c r="G63" s="119"/>
      <c r="H63" s="119"/>
      <c r="I63" s="119"/>
      <c r="J63" s="119"/>
      <c r="K63" s="119"/>
      <c r="L63" s="119"/>
      <c r="M63" s="119"/>
      <c r="Q63" s="119"/>
      <c r="S63" s="119"/>
    </row>
    <row r="64" spans="1:86" customFormat="1">
      <c r="A64" s="121"/>
      <c r="B64" s="122"/>
      <c r="C64" s="376"/>
      <c r="D64" s="121"/>
      <c r="E64" s="346"/>
      <c r="F64" s="121"/>
      <c r="G64" s="121"/>
      <c r="H64" s="121"/>
      <c r="I64" s="121"/>
      <c r="J64" s="121"/>
      <c r="K64" s="121"/>
      <c r="L64" s="121"/>
      <c r="M64" s="121"/>
    </row>
    <row r="65" spans="1:42" customFormat="1">
      <c r="C65" s="366"/>
      <c r="E65" s="343"/>
      <c r="Q65" s="121"/>
      <c r="S65" s="121"/>
    </row>
    <row r="66" spans="1:42" s="31" customFormat="1">
      <c r="A66" s="28"/>
      <c r="B66" s="30"/>
      <c r="C66" s="377"/>
      <c r="D66" s="28"/>
      <c r="E66" s="347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</row>
    <row r="67" spans="1:42"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</row>
    <row r="68" spans="1:42"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</row>
  </sheetData>
  <mergeCells count="34">
    <mergeCell ref="BU4:BU5"/>
    <mergeCell ref="BV4:BV5"/>
    <mergeCell ref="BW4:CH4"/>
    <mergeCell ref="BP6:BQ6"/>
    <mergeCell ref="BO4:BO5"/>
    <mergeCell ref="BP4:BQ5"/>
    <mergeCell ref="BR4:BR5"/>
    <mergeCell ref="BS4:BS5"/>
    <mergeCell ref="BT4:BT5"/>
    <mergeCell ref="I4:T4"/>
    <mergeCell ref="A4:A5"/>
    <mergeCell ref="B4:C5"/>
    <mergeCell ref="D4:D5"/>
    <mergeCell ref="E4:E5"/>
    <mergeCell ref="F4:F5"/>
    <mergeCell ref="G4:H4"/>
    <mergeCell ref="W4:W5"/>
    <mergeCell ref="X4:Y5"/>
    <mergeCell ref="Z4:Z5"/>
    <mergeCell ref="AA4:AA5"/>
    <mergeCell ref="AB4:AB5"/>
    <mergeCell ref="AC4:AC5"/>
    <mergeCell ref="AD4:AD5"/>
    <mergeCell ref="AE4:AP4"/>
    <mergeCell ref="X6:Y6"/>
    <mergeCell ref="AS4:AS5"/>
    <mergeCell ref="AZ4:AZ5"/>
    <mergeCell ref="BA4:BL4"/>
    <mergeCell ref="AT6:AU6"/>
    <mergeCell ref="AT4:AU5"/>
    <mergeCell ref="AV4:AV5"/>
    <mergeCell ref="AW4:AW5"/>
    <mergeCell ref="AX4:AX5"/>
    <mergeCell ref="AY4:AY5"/>
  </mergeCells>
  <conditionalFormatting sqref="A60">
    <cfRule type="iconSet" priority="37">
      <iconSet iconSet="3ArrowsGray" showValue="0">
        <cfvo type="percent" val="0"/>
        <cfvo type="num" val="2"/>
        <cfvo type="num" val="3"/>
      </iconSet>
    </cfRule>
  </conditionalFormatting>
  <conditionalFormatting sqref="A61">
    <cfRule type="iconSet" priority="36">
      <iconSet iconSet="3ArrowsGray" showValue="0">
        <cfvo type="percent" val="0"/>
        <cfvo type="num" val="2"/>
        <cfvo type="num" val="3"/>
      </iconSet>
    </cfRule>
  </conditionalFormatting>
  <conditionalFormatting sqref="C8">
    <cfRule type="iconSet" priority="49">
      <iconSet iconSet="3ArrowsGray" showValue="0">
        <cfvo type="percent" val="0"/>
        <cfvo type="num" val="2"/>
        <cfvo type="num" val="3"/>
      </iconSet>
    </cfRule>
  </conditionalFormatting>
  <conditionalFormatting sqref="C9">
    <cfRule type="iconSet" priority="48">
      <iconSet iconSet="3ArrowsGray" showValue="0">
        <cfvo type="percent" val="0"/>
        <cfvo type="num" val="2"/>
        <cfvo type="num" val="3"/>
      </iconSet>
    </cfRule>
  </conditionalFormatting>
  <conditionalFormatting sqref="C10:C16">
    <cfRule type="iconSet" priority="48382">
      <iconSet iconSet="3ArrowsGray" showValue="0">
        <cfvo type="percent" val="0"/>
        <cfvo type="num" val="2"/>
        <cfvo type="num" val="3"/>
      </iconSet>
    </cfRule>
  </conditionalFormatting>
  <conditionalFormatting sqref="C18">
    <cfRule type="iconSet" priority="21">
      <iconSet iconSet="3ArrowsGray" showValue="0">
        <cfvo type="percent" val="0"/>
        <cfvo type="num" val="2"/>
        <cfvo type="num" val="3"/>
      </iconSet>
    </cfRule>
    <cfRule type="iconSet" priority="22">
      <iconSet iconSet="3ArrowsGray" showValue="0">
        <cfvo type="percent" val="0"/>
        <cfvo type="num" val="2"/>
        <cfvo type="num" val="3"/>
      </iconSet>
    </cfRule>
  </conditionalFormatting>
  <conditionalFormatting sqref="C19:C34 C8 C36:C45">
    <cfRule type="iconSet" priority="47648">
      <iconSet iconSet="3ArrowsGray" showValue="0">
        <cfvo type="percent" val="0"/>
        <cfvo type="num" val="2"/>
        <cfvo type="num" val="3"/>
      </iconSet>
    </cfRule>
  </conditionalFormatting>
  <conditionalFormatting sqref="C19:C34 C36:C45">
    <cfRule type="iconSet" priority="47651">
      <iconSet iconSet="3ArrowsGray" showValue="0">
        <cfvo type="percent" val="0"/>
        <cfvo type="num" val="2"/>
        <cfvo type="num" val="3"/>
      </iconSet>
    </cfRule>
  </conditionalFormatting>
  <conditionalFormatting sqref="C35">
    <cfRule type="iconSet" priority="13">
      <iconSet iconSet="3ArrowsGray" showValue="0">
        <cfvo type="percent" val="0"/>
        <cfvo type="num" val="2"/>
        <cfvo type="num" val="3"/>
      </iconSet>
    </cfRule>
    <cfRule type="iconSet" priority="14">
      <iconSet iconSet="3ArrowsGray" showValue="0">
        <cfvo type="percent" val="0"/>
        <cfvo type="num" val="2"/>
        <cfvo type="num" val="3"/>
      </iconSet>
    </cfRule>
  </conditionalFormatting>
  <conditionalFormatting sqref="C46">
    <cfRule type="iconSet" priority="23">
      <iconSet iconSet="3ArrowsGray" showValue="0">
        <cfvo type="percent" val="0"/>
        <cfvo type="num" val="2"/>
        <cfvo type="num" val="3"/>
      </iconSet>
    </cfRule>
    <cfRule type="iconSet" priority="24">
      <iconSet iconSet="3ArrowsGray" showValue="0">
        <cfvo type="percent" val="0"/>
        <cfvo type="num" val="2"/>
        <cfvo type="num" val="3"/>
      </iconSet>
    </cfRule>
  </conditionalFormatting>
  <conditionalFormatting sqref="C47">
    <cfRule type="iconSet" priority="47646">
      <iconSet iconSet="3ArrowsGray" showValue="0">
        <cfvo type="percent" val="0"/>
        <cfvo type="num" val="2"/>
        <cfvo type="num" val="3"/>
      </iconSet>
    </cfRule>
  </conditionalFormatting>
  <conditionalFormatting sqref="C47:C54 C10:C16">
    <cfRule type="iconSet" priority="47647">
      <iconSet iconSet="3ArrowsGray" showValue="0">
        <cfvo type="percent" val="0"/>
        <cfvo type="num" val="2"/>
        <cfvo type="num" val="3"/>
      </iconSet>
    </cfRule>
  </conditionalFormatting>
  <conditionalFormatting sqref="C56">
    <cfRule type="iconSet" priority="39">
      <iconSet iconSet="3ArrowsGray" showValue="0">
        <cfvo type="percent" val="0"/>
        <cfvo type="num" val="2"/>
        <cfvo type="num" val="3"/>
      </iconSet>
    </cfRule>
  </conditionalFormatting>
  <conditionalFormatting sqref="C57">
    <cfRule type="iconSet" priority="42">
      <iconSet iconSet="3ArrowsGray" showValue="0">
        <cfvo type="percent" val="0"/>
        <cfvo type="num" val="2"/>
        <cfvo type="num" val="3"/>
      </iconSet>
    </cfRule>
  </conditionalFormatting>
  <conditionalFormatting sqref="D56">
    <cfRule type="iconSet" priority="41">
      <iconSet iconSet="3ArrowsGray" showValue="0">
        <cfvo type="percent" val="0"/>
        <cfvo type="num" val="2"/>
        <cfvo type="num" val="3"/>
      </iconSet>
    </cfRule>
    <cfRule type="iconSet" priority="31">
      <iconSet iconSet="3ArrowsGray" showValue="0">
        <cfvo type="percent" val="0"/>
        <cfvo type="num" val="2"/>
        <cfvo type="num" val="3"/>
      </iconSet>
    </cfRule>
  </conditionalFormatting>
  <conditionalFormatting sqref="E56">
    <cfRule type="iconSet" priority="40">
      <iconSet iconSet="3ArrowsGray" showValue="0">
        <cfvo type="percent" val="0"/>
        <cfvo type="num" val="2"/>
        <cfvo type="num" val="3"/>
      </iconSet>
    </cfRule>
  </conditionalFormatting>
  <conditionalFormatting sqref="G56:H56">
    <cfRule type="iconSet" priority="54">
      <iconSet iconSet="3ArrowsGray" showValue="0">
        <cfvo type="percent" val="0"/>
        <cfvo type="num" val="2"/>
        <cfvo type="num" val="3"/>
      </iconSet>
    </cfRule>
  </conditionalFormatting>
  <conditionalFormatting sqref="G57:H57">
    <cfRule type="iconSet" priority="53">
      <iconSet iconSet="3ArrowsGray" showValue="0">
        <cfvo type="percent" val="0"/>
        <cfvo type="num" val="2"/>
        <cfvo type="num" val="3"/>
      </iconSet>
    </cfRule>
  </conditionalFormatting>
  <conditionalFormatting sqref="I56:T56">
    <cfRule type="iconSet" priority="38">
      <iconSet iconSet="3ArrowsGray" showValue="0">
        <cfvo type="percent" val="0"/>
        <cfvo type="num" val="2"/>
        <cfvo type="num" val="3"/>
      </iconSet>
    </cfRule>
  </conditionalFormatting>
  <conditionalFormatting sqref="I57:T57">
    <cfRule type="iconSet" priority="32">
      <iconSet iconSet="3ArrowsGray" showValue="0">
        <cfvo type="percent" val="0"/>
        <cfvo type="num" val="2"/>
        <cfvo type="num" val="3"/>
      </iconSet>
    </cfRule>
    <cfRule type="iconSet" priority="33">
      <iconSet iconSet="3ArrowsGray" showValue="0">
        <cfvo type="percent" val="0"/>
        <cfvo type="num" val="2"/>
        <cfvo type="num" val="3"/>
      </iconSet>
    </cfRule>
  </conditionalFormatting>
  <conditionalFormatting sqref="Y8:Y16">
    <cfRule type="iconSet" priority="48389">
      <iconSet iconSet="3ArrowsGray" showValue="0">
        <cfvo type="percent" val="0"/>
        <cfvo type="num" val="2"/>
        <cfvo type="num" val="3"/>
      </iconSet>
    </cfRule>
    <cfRule type="iconSet" priority="48390">
      <iconSet iconSet="3ArrowsGray" showValue="0">
        <cfvo type="percent" val="0"/>
        <cfvo type="num" val="2"/>
        <cfvo type="num" val="3"/>
      </iconSet>
    </cfRule>
  </conditionalFormatting>
  <conditionalFormatting sqref="Y18:Y54">
    <cfRule type="iconSet" priority="9">
      <iconSet iconSet="3ArrowsGray" showValue="0">
        <cfvo type="percent" val="0"/>
        <cfvo type="num" val="2"/>
        <cfvo type="num" val="3"/>
      </iconSet>
    </cfRule>
  </conditionalFormatting>
  <conditionalFormatting sqref="AU8:AU16">
    <cfRule type="iconSet" priority="48394">
      <iconSet iconSet="3ArrowsGray" showValue="0">
        <cfvo type="percent" val="0"/>
        <cfvo type="num" val="2"/>
        <cfvo type="num" val="3"/>
      </iconSet>
    </cfRule>
    <cfRule type="iconSet" priority="48393">
      <iconSet iconSet="3ArrowsGray" showValue="0">
        <cfvo type="percent" val="0"/>
        <cfvo type="num" val="2"/>
        <cfvo type="num" val="3"/>
      </iconSet>
    </cfRule>
  </conditionalFormatting>
  <conditionalFormatting sqref="AU18:AU54">
    <cfRule type="iconSet" priority="6">
      <iconSet iconSet="3ArrowsGray" showValue="0">
        <cfvo type="percent" val="0"/>
        <cfvo type="num" val="2"/>
        <cfvo type="num" val="3"/>
      </iconSet>
    </cfRule>
  </conditionalFormatting>
  <conditionalFormatting sqref="BQ8:BQ16">
    <cfRule type="iconSet" priority="3">
      <iconSet iconSet="3ArrowsGray" showValue="0">
        <cfvo type="percent" val="0"/>
        <cfvo type="num" val="2"/>
        <cfvo type="num" val="3"/>
      </iconSet>
    </cfRule>
    <cfRule type="iconSet" priority="2">
      <iconSet iconSet="3ArrowsGray" showValue="0">
        <cfvo type="percent" val="0"/>
        <cfvo type="num" val="2"/>
        <cfvo type="num" val="3"/>
      </iconSet>
    </cfRule>
  </conditionalFormatting>
  <conditionalFormatting sqref="BQ18:BQ54">
    <cfRule type="iconSet" priority="1">
      <iconSet iconSet="3ArrowsGray" showValue="0">
        <cfvo type="percent" val="0"/>
        <cfvo type="num" val="2"/>
        <cfvo type="num" val="3"/>
      </iconSet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51" fitToHeight="0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A6F5B-13CA-430B-A804-EC32CFA280B7}">
  <sheetPr>
    <tabColor rgb="FFFF0000"/>
    <pageSetUpPr fitToPage="1"/>
  </sheetPr>
  <dimension ref="A1:CX66"/>
  <sheetViews>
    <sheetView topLeftCell="BB37" workbookViewId="0"/>
  </sheetViews>
  <sheetFormatPr defaultColWidth="8.85546875" defaultRowHeight="15"/>
  <cols>
    <col min="1" max="1" width="5.7109375" style="28" customWidth="1"/>
    <col min="2" max="2" width="60.28515625" style="30" customWidth="1"/>
    <col min="3" max="3" width="2.85546875" style="377" customWidth="1"/>
    <col min="4" max="4" width="14.42578125" style="28" customWidth="1"/>
    <col min="5" max="5" width="106.7109375" style="336" hidden="1" customWidth="1"/>
    <col min="6" max="6" width="12.28515625" style="30" bestFit="1" customWidth="1"/>
    <col min="7" max="20" width="11.28515625" style="30" customWidth="1"/>
    <col min="21" max="21" width="17.7109375" style="31" bestFit="1" customWidth="1"/>
    <col min="22" max="22" width="16" style="31" bestFit="1" customWidth="1"/>
    <col min="23" max="23" width="5.7109375" style="30" customWidth="1"/>
    <col min="24" max="24" width="60.28515625" style="30" customWidth="1"/>
    <col min="25" max="25" width="2.85546875" style="30" customWidth="1"/>
    <col min="26" max="26" width="11.7109375" style="30" customWidth="1"/>
    <col min="27" max="27" width="106.7109375" style="30" hidden="1" customWidth="1"/>
    <col min="28" max="28" width="9" style="30" customWidth="1"/>
    <col min="29" max="29" width="11" style="30" customWidth="1"/>
    <col min="30" max="30" width="12" style="30" bestFit="1" customWidth="1"/>
    <col min="31" max="42" width="12.140625" style="30" customWidth="1"/>
    <col min="43" max="44" width="8.85546875" style="30"/>
    <col min="45" max="45" width="5.7109375" style="30" customWidth="1"/>
    <col min="46" max="46" width="60.28515625" style="30" customWidth="1"/>
    <col min="47" max="47" width="4.140625" style="30" customWidth="1"/>
    <col min="48" max="48" width="11.7109375" style="30" bestFit="1" customWidth="1"/>
    <col min="49" max="49" width="0" style="30" hidden="1" customWidth="1"/>
    <col min="50" max="50" width="7.28515625" style="30" bestFit="1" customWidth="1"/>
    <col min="51" max="51" width="14.28515625" style="30" customWidth="1"/>
    <col min="52" max="52" width="12.42578125" style="30" bestFit="1" customWidth="1"/>
    <col min="53" max="64" width="11.28515625" style="30" customWidth="1"/>
    <col min="65" max="66" width="8.85546875" style="30"/>
    <col min="67" max="67" width="5.7109375" style="30" customWidth="1"/>
    <col min="68" max="68" width="60.28515625" style="30" customWidth="1"/>
    <col min="69" max="69" width="4.140625" style="30" customWidth="1"/>
    <col min="70" max="70" width="11.7109375" style="30" bestFit="1" customWidth="1"/>
    <col min="71" max="71" width="0" style="30" hidden="1" customWidth="1"/>
    <col min="72" max="72" width="10.5703125" style="30" bestFit="1" customWidth="1"/>
    <col min="73" max="73" width="14.28515625" style="30" customWidth="1"/>
    <col min="74" max="74" width="12.42578125" style="30" bestFit="1" customWidth="1"/>
    <col min="75" max="86" width="11.28515625" style="30" customWidth="1"/>
    <col min="87" max="16384" width="8.85546875" style="30"/>
  </cols>
  <sheetData>
    <row r="1" spans="1:102">
      <c r="B1" s="315" t="s">
        <v>251</v>
      </c>
      <c r="C1" s="362"/>
      <c r="I1" s="22"/>
      <c r="W1" s="28"/>
      <c r="X1" s="315" t="s">
        <v>251</v>
      </c>
      <c r="AS1" s="28"/>
      <c r="AT1" s="315" t="s">
        <v>251</v>
      </c>
      <c r="BK1"/>
      <c r="BL1"/>
      <c r="BM1"/>
      <c r="BN1"/>
      <c r="BO1" s="28"/>
      <c r="BP1" s="315" t="s">
        <v>251</v>
      </c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</row>
    <row r="2" spans="1:102">
      <c r="B2" s="315" t="s">
        <v>123</v>
      </c>
      <c r="C2" s="362"/>
      <c r="W2" s="28"/>
      <c r="X2" s="315" t="s">
        <v>123</v>
      </c>
      <c r="AS2" s="28"/>
      <c r="AT2" s="315" t="s">
        <v>123</v>
      </c>
      <c r="BK2"/>
      <c r="BL2"/>
      <c r="BM2"/>
      <c r="BN2"/>
      <c r="BO2" s="28"/>
      <c r="BP2" s="315" t="s">
        <v>123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</row>
    <row r="3" spans="1:102">
      <c r="B3" s="315" t="s">
        <v>378</v>
      </c>
      <c r="C3" s="362"/>
      <c r="W3" s="28"/>
      <c r="X3" s="315" t="s">
        <v>378</v>
      </c>
      <c r="AS3" s="28"/>
      <c r="AT3" s="315" t="s">
        <v>378</v>
      </c>
      <c r="BK3"/>
      <c r="BL3"/>
      <c r="BM3"/>
      <c r="BN3"/>
      <c r="BO3" s="28"/>
      <c r="BP3" s="315" t="s">
        <v>378</v>
      </c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</row>
    <row r="4" spans="1:102" s="33" customFormat="1" ht="15" customHeight="1">
      <c r="A4" s="818" t="s">
        <v>8</v>
      </c>
      <c r="B4" s="820" t="s">
        <v>9</v>
      </c>
      <c r="C4" s="821"/>
      <c r="D4" s="818" t="s">
        <v>93</v>
      </c>
      <c r="E4" s="818" t="s">
        <v>271</v>
      </c>
      <c r="F4" s="818" t="s">
        <v>99</v>
      </c>
      <c r="G4" s="824" t="s">
        <v>100</v>
      </c>
      <c r="H4" s="825"/>
      <c r="I4" s="807" t="s">
        <v>272</v>
      </c>
      <c r="J4" s="808"/>
      <c r="K4" s="808"/>
      <c r="L4" s="808"/>
      <c r="M4" s="808"/>
      <c r="N4" s="808"/>
      <c r="O4" s="808"/>
      <c r="P4" s="808"/>
      <c r="Q4" s="808"/>
      <c r="R4" s="808"/>
      <c r="S4" s="808"/>
      <c r="T4" s="809"/>
      <c r="U4" s="32"/>
      <c r="V4" s="32"/>
      <c r="W4" s="812" t="s">
        <v>8</v>
      </c>
      <c r="X4" s="814" t="s">
        <v>9</v>
      </c>
      <c r="Y4" s="815"/>
      <c r="Z4" s="790" t="s">
        <v>93</v>
      </c>
      <c r="AA4" s="795" t="s">
        <v>271</v>
      </c>
      <c r="AB4" s="790" t="s">
        <v>99</v>
      </c>
      <c r="AC4" s="790" t="s">
        <v>373</v>
      </c>
      <c r="AD4" s="790" t="s">
        <v>374</v>
      </c>
      <c r="AE4" s="807" t="s">
        <v>375</v>
      </c>
      <c r="AF4" s="808"/>
      <c r="AG4" s="808"/>
      <c r="AH4" s="808"/>
      <c r="AI4" s="808"/>
      <c r="AJ4" s="808"/>
      <c r="AK4" s="808"/>
      <c r="AL4" s="808"/>
      <c r="AM4" s="808"/>
      <c r="AN4" s="808"/>
      <c r="AO4" s="808"/>
      <c r="AP4" s="809"/>
      <c r="AS4" s="812" t="s">
        <v>8</v>
      </c>
      <c r="AT4" s="814" t="s">
        <v>451</v>
      </c>
      <c r="AU4" s="815"/>
      <c r="AV4" s="790" t="s">
        <v>93</v>
      </c>
      <c r="AW4" s="795" t="s">
        <v>271</v>
      </c>
      <c r="AX4" s="790" t="s">
        <v>99</v>
      </c>
      <c r="AY4" s="790" t="s">
        <v>485</v>
      </c>
      <c r="AZ4" s="790" t="s">
        <v>484</v>
      </c>
      <c r="BA4" s="807" t="s">
        <v>483</v>
      </c>
      <c r="BB4" s="808"/>
      <c r="BC4" s="808"/>
      <c r="BD4" s="808"/>
      <c r="BE4" s="808"/>
      <c r="BF4" s="808"/>
      <c r="BG4" s="808"/>
      <c r="BH4" s="808"/>
      <c r="BI4" s="808"/>
      <c r="BJ4" s="808"/>
      <c r="BK4" s="808"/>
      <c r="BL4" s="809"/>
      <c r="BM4"/>
      <c r="BN4"/>
      <c r="BO4" s="812" t="s">
        <v>8</v>
      </c>
      <c r="BP4" s="814" t="s">
        <v>451</v>
      </c>
      <c r="BQ4" s="815"/>
      <c r="BR4" s="790" t="s">
        <v>93</v>
      </c>
      <c r="BS4" s="795" t="s">
        <v>271</v>
      </c>
      <c r="BT4" s="790" t="s">
        <v>99</v>
      </c>
      <c r="BU4" s="790" t="s">
        <v>485</v>
      </c>
      <c r="BV4" s="790" t="s">
        <v>484</v>
      </c>
      <c r="BW4" s="807" t="s">
        <v>483</v>
      </c>
      <c r="BX4" s="808"/>
      <c r="BY4" s="808"/>
      <c r="BZ4" s="808"/>
      <c r="CA4" s="808"/>
      <c r="CB4" s="808"/>
      <c r="CC4" s="808"/>
      <c r="CD4" s="808"/>
      <c r="CE4" s="808"/>
      <c r="CF4" s="808"/>
      <c r="CG4" s="808"/>
      <c r="CH4" s="809"/>
    </row>
    <row r="5" spans="1:102" s="33" customFormat="1" ht="15" customHeight="1">
      <c r="A5" s="819"/>
      <c r="B5" s="822"/>
      <c r="C5" s="823"/>
      <c r="D5" s="819"/>
      <c r="E5" s="819"/>
      <c r="F5" s="819"/>
      <c r="G5" s="428" t="s">
        <v>273</v>
      </c>
      <c r="H5" s="428" t="s">
        <v>274</v>
      </c>
      <c r="I5" s="113" t="s">
        <v>94</v>
      </c>
      <c r="J5" s="113" t="s">
        <v>95</v>
      </c>
      <c r="K5" s="113" t="s">
        <v>96</v>
      </c>
      <c r="L5" s="113" t="s">
        <v>488</v>
      </c>
      <c r="M5" s="113" t="s">
        <v>489</v>
      </c>
      <c r="N5" s="113" t="s">
        <v>490</v>
      </c>
      <c r="O5" s="113" t="s">
        <v>491</v>
      </c>
      <c r="P5" s="113" t="s">
        <v>165</v>
      </c>
      <c r="Q5" s="113" t="s">
        <v>167</v>
      </c>
      <c r="R5" s="113" t="s">
        <v>492</v>
      </c>
      <c r="S5" s="113" t="s">
        <v>171</v>
      </c>
      <c r="T5" s="429" t="s">
        <v>493</v>
      </c>
      <c r="U5" s="32"/>
      <c r="V5" s="32"/>
      <c r="W5" s="813"/>
      <c r="X5" s="816"/>
      <c r="Y5" s="817"/>
      <c r="Z5" s="791"/>
      <c r="AA5" s="796"/>
      <c r="AB5" s="791"/>
      <c r="AC5" s="791"/>
      <c r="AD5" s="791"/>
      <c r="AE5" s="424" t="s">
        <v>94</v>
      </c>
      <c r="AF5" s="424" t="s">
        <v>95</v>
      </c>
      <c r="AG5" s="424" t="s">
        <v>96</v>
      </c>
      <c r="AH5" s="424" t="s">
        <v>488</v>
      </c>
      <c r="AI5" s="424" t="s">
        <v>489</v>
      </c>
      <c r="AJ5" s="424" t="s">
        <v>490</v>
      </c>
      <c r="AK5" s="424" t="s">
        <v>491</v>
      </c>
      <c r="AL5" s="424" t="s">
        <v>165</v>
      </c>
      <c r="AM5" s="424" t="s">
        <v>167</v>
      </c>
      <c r="AN5" s="424" t="s">
        <v>492</v>
      </c>
      <c r="AO5" s="424" t="s">
        <v>171</v>
      </c>
      <c r="AP5" s="424" t="s">
        <v>493</v>
      </c>
      <c r="AS5" s="813"/>
      <c r="AT5" s="816"/>
      <c r="AU5" s="817"/>
      <c r="AV5" s="791"/>
      <c r="AW5" s="796"/>
      <c r="AX5" s="791"/>
      <c r="AY5" s="791"/>
      <c r="AZ5" s="791"/>
      <c r="BA5" s="424" t="s">
        <v>94</v>
      </c>
      <c r="BB5" s="424" t="s">
        <v>95</v>
      </c>
      <c r="BC5" s="424" t="s">
        <v>96</v>
      </c>
      <c r="BD5" s="424" t="s">
        <v>488</v>
      </c>
      <c r="BE5" s="424" t="s">
        <v>489</v>
      </c>
      <c r="BF5" s="424" t="s">
        <v>490</v>
      </c>
      <c r="BG5" s="424" t="s">
        <v>491</v>
      </c>
      <c r="BH5" s="424" t="s">
        <v>165</v>
      </c>
      <c r="BI5" s="424" t="s">
        <v>167</v>
      </c>
      <c r="BJ5" s="424" t="s">
        <v>492</v>
      </c>
      <c r="BK5" s="424" t="s">
        <v>171</v>
      </c>
      <c r="BL5" s="424" t="s">
        <v>493</v>
      </c>
      <c r="BM5"/>
      <c r="BN5"/>
      <c r="BO5" s="813"/>
      <c r="BP5" s="816"/>
      <c r="BQ5" s="817"/>
      <c r="BR5" s="791"/>
      <c r="BS5" s="796"/>
      <c r="BT5" s="791"/>
      <c r="BU5" s="791"/>
      <c r="BV5" s="791"/>
      <c r="BW5" s="424" t="s">
        <v>94</v>
      </c>
      <c r="BX5" s="424" t="s">
        <v>95</v>
      </c>
      <c r="BY5" s="424" t="s">
        <v>96</v>
      </c>
      <c r="BZ5" s="424" t="s">
        <v>488</v>
      </c>
      <c r="CA5" s="424" t="s">
        <v>489</v>
      </c>
      <c r="CB5" s="424" t="s">
        <v>490</v>
      </c>
      <c r="CC5" s="424" t="s">
        <v>491</v>
      </c>
      <c r="CD5" s="424" t="s">
        <v>165</v>
      </c>
      <c r="CE5" s="424" t="s">
        <v>167</v>
      </c>
      <c r="CF5" s="424" t="s">
        <v>492</v>
      </c>
      <c r="CG5" s="424" t="s">
        <v>171</v>
      </c>
      <c r="CH5" s="424" t="s">
        <v>493</v>
      </c>
    </row>
    <row r="6" spans="1:102" s="33" customFormat="1" ht="15" customHeight="1">
      <c r="A6" s="428">
        <v>1</v>
      </c>
      <c r="B6" s="456">
        <v>2</v>
      </c>
      <c r="C6" s="400"/>
      <c r="D6" s="428">
        <v>3</v>
      </c>
      <c r="E6" s="428">
        <v>4</v>
      </c>
      <c r="F6" s="428">
        <v>5</v>
      </c>
      <c r="G6" s="428">
        <v>6</v>
      </c>
      <c r="H6" s="428">
        <v>7</v>
      </c>
      <c r="I6" s="428">
        <v>7</v>
      </c>
      <c r="J6" s="428">
        <v>8</v>
      </c>
      <c r="K6" s="428">
        <v>9</v>
      </c>
      <c r="L6" s="428">
        <v>10</v>
      </c>
      <c r="M6" s="428">
        <v>11</v>
      </c>
      <c r="N6" s="428">
        <v>12</v>
      </c>
      <c r="O6" s="428">
        <v>13</v>
      </c>
      <c r="P6" s="428">
        <v>14</v>
      </c>
      <c r="Q6" s="428">
        <v>15</v>
      </c>
      <c r="R6" s="428">
        <v>16</v>
      </c>
      <c r="S6" s="428">
        <v>17</v>
      </c>
      <c r="T6" s="428">
        <v>18</v>
      </c>
      <c r="U6" s="32"/>
      <c r="V6" s="32"/>
      <c r="W6" s="427">
        <v>1</v>
      </c>
      <c r="X6" s="810">
        <v>2</v>
      </c>
      <c r="Y6" s="811"/>
      <c r="Z6" s="455">
        <v>3</v>
      </c>
      <c r="AA6" s="425">
        <v>4</v>
      </c>
      <c r="AB6" s="455">
        <v>4</v>
      </c>
      <c r="AC6" s="455">
        <v>5</v>
      </c>
      <c r="AD6" s="424">
        <v>6</v>
      </c>
      <c r="AE6" s="455">
        <v>7</v>
      </c>
      <c r="AF6" s="424">
        <v>8</v>
      </c>
      <c r="AG6" s="455">
        <v>9</v>
      </c>
      <c r="AH6" s="424">
        <v>10</v>
      </c>
      <c r="AI6" s="455">
        <v>11</v>
      </c>
      <c r="AJ6" s="424">
        <v>12</v>
      </c>
      <c r="AK6" s="455">
        <v>13</v>
      </c>
      <c r="AL6" s="424">
        <v>14</v>
      </c>
      <c r="AM6" s="455">
        <v>15</v>
      </c>
      <c r="AN6" s="424">
        <v>16</v>
      </c>
      <c r="AO6" s="455">
        <v>17</v>
      </c>
      <c r="AP6" s="424">
        <v>18</v>
      </c>
      <c r="AS6" s="427">
        <v>1</v>
      </c>
      <c r="AT6" s="810">
        <v>2</v>
      </c>
      <c r="AU6" s="811"/>
      <c r="AV6" s="455">
        <v>3</v>
      </c>
      <c r="AW6" s="425">
        <v>4</v>
      </c>
      <c r="AX6" s="455">
        <v>4</v>
      </c>
      <c r="AY6" s="455">
        <v>5</v>
      </c>
      <c r="AZ6" s="424">
        <v>6</v>
      </c>
      <c r="BA6" s="427">
        <v>7</v>
      </c>
      <c r="BB6" s="424">
        <v>8</v>
      </c>
      <c r="BC6" s="427">
        <v>9</v>
      </c>
      <c r="BD6" s="424">
        <v>10</v>
      </c>
      <c r="BE6" s="427">
        <v>11</v>
      </c>
      <c r="BF6" s="424">
        <v>12</v>
      </c>
      <c r="BG6" s="427">
        <v>13</v>
      </c>
      <c r="BH6" s="424">
        <v>14</v>
      </c>
      <c r="BI6" s="427">
        <v>15</v>
      </c>
      <c r="BJ6" s="424">
        <v>16</v>
      </c>
      <c r="BK6" s="427">
        <v>17</v>
      </c>
      <c r="BL6" s="424">
        <v>18</v>
      </c>
      <c r="BM6"/>
      <c r="BN6"/>
      <c r="BO6" s="427">
        <v>1</v>
      </c>
      <c r="BP6" s="810">
        <v>2</v>
      </c>
      <c r="BQ6" s="811"/>
      <c r="BR6" s="455">
        <v>3</v>
      </c>
      <c r="BS6" s="425">
        <v>4</v>
      </c>
      <c r="BT6" s="455">
        <v>4</v>
      </c>
      <c r="BU6" s="455">
        <v>5</v>
      </c>
      <c r="BV6" s="424">
        <v>6</v>
      </c>
      <c r="BW6" s="427">
        <v>7</v>
      </c>
      <c r="BX6" s="424">
        <v>8</v>
      </c>
      <c r="BY6" s="427">
        <v>9</v>
      </c>
      <c r="BZ6" s="424">
        <v>10</v>
      </c>
      <c r="CA6" s="427">
        <v>11</v>
      </c>
      <c r="CB6" s="424">
        <v>12</v>
      </c>
      <c r="CC6" s="427">
        <v>13</v>
      </c>
      <c r="CD6" s="424">
        <v>14</v>
      </c>
      <c r="CE6" s="427">
        <v>15</v>
      </c>
      <c r="CF6" s="424">
        <v>16</v>
      </c>
      <c r="CG6" s="427">
        <v>17</v>
      </c>
      <c r="CH6" s="424">
        <v>18</v>
      </c>
    </row>
    <row r="7" spans="1:102" s="35" customFormat="1" ht="16.5">
      <c r="A7" s="47" t="s">
        <v>267</v>
      </c>
      <c r="B7" s="48" t="s">
        <v>15</v>
      </c>
      <c r="C7" s="363"/>
      <c r="D7" s="50"/>
      <c r="E7" s="515"/>
      <c r="F7" s="62">
        <f>SUM(F8:F16)</f>
        <v>40</v>
      </c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260"/>
      <c r="U7" s="34"/>
      <c r="V7" s="34"/>
      <c r="W7" s="47" t="s">
        <v>267</v>
      </c>
      <c r="X7" s="48" t="s">
        <v>15</v>
      </c>
      <c r="Y7" s="363"/>
      <c r="Z7" s="50"/>
      <c r="AA7" s="48"/>
      <c r="AB7" s="62">
        <f>SUM(AB8:AB16)</f>
        <v>40</v>
      </c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260"/>
      <c r="AS7" s="47" t="s">
        <v>267</v>
      </c>
      <c r="AT7" s="48" t="s">
        <v>15</v>
      </c>
      <c r="AU7" s="363"/>
      <c r="AV7" s="50"/>
      <c r="AW7" s="48"/>
      <c r="AX7" s="62">
        <v>40</v>
      </c>
      <c r="AY7" s="62"/>
      <c r="AZ7" s="62"/>
      <c r="BA7" s="260"/>
      <c r="BB7" s="260"/>
      <c r="BC7" s="260"/>
      <c r="BD7" s="260"/>
      <c r="BE7" s="260"/>
      <c r="BF7" s="260"/>
      <c r="BG7" s="260"/>
      <c r="BH7" s="260"/>
      <c r="BI7" s="260"/>
      <c r="BJ7" s="260"/>
      <c r="BK7" s="260"/>
      <c r="BL7" s="260"/>
      <c r="BM7"/>
      <c r="BN7"/>
      <c r="BO7" s="47" t="s">
        <v>267</v>
      </c>
      <c r="BP7" s="48" t="s">
        <v>15</v>
      </c>
      <c r="BQ7" s="363"/>
      <c r="BR7" s="50"/>
      <c r="BS7" s="48"/>
      <c r="BT7" s="62">
        <v>40</v>
      </c>
      <c r="BU7" s="62"/>
      <c r="BV7" s="62"/>
      <c r="BW7" s="260"/>
      <c r="BX7" s="260"/>
      <c r="BY7" s="260"/>
      <c r="BZ7" s="260"/>
      <c r="CA7" s="260"/>
      <c r="CB7" s="260"/>
      <c r="CC7" s="260"/>
      <c r="CD7" s="260"/>
      <c r="CE7" s="260"/>
      <c r="CF7" s="260"/>
      <c r="CG7" s="260"/>
      <c r="CH7" s="260"/>
    </row>
    <row r="8" spans="1:102" ht="16.5">
      <c r="A8" s="516">
        <v>1</v>
      </c>
      <c r="B8" s="271" t="s">
        <v>382</v>
      </c>
      <c r="C8" s="301" t="s">
        <v>276</v>
      </c>
      <c r="D8" s="273" t="s">
        <v>383</v>
      </c>
      <c r="E8" s="53" t="s">
        <v>400</v>
      </c>
      <c r="F8" s="61">
        <v>14</v>
      </c>
      <c r="G8" s="257">
        <f>N8</f>
        <v>25.92</v>
      </c>
      <c r="H8" s="257">
        <f>T8</f>
        <v>52.76</v>
      </c>
      <c r="I8" s="257">
        <f>KPI!D11</f>
        <v>4.2699999999999996</v>
      </c>
      <c r="J8" s="257">
        <f>KPI!E11</f>
        <v>8.33</v>
      </c>
      <c r="K8" s="257">
        <f>KPI!F11</f>
        <v>12.85</v>
      </c>
      <c r="L8" s="257">
        <f>KPI!G11</f>
        <v>17.22</v>
      </c>
      <c r="M8" s="257">
        <f>KPI!H11</f>
        <v>21.7</v>
      </c>
      <c r="N8" s="257">
        <f>KPI!I11</f>
        <v>25.92</v>
      </c>
      <c r="O8" s="257">
        <f>KPI!J11</f>
        <v>30.2</v>
      </c>
      <c r="P8" s="257">
        <f>KPI!K11</f>
        <v>34.58</v>
      </c>
      <c r="Q8" s="257">
        <f>KPI!L11</f>
        <v>39.01</v>
      </c>
      <c r="R8" s="257">
        <f>KPI!M11</f>
        <v>43.63</v>
      </c>
      <c r="S8" s="257">
        <f>KPI!N11</f>
        <v>48.16</v>
      </c>
      <c r="T8" s="90">
        <f>KPI!O11</f>
        <v>52.76</v>
      </c>
      <c r="U8" s="36"/>
      <c r="V8" s="36"/>
      <c r="W8" s="51">
        <f ca="1">T.LEOK!W8</f>
        <v>1</v>
      </c>
      <c r="X8" s="271" t="s">
        <v>382</v>
      </c>
      <c r="Y8" s="301" t="s">
        <v>276</v>
      </c>
      <c r="Z8" s="53" t="s">
        <v>383</v>
      </c>
      <c r="AA8" s="53" t="s">
        <v>400</v>
      </c>
      <c r="AB8" s="53">
        <v>14</v>
      </c>
      <c r="AC8" s="142">
        <f>AJ8</f>
        <v>25.687128249000001</v>
      </c>
      <c r="AD8" s="142">
        <f>AP8</f>
        <v>0</v>
      </c>
      <c r="AE8" s="142">
        <f>KPI!AH11</f>
        <v>5.0476841700000001</v>
      </c>
      <c r="AF8" s="142">
        <f>KPI!AI11</f>
        <v>9.2606318190000003</v>
      </c>
      <c r="AG8" s="142">
        <f>KPI!AJ11</f>
        <v>13.557085798000001</v>
      </c>
      <c r="AH8" s="142">
        <f>KPI!AK11</f>
        <v>17.302419342</v>
      </c>
      <c r="AI8" s="142">
        <f>KPI!AL11</f>
        <v>21.423936208000001</v>
      </c>
      <c r="AJ8" s="142">
        <f>KPI!AM11</f>
        <v>25.687128249000001</v>
      </c>
      <c r="AK8" s="142">
        <f>KPI!AN11</f>
        <v>30.000446562</v>
      </c>
      <c r="AL8" s="142">
        <f>KPI!AO11</f>
        <v>34.460204871000002</v>
      </c>
      <c r="AM8" s="142">
        <f>KPI!AP11</f>
        <v>38.821155293000004</v>
      </c>
      <c r="AN8" s="142">
        <f>KPI!AQ11</f>
        <v>43.327762199000006</v>
      </c>
      <c r="AO8" s="142">
        <f>KPI!AR11</f>
        <v>0</v>
      </c>
      <c r="AP8" s="95">
        <f>KPI!AS11</f>
        <v>0</v>
      </c>
      <c r="AS8" s="51">
        <v>1</v>
      </c>
      <c r="AT8" s="267" t="s">
        <v>382</v>
      </c>
      <c r="AU8" s="364" t="s">
        <v>276</v>
      </c>
      <c r="AV8" s="53" t="s">
        <v>383</v>
      </c>
      <c r="AW8" s="61" t="s">
        <v>400</v>
      </c>
      <c r="AX8" s="53">
        <v>14</v>
      </c>
      <c r="AY8" s="89">
        <f>BF8</f>
        <v>99.101575034722217</v>
      </c>
      <c r="AZ8" s="89">
        <f>BL8</f>
        <v>0</v>
      </c>
      <c r="BA8" s="111">
        <f>IF(AE8/I8*100&gt;110,110,AE8/I8*100)</f>
        <v>110</v>
      </c>
      <c r="BB8" s="111">
        <f t="shared" ref="BB8:BL8" si="0">IF(AF8/J8*100&gt;110,110,AF8/J8*100)</f>
        <v>110</v>
      </c>
      <c r="BC8" s="111">
        <f t="shared" si="0"/>
        <v>105.50261321400779</v>
      </c>
      <c r="BD8" s="111">
        <f t="shared" si="0"/>
        <v>100.47862567944253</v>
      </c>
      <c r="BE8" s="111">
        <f t="shared" si="0"/>
        <v>98.727816626728114</v>
      </c>
      <c r="BF8" s="111">
        <f t="shared" si="0"/>
        <v>99.101575034722217</v>
      </c>
      <c r="BG8" s="111">
        <f t="shared" si="0"/>
        <v>99.339227026490079</v>
      </c>
      <c r="BH8" s="111">
        <f t="shared" si="0"/>
        <v>99.653571055523443</v>
      </c>
      <c r="BI8" s="111">
        <f t="shared" si="0"/>
        <v>99.515906928992578</v>
      </c>
      <c r="BJ8" s="111">
        <f t="shared" si="0"/>
        <v>99.307270683016284</v>
      </c>
      <c r="BK8" s="111">
        <f t="shared" si="0"/>
        <v>0</v>
      </c>
      <c r="BL8" s="111">
        <f t="shared" si="0"/>
        <v>0</v>
      </c>
      <c r="BM8"/>
      <c r="BN8"/>
      <c r="BO8" s="51">
        <v>1</v>
      </c>
      <c r="BP8" s="267" t="s">
        <v>382</v>
      </c>
      <c r="BQ8" s="364" t="s">
        <v>276</v>
      </c>
      <c r="BR8" s="53" t="s">
        <v>383</v>
      </c>
      <c r="BS8" s="61" t="s">
        <v>400</v>
      </c>
      <c r="BT8" s="513">
        <v>14</v>
      </c>
      <c r="BU8" s="89">
        <f>CB8</f>
        <v>13.874220504861109</v>
      </c>
      <c r="BV8" s="89">
        <f>CH8</f>
        <v>0</v>
      </c>
      <c r="BW8" s="111" cm="1">
        <f t="array" ref="BW8:CH8">BT8*BA8:BL8/100</f>
        <v>15.4</v>
      </c>
      <c r="BX8" s="111">
        <v>15.4</v>
      </c>
      <c r="BY8" s="111">
        <v>14.77036584996109</v>
      </c>
      <c r="BZ8" s="111">
        <v>14.067007595121954</v>
      </c>
      <c r="CA8" s="111">
        <v>13.821894327741937</v>
      </c>
      <c r="CB8" s="111">
        <v>13.874220504861109</v>
      </c>
      <c r="CC8" s="111">
        <v>13.907491783708611</v>
      </c>
      <c r="CD8" s="111">
        <v>13.951499947773282</v>
      </c>
      <c r="CE8" s="111">
        <v>13.932226970058961</v>
      </c>
      <c r="CF8" s="111">
        <v>13.903017895622279</v>
      </c>
      <c r="CG8" s="111">
        <v>0</v>
      </c>
      <c r="CH8" s="111">
        <v>0</v>
      </c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</row>
    <row r="9" spans="1:102" ht="16.5">
      <c r="A9" s="517">
        <v>2</v>
      </c>
      <c r="B9" s="267" t="s">
        <v>384</v>
      </c>
      <c r="C9" s="518"/>
      <c r="D9" s="273"/>
      <c r="E9" s="53"/>
      <c r="F9" s="61">
        <v>14</v>
      </c>
      <c r="G9" s="257"/>
      <c r="H9" s="257"/>
      <c r="I9" s="257"/>
      <c r="J9" s="257"/>
      <c r="K9" s="257"/>
      <c r="L9" s="257"/>
      <c r="M9" s="257"/>
      <c r="N9" s="257"/>
      <c r="O9" s="257"/>
      <c r="P9" s="257"/>
      <c r="Q9" s="257"/>
      <c r="R9" s="257"/>
      <c r="S9" s="257"/>
      <c r="T9" s="90"/>
      <c r="U9" s="36"/>
      <c r="V9" s="36"/>
      <c r="W9" s="51">
        <f ca="1">T.LEOK!W9</f>
        <v>2</v>
      </c>
      <c r="X9" s="267" t="s">
        <v>384</v>
      </c>
      <c r="Y9" s="518"/>
      <c r="Z9" s="53"/>
      <c r="AA9" s="53"/>
      <c r="AB9" s="53">
        <v>14</v>
      </c>
      <c r="AC9" s="142"/>
      <c r="AD9" s="142"/>
      <c r="AE9" s="142"/>
      <c r="AF9" s="142"/>
      <c r="AG9" s="142"/>
      <c r="AH9" s="142"/>
      <c r="AI9" s="142"/>
      <c r="AJ9" s="142"/>
      <c r="AK9" s="142"/>
      <c r="AL9" s="142"/>
      <c r="AM9" s="142"/>
      <c r="AN9" s="142"/>
      <c r="AO9" s="142"/>
      <c r="AP9" s="95"/>
      <c r="AS9" s="51">
        <v>2</v>
      </c>
      <c r="AT9" s="267" t="s">
        <v>384</v>
      </c>
      <c r="AU9" s="364"/>
      <c r="AV9" s="53"/>
      <c r="AW9" s="61"/>
      <c r="AX9" s="53">
        <v>14</v>
      </c>
      <c r="AY9" s="89"/>
      <c r="AZ9" s="89"/>
      <c r="BA9" s="512"/>
      <c r="BB9" s="512"/>
      <c r="BC9" s="512"/>
      <c r="BD9" s="512"/>
      <c r="BE9" s="512"/>
      <c r="BF9" s="512"/>
      <c r="BG9" s="512"/>
      <c r="BH9" s="512"/>
      <c r="BI9" s="512"/>
      <c r="BJ9" s="512"/>
      <c r="BK9" s="512"/>
      <c r="BL9" s="512"/>
      <c r="BM9"/>
      <c r="BN9"/>
      <c r="BO9" s="51">
        <v>2</v>
      </c>
      <c r="BP9" s="267" t="s">
        <v>384</v>
      </c>
      <c r="BQ9" s="364"/>
      <c r="BR9" s="53"/>
      <c r="BS9" s="61"/>
      <c r="BT9" s="513">
        <v>14</v>
      </c>
      <c r="BU9" s="89"/>
      <c r="BV9" s="89"/>
      <c r="BW9" s="512"/>
      <c r="BX9" s="512"/>
      <c r="BY9" s="512"/>
      <c r="BZ9" s="512"/>
      <c r="CA9" s="512"/>
      <c r="CB9" s="512"/>
      <c r="CC9" s="512"/>
      <c r="CD9" s="512"/>
      <c r="CE9" s="512"/>
      <c r="CF9" s="512"/>
      <c r="CG9" s="512"/>
      <c r="CH9" s="512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</row>
    <row r="10" spans="1:102" ht="16.5">
      <c r="A10" s="519"/>
      <c r="B10" s="275" t="s">
        <v>401</v>
      </c>
      <c r="C10" s="301" t="s">
        <v>278</v>
      </c>
      <c r="D10" s="273" t="s">
        <v>442</v>
      </c>
      <c r="E10" s="53" t="s">
        <v>279</v>
      </c>
      <c r="F10" s="61"/>
      <c r="G10" s="257">
        <f>N10</f>
        <v>151.34</v>
      </c>
      <c r="H10" s="257">
        <f>T10</f>
        <v>302.68</v>
      </c>
      <c r="I10" s="257">
        <f>KPI!D35</f>
        <v>25.22</v>
      </c>
      <c r="J10" s="257">
        <f>KPI!E35</f>
        <v>50.45</v>
      </c>
      <c r="K10" s="257">
        <f>KPI!F35</f>
        <v>75.67</v>
      </c>
      <c r="L10" s="257">
        <f>KPI!G35</f>
        <v>100.89</v>
      </c>
      <c r="M10" s="257">
        <f>KPI!H35</f>
        <v>126.12</v>
      </c>
      <c r="N10" s="257">
        <f>KPI!I35</f>
        <v>151.34</v>
      </c>
      <c r="O10" s="257">
        <f>KPI!J35</f>
        <v>176.56</v>
      </c>
      <c r="P10" s="257">
        <f>KPI!K35</f>
        <v>201.78</v>
      </c>
      <c r="Q10" s="257">
        <f>KPI!L35</f>
        <v>227.01</v>
      </c>
      <c r="R10" s="257">
        <f>KPI!M35</f>
        <v>252.23</v>
      </c>
      <c r="S10" s="257">
        <f>KPI!N35</f>
        <v>277.45</v>
      </c>
      <c r="T10" s="90">
        <f>KPI!O35</f>
        <v>302.68</v>
      </c>
      <c r="U10" s="36"/>
      <c r="V10" s="36"/>
      <c r="W10" s="51"/>
      <c r="X10" s="275" t="s">
        <v>401</v>
      </c>
      <c r="Y10" s="301" t="s">
        <v>278</v>
      </c>
      <c r="Z10" s="53" t="s">
        <v>442</v>
      </c>
      <c r="AA10" s="53" t="s">
        <v>279</v>
      </c>
      <c r="AB10" s="53"/>
      <c r="AC10" s="142">
        <f t="shared" ref="AC10:AC48" si="1">AJ10</f>
        <v>131.2654684786504</v>
      </c>
      <c r="AD10" s="142">
        <f t="shared" ref="AD10:AD48" si="2">AP10</f>
        <v>0</v>
      </c>
      <c r="AE10" s="142">
        <f>KPI!AH35</f>
        <v>26.386050020958503</v>
      </c>
      <c r="AF10" s="142">
        <f>KPI!AI35</f>
        <v>30.397213941437048</v>
      </c>
      <c r="AG10" s="142">
        <f>KPI!AJ35</f>
        <v>31.13457455677208</v>
      </c>
      <c r="AH10" s="142">
        <f>KPI!AK35</f>
        <v>43.83850480755909</v>
      </c>
      <c r="AI10" s="142">
        <f>KPI!AL35</f>
        <v>89.018717168924525</v>
      </c>
      <c r="AJ10" s="142">
        <f>KPI!AM35</f>
        <v>131.2654684786504</v>
      </c>
      <c r="AK10" s="142">
        <f>KPI!AN35</f>
        <v>155.86345635553599</v>
      </c>
      <c r="AL10" s="142">
        <f>KPI!AO35</f>
        <v>155.5875226039783</v>
      </c>
      <c r="AM10" s="142">
        <f>KPI!AP35</f>
        <v>167.87464569509299</v>
      </c>
      <c r="AN10" s="142">
        <f>KPI!AQ35</f>
        <v>188.31124704347118</v>
      </c>
      <c r="AO10" s="142">
        <f>KPI!AR35</f>
        <v>0</v>
      </c>
      <c r="AP10" s="95">
        <f>KPI!AS35</f>
        <v>0</v>
      </c>
      <c r="AS10" s="51"/>
      <c r="AT10" s="52" t="s">
        <v>401</v>
      </c>
      <c r="AU10" s="364" t="s">
        <v>278</v>
      </c>
      <c r="AV10" s="53" t="s">
        <v>402</v>
      </c>
      <c r="AW10" s="61" t="s">
        <v>279</v>
      </c>
      <c r="AX10" s="53"/>
      <c r="AY10" s="89">
        <f t="shared" ref="AY10:AY48" si="3">BF10</f>
        <v>110</v>
      </c>
      <c r="AZ10" s="89">
        <f t="shared" ref="AZ10:AZ48" si="4">BL10</f>
        <v>110</v>
      </c>
      <c r="BA10" s="111">
        <f>IF((2-(AE10/I10))*100&gt;110,110,(2-(AE10/I10))*100)</f>
        <v>95.376486832044009</v>
      </c>
      <c r="BB10" s="111">
        <f t="shared" ref="BB10:BL11" si="5">IF((2-(AF10/J10))*100&gt;110,110,(2-(AF10/J10))*100)</f>
        <v>110</v>
      </c>
      <c r="BC10" s="111">
        <f t="shared" si="5"/>
        <v>110</v>
      </c>
      <c r="BD10" s="111">
        <f t="shared" si="5"/>
        <v>110</v>
      </c>
      <c r="BE10" s="111">
        <f t="shared" si="5"/>
        <v>110</v>
      </c>
      <c r="BF10" s="111">
        <f t="shared" si="5"/>
        <v>110</v>
      </c>
      <c r="BG10" s="111">
        <f t="shared" si="5"/>
        <v>110</v>
      </c>
      <c r="BH10" s="111">
        <f t="shared" si="5"/>
        <v>110</v>
      </c>
      <c r="BI10" s="111">
        <f t="shared" si="5"/>
        <v>110</v>
      </c>
      <c r="BJ10" s="111">
        <f t="shared" si="5"/>
        <v>110</v>
      </c>
      <c r="BK10" s="111">
        <f t="shared" si="5"/>
        <v>110</v>
      </c>
      <c r="BL10" s="111">
        <f t="shared" si="5"/>
        <v>110</v>
      </c>
      <c r="BM10"/>
      <c r="BN10"/>
      <c r="BO10" s="51"/>
      <c r="BP10" s="52" t="s">
        <v>401</v>
      </c>
      <c r="BQ10" s="364" t="s">
        <v>278</v>
      </c>
      <c r="BR10" s="53" t="s">
        <v>402</v>
      </c>
      <c r="BS10" s="61" t="s">
        <v>279</v>
      </c>
      <c r="BT10" s="142">
        <v>4.666666666666667</v>
      </c>
      <c r="BU10" s="89">
        <f t="shared" ref="BU10:BU12" si="6">CB10</f>
        <v>5.1333333333333337</v>
      </c>
      <c r="BV10" s="89">
        <f t="shared" ref="BV10:BV12" si="7">CH10</f>
        <v>5.1333333333333337</v>
      </c>
      <c r="BW10" s="111" cm="1">
        <f t="array" ref="BW10:CH10">BT10*BA10:BL10/100</f>
        <v>4.4509027188287202</v>
      </c>
      <c r="BX10" s="111">
        <v>5.1333333333333337</v>
      </c>
      <c r="BY10" s="111">
        <v>5.1333333333333337</v>
      </c>
      <c r="BZ10" s="111">
        <v>5.1333333333333337</v>
      </c>
      <c r="CA10" s="111">
        <v>5.1333333333333337</v>
      </c>
      <c r="CB10" s="111">
        <v>5.1333333333333337</v>
      </c>
      <c r="CC10" s="111">
        <v>5.1333333333333337</v>
      </c>
      <c r="CD10" s="111">
        <v>5.1333333333333337</v>
      </c>
      <c r="CE10" s="111">
        <v>5.1333333333333337</v>
      </c>
      <c r="CF10" s="111">
        <v>5.1333333333333337</v>
      </c>
      <c r="CG10" s="111">
        <v>5.1333333333333337</v>
      </c>
      <c r="CH10" s="111">
        <v>5.1333333333333337</v>
      </c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</row>
    <row r="11" spans="1:102" ht="16.5">
      <c r="A11" s="519"/>
      <c r="B11" s="275" t="s">
        <v>403</v>
      </c>
      <c r="C11" s="301" t="s">
        <v>278</v>
      </c>
      <c r="D11" s="273" t="s">
        <v>443</v>
      </c>
      <c r="E11" s="53" t="s">
        <v>280</v>
      </c>
      <c r="F11" s="61"/>
      <c r="G11" s="257">
        <f>N11</f>
        <v>1.6</v>
      </c>
      <c r="H11" s="257">
        <f>T11</f>
        <v>3.2</v>
      </c>
      <c r="I11" s="257">
        <f>KPI!D57</f>
        <v>0.27</v>
      </c>
      <c r="J11" s="257">
        <f>KPI!E57</f>
        <v>0.53</v>
      </c>
      <c r="K11" s="257">
        <f>KPI!F57</f>
        <v>0.8</v>
      </c>
      <c r="L11" s="257">
        <f>KPI!G57</f>
        <v>1.07</v>
      </c>
      <c r="M11" s="257">
        <f>KPI!H57</f>
        <v>1.33</v>
      </c>
      <c r="N11" s="257">
        <f>KPI!I57</f>
        <v>1.6</v>
      </c>
      <c r="O11" s="257">
        <f>KPI!J57</f>
        <v>1.86</v>
      </c>
      <c r="P11" s="257">
        <f>KPI!K57</f>
        <v>2.13</v>
      </c>
      <c r="Q11" s="257">
        <f>KPI!L57</f>
        <v>2.4</v>
      </c>
      <c r="R11" s="257">
        <f>KPI!M57</f>
        <v>2.66</v>
      </c>
      <c r="S11" s="257">
        <f>KPI!N57</f>
        <v>2.93</v>
      </c>
      <c r="T11" s="90">
        <f>KPI!O57</f>
        <v>3.2</v>
      </c>
      <c r="U11" s="36"/>
      <c r="V11" s="36"/>
      <c r="W11" s="51"/>
      <c r="X11" s="275" t="s">
        <v>403</v>
      </c>
      <c r="Y11" s="301" t="s">
        <v>278</v>
      </c>
      <c r="Z11" s="53" t="s">
        <v>443</v>
      </c>
      <c r="AA11" s="53" t="s">
        <v>280</v>
      </c>
      <c r="AB11" s="53"/>
      <c r="AC11" s="142">
        <f t="shared" si="1"/>
        <v>1.3611379110731316</v>
      </c>
      <c r="AD11" s="142">
        <f t="shared" si="2"/>
        <v>0</v>
      </c>
      <c r="AE11" s="142">
        <f>KPI!AH57</f>
        <v>0.32815425457593966</v>
      </c>
      <c r="AF11" s="142">
        <f>KPI!AI57</f>
        <v>0.36962638954670829</v>
      </c>
      <c r="AG11" s="142">
        <f>KPI!AJ57</f>
        <v>0.45734452287000499</v>
      </c>
      <c r="AH11" s="142">
        <f>KPI!AK57</f>
        <v>0.59691318684363659</v>
      </c>
      <c r="AI11" s="142">
        <f>KPI!AL57</f>
        <v>1.0137959635056677</v>
      </c>
      <c r="AJ11" s="142">
        <f>KPI!AM57</f>
        <v>1.3611379110731316</v>
      </c>
      <c r="AK11" s="142">
        <f>KPI!AN57</f>
        <v>1.6419338870249161</v>
      </c>
      <c r="AL11" s="142">
        <f>KPI!AO57</f>
        <v>1.6472135459477231</v>
      </c>
      <c r="AM11" s="142">
        <f>KPI!AP57</f>
        <v>1.763059446765517</v>
      </c>
      <c r="AN11" s="142">
        <f>KPI!AQ57</f>
        <v>2.1229372264361253</v>
      </c>
      <c r="AO11" s="142">
        <f>KPI!AR57</f>
        <v>0</v>
      </c>
      <c r="AP11" s="95">
        <f>KPI!AS57</f>
        <v>0</v>
      </c>
      <c r="AS11" s="51"/>
      <c r="AT11" s="52" t="s">
        <v>403</v>
      </c>
      <c r="AU11" s="364" t="s">
        <v>278</v>
      </c>
      <c r="AV11" s="53" t="s">
        <v>404</v>
      </c>
      <c r="AW11" s="61" t="s">
        <v>280</v>
      </c>
      <c r="AX11" s="53"/>
      <c r="AY11" s="89">
        <f t="shared" si="3"/>
        <v>110</v>
      </c>
      <c r="AZ11" s="89">
        <f t="shared" si="4"/>
        <v>110</v>
      </c>
      <c r="BA11" s="111">
        <f>IF((2-(AE11/I11))*100&gt;110,110,(2-(AE11/I11))*100)</f>
        <v>78.461387194096432</v>
      </c>
      <c r="BB11" s="111">
        <f t="shared" si="5"/>
        <v>110</v>
      </c>
      <c r="BC11" s="111">
        <f t="shared" si="5"/>
        <v>110</v>
      </c>
      <c r="BD11" s="111">
        <f t="shared" si="5"/>
        <v>110</v>
      </c>
      <c r="BE11" s="111">
        <f t="shared" si="5"/>
        <v>110</v>
      </c>
      <c r="BF11" s="111">
        <f t="shared" si="5"/>
        <v>110</v>
      </c>
      <c r="BG11" s="111">
        <f t="shared" si="5"/>
        <v>110</v>
      </c>
      <c r="BH11" s="111">
        <f t="shared" si="5"/>
        <v>110</v>
      </c>
      <c r="BI11" s="111">
        <f t="shared" si="5"/>
        <v>110</v>
      </c>
      <c r="BJ11" s="111">
        <f t="shared" si="5"/>
        <v>110</v>
      </c>
      <c r="BK11" s="111">
        <f t="shared" si="5"/>
        <v>110</v>
      </c>
      <c r="BL11" s="111">
        <f t="shared" si="5"/>
        <v>110</v>
      </c>
      <c r="BM11"/>
      <c r="BN11"/>
      <c r="BO11" s="51"/>
      <c r="BP11" s="52" t="s">
        <v>403</v>
      </c>
      <c r="BQ11" s="364" t="s">
        <v>278</v>
      </c>
      <c r="BR11" s="53" t="s">
        <v>404</v>
      </c>
      <c r="BS11" s="61" t="s">
        <v>280</v>
      </c>
      <c r="BT11" s="142">
        <v>4.666666666666667</v>
      </c>
      <c r="BU11" s="89">
        <f t="shared" si="6"/>
        <v>5.1333333333333337</v>
      </c>
      <c r="BV11" s="89">
        <f t="shared" si="7"/>
        <v>5.1333333333333337</v>
      </c>
      <c r="BW11" s="111" cm="1">
        <f t="array" ref="BW11:CH11">BT11*BA11:BL11/100</f>
        <v>3.6615314023911667</v>
      </c>
      <c r="BX11" s="111">
        <v>5.1333333333333337</v>
      </c>
      <c r="BY11" s="111">
        <v>5.1333333333333337</v>
      </c>
      <c r="BZ11" s="111">
        <v>5.1333333333333337</v>
      </c>
      <c r="CA11" s="111">
        <v>5.1333333333333337</v>
      </c>
      <c r="CB11" s="111">
        <v>5.1333333333333337</v>
      </c>
      <c r="CC11" s="111">
        <v>5.1333333333333337</v>
      </c>
      <c r="CD11" s="111">
        <v>5.1333333333333337</v>
      </c>
      <c r="CE11" s="111">
        <v>5.1333333333333337</v>
      </c>
      <c r="CF11" s="111">
        <v>5.1333333333333337</v>
      </c>
      <c r="CG11" s="111">
        <v>5.1333333333333337</v>
      </c>
      <c r="CH11" s="111">
        <v>5.1333333333333337</v>
      </c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</row>
    <row r="12" spans="1:102" ht="16.5">
      <c r="A12" s="520"/>
      <c r="B12" s="275" t="s">
        <v>405</v>
      </c>
      <c r="C12" s="301" t="s">
        <v>278</v>
      </c>
      <c r="D12" s="273" t="s">
        <v>140</v>
      </c>
      <c r="E12" s="53" t="s">
        <v>406</v>
      </c>
      <c r="F12" s="61"/>
      <c r="G12" s="257">
        <f>N12</f>
        <v>14.69</v>
      </c>
      <c r="H12" s="257">
        <f>T12</f>
        <v>29.39</v>
      </c>
      <c r="I12" s="257">
        <f>KPI!D75</f>
        <v>2.4500000000000002</v>
      </c>
      <c r="J12" s="257">
        <f>KPI!E75</f>
        <v>4.9000000000000004</v>
      </c>
      <c r="K12" s="257">
        <f>KPI!F75</f>
        <v>7.35</v>
      </c>
      <c r="L12" s="257">
        <f>KPI!G75</f>
        <v>9.8000000000000007</v>
      </c>
      <c r="M12" s="257">
        <f>KPI!H75</f>
        <v>12.25</v>
      </c>
      <c r="N12" s="257">
        <f>KPI!I75</f>
        <v>14.69</v>
      </c>
      <c r="O12" s="257">
        <f>KPI!J75</f>
        <v>17.14</v>
      </c>
      <c r="P12" s="257">
        <f>KPI!K75</f>
        <v>19.59</v>
      </c>
      <c r="Q12" s="257">
        <f>KPI!L75</f>
        <v>22.04</v>
      </c>
      <c r="R12" s="257">
        <f>KPI!M75</f>
        <v>24.49</v>
      </c>
      <c r="S12" s="257">
        <f>KPI!N75</f>
        <v>26.94</v>
      </c>
      <c r="T12" s="90">
        <f>KPI!O75</f>
        <v>29.39</v>
      </c>
      <c r="U12" s="36"/>
      <c r="V12" s="36"/>
      <c r="W12" s="51"/>
      <c r="X12" s="275" t="s">
        <v>405</v>
      </c>
      <c r="Y12" s="301" t="s">
        <v>278</v>
      </c>
      <c r="Z12" s="53" t="s">
        <v>140</v>
      </c>
      <c r="AA12" s="53" t="s">
        <v>406</v>
      </c>
      <c r="AB12" s="53"/>
      <c r="AC12" s="142">
        <f t="shared" si="1"/>
        <v>10.838000000000001</v>
      </c>
      <c r="AD12" s="142">
        <f t="shared" si="2"/>
        <v>0</v>
      </c>
      <c r="AE12" s="142">
        <f>KPI!AH75</f>
        <v>2.7029999999999998</v>
      </c>
      <c r="AF12" s="142">
        <f>KPI!AI75</f>
        <v>3.355</v>
      </c>
      <c r="AG12" s="142">
        <f>KPI!AJ75</f>
        <v>3.5830000000000002</v>
      </c>
      <c r="AH12" s="142">
        <f>KPI!AK75</f>
        <v>4.8600000000000003</v>
      </c>
      <c r="AI12" s="142">
        <f>KPI!AL75</f>
        <v>8.0020000000000007</v>
      </c>
      <c r="AJ12" s="142">
        <f>KPI!AM75</f>
        <v>10.838000000000001</v>
      </c>
      <c r="AK12" s="142">
        <f>KPI!AN75</f>
        <v>12.664000000000001</v>
      </c>
      <c r="AL12" s="142">
        <f>KPI!AO75</f>
        <v>12.686000000000002</v>
      </c>
      <c r="AM12" s="142">
        <f>KPI!AP75</f>
        <v>14.169000000000002</v>
      </c>
      <c r="AN12" s="142">
        <f>KPI!AQ75</f>
        <v>16.083000000000002</v>
      </c>
      <c r="AO12" s="142">
        <f>KPI!AR75</f>
        <v>0</v>
      </c>
      <c r="AP12" s="95">
        <f>KPI!AS75</f>
        <v>0</v>
      </c>
      <c r="AS12" s="51"/>
      <c r="AT12" s="52" t="s">
        <v>405</v>
      </c>
      <c r="AU12" s="364" t="s">
        <v>278</v>
      </c>
      <c r="AV12" s="53" t="s">
        <v>140</v>
      </c>
      <c r="AW12" s="61" t="s">
        <v>406</v>
      </c>
      <c r="AX12" s="53"/>
      <c r="AY12" s="89">
        <f t="shared" si="3"/>
        <v>110</v>
      </c>
      <c r="AZ12" s="89">
        <f t="shared" si="4"/>
        <v>110</v>
      </c>
      <c r="BA12" s="111">
        <f>IF(((I12-(AE12-I12))/I12)*100&gt;110,110,((I12-(AE12-I12))/I12)*100)</f>
        <v>89.673469387755105</v>
      </c>
      <c r="BB12" s="111">
        <f t="shared" ref="BB12:BL12" si="8">IF(((J12-(AF12-J12))/J12)*100&gt;110,110,((J12-(AF12-J12))/J12)*100)</f>
        <v>110</v>
      </c>
      <c r="BC12" s="111">
        <f t="shared" si="8"/>
        <v>110</v>
      </c>
      <c r="BD12" s="111">
        <f t="shared" si="8"/>
        <v>110</v>
      </c>
      <c r="BE12" s="111">
        <f t="shared" si="8"/>
        <v>110</v>
      </c>
      <c r="BF12" s="111">
        <f t="shared" si="8"/>
        <v>110</v>
      </c>
      <c r="BG12" s="111">
        <f t="shared" si="8"/>
        <v>110</v>
      </c>
      <c r="BH12" s="111">
        <f t="shared" si="8"/>
        <v>110</v>
      </c>
      <c r="BI12" s="111">
        <f t="shared" si="8"/>
        <v>110</v>
      </c>
      <c r="BJ12" s="111">
        <f t="shared" si="8"/>
        <v>110</v>
      </c>
      <c r="BK12" s="111">
        <f t="shared" si="8"/>
        <v>110</v>
      </c>
      <c r="BL12" s="111">
        <f t="shared" si="8"/>
        <v>110</v>
      </c>
      <c r="BM12"/>
      <c r="BN12"/>
      <c r="BO12" s="51"/>
      <c r="BP12" s="52" t="s">
        <v>405</v>
      </c>
      <c r="BQ12" s="364" t="s">
        <v>278</v>
      </c>
      <c r="BR12" s="53" t="s">
        <v>140</v>
      </c>
      <c r="BS12" s="61" t="s">
        <v>406</v>
      </c>
      <c r="BT12" s="142">
        <v>4.666666666666667</v>
      </c>
      <c r="BU12" s="89">
        <f t="shared" si="6"/>
        <v>5.1333333333333337</v>
      </c>
      <c r="BV12" s="89">
        <f t="shared" si="7"/>
        <v>5.1333333333333337</v>
      </c>
      <c r="BW12" s="111" cm="1">
        <f t="array" ref="BW12:CH12">BT12*BA12:BL12/100</f>
        <v>4.1847619047619053</v>
      </c>
      <c r="BX12" s="111">
        <v>5.1333333333333337</v>
      </c>
      <c r="BY12" s="111">
        <v>5.1333333333333337</v>
      </c>
      <c r="BZ12" s="111">
        <v>5.1333333333333337</v>
      </c>
      <c r="CA12" s="111">
        <v>5.1333333333333337</v>
      </c>
      <c r="CB12" s="111">
        <v>5.1333333333333337</v>
      </c>
      <c r="CC12" s="111">
        <v>5.1333333333333337</v>
      </c>
      <c r="CD12" s="111">
        <v>5.1333333333333337</v>
      </c>
      <c r="CE12" s="111">
        <v>5.1333333333333337</v>
      </c>
      <c r="CF12" s="111">
        <v>5.1333333333333337</v>
      </c>
      <c r="CG12" s="111">
        <v>5.1333333333333337</v>
      </c>
      <c r="CH12" s="111">
        <v>5.1333333333333337</v>
      </c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</row>
    <row r="13" spans="1:102" ht="16.5">
      <c r="A13" s="519">
        <v>3</v>
      </c>
      <c r="B13" s="271" t="s">
        <v>390</v>
      </c>
      <c r="C13" s="301"/>
      <c r="D13" s="273"/>
      <c r="E13" s="53"/>
      <c r="F13" s="61">
        <v>12</v>
      </c>
      <c r="G13" s="257"/>
      <c r="H13" s="257"/>
      <c r="I13" s="257"/>
      <c r="J13" s="257"/>
      <c r="K13" s="257"/>
      <c r="L13" s="257"/>
      <c r="M13" s="257"/>
      <c r="N13" s="257"/>
      <c r="O13" s="257"/>
      <c r="P13" s="257"/>
      <c r="Q13" s="257"/>
      <c r="R13" s="257"/>
      <c r="S13" s="257"/>
      <c r="T13" s="90"/>
      <c r="U13" s="36"/>
      <c r="V13" s="36"/>
      <c r="W13" s="51">
        <f ca="1">T.LEOK!W13</f>
        <v>3</v>
      </c>
      <c r="X13" s="271" t="s">
        <v>390</v>
      </c>
      <c r="Y13" s="301"/>
      <c r="Z13" s="53"/>
      <c r="AA13" s="53"/>
      <c r="AB13" s="53">
        <v>12</v>
      </c>
      <c r="AC13" s="142"/>
      <c r="AD13" s="142"/>
      <c r="AE13" s="142"/>
      <c r="AF13" s="142"/>
      <c r="AG13" s="142"/>
      <c r="AH13" s="142"/>
      <c r="AI13" s="142"/>
      <c r="AJ13" s="142"/>
      <c r="AK13" s="142"/>
      <c r="AL13" s="142"/>
      <c r="AM13" s="142"/>
      <c r="AN13" s="142"/>
      <c r="AO13" s="142"/>
      <c r="AP13" s="95"/>
      <c r="AS13" s="51">
        <v>3</v>
      </c>
      <c r="AT13" s="267" t="s">
        <v>390</v>
      </c>
      <c r="AU13" s="364"/>
      <c r="AV13" s="53"/>
      <c r="AW13" s="61"/>
      <c r="AX13" s="53">
        <v>12</v>
      </c>
      <c r="AY13" s="89"/>
      <c r="AZ13" s="89"/>
      <c r="BA13" s="111"/>
      <c r="BB13" s="111"/>
      <c r="BC13" s="111"/>
      <c r="BD13" s="111"/>
      <c r="BE13" s="111"/>
      <c r="BF13" s="111"/>
      <c r="BG13" s="111"/>
      <c r="BH13" s="111"/>
      <c r="BI13" s="111"/>
      <c r="BJ13" s="111"/>
      <c r="BK13" s="111"/>
      <c r="BL13" s="111"/>
      <c r="BM13"/>
      <c r="BN13"/>
      <c r="BO13" s="51">
        <v>3</v>
      </c>
      <c r="BP13" s="267" t="s">
        <v>390</v>
      </c>
      <c r="BQ13" s="364"/>
      <c r="BR13" s="53"/>
      <c r="BS13" s="61"/>
      <c r="BT13" s="513">
        <v>12</v>
      </c>
      <c r="BU13" s="89"/>
      <c r="BV13" s="89"/>
      <c r="BW13" s="111"/>
      <c r="BX13" s="111"/>
      <c r="BY13" s="111"/>
      <c r="BZ13" s="111"/>
      <c r="CA13" s="111"/>
      <c r="CB13" s="111"/>
      <c r="CC13" s="111"/>
      <c r="CD13" s="111"/>
      <c r="CE13" s="111"/>
      <c r="CF13" s="111"/>
      <c r="CG13" s="111"/>
      <c r="CH13" s="111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</row>
    <row r="14" spans="1:102" ht="15.6" customHeight="1">
      <c r="A14" s="519"/>
      <c r="B14" s="275" t="s">
        <v>391</v>
      </c>
      <c r="C14" s="301" t="s">
        <v>278</v>
      </c>
      <c r="D14" s="273" t="s">
        <v>149</v>
      </c>
      <c r="E14" s="53" t="s">
        <v>407</v>
      </c>
      <c r="F14" s="61"/>
      <c r="G14" s="257">
        <f>N14</f>
        <v>10.82</v>
      </c>
      <c r="H14" s="257">
        <f>T14</f>
        <v>10.35</v>
      </c>
      <c r="I14" s="257">
        <f>KPI!D93</f>
        <v>11.44</v>
      </c>
      <c r="J14" s="257">
        <f>KPI!E93</f>
        <v>11.44</v>
      </c>
      <c r="K14" s="257">
        <f>KPI!F93</f>
        <v>11.44</v>
      </c>
      <c r="L14" s="257">
        <f>KPI!G93</f>
        <v>11.23</v>
      </c>
      <c r="M14" s="257">
        <f>KPI!H93</f>
        <v>11.03</v>
      </c>
      <c r="N14" s="257">
        <f>KPI!I93</f>
        <v>10.82</v>
      </c>
      <c r="O14" s="257">
        <f>KPI!J93</f>
        <v>10.74</v>
      </c>
      <c r="P14" s="257">
        <f>KPI!K93</f>
        <v>10.66</v>
      </c>
      <c r="Q14" s="257">
        <f>KPI!L93</f>
        <v>10.58</v>
      </c>
      <c r="R14" s="257">
        <f>KPI!M93</f>
        <v>10.51</v>
      </c>
      <c r="S14" s="257">
        <f>KPI!N93</f>
        <v>10.43</v>
      </c>
      <c r="T14" s="90">
        <f>KPI!O93</f>
        <v>10.35</v>
      </c>
      <c r="U14" s="36"/>
      <c r="V14" s="36"/>
      <c r="W14" s="51"/>
      <c r="X14" s="275" t="s">
        <v>391</v>
      </c>
      <c r="Y14" s="301" t="s">
        <v>278</v>
      </c>
      <c r="Z14" s="53" t="s">
        <v>149</v>
      </c>
      <c r="AA14" s="53" t="s">
        <v>407</v>
      </c>
      <c r="AB14" s="53"/>
      <c r="AC14" s="142">
        <f t="shared" si="1"/>
        <v>9.8068621374288316</v>
      </c>
      <c r="AD14" s="142">
        <f t="shared" si="2"/>
        <v>0</v>
      </c>
      <c r="AE14" s="142">
        <f>KPI!AH93</f>
        <v>-13.955661650139845</v>
      </c>
      <c r="AF14" s="142">
        <f>KPI!AI93</f>
        <v>-4.650942620126532</v>
      </c>
      <c r="AG14" s="142">
        <f>KPI!AJ93</f>
        <v>2.653542683207148</v>
      </c>
      <c r="AH14" s="142">
        <f>KPI!AK93</f>
        <v>7.3350255707589476</v>
      </c>
      <c r="AI14" s="142">
        <f>KPI!AL93</f>
        <v>9.5498288721732809</v>
      </c>
      <c r="AJ14" s="142">
        <f>KPI!AM93</f>
        <v>9.8068621374288316</v>
      </c>
      <c r="AK14" s="142">
        <f>KPI!AN93</f>
        <v>10.690451858883089</v>
      </c>
      <c r="AL14" s="142">
        <f>KPI!AO93</f>
        <v>10.794904975039504</v>
      </c>
      <c r="AM14" s="142">
        <f>KPI!AP93</f>
        <v>11.082476818198327</v>
      </c>
      <c r="AN14" s="142">
        <f>KPI!AQ93</f>
        <v>11.02411790225006</v>
      </c>
      <c r="AO14" s="142">
        <f>KPI!AR93</f>
        <v>0</v>
      </c>
      <c r="AP14" s="95">
        <f>KPI!AS93</f>
        <v>0</v>
      </c>
      <c r="AS14" s="51"/>
      <c r="AT14" s="52" t="s">
        <v>391</v>
      </c>
      <c r="AU14" s="364" t="s">
        <v>278</v>
      </c>
      <c r="AV14" s="53" t="s">
        <v>149</v>
      </c>
      <c r="AW14" s="61" t="s">
        <v>407</v>
      </c>
      <c r="AX14" s="53"/>
      <c r="AY14" s="89">
        <f t="shared" si="3"/>
        <v>109.36356619751541</v>
      </c>
      <c r="AZ14" s="89">
        <f t="shared" si="4"/>
        <v>110</v>
      </c>
      <c r="BA14" s="111">
        <f>IF((2-(AE14/I14))*100&gt;110,110,(2-(AE14/I14))*100)</f>
        <v>110</v>
      </c>
      <c r="BB14" s="111">
        <f t="shared" ref="BB14:BL14" si="9">IF((2-(AF14/J14))*100&gt;110,110,(2-(AF14/J14))*100)</f>
        <v>110</v>
      </c>
      <c r="BC14" s="111">
        <f t="shared" si="9"/>
        <v>110</v>
      </c>
      <c r="BD14" s="111">
        <f t="shared" si="9"/>
        <v>110</v>
      </c>
      <c r="BE14" s="111">
        <f t="shared" si="9"/>
        <v>110</v>
      </c>
      <c r="BF14" s="111">
        <f t="shared" si="9"/>
        <v>109.36356619751541</v>
      </c>
      <c r="BG14" s="111">
        <f t="shared" si="9"/>
        <v>100.46134209606063</v>
      </c>
      <c r="BH14" s="111">
        <f t="shared" si="9"/>
        <v>98.73447490582079</v>
      </c>
      <c r="BI14" s="111">
        <f t="shared" si="9"/>
        <v>95.250691699448709</v>
      </c>
      <c r="BJ14" s="111">
        <f t="shared" si="9"/>
        <v>95.108297790199245</v>
      </c>
      <c r="BK14" s="111">
        <f t="shared" si="9"/>
        <v>110</v>
      </c>
      <c r="BL14" s="111">
        <f t="shared" si="9"/>
        <v>110</v>
      </c>
      <c r="BM14"/>
      <c r="BN14"/>
      <c r="BO14" s="51"/>
      <c r="BP14" s="52" t="s">
        <v>391</v>
      </c>
      <c r="BQ14" s="364" t="s">
        <v>278</v>
      </c>
      <c r="BR14" s="53" t="s">
        <v>149</v>
      </c>
      <c r="BS14" s="61" t="s">
        <v>407</v>
      </c>
      <c r="BT14" s="53">
        <v>4</v>
      </c>
      <c r="BU14" s="89">
        <f t="shared" ref="BU14:BU16" si="10">CB14</f>
        <v>4.3745426479006166</v>
      </c>
      <c r="BV14" s="89">
        <f t="shared" ref="BV14:BV16" si="11">CH14</f>
        <v>4.4000000000000004</v>
      </c>
      <c r="BW14" s="111" cm="1">
        <f t="array" ref="BW14:CH14">BT14*BA14:BL14/100</f>
        <v>4.4000000000000004</v>
      </c>
      <c r="BX14" s="111">
        <v>4.4000000000000004</v>
      </c>
      <c r="BY14" s="111">
        <v>4.4000000000000004</v>
      </c>
      <c r="BZ14" s="111">
        <v>4.4000000000000004</v>
      </c>
      <c r="CA14" s="111">
        <v>4.4000000000000004</v>
      </c>
      <c r="CB14" s="111">
        <v>4.3745426479006166</v>
      </c>
      <c r="CC14" s="111">
        <v>4.0184536838424254</v>
      </c>
      <c r="CD14" s="111">
        <v>3.9493789962328316</v>
      </c>
      <c r="CE14" s="111">
        <v>3.8100276679779483</v>
      </c>
      <c r="CF14" s="111">
        <v>3.8043319116079699</v>
      </c>
      <c r="CG14" s="111">
        <v>4.4000000000000004</v>
      </c>
      <c r="CH14" s="111">
        <v>4.4000000000000004</v>
      </c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</row>
    <row r="15" spans="1:102" ht="16.5">
      <c r="A15" s="519"/>
      <c r="B15" s="275" t="s">
        <v>392</v>
      </c>
      <c r="C15" s="301" t="s">
        <v>276</v>
      </c>
      <c r="D15" s="273" t="s">
        <v>149</v>
      </c>
      <c r="E15" s="53" t="s">
        <v>408</v>
      </c>
      <c r="F15" s="61"/>
      <c r="G15" s="257">
        <f>N15</f>
        <v>40</v>
      </c>
      <c r="H15" s="257">
        <f>T15</f>
        <v>100</v>
      </c>
      <c r="I15" s="257">
        <f>KPI!D117</f>
        <v>6.67</v>
      </c>
      <c r="J15" s="257">
        <f>KPI!E117</f>
        <v>13.33</v>
      </c>
      <c r="K15" s="257">
        <f>KPI!F117</f>
        <v>20</v>
      </c>
      <c r="L15" s="257">
        <f>KPI!G117</f>
        <v>26.67</v>
      </c>
      <c r="M15" s="257">
        <f>KPI!H117</f>
        <v>33.33</v>
      </c>
      <c r="N15" s="257">
        <f>KPI!I117</f>
        <v>40</v>
      </c>
      <c r="O15" s="257">
        <f>KPI!J117</f>
        <v>50</v>
      </c>
      <c r="P15" s="257">
        <f>KPI!K117</f>
        <v>60</v>
      </c>
      <c r="Q15" s="257">
        <f>KPI!L117</f>
        <v>70</v>
      </c>
      <c r="R15" s="257">
        <f>KPI!M117</f>
        <v>80</v>
      </c>
      <c r="S15" s="257">
        <f>KPI!N117</f>
        <v>90</v>
      </c>
      <c r="T15" s="90">
        <f>KPI!O117</f>
        <v>100</v>
      </c>
      <c r="U15" s="36"/>
      <c r="V15" s="36"/>
      <c r="W15" s="51"/>
      <c r="X15" s="275" t="s">
        <v>392</v>
      </c>
      <c r="Y15" s="301" t="s">
        <v>276</v>
      </c>
      <c r="Z15" s="53" t="s">
        <v>149</v>
      </c>
      <c r="AA15" s="53" t="s">
        <v>408</v>
      </c>
      <c r="AB15" s="53"/>
      <c r="AC15" s="142">
        <f t="shared" si="1"/>
        <v>45.771333333333331</v>
      </c>
      <c r="AD15" s="142">
        <f t="shared" si="2"/>
        <v>86.000066666666669</v>
      </c>
      <c r="AE15" s="142">
        <f>KPI!AH117</f>
        <v>9.3707999999999991</v>
      </c>
      <c r="AF15" s="142">
        <f>KPI!AI117</f>
        <v>9.7013333333333325</v>
      </c>
      <c r="AG15" s="142">
        <f>KPI!AJ117</f>
        <v>16.819866666666666</v>
      </c>
      <c r="AH15" s="142">
        <f>KPI!AK117</f>
        <v>24.103666666666665</v>
      </c>
      <c r="AI15" s="142">
        <f>KPI!AL117</f>
        <v>31.534266666666667</v>
      </c>
      <c r="AJ15" s="142">
        <f>KPI!AM117</f>
        <v>45.771333333333331</v>
      </c>
      <c r="AK15" s="142">
        <f>KPI!AN117</f>
        <v>53.532466666666664</v>
      </c>
      <c r="AL15" s="142">
        <f>KPI!AO117</f>
        <v>66.910799999999995</v>
      </c>
      <c r="AM15" s="142">
        <f>KPI!AP117</f>
        <v>79.757666666666665</v>
      </c>
      <c r="AN15" s="142">
        <f>KPI!AQ117</f>
        <v>86.000066666666669</v>
      </c>
      <c r="AO15" s="142">
        <f>KPI!AR117</f>
        <v>86.000066666666669</v>
      </c>
      <c r="AP15" s="95">
        <f>KPI!AS117</f>
        <v>86.000066666666669</v>
      </c>
      <c r="AS15" s="51"/>
      <c r="AT15" s="52" t="s">
        <v>392</v>
      </c>
      <c r="AU15" s="364" t="s">
        <v>276</v>
      </c>
      <c r="AV15" s="53" t="s">
        <v>149</v>
      </c>
      <c r="AW15" s="61" t="s">
        <v>408</v>
      </c>
      <c r="AX15" s="53"/>
      <c r="AY15" s="89">
        <f t="shared" si="3"/>
        <v>110</v>
      </c>
      <c r="AZ15" s="89">
        <f t="shared" si="4"/>
        <v>86.000066666666669</v>
      </c>
      <c r="BA15" s="111">
        <f>IF(AE15/I15*100&gt;110,110,AE15/I15*100)</f>
        <v>110</v>
      </c>
      <c r="BB15" s="111">
        <f t="shared" ref="BB15:BL16" si="12">IF(AF15/J15*100&gt;110,110,AF15/J15*100)</f>
        <v>72.77819454863716</v>
      </c>
      <c r="BC15" s="111">
        <f t="shared" si="12"/>
        <v>84.09933333333332</v>
      </c>
      <c r="BD15" s="111">
        <f t="shared" si="12"/>
        <v>90.377452818397686</v>
      </c>
      <c r="BE15" s="111">
        <f t="shared" si="12"/>
        <v>94.612261226122612</v>
      </c>
      <c r="BF15" s="111">
        <f t="shared" si="12"/>
        <v>110</v>
      </c>
      <c r="BG15" s="111">
        <f t="shared" si="12"/>
        <v>107.06493333333333</v>
      </c>
      <c r="BH15" s="111">
        <f t="shared" si="12"/>
        <v>110</v>
      </c>
      <c r="BI15" s="111">
        <f t="shared" si="12"/>
        <v>110</v>
      </c>
      <c r="BJ15" s="111">
        <f t="shared" si="12"/>
        <v>107.50008333333334</v>
      </c>
      <c r="BK15" s="111">
        <f t="shared" si="12"/>
        <v>95.555629629629635</v>
      </c>
      <c r="BL15" s="111">
        <f t="shared" si="12"/>
        <v>86.000066666666669</v>
      </c>
      <c r="BM15"/>
      <c r="BN15"/>
      <c r="BO15" s="51"/>
      <c r="BP15" s="52" t="s">
        <v>392</v>
      </c>
      <c r="BQ15" s="364" t="s">
        <v>276</v>
      </c>
      <c r="BR15" s="53" t="s">
        <v>149</v>
      </c>
      <c r="BS15" s="61" t="s">
        <v>408</v>
      </c>
      <c r="BT15" s="53">
        <v>4</v>
      </c>
      <c r="BU15" s="89">
        <f t="shared" si="10"/>
        <v>4.4000000000000004</v>
      </c>
      <c r="BV15" s="89">
        <f t="shared" si="11"/>
        <v>3.4400026666666665</v>
      </c>
      <c r="BW15" s="111" cm="1">
        <f t="array" ref="BW15:CH15">BT15*BA15:BL15/100</f>
        <v>4.4000000000000004</v>
      </c>
      <c r="BX15" s="111">
        <v>2.9111277819454866</v>
      </c>
      <c r="BY15" s="111">
        <v>3.3639733333333326</v>
      </c>
      <c r="BZ15" s="111">
        <v>3.6150981127359074</v>
      </c>
      <c r="CA15" s="111">
        <v>3.7844904490449043</v>
      </c>
      <c r="CB15" s="111">
        <v>4.4000000000000004</v>
      </c>
      <c r="CC15" s="111">
        <v>4.2825973333333334</v>
      </c>
      <c r="CD15" s="111">
        <v>4.4000000000000004</v>
      </c>
      <c r="CE15" s="111">
        <v>4.4000000000000004</v>
      </c>
      <c r="CF15" s="111">
        <v>4.3000033333333336</v>
      </c>
      <c r="CG15" s="111">
        <v>3.8222251851851854</v>
      </c>
      <c r="CH15" s="111">
        <v>3.4400026666666665</v>
      </c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</row>
    <row r="16" spans="1:102" ht="16.5">
      <c r="A16" s="519"/>
      <c r="B16" s="275" t="s">
        <v>393</v>
      </c>
      <c r="C16" s="301" t="s">
        <v>276</v>
      </c>
      <c r="D16" s="273" t="s">
        <v>72</v>
      </c>
      <c r="E16" s="53" t="s">
        <v>409</v>
      </c>
      <c r="F16" s="61"/>
      <c r="G16" s="257">
        <f>N16</f>
        <v>657</v>
      </c>
      <c r="H16" s="257">
        <f>T16</f>
        <v>1091</v>
      </c>
      <c r="I16" s="257">
        <f>KPI!D131</f>
        <v>147</v>
      </c>
      <c r="J16" s="257">
        <f>KPI!E131</f>
        <v>292</v>
      </c>
      <c r="K16" s="257">
        <f>KPI!F131</f>
        <v>437</v>
      </c>
      <c r="L16" s="257">
        <f>KPI!G131</f>
        <v>583</v>
      </c>
      <c r="M16" s="257">
        <f>KPI!H131</f>
        <v>619</v>
      </c>
      <c r="N16" s="257">
        <f>KPI!I131</f>
        <v>657</v>
      </c>
      <c r="O16" s="257">
        <f>KPI!J131</f>
        <v>766</v>
      </c>
      <c r="P16" s="257">
        <f>KPI!K131</f>
        <v>875</v>
      </c>
      <c r="Q16" s="257">
        <f>KPI!L131</f>
        <v>984</v>
      </c>
      <c r="R16" s="257">
        <f>KPI!M131</f>
        <v>1091</v>
      </c>
      <c r="S16" s="257">
        <f>KPI!N131</f>
        <v>1091</v>
      </c>
      <c r="T16" s="90">
        <f>KPI!O131</f>
        <v>1091</v>
      </c>
      <c r="U16" s="36"/>
      <c r="V16" s="36"/>
      <c r="W16" s="51"/>
      <c r="X16" s="275" t="s">
        <v>393</v>
      </c>
      <c r="Y16" s="301" t="s">
        <v>276</v>
      </c>
      <c r="Z16" s="53" t="s">
        <v>72</v>
      </c>
      <c r="AA16" s="53" t="s">
        <v>409</v>
      </c>
      <c r="AB16" s="53"/>
      <c r="AC16" s="142">
        <f t="shared" si="1"/>
        <v>602</v>
      </c>
      <c r="AD16" s="142">
        <f t="shared" si="2"/>
        <v>1109</v>
      </c>
      <c r="AE16" s="142">
        <f>KPI!AH131</f>
        <v>0</v>
      </c>
      <c r="AF16" s="142">
        <f>KPI!AI131</f>
        <v>94</v>
      </c>
      <c r="AG16" s="142">
        <f>KPI!AJ131</f>
        <v>305</v>
      </c>
      <c r="AH16" s="142">
        <f>KPI!AK131</f>
        <v>394</v>
      </c>
      <c r="AI16" s="142">
        <f>KPI!AL131</f>
        <v>537</v>
      </c>
      <c r="AJ16" s="142">
        <f>KPI!AM131</f>
        <v>602</v>
      </c>
      <c r="AK16" s="142">
        <f>KPI!AN131</f>
        <v>732</v>
      </c>
      <c r="AL16" s="142">
        <f>KPI!AO131</f>
        <v>732</v>
      </c>
      <c r="AM16" s="142">
        <f>KPI!AP131</f>
        <v>1089</v>
      </c>
      <c r="AN16" s="142">
        <f>KPI!AQ131</f>
        <v>1109</v>
      </c>
      <c r="AO16" s="142">
        <f>KPI!AR131</f>
        <v>1109</v>
      </c>
      <c r="AP16" s="95">
        <f>KPI!AS131</f>
        <v>1109</v>
      </c>
      <c r="AS16" s="51"/>
      <c r="AT16" s="52" t="s">
        <v>393</v>
      </c>
      <c r="AU16" s="364" t="s">
        <v>276</v>
      </c>
      <c r="AV16" s="53" t="s">
        <v>72</v>
      </c>
      <c r="AW16" s="61" t="s">
        <v>409</v>
      </c>
      <c r="AX16" s="53">
        <v>0</v>
      </c>
      <c r="AY16" s="89">
        <f t="shared" si="3"/>
        <v>91.628614916286139</v>
      </c>
      <c r="AZ16" s="89">
        <f t="shared" si="4"/>
        <v>101.64986251145737</v>
      </c>
      <c r="BA16" s="111">
        <f>IF(AE16/I16*100&gt;110,110,AE16/I16*100)</f>
        <v>0</v>
      </c>
      <c r="BB16" s="111">
        <f t="shared" si="12"/>
        <v>32.19178082191781</v>
      </c>
      <c r="BC16" s="111">
        <f t="shared" si="12"/>
        <v>69.794050343249424</v>
      </c>
      <c r="BD16" s="111">
        <f t="shared" si="12"/>
        <v>67.581475128644939</v>
      </c>
      <c r="BE16" s="111">
        <f t="shared" si="12"/>
        <v>86.752827140549272</v>
      </c>
      <c r="BF16" s="111">
        <f t="shared" si="12"/>
        <v>91.628614916286139</v>
      </c>
      <c r="BG16" s="111">
        <f t="shared" si="12"/>
        <v>95.561357702349866</v>
      </c>
      <c r="BH16" s="111">
        <f t="shared" si="12"/>
        <v>83.657142857142858</v>
      </c>
      <c r="BI16" s="111">
        <f t="shared" si="12"/>
        <v>110</v>
      </c>
      <c r="BJ16" s="111">
        <f t="shared" si="12"/>
        <v>101.64986251145737</v>
      </c>
      <c r="BK16" s="111">
        <f t="shared" si="12"/>
        <v>101.64986251145737</v>
      </c>
      <c r="BL16" s="111">
        <f t="shared" si="12"/>
        <v>101.64986251145737</v>
      </c>
      <c r="BM16"/>
      <c r="BN16"/>
      <c r="BO16" s="51"/>
      <c r="BP16" s="52" t="s">
        <v>393</v>
      </c>
      <c r="BQ16" s="364" t="s">
        <v>276</v>
      </c>
      <c r="BR16" s="53" t="s">
        <v>72</v>
      </c>
      <c r="BS16" s="61" t="s">
        <v>409</v>
      </c>
      <c r="BT16" s="53">
        <v>4</v>
      </c>
      <c r="BU16" s="89">
        <f t="shared" si="10"/>
        <v>3.6651445966514458</v>
      </c>
      <c r="BV16" s="89">
        <f t="shared" si="11"/>
        <v>4.0659945004582951</v>
      </c>
      <c r="BW16" s="111" cm="1">
        <f t="array" ref="BW16:CH16">BT16*BA16:BL16/100</f>
        <v>0</v>
      </c>
      <c r="BX16" s="111">
        <v>1.2876712328767124</v>
      </c>
      <c r="BY16" s="111">
        <v>2.791762013729977</v>
      </c>
      <c r="BZ16" s="111">
        <v>2.7032590051457976</v>
      </c>
      <c r="CA16" s="111">
        <v>3.4701130856219708</v>
      </c>
      <c r="CB16" s="111">
        <v>3.6651445966514458</v>
      </c>
      <c r="CC16" s="111">
        <v>3.8224543080939948</v>
      </c>
      <c r="CD16" s="111">
        <v>3.3462857142857145</v>
      </c>
      <c r="CE16" s="111">
        <v>4.4000000000000004</v>
      </c>
      <c r="CF16" s="111">
        <v>4.0659945004582951</v>
      </c>
      <c r="CG16" s="111">
        <v>4.0659945004582951</v>
      </c>
      <c r="CH16" s="111">
        <v>4.0659945004582951</v>
      </c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</row>
    <row r="17" spans="1:102" s="35" customFormat="1" ht="16.5">
      <c r="A17" s="521" t="s">
        <v>283</v>
      </c>
      <c r="B17" s="55" t="s">
        <v>284</v>
      </c>
      <c r="C17" s="365"/>
      <c r="D17" s="129"/>
      <c r="E17" s="522"/>
      <c r="F17" s="139">
        <f>SUM(F18:F54)</f>
        <v>60</v>
      </c>
      <c r="G17" s="139"/>
      <c r="H17" s="139"/>
      <c r="I17" s="139"/>
      <c r="J17" s="139"/>
      <c r="K17" s="139"/>
      <c r="L17" s="139"/>
      <c r="M17" s="139"/>
      <c r="N17" s="139"/>
      <c r="O17" s="139"/>
      <c r="P17" s="139"/>
      <c r="Q17" s="139"/>
      <c r="R17" s="139"/>
      <c r="S17" s="139"/>
      <c r="T17" s="168"/>
      <c r="U17" s="34"/>
      <c r="V17" s="34"/>
      <c r="W17" s="47" t="str">
        <f ca="1">T.LEOK!W17:X17</f>
        <v>II</v>
      </c>
      <c r="X17" s="55" t="s">
        <v>284</v>
      </c>
      <c r="Y17" s="365"/>
      <c r="Z17" s="50"/>
      <c r="AA17" s="522"/>
      <c r="AB17" s="139">
        <v>60</v>
      </c>
      <c r="AC17" s="533"/>
      <c r="AD17" s="533"/>
      <c r="AE17" s="533"/>
      <c r="AF17" s="163"/>
      <c r="AG17" s="533"/>
      <c r="AH17" s="533"/>
      <c r="AI17" s="533"/>
      <c r="AJ17" s="533"/>
      <c r="AK17" s="533"/>
      <c r="AL17" s="163"/>
      <c r="AM17" s="533"/>
      <c r="AN17" s="533"/>
      <c r="AO17" s="533"/>
      <c r="AP17" s="163"/>
      <c r="AS17" s="47" t="s">
        <v>283</v>
      </c>
      <c r="AT17" s="48" t="s">
        <v>284</v>
      </c>
      <c r="AU17" s="363"/>
      <c r="AV17" s="50"/>
      <c r="AW17" s="48"/>
      <c r="AX17" s="139">
        <v>60</v>
      </c>
      <c r="AY17" s="139"/>
      <c r="AZ17" s="139"/>
      <c r="BA17" s="168"/>
      <c r="BB17" s="168"/>
      <c r="BC17" s="168"/>
      <c r="BD17" s="168"/>
      <c r="BE17" s="168"/>
      <c r="BF17" s="168"/>
      <c r="BG17" s="168"/>
      <c r="BH17" s="168"/>
      <c r="BI17" s="168"/>
      <c r="BJ17" s="168"/>
      <c r="BK17" s="168"/>
      <c r="BL17" s="168"/>
      <c r="BM17"/>
      <c r="BN17"/>
      <c r="BO17" s="47" t="s">
        <v>283</v>
      </c>
      <c r="BP17" s="48" t="s">
        <v>284</v>
      </c>
      <c r="BQ17" s="363"/>
      <c r="BR17" s="50"/>
      <c r="BS17" s="48"/>
      <c r="BT17" s="139">
        <v>60</v>
      </c>
      <c r="BU17" s="139"/>
      <c r="BV17" s="139"/>
      <c r="BW17" s="168"/>
      <c r="BX17" s="168"/>
      <c r="BY17" s="168"/>
      <c r="BZ17" s="168"/>
      <c r="CA17" s="168"/>
      <c r="CB17" s="168"/>
      <c r="CC17" s="168"/>
      <c r="CD17" s="168"/>
      <c r="CE17" s="168"/>
      <c r="CF17" s="168"/>
      <c r="CG17" s="168"/>
      <c r="CH17" s="168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</row>
    <row r="18" spans="1:102" ht="16.5">
      <c r="A18" s="517">
        <v>4</v>
      </c>
      <c r="B18" s="271" t="s">
        <v>285</v>
      </c>
      <c r="C18" s="301"/>
      <c r="D18" s="273"/>
      <c r="E18" s="523"/>
      <c r="F18" s="61">
        <v>9</v>
      </c>
      <c r="G18" s="257"/>
      <c r="H18" s="257"/>
      <c r="I18" s="257"/>
      <c r="J18" s="257" t="s">
        <v>444</v>
      </c>
      <c r="K18" s="257"/>
      <c r="L18" s="257"/>
      <c r="M18" s="257"/>
      <c r="N18" s="257"/>
      <c r="O18" s="257"/>
      <c r="P18" s="257"/>
      <c r="Q18" s="257"/>
      <c r="R18" s="257"/>
      <c r="S18" s="257"/>
      <c r="T18" s="90"/>
      <c r="U18" s="36"/>
      <c r="V18" s="36"/>
      <c r="W18" s="51">
        <f ca="1">T.LEOK!W18</f>
        <v>4</v>
      </c>
      <c r="X18" s="271" t="s">
        <v>285</v>
      </c>
      <c r="Y18" s="301"/>
      <c r="Z18" s="53"/>
      <c r="AA18" s="523"/>
      <c r="AB18" s="53">
        <v>9</v>
      </c>
      <c r="AC18" s="142"/>
      <c r="AD18" s="142"/>
      <c r="AE18" s="142"/>
      <c r="AF18" s="95"/>
      <c r="AG18" s="142"/>
      <c r="AH18" s="142"/>
      <c r="AI18" s="142"/>
      <c r="AJ18" s="142"/>
      <c r="AK18" s="142"/>
      <c r="AL18" s="95"/>
      <c r="AM18" s="142"/>
      <c r="AN18" s="142"/>
      <c r="AO18" s="142"/>
      <c r="AP18" s="95"/>
      <c r="AS18" s="51">
        <v>4</v>
      </c>
      <c r="AT18" s="267" t="s">
        <v>285</v>
      </c>
      <c r="AU18" s="364"/>
      <c r="AV18" s="53"/>
      <c r="AW18" s="61"/>
      <c r="AX18" s="53">
        <v>9</v>
      </c>
      <c r="AY18" s="89"/>
      <c r="AZ18" s="89"/>
      <c r="BA18" s="95"/>
      <c r="BB18" s="95"/>
      <c r="BC18" s="95"/>
      <c r="BD18" s="95"/>
      <c r="BE18" s="95"/>
      <c r="BF18" s="95"/>
      <c r="BG18" s="95"/>
      <c r="BH18" s="95"/>
      <c r="BI18" s="95"/>
      <c r="BJ18" s="95"/>
      <c r="BK18" s="95"/>
      <c r="BL18" s="95"/>
      <c r="BM18"/>
      <c r="BN18"/>
      <c r="BO18" s="51">
        <v>4</v>
      </c>
      <c r="BP18" s="267" t="s">
        <v>285</v>
      </c>
      <c r="BQ18" s="364"/>
      <c r="BR18" s="53"/>
      <c r="BS18" s="61"/>
      <c r="BT18" s="513">
        <v>9</v>
      </c>
      <c r="BU18" s="89"/>
      <c r="BV18" s="89"/>
      <c r="BW18" s="95"/>
      <c r="BX18" s="95"/>
      <c r="BY18" s="95"/>
      <c r="BZ18" s="95"/>
      <c r="CA18" s="95"/>
      <c r="CB18" s="95"/>
      <c r="CC18" s="95"/>
      <c r="CD18" s="95"/>
      <c r="CE18" s="95"/>
      <c r="CF18" s="95"/>
      <c r="CG18" s="95"/>
      <c r="CH18" s="95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</row>
    <row r="19" spans="1:102" ht="15.6" customHeight="1">
      <c r="A19" s="519"/>
      <c r="B19" s="275" t="s">
        <v>287</v>
      </c>
      <c r="C19" s="301" t="s">
        <v>278</v>
      </c>
      <c r="D19" s="273" t="s">
        <v>136</v>
      </c>
      <c r="E19" s="523" t="s">
        <v>410</v>
      </c>
      <c r="F19" s="61"/>
      <c r="G19" s="257">
        <f>N19</f>
        <v>15.999999999999998</v>
      </c>
      <c r="H19" s="257">
        <f>T19</f>
        <v>30</v>
      </c>
      <c r="I19" s="257">
        <f>PI!D11</f>
        <v>3</v>
      </c>
      <c r="J19" s="257">
        <f>PI!E11</f>
        <v>5</v>
      </c>
      <c r="K19" s="257">
        <f>PI!F11</f>
        <v>8</v>
      </c>
      <c r="L19" s="257">
        <f>PI!G11</f>
        <v>11</v>
      </c>
      <c r="M19" s="257">
        <f>PI!H11</f>
        <v>13</v>
      </c>
      <c r="N19" s="257">
        <f>PI!I11</f>
        <v>15.999999999999998</v>
      </c>
      <c r="O19" s="257">
        <f>PI!J11</f>
        <v>19</v>
      </c>
      <c r="P19" s="257">
        <f>PI!K11</f>
        <v>21</v>
      </c>
      <c r="Q19" s="257">
        <f>PI!L11</f>
        <v>24</v>
      </c>
      <c r="R19" s="257">
        <f>PI!M11</f>
        <v>27</v>
      </c>
      <c r="S19" s="257">
        <f>PI!N11</f>
        <v>29</v>
      </c>
      <c r="T19" s="90">
        <f>PI!O11</f>
        <v>30</v>
      </c>
      <c r="U19" s="36"/>
      <c r="V19" s="36"/>
      <c r="W19" s="51"/>
      <c r="X19" s="275" t="s">
        <v>287</v>
      </c>
      <c r="Y19" s="301" t="s">
        <v>278</v>
      </c>
      <c r="Z19" s="53" t="s">
        <v>136</v>
      </c>
      <c r="AA19" s="523" t="s">
        <v>410</v>
      </c>
      <c r="AB19" s="53"/>
      <c r="AC19" s="142">
        <f t="shared" si="1"/>
        <v>13</v>
      </c>
      <c r="AD19" s="142">
        <f t="shared" si="2"/>
        <v>20</v>
      </c>
      <c r="AE19" s="142">
        <f>PI!AH11</f>
        <v>2</v>
      </c>
      <c r="AF19" s="95">
        <f>PI!AI11</f>
        <v>5</v>
      </c>
      <c r="AG19" s="142">
        <f>PI!AJ11</f>
        <v>8</v>
      </c>
      <c r="AH19" s="142">
        <f>PI!AK11</f>
        <v>10</v>
      </c>
      <c r="AI19" s="142">
        <f>PI!AL11</f>
        <v>13</v>
      </c>
      <c r="AJ19" s="142">
        <f>PI!AM11</f>
        <v>13</v>
      </c>
      <c r="AK19" s="142">
        <f>PI!AN11</f>
        <v>15</v>
      </c>
      <c r="AL19" s="95">
        <f>PI!AO11</f>
        <v>15</v>
      </c>
      <c r="AM19" s="142">
        <f>PI!AP11</f>
        <v>16</v>
      </c>
      <c r="AN19" s="142">
        <f>PI!AQ11</f>
        <v>20</v>
      </c>
      <c r="AO19" s="142">
        <f>PI!AR11</f>
        <v>20</v>
      </c>
      <c r="AP19" s="95">
        <f>PI!AS11</f>
        <v>20</v>
      </c>
      <c r="AS19" s="51"/>
      <c r="AT19" s="52" t="s">
        <v>287</v>
      </c>
      <c r="AU19" s="364" t="s">
        <v>278</v>
      </c>
      <c r="AV19" s="53" t="s">
        <v>136</v>
      </c>
      <c r="AW19" s="61" t="s">
        <v>410</v>
      </c>
      <c r="AX19" s="53"/>
      <c r="AY19" s="89">
        <f t="shared" si="3"/>
        <v>110</v>
      </c>
      <c r="AZ19" s="89">
        <f t="shared" si="4"/>
        <v>110</v>
      </c>
      <c r="BA19" s="95">
        <f>IF(((I19-(AE19-I19))/I19)*100&gt;110,110,((I19-(AE19-I19))/I19)*100)</f>
        <v>110</v>
      </c>
      <c r="BB19" s="95">
        <f t="shared" ref="BB19:BL19" si="13">IF(((J19-(AF19-J19))/J19)*100&gt;110,110,((J19-(AF19-J19))/J19)*100)</f>
        <v>100</v>
      </c>
      <c r="BC19" s="95">
        <f t="shared" si="13"/>
        <v>100</v>
      </c>
      <c r="BD19" s="95">
        <f t="shared" si="13"/>
        <v>109.09090909090908</v>
      </c>
      <c r="BE19" s="95">
        <f t="shared" si="13"/>
        <v>100</v>
      </c>
      <c r="BF19" s="95">
        <f t="shared" si="13"/>
        <v>110</v>
      </c>
      <c r="BG19" s="95">
        <f t="shared" si="13"/>
        <v>110</v>
      </c>
      <c r="BH19" s="95">
        <f t="shared" si="13"/>
        <v>110</v>
      </c>
      <c r="BI19" s="95">
        <f t="shared" si="13"/>
        <v>110</v>
      </c>
      <c r="BJ19" s="95">
        <f t="shared" si="13"/>
        <v>110</v>
      </c>
      <c r="BK19" s="95">
        <f t="shared" si="13"/>
        <v>110</v>
      </c>
      <c r="BL19" s="95">
        <f t="shared" si="13"/>
        <v>110</v>
      </c>
      <c r="BM19"/>
      <c r="BN19"/>
      <c r="BO19" s="51"/>
      <c r="BP19" s="52" t="s">
        <v>287</v>
      </c>
      <c r="BQ19" s="364" t="s">
        <v>278</v>
      </c>
      <c r="BR19" s="53" t="s">
        <v>136</v>
      </c>
      <c r="BS19" s="61" t="s">
        <v>410</v>
      </c>
      <c r="BT19" s="53">
        <v>3</v>
      </c>
      <c r="BU19" s="89">
        <f t="shared" ref="BU19:BU21" si="14">CB19</f>
        <v>3.3</v>
      </c>
      <c r="BV19" s="89">
        <f t="shared" ref="BV19:BV21" si="15">CH19</f>
        <v>3.3</v>
      </c>
      <c r="BW19" s="111" cm="1">
        <f t="array" ref="BW19:CH19">BT19*BA19:BL19/100</f>
        <v>3.3</v>
      </c>
      <c r="BX19" s="95">
        <v>3</v>
      </c>
      <c r="BY19" s="95">
        <v>3</v>
      </c>
      <c r="BZ19" s="95">
        <v>3.2727272727272725</v>
      </c>
      <c r="CA19" s="95">
        <v>3</v>
      </c>
      <c r="CB19" s="95">
        <v>3.3</v>
      </c>
      <c r="CC19" s="95">
        <v>3.3</v>
      </c>
      <c r="CD19" s="95">
        <v>3.3</v>
      </c>
      <c r="CE19" s="95">
        <v>3.3</v>
      </c>
      <c r="CF19" s="95">
        <v>3.3</v>
      </c>
      <c r="CG19" s="95">
        <v>3.3</v>
      </c>
      <c r="CH19" s="95">
        <v>3.3</v>
      </c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</row>
    <row r="20" spans="1:102" ht="15.6" customHeight="1">
      <c r="A20" s="519"/>
      <c r="B20" s="275" t="s">
        <v>289</v>
      </c>
      <c r="C20" s="301" t="s">
        <v>278</v>
      </c>
      <c r="D20" s="273" t="s">
        <v>136</v>
      </c>
      <c r="E20" s="523" t="s">
        <v>411</v>
      </c>
      <c r="F20" s="61"/>
      <c r="G20" s="257">
        <f>N20</f>
        <v>22</v>
      </c>
      <c r="H20" s="257">
        <f>T20</f>
        <v>44</v>
      </c>
      <c r="I20" s="257">
        <f>PI!D12</f>
        <v>4</v>
      </c>
      <c r="J20" s="257">
        <f>PI!E12</f>
        <v>7</v>
      </c>
      <c r="K20" s="257">
        <f>PI!F12</f>
        <v>11</v>
      </c>
      <c r="L20" s="257">
        <f>PI!G12</f>
        <v>15</v>
      </c>
      <c r="M20" s="257">
        <f>PI!H12</f>
        <v>18</v>
      </c>
      <c r="N20" s="257">
        <f>PI!I12</f>
        <v>22</v>
      </c>
      <c r="O20" s="257">
        <f>PI!J12</f>
        <v>26</v>
      </c>
      <c r="P20" s="257">
        <f>PI!K12</f>
        <v>29</v>
      </c>
      <c r="Q20" s="257">
        <f>PI!L12</f>
        <v>33</v>
      </c>
      <c r="R20" s="257">
        <f>PI!M12</f>
        <v>37</v>
      </c>
      <c r="S20" s="257">
        <f>PI!N12</f>
        <v>40</v>
      </c>
      <c r="T20" s="90">
        <f>PI!O12</f>
        <v>44</v>
      </c>
      <c r="U20" s="36"/>
      <c r="V20" s="36"/>
      <c r="W20" s="51"/>
      <c r="X20" s="275" t="s">
        <v>289</v>
      </c>
      <c r="Y20" s="301" t="s">
        <v>278</v>
      </c>
      <c r="Z20" s="53" t="s">
        <v>136</v>
      </c>
      <c r="AA20" s="523" t="s">
        <v>411</v>
      </c>
      <c r="AB20" s="53"/>
      <c r="AC20" s="142">
        <f t="shared" si="1"/>
        <v>19</v>
      </c>
      <c r="AD20" s="142">
        <f t="shared" si="2"/>
        <v>29</v>
      </c>
      <c r="AE20" s="142">
        <f>PI!AH12</f>
        <v>0</v>
      </c>
      <c r="AF20" s="95">
        <f>PI!AI12</f>
        <v>2</v>
      </c>
      <c r="AG20" s="142">
        <f>PI!AJ12</f>
        <v>3</v>
      </c>
      <c r="AH20" s="142">
        <f>PI!AK12</f>
        <v>4</v>
      </c>
      <c r="AI20" s="142">
        <f>PI!AL12</f>
        <v>15</v>
      </c>
      <c r="AJ20" s="142">
        <f>PI!AM12</f>
        <v>19</v>
      </c>
      <c r="AK20" s="142">
        <f>PI!AN12</f>
        <v>20</v>
      </c>
      <c r="AL20" s="95">
        <f>PI!AO12</f>
        <v>20</v>
      </c>
      <c r="AM20" s="142">
        <f>PI!AP12</f>
        <v>21</v>
      </c>
      <c r="AN20" s="142">
        <f>PI!AQ12</f>
        <v>29</v>
      </c>
      <c r="AO20" s="142">
        <f>PI!AR12</f>
        <v>29</v>
      </c>
      <c r="AP20" s="95">
        <f>PI!AS12</f>
        <v>29</v>
      </c>
      <c r="AS20" s="51"/>
      <c r="AT20" s="52" t="s">
        <v>289</v>
      </c>
      <c r="AU20" s="364" t="s">
        <v>278</v>
      </c>
      <c r="AV20" s="53" t="s">
        <v>136</v>
      </c>
      <c r="AW20" s="61" t="s">
        <v>411</v>
      </c>
      <c r="AX20" s="53"/>
      <c r="AY20" s="89">
        <f t="shared" si="3"/>
        <v>110</v>
      </c>
      <c r="AZ20" s="89">
        <f t="shared" si="4"/>
        <v>110</v>
      </c>
      <c r="BA20" s="95">
        <f>IF((2-(AE20/I20))*100&gt;110,110,(2-(AE20/I20))*100)</f>
        <v>110</v>
      </c>
      <c r="BB20" s="95">
        <f t="shared" ref="BB20:BL20" si="16">IF((2-(AF20/J20))*100&gt;110,110,(2-(AF20/J20))*100)</f>
        <v>110</v>
      </c>
      <c r="BC20" s="95">
        <f t="shared" si="16"/>
        <v>110</v>
      </c>
      <c r="BD20" s="95">
        <f t="shared" si="16"/>
        <v>110</v>
      </c>
      <c r="BE20" s="95">
        <f t="shared" si="16"/>
        <v>110</v>
      </c>
      <c r="BF20" s="95">
        <f t="shared" si="16"/>
        <v>110</v>
      </c>
      <c r="BG20" s="95">
        <f t="shared" si="16"/>
        <v>110</v>
      </c>
      <c r="BH20" s="95">
        <f t="shared" si="16"/>
        <v>110</v>
      </c>
      <c r="BI20" s="95">
        <f t="shared" si="16"/>
        <v>110</v>
      </c>
      <c r="BJ20" s="95">
        <f t="shared" si="16"/>
        <v>110</v>
      </c>
      <c r="BK20" s="95">
        <f t="shared" si="16"/>
        <v>110</v>
      </c>
      <c r="BL20" s="95">
        <f t="shared" si="16"/>
        <v>110</v>
      </c>
      <c r="BM20"/>
      <c r="BN20"/>
      <c r="BO20" s="51"/>
      <c r="BP20" s="52" t="s">
        <v>289</v>
      </c>
      <c r="BQ20" s="364" t="s">
        <v>278</v>
      </c>
      <c r="BR20" s="53" t="s">
        <v>136</v>
      </c>
      <c r="BS20" s="61" t="s">
        <v>411</v>
      </c>
      <c r="BT20" s="53">
        <v>3</v>
      </c>
      <c r="BU20" s="89">
        <f t="shared" si="14"/>
        <v>3.3</v>
      </c>
      <c r="BV20" s="89">
        <f t="shared" si="15"/>
        <v>3.3</v>
      </c>
      <c r="BW20" s="111" cm="1">
        <f t="array" ref="BW20:CH20">BT20*BA20:BL20/100</f>
        <v>3.3</v>
      </c>
      <c r="BX20" s="95">
        <v>3.3</v>
      </c>
      <c r="BY20" s="95">
        <v>3.3</v>
      </c>
      <c r="BZ20" s="95">
        <v>3.3</v>
      </c>
      <c r="CA20" s="95">
        <v>3.3</v>
      </c>
      <c r="CB20" s="95">
        <v>3.3</v>
      </c>
      <c r="CC20" s="95">
        <v>3.3</v>
      </c>
      <c r="CD20" s="95">
        <v>3.3</v>
      </c>
      <c r="CE20" s="95">
        <v>3.3</v>
      </c>
      <c r="CF20" s="95">
        <v>3.3</v>
      </c>
      <c r="CG20" s="95">
        <v>3.3</v>
      </c>
      <c r="CH20" s="95">
        <v>3.3</v>
      </c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</row>
    <row r="21" spans="1:102" ht="33">
      <c r="A21" s="519"/>
      <c r="B21" s="275" t="s">
        <v>291</v>
      </c>
      <c r="C21" s="327" t="s">
        <v>278</v>
      </c>
      <c r="D21" s="273" t="s">
        <v>72</v>
      </c>
      <c r="E21" s="523" t="s">
        <v>412</v>
      </c>
      <c r="F21" s="61"/>
      <c r="G21" s="257">
        <f>N21</f>
        <v>1</v>
      </c>
      <c r="H21" s="257">
        <f>T21</f>
        <v>1</v>
      </c>
      <c r="I21" s="257">
        <f>PI!D36</f>
        <v>0</v>
      </c>
      <c r="J21" s="257">
        <f>PI!E36</f>
        <v>0</v>
      </c>
      <c r="K21" s="257">
        <f>PI!F36</f>
        <v>1</v>
      </c>
      <c r="L21" s="257">
        <f>PI!G36</f>
        <v>1</v>
      </c>
      <c r="M21" s="257">
        <f>PI!H36</f>
        <v>1</v>
      </c>
      <c r="N21" s="257">
        <f>PI!I36</f>
        <v>1</v>
      </c>
      <c r="O21" s="257">
        <f>PI!J36</f>
        <v>1</v>
      </c>
      <c r="P21" s="257">
        <f>PI!K36</f>
        <v>1</v>
      </c>
      <c r="Q21" s="257">
        <f>PI!L36</f>
        <v>1</v>
      </c>
      <c r="R21" s="257">
        <f>PI!M36</f>
        <v>1</v>
      </c>
      <c r="S21" s="257">
        <f>PI!N36</f>
        <v>1</v>
      </c>
      <c r="T21" s="90">
        <f>PI!O36</f>
        <v>1</v>
      </c>
      <c r="U21" s="36"/>
      <c r="V21" s="36"/>
      <c r="W21" s="51"/>
      <c r="X21" s="275" t="s">
        <v>291</v>
      </c>
      <c r="Y21" s="327" t="s">
        <v>278</v>
      </c>
      <c r="Z21" s="53" t="s">
        <v>72</v>
      </c>
      <c r="AA21" s="523" t="s">
        <v>412</v>
      </c>
      <c r="AB21" s="53"/>
      <c r="AC21" s="142">
        <f t="shared" si="1"/>
        <v>0</v>
      </c>
      <c r="AD21" s="142">
        <f t="shared" si="2"/>
        <v>0</v>
      </c>
      <c r="AE21" s="142">
        <f>PI!AH36</f>
        <v>0</v>
      </c>
      <c r="AF21" s="95">
        <f>PI!AI36</f>
        <v>0</v>
      </c>
      <c r="AG21" s="142">
        <f>PI!AJ36</f>
        <v>0</v>
      </c>
      <c r="AH21" s="142">
        <f>PI!AK36</f>
        <v>0</v>
      </c>
      <c r="AI21" s="142">
        <f>PI!AL36</f>
        <v>0</v>
      </c>
      <c r="AJ21" s="142">
        <f>PI!AM36</f>
        <v>0</v>
      </c>
      <c r="AK21" s="142">
        <f>PI!AN36</f>
        <v>0</v>
      </c>
      <c r="AL21" s="95">
        <f>PI!AO36</f>
        <v>0</v>
      </c>
      <c r="AM21" s="142">
        <f>PI!AP36</f>
        <v>0</v>
      </c>
      <c r="AN21" s="142">
        <f>PI!AQ36</f>
        <v>0</v>
      </c>
      <c r="AO21" s="142">
        <f>PI!AR36</f>
        <v>0</v>
      </c>
      <c r="AP21" s="95">
        <f>PI!AS36</f>
        <v>0</v>
      </c>
      <c r="AS21" s="51"/>
      <c r="AT21" s="52" t="s">
        <v>291</v>
      </c>
      <c r="AU21" s="364" t="s">
        <v>278</v>
      </c>
      <c r="AV21" s="53" t="s">
        <v>72</v>
      </c>
      <c r="AW21" s="61" t="s">
        <v>412</v>
      </c>
      <c r="AX21" s="53"/>
      <c r="AY21" s="89">
        <f t="shared" si="3"/>
        <v>110</v>
      </c>
      <c r="AZ21" s="89">
        <f t="shared" si="4"/>
        <v>110</v>
      </c>
      <c r="BA21" s="95">
        <f>IFERROR(IF((2-(AE21/I21))*100&gt;110,110,(2-(AE21/I21))*100),100)</f>
        <v>100</v>
      </c>
      <c r="BB21" s="95">
        <f t="shared" ref="BB21:BL21" si="17">IFERROR(IF((2-(AF21/J21))*100&gt;110,110,(2-(AF21/J21))*100),100)</f>
        <v>100</v>
      </c>
      <c r="BC21" s="95">
        <f t="shared" si="17"/>
        <v>110</v>
      </c>
      <c r="BD21" s="95">
        <f t="shared" si="17"/>
        <v>110</v>
      </c>
      <c r="BE21" s="95">
        <f t="shared" si="17"/>
        <v>110</v>
      </c>
      <c r="BF21" s="95">
        <f t="shared" si="17"/>
        <v>110</v>
      </c>
      <c r="BG21" s="95">
        <f t="shared" si="17"/>
        <v>110</v>
      </c>
      <c r="BH21" s="95">
        <f t="shared" si="17"/>
        <v>110</v>
      </c>
      <c r="BI21" s="95">
        <f t="shared" si="17"/>
        <v>110</v>
      </c>
      <c r="BJ21" s="95">
        <f t="shared" si="17"/>
        <v>110</v>
      </c>
      <c r="BK21" s="95">
        <f t="shared" si="17"/>
        <v>110</v>
      </c>
      <c r="BL21" s="95">
        <f t="shared" si="17"/>
        <v>110</v>
      </c>
      <c r="BM21"/>
      <c r="BN21"/>
      <c r="BO21" s="51"/>
      <c r="BP21" s="52" t="s">
        <v>291</v>
      </c>
      <c r="BQ21" s="364" t="s">
        <v>278</v>
      </c>
      <c r="BR21" s="53" t="s">
        <v>72</v>
      </c>
      <c r="BS21" s="61" t="s">
        <v>412</v>
      </c>
      <c r="BT21" s="53">
        <v>3</v>
      </c>
      <c r="BU21" s="89">
        <f t="shared" si="14"/>
        <v>3.3</v>
      </c>
      <c r="BV21" s="89">
        <f t="shared" si="15"/>
        <v>3.3</v>
      </c>
      <c r="BW21" s="111" cm="1">
        <f t="array" ref="BW21:CH21">BT21*BA21:BL21/100</f>
        <v>3</v>
      </c>
      <c r="BX21" s="95">
        <v>3</v>
      </c>
      <c r="BY21" s="95">
        <v>3.3</v>
      </c>
      <c r="BZ21" s="95">
        <v>3.3</v>
      </c>
      <c r="CA21" s="95">
        <v>3.3</v>
      </c>
      <c r="CB21" s="95">
        <v>3.3</v>
      </c>
      <c r="CC21" s="95">
        <v>3.3</v>
      </c>
      <c r="CD21" s="95">
        <v>3.3</v>
      </c>
      <c r="CE21" s="95">
        <v>3.3</v>
      </c>
      <c r="CF21" s="95">
        <v>3.3</v>
      </c>
      <c r="CG21" s="95">
        <v>3.3</v>
      </c>
      <c r="CH21" s="95">
        <v>3.3</v>
      </c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</row>
    <row r="22" spans="1:102" ht="15.6" customHeight="1">
      <c r="A22" s="520">
        <v>5</v>
      </c>
      <c r="B22" s="271" t="s">
        <v>293</v>
      </c>
      <c r="C22" s="327"/>
      <c r="D22" s="524"/>
      <c r="E22" s="296"/>
      <c r="F22" s="295">
        <v>8</v>
      </c>
      <c r="G22" s="274"/>
      <c r="H22" s="274"/>
      <c r="I22" s="274"/>
      <c r="J22" s="274"/>
      <c r="K22" s="274"/>
      <c r="L22" s="274"/>
      <c r="M22" s="274"/>
      <c r="N22" s="274"/>
      <c r="O22" s="274"/>
      <c r="P22" s="274"/>
      <c r="Q22" s="274"/>
      <c r="R22" s="274"/>
      <c r="S22" s="274"/>
      <c r="T22" s="91"/>
      <c r="U22" s="36"/>
      <c r="V22" s="36"/>
      <c r="W22" s="51">
        <f ca="1">T.LEOK!W22</f>
        <v>5</v>
      </c>
      <c r="X22" s="271" t="s">
        <v>293</v>
      </c>
      <c r="Y22" s="327"/>
      <c r="Z22" s="53"/>
      <c r="AA22" s="296"/>
      <c r="AB22" s="53">
        <v>8</v>
      </c>
      <c r="AC22" s="142"/>
      <c r="AD22" s="142"/>
      <c r="AE22" s="142"/>
      <c r="AF22" s="95"/>
      <c r="AG22" s="142"/>
      <c r="AH22" s="142"/>
      <c r="AI22" s="142"/>
      <c r="AJ22" s="142"/>
      <c r="AK22" s="142"/>
      <c r="AL22" s="95"/>
      <c r="AM22" s="142"/>
      <c r="AN22" s="142"/>
      <c r="AO22" s="142"/>
      <c r="AP22" s="95"/>
      <c r="AS22" s="51">
        <v>5</v>
      </c>
      <c r="AT22" s="267" t="s">
        <v>293</v>
      </c>
      <c r="AU22" s="364"/>
      <c r="AV22" s="53"/>
      <c r="AW22" s="61"/>
      <c r="AX22" s="53">
        <v>8</v>
      </c>
      <c r="AY22" s="89"/>
      <c r="AZ22" s="89"/>
      <c r="BA22" s="227"/>
      <c r="BB22" s="227"/>
      <c r="BC22" s="227"/>
      <c r="BD22" s="227"/>
      <c r="BE22" s="227"/>
      <c r="BF22" s="227"/>
      <c r="BG22" s="227"/>
      <c r="BH22" s="227"/>
      <c r="BI22" s="227"/>
      <c r="BJ22" s="227"/>
      <c r="BK22" s="227"/>
      <c r="BL22" s="227"/>
      <c r="BM22"/>
      <c r="BN22"/>
      <c r="BO22" s="51">
        <v>5</v>
      </c>
      <c r="BP22" s="267" t="s">
        <v>293</v>
      </c>
      <c r="BQ22" s="364"/>
      <c r="BR22" s="53"/>
      <c r="BS22" s="61"/>
      <c r="BT22" s="513">
        <v>8</v>
      </c>
      <c r="BU22" s="89"/>
      <c r="BV22" s="89"/>
      <c r="BW22" s="227"/>
      <c r="BX22" s="227"/>
      <c r="BY22" s="227"/>
      <c r="BZ22" s="227"/>
      <c r="CA22" s="227"/>
      <c r="CB22" s="227"/>
      <c r="CC22" s="227"/>
      <c r="CD22" s="227"/>
      <c r="CE22" s="227"/>
      <c r="CF22" s="227"/>
      <c r="CG22" s="227"/>
      <c r="CH22" s="227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</row>
    <row r="23" spans="1:102" ht="15.6" customHeight="1">
      <c r="A23" s="519"/>
      <c r="B23" s="275" t="s">
        <v>294</v>
      </c>
      <c r="C23" s="327" t="s">
        <v>278</v>
      </c>
      <c r="D23" s="273" t="s">
        <v>149</v>
      </c>
      <c r="E23" s="296" t="s">
        <v>413</v>
      </c>
      <c r="F23" s="295"/>
      <c r="G23" s="274">
        <f>N23</f>
        <v>0.09</v>
      </c>
      <c r="H23" s="274">
        <f>T23</f>
        <v>0.09</v>
      </c>
      <c r="I23" s="525">
        <f>PI!D58</f>
        <v>0.09</v>
      </c>
      <c r="J23" s="525">
        <f>PI!E58</f>
        <v>0.09</v>
      </c>
      <c r="K23" s="525">
        <f>PI!F58</f>
        <v>0.09</v>
      </c>
      <c r="L23" s="525">
        <f>PI!G58</f>
        <v>0.09</v>
      </c>
      <c r="M23" s="525">
        <f>PI!H58</f>
        <v>0.09</v>
      </c>
      <c r="N23" s="525">
        <f>PI!I58</f>
        <v>0.09</v>
      </c>
      <c r="O23" s="525">
        <f>PI!J58</f>
        <v>0.09</v>
      </c>
      <c r="P23" s="525">
        <f>PI!K58</f>
        <v>0.09</v>
      </c>
      <c r="Q23" s="525">
        <f>PI!L58</f>
        <v>0.09</v>
      </c>
      <c r="R23" s="525">
        <f>PI!M58</f>
        <v>0.09</v>
      </c>
      <c r="S23" s="525">
        <f>PI!N58</f>
        <v>0.09</v>
      </c>
      <c r="T23" s="526">
        <f>PI!O58</f>
        <v>0.09</v>
      </c>
      <c r="U23" s="36"/>
      <c r="V23" s="36"/>
      <c r="W23" s="51"/>
      <c r="X23" s="275" t="s">
        <v>294</v>
      </c>
      <c r="Y23" s="327" t="s">
        <v>278</v>
      </c>
      <c r="Z23" s="53" t="s">
        <v>149</v>
      </c>
      <c r="AA23" s="296" t="s">
        <v>413</v>
      </c>
      <c r="AB23" s="53"/>
      <c r="AC23" s="142">
        <f t="shared" si="1"/>
        <v>0</v>
      </c>
      <c r="AD23" s="142">
        <f t="shared" si="2"/>
        <v>0</v>
      </c>
      <c r="AE23" s="142">
        <f>PI!AH55</f>
        <v>0</v>
      </c>
      <c r="AF23" s="95">
        <f>PI!AI55</f>
        <v>0</v>
      </c>
      <c r="AG23" s="142">
        <f>PI!AJ55</f>
        <v>0</v>
      </c>
      <c r="AH23" s="142">
        <f>PI!AK55</f>
        <v>0</v>
      </c>
      <c r="AI23" s="142">
        <f>PI!AL55</f>
        <v>0</v>
      </c>
      <c r="AJ23" s="142">
        <f>PI!AM55</f>
        <v>0</v>
      </c>
      <c r="AK23" s="142">
        <f>PI!AN55</f>
        <v>0</v>
      </c>
      <c r="AL23" s="95">
        <f>PI!AO55</f>
        <v>0</v>
      </c>
      <c r="AM23" s="142">
        <f>PI!AP55</f>
        <v>0</v>
      </c>
      <c r="AN23" s="142">
        <f>PI!AQ55</f>
        <v>0</v>
      </c>
      <c r="AO23" s="142">
        <f>PI!AR55</f>
        <v>0</v>
      </c>
      <c r="AP23" s="95">
        <f>PI!AS55</f>
        <v>0</v>
      </c>
      <c r="AS23" s="51"/>
      <c r="AT23" s="52" t="s">
        <v>294</v>
      </c>
      <c r="AU23" s="364" t="s">
        <v>278</v>
      </c>
      <c r="AV23" s="53" t="s">
        <v>149</v>
      </c>
      <c r="AW23" s="61" t="s">
        <v>413</v>
      </c>
      <c r="AX23" s="53"/>
      <c r="AY23" s="89">
        <f t="shared" si="3"/>
        <v>110</v>
      </c>
      <c r="AZ23" s="89">
        <f t="shared" si="4"/>
        <v>110</v>
      </c>
      <c r="BA23" s="227">
        <f>IFERROR(IF((2-(AE23/I23))*100&gt;110,110,(2-(AE23/I23))*100),100)</f>
        <v>110</v>
      </c>
      <c r="BB23" s="227">
        <f t="shared" ref="BB23:BL24" si="18">IFERROR(IF((2-(AF23/J23))*100&gt;110,110,(2-(AF23/J23))*100),100)</f>
        <v>110</v>
      </c>
      <c r="BC23" s="227">
        <f t="shared" si="18"/>
        <v>110</v>
      </c>
      <c r="BD23" s="227">
        <f t="shared" si="18"/>
        <v>110</v>
      </c>
      <c r="BE23" s="227">
        <f t="shared" si="18"/>
        <v>110</v>
      </c>
      <c r="BF23" s="227">
        <f t="shared" si="18"/>
        <v>110</v>
      </c>
      <c r="BG23" s="227">
        <f t="shared" si="18"/>
        <v>110</v>
      </c>
      <c r="BH23" s="227">
        <f t="shared" si="18"/>
        <v>110</v>
      </c>
      <c r="BI23" s="227">
        <f t="shared" si="18"/>
        <v>110</v>
      </c>
      <c r="BJ23" s="227">
        <f t="shared" si="18"/>
        <v>110</v>
      </c>
      <c r="BK23" s="227">
        <f t="shared" si="18"/>
        <v>110</v>
      </c>
      <c r="BL23" s="227">
        <f t="shared" si="18"/>
        <v>110</v>
      </c>
      <c r="BM23"/>
      <c r="BN23"/>
      <c r="BO23" s="51"/>
      <c r="BP23" s="52" t="s">
        <v>294</v>
      </c>
      <c r="BQ23" s="364" t="s">
        <v>278</v>
      </c>
      <c r="BR23" s="53" t="s">
        <v>149</v>
      </c>
      <c r="BS23" s="61" t="s">
        <v>413</v>
      </c>
      <c r="BT23" s="53">
        <v>2</v>
      </c>
      <c r="BU23" s="89">
        <f t="shared" ref="BU23:BU26" si="19">CB23</f>
        <v>2.2000000000000002</v>
      </c>
      <c r="BV23" s="89">
        <f t="shared" ref="BV23:BV26" si="20">CH23</f>
        <v>2.2000000000000002</v>
      </c>
      <c r="BW23" s="111" cm="1">
        <f t="array" ref="BW23:CH23">BT23*BA23:BL23/100</f>
        <v>2.2000000000000002</v>
      </c>
      <c r="BX23" s="227">
        <v>2.2000000000000002</v>
      </c>
      <c r="BY23" s="227">
        <v>2.2000000000000002</v>
      </c>
      <c r="BZ23" s="227">
        <v>2.2000000000000002</v>
      </c>
      <c r="CA23" s="227">
        <v>2.2000000000000002</v>
      </c>
      <c r="CB23" s="227">
        <v>2.2000000000000002</v>
      </c>
      <c r="CC23" s="227">
        <v>2.2000000000000002</v>
      </c>
      <c r="CD23" s="227">
        <v>2.2000000000000002</v>
      </c>
      <c r="CE23" s="227">
        <v>2.2000000000000002</v>
      </c>
      <c r="CF23" s="227">
        <v>2.2000000000000002</v>
      </c>
      <c r="CG23" s="227">
        <v>2.2000000000000002</v>
      </c>
      <c r="CH23" s="227">
        <v>2.2000000000000002</v>
      </c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</row>
    <row r="24" spans="1:102" ht="15.6" customHeight="1">
      <c r="A24" s="517"/>
      <c r="B24" s="275" t="s">
        <v>295</v>
      </c>
      <c r="C24" s="327" t="s">
        <v>278</v>
      </c>
      <c r="D24" s="273" t="s">
        <v>149</v>
      </c>
      <c r="E24" s="296" t="s">
        <v>414</v>
      </c>
      <c r="F24" s="295"/>
      <c r="G24" s="274">
        <f>N24</f>
        <v>0.04</v>
      </c>
      <c r="H24" s="274">
        <f>T24</f>
        <v>0.04</v>
      </c>
      <c r="I24" s="527">
        <f>PI!D80</f>
        <v>0.04</v>
      </c>
      <c r="J24" s="527">
        <f>PI!E80</f>
        <v>0.04</v>
      </c>
      <c r="K24" s="527">
        <f>PI!F80</f>
        <v>0.04</v>
      </c>
      <c r="L24" s="527">
        <f>PI!G80</f>
        <v>0.04</v>
      </c>
      <c r="M24" s="527">
        <f>PI!H80</f>
        <v>0.04</v>
      </c>
      <c r="N24" s="527">
        <f>PI!I80</f>
        <v>0.04</v>
      </c>
      <c r="O24" s="527">
        <f>PI!J80</f>
        <v>0.04</v>
      </c>
      <c r="P24" s="527">
        <f>PI!K80</f>
        <v>0.04</v>
      </c>
      <c r="Q24" s="527">
        <f>PI!L80</f>
        <v>0.04</v>
      </c>
      <c r="R24" s="527">
        <f>PI!M80</f>
        <v>0.04</v>
      </c>
      <c r="S24" s="527">
        <f>PI!N80</f>
        <v>0.04</v>
      </c>
      <c r="T24" s="528">
        <f>PI!O80</f>
        <v>0.04</v>
      </c>
      <c r="U24" s="36"/>
      <c r="V24" s="36"/>
      <c r="W24" s="51"/>
      <c r="X24" s="275" t="s">
        <v>295</v>
      </c>
      <c r="Y24" s="327" t="s">
        <v>278</v>
      </c>
      <c r="Z24" s="53" t="s">
        <v>149</v>
      </c>
      <c r="AA24" s="296" t="s">
        <v>414</v>
      </c>
      <c r="AB24" s="53"/>
      <c r="AC24" s="142">
        <f t="shared" si="1"/>
        <v>0</v>
      </c>
      <c r="AD24" s="142">
        <f t="shared" si="2"/>
        <v>3.0349013657056147E-2</v>
      </c>
      <c r="AE24" s="142">
        <f>PI!AH77</f>
        <v>0</v>
      </c>
      <c r="AF24" s="95">
        <f>PI!AI77</f>
        <v>0</v>
      </c>
      <c r="AG24" s="142">
        <f>PI!AJ77</f>
        <v>0</v>
      </c>
      <c r="AH24" s="142">
        <f>PI!AK77</f>
        <v>0</v>
      </c>
      <c r="AI24" s="142">
        <f>PI!AL77</f>
        <v>0</v>
      </c>
      <c r="AJ24" s="142">
        <f>PI!AM77</f>
        <v>0</v>
      </c>
      <c r="AK24" s="142">
        <f>PI!AN77</f>
        <v>0</v>
      </c>
      <c r="AL24" s="95">
        <f>PI!AO77</f>
        <v>0</v>
      </c>
      <c r="AM24" s="142">
        <f>PI!AP77</f>
        <v>0</v>
      </c>
      <c r="AN24" s="142">
        <f>PI!AQ77</f>
        <v>0</v>
      </c>
      <c r="AO24" s="142">
        <f>PI!AR77</f>
        <v>3.0349013657056147E-2</v>
      </c>
      <c r="AP24" s="95">
        <f>PI!AS77</f>
        <v>3.0349013657056147E-2</v>
      </c>
      <c r="AS24" s="51"/>
      <c r="AT24" s="52" t="s">
        <v>295</v>
      </c>
      <c r="AU24" s="364" t="s">
        <v>278</v>
      </c>
      <c r="AV24" s="53" t="s">
        <v>149</v>
      </c>
      <c r="AW24" s="61" t="s">
        <v>414</v>
      </c>
      <c r="AX24" s="53"/>
      <c r="AY24" s="89">
        <f t="shared" si="3"/>
        <v>110</v>
      </c>
      <c r="AZ24" s="89">
        <f t="shared" si="4"/>
        <v>110</v>
      </c>
      <c r="BA24" s="227">
        <f>IFERROR(IF((2-(AE24/I24))*100&gt;110,110,(2-(AE24/I24))*100),100)</f>
        <v>110</v>
      </c>
      <c r="BB24" s="227">
        <f t="shared" si="18"/>
        <v>110</v>
      </c>
      <c r="BC24" s="227">
        <f t="shared" si="18"/>
        <v>110</v>
      </c>
      <c r="BD24" s="227">
        <f t="shared" si="18"/>
        <v>110</v>
      </c>
      <c r="BE24" s="227">
        <f t="shared" si="18"/>
        <v>110</v>
      </c>
      <c r="BF24" s="227">
        <f t="shared" si="18"/>
        <v>110</v>
      </c>
      <c r="BG24" s="227">
        <f t="shared" si="18"/>
        <v>110</v>
      </c>
      <c r="BH24" s="227">
        <f t="shared" si="18"/>
        <v>110</v>
      </c>
      <c r="BI24" s="227">
        <f t="shared" si="18"/>
        <v>110</v>
      </c>
      <c r="BJ24" s="227">
        <f t="shared" si="18"/>
        <v>110</v>
      </c>
      <c r="BK24" s="227">
        <f t="shared" si="18"/>
        <v>110</v>
      </c>
      <c r="BL24" s="227">
        <f t="shared" si="18"/>
        <v>110</v>
      </c>
      <c r="BM24"/>
      <c r="BN24"/>
      <c r="BO24" s="51"/>
      <c r="BP24" s="52" t="s">
        <v>295</v>
      </c>
      <c r="BQ24" s="364" t="s">
        <v>278</v>
      </c>
      <c r="BR24" s="53" t="s">
        <v>149</v>
      </c>
      <c r="BS24" s="61" t="s">
        <v>414</v>
      </c>
      <c r="BT24" s="53">
        <v>2</v>
      </c>
      <c r="BU24" s="89">
        <f t="shared" si="19"/>
        <v>2.2000000000000002</v>
      </c>
      <c r="BV24" s="89">
        <f t="shared" si="20"/>
        <v>2.2000000000000002</v>
      </c>
      <c r="BW24" s="111" cm="1">
        <f t="array" ref="BW24:CH24">BT24*BA24:BL24/100</f>
        <v>2.2000000000000002</v>
      </c>
      <c r="BX24" s="227">
        <v>2.2000000000000002</v>
      </c>
      <c r="BY24" s="227">
        <v>2.2000000000000002</v>
      </c>
      <c r="BZ24" s="227">
        <v>2.2000000000000002</v>
      </c>
      <c r="CA24" s="227">
        <v>2.2000000000000002</v>
      </c>
      <c r="CB24" s="227">
        <v>2.2000000000000002</v>
      </c>
      <c r="CC24" s="227">
        <v>2.2000000000000002</v>
      </c>
      <c r="CD24" s="227">
        <v>2.2000000000000002</v>
      </c>
      <c r="CE24" s="227">
        <v>2.2000000000000002</v>
      </c>
      <c r="CF24" s="227">
        <v>2.2000000000000002</v>
      </c>
      <c r="CG24" s="227">
        <v>2.2000000000000002</v>
      </c>
      <c r="CH24" s="227">
        <v>2.2000000000000002</v>
      </c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</row>
    <row r="25" spans="1:102" ht="16.5">
      <c r="A25" s="519"/>
      <c r="B25" s="275" t="s">
        <v>297</v>
      </c>
      <c r="C25" s="327" t="s">
        <v>276</v>
      </c>
      <c r="D25" s="273" t="s">
        <v>193</v>
      </c>
      <c r="E25" s="296" t="s">
        <v>415</v>
      </c>
      <c r="F25" s="295"/>
      <c r="G25" s="257">
        <f>N25</f>
        <v>4.9000000000000004</v>
      </c>
      <c r="H25" s="257">
        <f>T25</f>
        <v>4.9000000000000004</v>
      </c>
      <c r="I25" s="257">
        <f>PI!D97</f>
        <v>4.9000000000000004</v>
      </c>
      <c r="J25" s="257">
        <f>PI!E97</f>
        <v>4.9000000000000004</v>
      </c>
      <c r="K25" s="257">
        <f>PI!F97</f>
        <v>4.9000000000000004</v>
      </c>
      <c r="L25" s="257">
        <f>PI!G97</f>
        <v>4.9000000000000004</v>
      </c>
      <c r="M25" s="257">
        <f>PI!H97</f>
        <v>4.9000000000000004</v>
      </c>
      <c r="N25" s="257">
        <f>PI!I97</f>
        <v>4.9000000000000004</v>
      </c>
      <c r="O25" s="257">
        <f>PI!J97</f>
        <v>4.9000000000000004</v>
      </c>
      <c r="P25" s="257">
        <f>PI!K97</f>
        <v>4.9000000000000004</v>
      </c>
      <c r="Q25" s="257">
        <f>PI!L97</f>
        <v>4.9000000000000004</v>
      </c>
      <c r="R25" s="257">
        <f>PI!M97</f>
        <v>4.9000000000000004</v>
      </c>
      <c r="S25" s="257">
        <f>PI!N97</f>
        <v>4.9000000000000004</v>
      </c>
      <c r="T25" s="90">
        <f>PI!O97</f>
        <v>4.9000000000000004</v>
      </c>
      <c r="U25" s="36"/>
      <c r="V25" s="36"/>
      <c r="W25" s="51"/>
      <c r="X25" s="275" t="s">
        <v>297</v>
      </c>
      <c r="Y25" s="327" t="s">
        <v>276</v>
      </c>
      <c r="Z25" s="53" t="s">
        <v>193</v>
      </c>
      <c r="AA25" s="296" t="s">
        <v>415</v>
      </c>
      <c r="AB25" s="53"/>
      <c r="AC25" s="142">
        <f t="shared" si="1"/>
        <v>4.9000000000000004</v>
      </c>
      <c r="AD25" s="142">
        <f t="shared" si="2"/>
        <v>4.9000000000000004</v>
      </c>
      <c r="AE25" s="142">
        <f>PI!AH97</f>
        <v>4.91</v>
      </c>
      <c r="AF25" s="95">
        <f>PI!AI97</f>
        <v>4.91</v>
      </c>
      <c r="AG25" s="142">
        <f>PI!AJ97</f>
        <v>4.91</v>
      </c>
      <c r="AH25" s="142">
        <f>PI!AK97</f>
        <v>4.91</v>
      </c>
      <c r="AI25" s="142">
        <f>PI!AL97</f>
        <v>4.9000000000000004</v>
      </c>
      <c r="AJ25" s="142">
        <f>PI!AM97</f>
        <v>4.9000000000000004</v>
      </c>
      <c r="AK25" s="142">
        <f>PI!AN97</f>
        <v>4.9000000000000004</v>
      </c>
      <c r="AL25" s="95">
        <f>PI!AO97</f>
        <v>4.9000000000000004</v>
      </c>
      <c r="AM25" s="142">
        <f>PI!AP97</f>
        <v>4.9000000000000004</v>
      </c>
      <c r="AN25" s="142">
        <f>PI!AQ97</f>
        <v>4.9000000000000004</v>
      </c>
      <c r="AO25" s="142">
        <f>PI!AR97</f>
        <v>4.9000000000000004</v>
      </c>
      <c r="AP25" s="95">
        <f>PI!AS97</f>
        <v>4.9000000000000004</v>
      </c>
      <c r="AS25" s="51"/>
      <c r="AT25" s="52" t="s">
        <v>297</v>
      </c>
      <c r="AU25" s="364" t="s">
        <v>276</v>
      </c>
      <c r="AV25" s="53" t="s">
        <v>193</v>
      </c>
      <c r="AW25" s="61" t="s">
        <v>415</v>
      </c>
      <c r="AX25" s="53"/>
      <c r="AY25" s="89">
        <f t="shared" si="3"/>
        <v>100</v>
      </c>
      <c r="AZ25" s="89">
        <f t="shared" si="4"/>
        <v>100</v>
      </c>
      <c r="BA25" s="95">
        <f>IF(AE25/I25*100&gt;110,110,AE25/I25*100)</f>
        <v>100.20408163265306</v>
      </c>
      <c r="BB25" s="95">
        <f t="shared" ref="BB25:BL26" si="21">IF(AF25/J25*100&gt;110,110,AF25/J25*100)</f>
        <v>100.20408163265306</v>
      </c>
      <c r="BC25" s="95">
        <f t="shared" si="21"/>
        <v>100.20408163265306</v>
      </c>
      <c r="BD25" s="95">
        <f t="shared" si="21"/>
        <v>100.20408163265306</v>
      </c>
      <c r="BE25" s="95">
        <f t="shared" si="21"/>
        <v>100</v>
      </c>
      <c r="BF25" s="95">
        <f t="shared" si="21"/>
        <v>100</v>
      </c>
      <c r="BG25" s="95">
        <f t="shared" si="21"/>
        <v>100</v>
      </c>
      <c r="BH25" s="95">
        <f t="shared" si="21"/>
        <v>100</v>
      </c>
      <c r="BI25" s="95">
        <f t="shared" si="21"/>
        <v>100</v>
      </c>
      <c r="BJ25" s="95">
        <f t="shared" si="21"/>
        <v>100</v>
      </c>
      <c r="BK25" s="95">
        <f t="shared" si="21"/>
        <v>100</v>
      </c>
      <c r="BL25" s="95">
        <f t="shared" si="21"/>
        <v>100</v>
      </c>
      <c r="BM25"/>
      <c r="BN25"/>
      <c r="BO25" s="51"/>
      <c r="BP25" s="52" t="s">
        <v>297</v>
      </c>
      <c r="BQ25" s="364" t="s">
        <v>276</v>
      </c>
      <c r="BR25" s="53" t="s">
        <v>193</v>
      </c>
      <c r="BS25" s="61" t="s">
        <v>415</v>
      </c>
      <c r="BT25" s="53">
        <v>2</v>
      </c>
      <c r="BU25" s="89">
        <f t="shared" si="19"/>
        <v>2</v>
      </c>
      <c r="BV25" s="89">
        <f t="shared" si="20"/>
        <v>2</v>
      </c>
      <c r="BW25" s="111" cm="1">
        <f t="array" ref="BW25:CH25">BT25*BA25:BL25/100</f>
        <v>2.0040816326530613</v>
      </c>
      <c r="BX25" s="95">
        <v>2.0040816326530613</v>
      </c>
      <c r="BY25" s="95">
        <v>2.0040816326530613</v>
      </c>
      <c r="BZ25" s="95">
        <v>2.0040816326530613</v>
      </c>
      <c r="CA25" s="95">
        <v>2</v>
      </c>
      <c r="CB25" s="95">
        <v>2</v>
      </c>
      <c r="CC25" s="95">
        <v>2</v>
      </c>
      <c r="CD25" s="95">
        <v>2</v>
      </c>
      <c r="CE25" s="95">
        <v>2</v>
      </c>
      <c r="CF25" s="95">
        <v>2</v>
      </c>
      <c r="CG25" s="95">
        <v>2</v>
      </c>
      <c r="CH25" s="95">
        <v>2</v>
      </c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</row>
    <row r="26" spans="1:102" ht="33">
      <c r="A26" s="519"/>
      <c r="B26" s="275" t="s">
        <v>299</v>
      </c>
      <c r="C26" s="327" t="s">
        <v>276</v>
      </c>
      <c r="D26" s="273" t="s">
        <v>300</v>
      </c>
      <c r="E26" s="296" t="s">
        <v>416</v>
      </c>
      <c r="F26" s="295"/>
      <c r="G26" s="257">
        <f>N26</f>
        <v>10664</v>
      </c>
      <c r="H26" s="257">
        <f>T26</f>
        <v>17774</v>
      </c>
      <c r="I26" s="257">
        <f>PI!D103</f>
        <v>1826</v>
      </c>
      <c r="J26" s="257">
        <f>PI!E103</f>
        <v>3476</v>
      </c>
      <c r="K26" s="257">
        <f>PI!F103</f>
        <v>5303</v>
      </c>
      <c r="L26" s="257">
        <f>PI!G103</f>
        <v>7070</v>
      </c>
      <c r="M26" s="257">
        <f>PI!H103</f>
        <v>8896</v>
      </c>
      <c r="N26" s="257">
        <f>PI!I103</f>
        <v>10664</v>
      </c>
      <c r="O26" s="257">
        <f>PI!J103</f>
        <v>11862</v>
      </c>
      <c r="P26" s="257">
        <f>PI!K103</f>
        <v>13060</v>
      </c>
      <c r="Q26" s="257">
        <f>PI!L103</f>
        <v>14219</v>
      </c>
      <c r="R26" s="257">
        <f>PI!M103</f>
        <v>15417</v>
      </c>
      <c r="S26" s="257">
        <f>PI!N103</f>
        <v>16576</v>
      </c>
      <c r="T26" s="90">
        <f>PI!O103</f>
        <v>17774</v>
      </c>
      <c r="U26" s="36"/>
      <c r="V26" s="36"/>
      <c r="W26" s="51"/>
      <c r="X26" s="275" t="s">
        <v>299</v>
      </c>
      <c r="Y26" s="327" t="s">
        <v>276</v>
      </c>
      <c r="Z26" s="53" t="s">
        <v>300</v>
      </c>
      <c r="AA26" s="296" t="s">
        <v>416</v>
      </c>
      <c r="AB26" s="53"/>
      <c r="AC26" s="142">
        <f t="shared" si="1"/>
        <v>12631</v>
      </c>
      <c r="AD26" s="142">
        <f t="shared" si="2"/>
        <v>0</v>
      </c>
      <c r="AE26" s="142">
        <f>PI!AH103</f>
        <v>1054</v>
      </c>
      <c r="AF26" s="95">
        <f>PI!AI103</f>
        <v>2171</v>
      </c>
      <c r="AG26" s="142">
        <f>PI!AJ103</f>
        <v>5189</v>
      </c>
      <c r="AH26" s="142">
        <f>PI!AK103</f>
        <v>7623</v>
      </c>
      <c r="AI26" s="142">
        <f>PI!AL103</f>
        <v>10199</v>
      </c>
      <c r="AJ26" s="142">
        <f>PI!AM103</f>
        <v>12631</v>
      </c>
      <c r="AK26" s="142">
        <f>PI!AN103</f>
        <v>15277</v>
      </c>
      <c r="AL26" s="95">
        <f>PI!AO103</f>
        <v>16938</v>
      </c>
      <c r="AM26" s="142">
        <f>PI!AP103</f>
        <v>18553</v>
      </c>
      <c r="AN26" s="142">
        <f>PI!AQ103</f>
        <v>20118</v>
      </c>
      <c r="AO26" s="142">
        <f>PI!AR103</f>
        <v>0</v>
      </c>
      <c r="AP26" s="95">
        <f>PI!AS103</f>
        <v>0</v>
      </c>
      <c r="AS26" s="51"/>
      <c r="AT26" s="52" t="s">
        <v>299</v>
      </c>
      <c r="AU26" s="364" t="s">
        <v>276</v>
      </c>
      <c r="AV26" s="53" t="s">
        <v>300</v>
      </c>
      <c r="AW26" s="61" t="s">
        <v>416</v>
      </c>
      <c r="AX26" s="53"/>
      <c r="AY26" s="89">
        <f t="shared" si="3"/>
        <v>110</v>
      </c>
      <c r="AZ26" s="89">
        <f t="shared" si="4"/>
        <v>0</v>
      </c>
      <c r="BA26" s="95">
        <f>IF(AE26/I26*100&gt;110,110,AE26/I26*100)</f>
        <v>57.721796276013151</v>
      </c>
      <c r="BB26" s="95">
        <f t="shared" si="21"/>
        <v>62.456846950517843</v>
      </c>
      <c r="BC26" s="95">
        <f t="shared" si="21"/>
        <v>97.850273430133882</v>
      </c>
      <c r="BD26" s="95">
        <f t="shared" si="21"/>
        <v>107.82178217821783</v>
      </c>
      <c r="BE26" s="95">
        <f t="shared" si="21"/>
        <v>110</v>
      </c>
      <c r="BF26" s="95">
        <f t="shared" si="21"/>
        <v>110</v>
      </c>
      <c r="BG26" s="95">
        <f t="shared" si="21"/>
        <v>110</v>
      </c>
      <c r="BH26" s="95">
        <f t="shared" si="21"/>
        <v>110</v>
      </c>
      <c r="BI26" s="95">
        <f t="shared" si="21"/>
        <v>110</v>
      </c>
      <c r="BJ26" s="95">
        <f t="shared" si="21"/>
        <v>110</v>
      </c>
      <c r="BK26" s="95">
        <f t="shared" si="21"/>
        <v>0</v>
      </c>
      <c r="BL26" s="95">
        <f t="shared" si="21"/>
        <v>0</v>
      </c>
      <c r="BM26"/>
      <c r="BN26"/>
      <c r="BO26" s="51"/>
      <c r="BP26" s="52" t="s">
        <v>299</v>
      </c>
      <c r="BQ26" s="364" t="s">
        <v>276</v>
      </c>
      <c r="BR26" s="53" t="s">
        <v>300</v>
      </c>
      <c r="BS26" s="61" t="s">
        <v>416</v>
      </c>
      <c r="BT26" s="53">
        <v>2</v>
      </c>
      <c r="BU26" s="89">
        <f t="shared" si="19"/>
        <v>2.2000000000000002</v>
      </c>
      <c r="BV26" s="89">
        <f t="shared" si="20"/>
        <v>0</v>
      </c>
      <c r="BW26" s="111" cm="1">
        <f t="array" ref="BW26:CH26">BT26*BA26:BL26/100</f>
        <v>1.154435925520263</v>
      </c>
      <c r="BX26" s="95">
        <v>1.2491369390103568</v>
      </c>
      <c r="BY26" s="95">
        <v>1.9570054686026777</v>
      </c>
      <c r="BZ26" s="95">
        <v>2.1564356435643566</v>
      </c>
      <c r="CA26" s="95">
        <v>2.2000000000000002</v>
      </c>
      <c r="CB26" s="95">
        <v>2.2000000000000002</v>
      </c>
      <c r="CC26" s="95">
        <v>2.2000000000000002</v>
      </c>
      <c r="CD26" s="95">
        <v>2.2000000000000002</v>
      </c>
      <c r="CE26" s="95">
        <v>2.2000000000000002</v>
      </c>
      <c r="CF26" s="95">
        <v>2.2000000000000002</v>
      </c>
      <c r="CG26" s="95">
        <v>0</v>
      </c>
      <c r="CH26" s="95">
        <v>0</v>
      </c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</row>
    <row r="27" spans="1:102" ht="16.5">
      <c r="A27" s="519">
        <v>6</v>
      </c>
      <c r="B27" s="271" t="s">
        <v>302</v>
      </c>
      <c r="C27" s="327"/>
      <c r="D27" s="273"/>
      <c r="E27" s="296"/>
      <c r="F27" s="295">
        <v>3</v>
      </c>
      <c r="G27" s="257"/>
      <c r="H27" s="257"/>
      <c r="I27" s="257"/>
      <c r="J27" s="257"/>
      <c r="K27" s="257"/>
      <c r="L27" s="257"/>
      <c r="M27" s="257"/>
      <c r="N27" s="257"/>
      <c r="O27" s="257"/>
      <c r="P27" s="257"/>
      <c r="Q27" s="257"/>
      <c r="R27" s="257"/>
      <c r="S27" s="257"/>
      <c r="T27" s="90"/>
      <c r="U27" s="36"/>
      <c r="V27" s="36"/>
      <c r="W27" s="51">
        <f ca="1">T.LEOK!W27</f>
        <v>6</v>
      </c>
      <c r="X27" s="271" t="s">
        <v>302</v>
      </c>
      <c r="Y27" s="327"/>
      <c r="Z27" s="53"/>
      <c r="AA27" s="296"/>
      <c r="AB27" s="53">
        <v>3</v>
      </c>
      <c r="AC27" s="142"/>
      <c r="AD27" s="142"/>
      <c r="AE27" s="142"/>
      <c r="AF27" s="95"/>
      <c r="AG27" s="142"/>
      <c r="AH27" s="142"/>
      <c r="AI27" s="142"/>
      <c r="AJ27" s="142"/>
      <c r="AK27" s="142"/>
      <c r="AL27" s="95"/>
      <c r="AM27" s="142"/>
      <c r="AN27" s="142"/>
      <c r="AO27" s="142"/>
      <c r="AP27" s="95"/>
      <c r="AS27" s="51">
        <v>6</v>
      </c>
      <c r="AT27" s="267" t="s">
        <v>302</v>
      </c>
      <c r="AU27" s="364"/>
      <c r="AV27" s="53"/>
      <c r="AW27" s="61"/>
      <c r="AX27" s="53">
        <v>3</v>
      </c>
      <c r="AY27" s="89"/>
      <c r="AZ27" s="89"/>
      <c r="BA27" s="95"/>
      <c r="BB27" s="95"/>
      <c r="BC27" s="95"/>
      <c r="BD27" s="95"/>
      <c r="BE27" s="95"/>
      <c r="BF27" s="95"/>
      <c r="BG27" s="95"/>
      <c r="BH27" s="95"/>
      <c r="BI27" s="95"/>
      <c r="BJ27" s="95"/>
      <c r="BK27" s="95"/>
      <c r="BL27" s="95"/>
      <c r="BM27"/>
      <c r="BN27"/>
      <c r="BO27" s="51">
        <v>6</v>
      </c>
      <c r="BP27" s="267" t="s">
        <v>302</v>
      </c>
      <c r="BQ27" s="364"/>
      <c r="BR27" s="53"/>
      <c r="BS27" s="61"/>
      <c r="BT27" s="513">
        <v>3</v>
      </c>
      <c r="BU27" s="89"/>
      <c r="BV27" s="89"/>
      <c r="BW27" s="95"/>
      <c r="BX27" s="95"/>
      <c r="BY27" s="95"/>
      <c r="BZ27" s="95"/>
      <c r="CA27" s="95"/>
      <c r="CB27" s="95"/>
      <c r="CC27" s="95"/>
      <c r="CD27" s="95"/>
      <c r="CE27" s="95"/>
      <c r="CF27" s="95"/>
      <c r="CG27" s="95"/>
      <c r="CH27" s="95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</row>
    <row r="28" spans="1:102" ht="15.6" customHeight="1">
      <c r="A28" s="519"/>
      <c r="B28" s="275" t="s">
        <v>303</v>
      </c>
      <c r="C28" s="327" t="s">
        <v>278</v>
      </c>
      <c r="D28" s="273" t="s">
        <v>132</v>
      </c>
      <c r="E28" s="296" t="s">
        <v>417</v>
      </c>
      <c r="F28" s="295"/>
      <c r="G28" s="257">
        <f>N28</f>
        <v>30</v>
      </c>
      <c r="H28" s="257">
        <f>T28</f>
        <v>30</v>
      </c>
      <c r="I28" s="257">
        <f>PI!D115</f>
        <v>30</v>
      </c>
      <c r="J28" s="257">
        <f>PI!E115</f>
        <v>30</v>
      </c>
      <c r="K28" s="257">
        <f>PI!F115</f>
        <v>30</v>
      </c>
      <c r="L28" s="257">
        <f>PI!G115</f>
        <v>30</v>
      </c>
      <c r="M28" s="257">
        <f>PI!H115</f>
        <v>30</v>
      </c>
      <c r="N28" s="257">
        <f>PI!I115</f>
        <v>30</v>
      </c>
      <c r="O28" s="257">
        <f>PI!J115</f>
        <v>30</v>
      </c>
      <c r="P28" s="257">
        <f>PI!K115</f>
        <v>30</v>
      </c>
      <c r="Q28" s="257">
        <f>PI!L115</f>
        <v>30</v>
      </c>
      <c r="R28" s="257">
        <f>PI!M115</f>
        <v>30</v>
      </c>
      <c r="S28" s="257">
        <f>PI!N115</f>
        <v>30</v>
      </c>
      <c r="T28" s="90">
        <f>PI!O115</f>
        <v>30</v>
      </c>
      <c r="U28" s="36"/>
      <c r="V28" s="36"/>
      <c r="W28" s="51"/>
      <c r="X28" s="275" t="s">
        <v>303</v>
      </c>
      <c r="Y28" s="327" t="s">
        <v>278</v>
      </c>
      <c r="Z28" s="53" t="s">
        <v>132</v>
      </c>
      <c r="AA28" s="296" t="s">
        <v>417</v>
      </c>
      <c r="AB28" s="53"/>
      <c r="AC28" s="142">
        <f t="shared" si="1"/>
        <v>7.9532516180450692</v>
      </c>
      <c r="AD28" s="142">
        <f t="shared" si="2"/>
        <v>8.973954579907625</v>
      </c>
      <c r="AE28" s="142">
        <f>PI!AH115</f>
        <v>6.2834097859327196</v>
      </c>
      <c r="AF28" s="95">
        <f>PI!AI115</f>
        <v>6.3765533778148438</v>
      </c>
      <c r="AG28" s="142">
        <f>PI!AJ115</f>
        <v>6.4610717515751759</v>
      </c>
      <c r="AH28" s="142">
        <f>PI!AK115</f>
        <v>6.5008917231226153</v>
      </c>
      <c r="AI28" s="142">
        <f>PI!AL115</f>
        <v>7.8207133784980929</v>
      </c>
      <c r="AJ28" s="142">
        <f>PI!AM115</f>
        <v>7.9532516180450692</v>
      </c>
      <c r="AK28" s="142">
        <f>PI!AN115</f>
        <v>8.0479217891500525</v>
      </c>
      <c r="AL28" s="95">
        <f>PI!AO115</f>
        <v>8.3654567384501846</v>
      </c>
      <c r="AM28" s="142">
        <f>PI!AP115</f>
        <v>8.7027642371561775</v>
      </c>
      <c r="AN28" s="142">
        <f>PI!AQ115</f>
        <v>8.973954579907625</v>
      </c>
      <c r="AO28" s="142">
        <f>PI!AR115</f>
        <v>8.973954579907625</v>
      </c>
      <c r="AP28" s="95">
        <f>PI!AS115</f>
        <v>8.973954579907625</v>
      </c>
      <c r="AS28" s="51"/>
      <c r="AT28" s="52" t="s">
        <v>303</v>
      </c>
      <c r="AU28" s="364" t="s">
        <v>278</v>
      </c>
      <c r="AV28" s="53" t="s">
        <v>132</v>
      </c>
      <c r="AW28" s="61" t="s">
        <v>417</v>
      </c>
      <c r="AX28" s="53"/>
      <c r="AY28" s="89">
        <f t="shared" si="3"/>
        <v>110</v>
      </c>
      <c r="AZ28" s="89">
        <f t="shared" si="4"/>
        <v>110</v>
      </c>
      <c r="BA28" s="95">
        <f>IFERROR(IF((2-(AE28/I28))*100&gt;110,110,(2-(AE28/I28))*100),100)</f>
        <v>110</v>
      </c>
      <c r="BB28" s="95">
        <f t="shared" ref="BB28:BL28" si="22">IFERROR(IF((2-(AF28/J28))*100&gt;110,110,(2-(AF28/J28))*100),100)</f>
        <v>110</v>
      </c>
      <c r="BC28" s="95">
        <f t="shared" si="22"/>
        <v>110</v>
      </c>
      <c r="BD28" s="95">
        <f t="shared" si="22"/>
        <v>110</v>
      </c>
      <c r="BE28" s="95">
        <f t="shared" si="22"/>
        <v>110</v>
      </c>
      <c r="BF28" s="95">
        <f t="shared" si="22"/>
        <v>110</v>
      </c>
      <c r="BG28" s="95">
        <f t="shared" si="22"/>
        <v>110</v>
      </c>
      <c r="BH28" s="95">
        <f t="shared" si="22"/>
        <v>110</v>
      </c>
      <c r="BI28" s="95">
        <f t="shared" si="22"/>
        <v>110</v>
      </c>
      <c r="BJ28" s="95">
        <f t="shared" si="22"/>
        <v>110</v>
      </c>
      <c r="BK28" s="95">
        <f t="shared" si="22"/>
        <v>110</v>
      </c>
      <c r="BL28" s="95">
        <f t="shared" si="22"/>
        <v>110</v>
      </c>
      <c r="BM28"/>
      <c r="BN28"/>
      <c r="BO28" s="51"/>
      <c r="BP28" s="52" t="s">
        <v>303</v>
      </c>
      <c r="BQ28" s="364" t="s">
        <v>278</v>
      </c>
      <c r="BR28" s="53" t="s">
        <v>132</v>
      </c>
      <c r="BS28" s="61" t="s">
        <v>417</v>
      </c>
      <c r="BT28" s="53">
        <v>1.5</v>
      </c>
      <c r="BU28" s="89">
        <f t="shared" ref="BU28:BU29" si="23">CB28</f>
        <v>1.65</v>
      </c>
      <c r="BV28" s="89">
        <f t="shared" ref="BV28:BV29" si="24">CH28</f>
        <v>1.65</v>
      </c>
      <c r="BW28" s="111" cm="1">
        <f t="array" ref="BW28:CH28">BT28*BA28:BL28/100</f>
        <v>1.65</v>
      </c>
      <c r="BX28" s="95">
        <v>1.65</v>
      </c>
      <c r="BY28" s="95">
        <v>1.65</v>
      </c>
      <c r="BZ28" s="95">
        <v>1.65</v>
      </c>
      <c r="CA28" s="95">
        <v>1.65</v>
      </c>
      <c r="CB28" s="95">
        <v>1.65</v>
      </c>
      <c r="CC28" s="95">
        <v>1.65</v>
      </c>
      <c r="CD28" s="95">
        <v>1.65</v>
      </c>
      <c r="CE28" s="95">
        <v>1.65</v>
      </c>
      <c r="CF28" s="95">
        <v>1.65</v>
      </c>
      <c r="CG28" s="95">
        <v>1.65</v>
      </c>
      <c r="CH28" s="95">
        <v>1.65</v>
      </c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</row>
    <row r="29" spans="1:102" ht="33">
      <c r="A29" s="519"/>
      <c r="B29" s="275" t="s">
        <v>304</v>
      </c>
      <c r="C29" s="327" t="s">
        <v>276</v>
      </c>
      <c r="D29" s="273" t="s">
        <v>149</v>
      </c>
      <c r="E29" s="296" t="s">
        <v>418</v>
      </c>
      <c r="F29" s="295"/>
      <c r="G29" s="257">
        <f>N29</f>
        <v>0</v>
      </c>
      <c r="H29" s="257">
        <f>T29</f>
        <v>0</v>
      </c>
      <c r="I29" s="257">
        <f>PI!D131</f>
        <v>0</v>
      </c>
      <c r="J29" s="257">
        <f>PI!E131</f>
        <v>0</v>
      </c>
      <c r="K29" s="257">
        <f>PI!F131</f>
        <v>0</v>
      </c>
      <c r="L29" s="257">
        <f>PI!G131</f>
        <v>0</v>
      </c>
      <c r="M29" s="257">
        <f>PI!H131</f>
        <v>0</v>
      </c>
      <c r="N29" s="257">
        <f>PI!I131</f>
        <v>0</v>
      </c>
      <c r="O29" s="257">
        <f>PI!J131</f>
        <v>0</v>
      </c>
      <c r="P29" s="257">
        <f>PI!K131</f>
        <v>0</v>
      </c>
      <c r="Q29" s="257">
        <f>PI!L131</f>
        <v>0</v>
      </c>
      <c r="R29" s="257">
        <f>PI!M131</f>
        <v>0</v>
      </c>
      <c r="S29" s="257">
        <f>PI!N131</f>
        <v>0</v>
      </c>
      <c r="T29" s="90">
        <f>PI!O131</f>
        <v>0</v>
      </c>
      <c r="U29" s="36"/>
      <c r="V29" s="36"/>
      <c r="W29" s="51"/>
      <c r="X29" s="275" t="s">
        <v>304</v>
      </c>
      <c r="Y29" s="327" t="s">
        <v>276</v>
      </c>
      <c r="Z29" s="53" t="s">
        <v>149</v>
      </c>
      <c r="AA29" s="296" t="s">
        <v>418</v>
      </c>
      <c r="AB29" s="53"/>
      <c r="AC29" s="142">
        <f t="shared" si="1"/>
        <v>0</v>
      </c>
      <c r="AD29" s="142">
        <f t="shared" si="2"/>
        <v>0</v>
      </c>
      <c r="AE29" s="142">
        <f>PI!AH131</f>
        <v>0</v>
      </c>
      <c r="AF29" s="95">
        <f>PI!AI131</f>
        <v>0</v>
      </c>
      <c r="AG29" s="142">
        <f>PI!AJ131</f>
        <v>0</v>
      </c>
      <c r="AH29" s="142">
        <f>PI!AK131</f>
        <v>0</v>
      </c>
      <c r="AI29" s="142">
        <f>PI!AL131</f>
        <v>0</v>
      </c>
      <c r="AJ29" s="142">
        <f>PI!AM131</f>
        <v>0</v>
      </c>
      <c r="AK29" s="142">
        <f>PI!AN131</f>
        <v>0</v>
      </c>
      <c r="AL29" s="95">
        <f>PI!AO131</f>
        <v>0</v>
      </c>
      <c r="AM29" s="142">
        <f>PI!AP131</f>
        <v>0</v>
      </c>
      <c r="AN29" s="142">
        <f>PI!AQ131</f>
        <v>0</v>
      </c>
      <c r="AO29" s="142">
        <f>PI!AR131</f>
        <v>0</v>
      </c>
      <c r="AP29" s="95">
        <f>PI!AS131</f>
        <v>0</v>
      </c>
      <c r="AS29" s="51"/>
      <c r="AT29" s="52" t="s">
        <v>304</v>
      </c>
      <c r="AU29" s="364" t="s">
        <v>276</v>
      </c>
      <c r="AV29" s="53" t="s">
        <v>149</v>
      </c>
      <c r="AW29" s="61" t="s">
        <v>418</v>
      </c>
      <c r="AX29" s="53"/>
      <c r="AY29" s="89">
        <f t="shared" si="3"/>
        <v>100</v>
      </c>
      <c r="AZ29" s="89">
        <f t="shared" si="4"/>
        <v>100</v>
      </c>
      <c r="BA29" s="95">
        <f>IFERROR(IF(AE29/I29*100&gt;110,110,AE29/I29*100),100)</f>
        <v>100</v>
      </c>
      <c r="BB29" s="95">
        <f t="shared" ref="BB29:BL29" si="25">IFERROR(IF(AF29/J29*100&gt;110,110,AF29/J29*100),100)</f>
        <v>100</v>
      </c>
      <c r="BC29" s="95">
        <f t="shared" si="25"/>
        <v>100</v>
      </c>
      <c r="BD29" s="95">
        <f t="shared" si="25"/>
        <v>100</v>
      </c>
      <c r="BE29" s="95">
        <f t="shared" si="25"/>
        <v>100</v>
      </c>
      <c r="BF29" s="95">
        <f t="shared" si="25"/>
        <v>100</v>
      </c>
      <c r="BG29" s="95">
        <f t="shared" si="25"/>
        <v>100</v>
      </c>
      <c r="BH29" s="95">
        <f t="shared" si="25"/>
        <v>100</v>
      </c>
      <c r="BI29" s="95">
        <f t="shared" si="25"/>
        <v>100</v>
      </c>
      <c r="BJ29" s="95">
        <f t="shared" si="25"/>
        <v>100</v>
      </c>
      <c r="BK29" s="95">
        <f t="shared" si="25"/>
        <v>100</v>
      </c>
      <c r="BL29" s="95">
        <f t="shared" si="25"/>
        <v>100</v>
      </c>
      <c r="BM29"/>
      <c r="BN29"/>
      <c r="BO29" s="51"/>
      <c r="BP29" s="52" t="s">
        <v>304</v>
      </c>
      <c r="BQ29" s="364" t="s">
        <v>276</v>
      </c>
      <c r="BR29" s="53" t="s">
        <v>149</v>
      </c>
      <c r="BS29" s="61" t="s">
        <v>418</v>
      </c>
      <c r="BT29" s="53">
        <v>1.5</v>
      </c>
      <c r="BU29" s="89">
        <f t="shared" si="23"/>
        <v>1.5</v>
      </c>
      <c r="BV29" s="89">
        <f t="shared" si="24"/>
        <v>1.5</v>
      </c>
      <c r="BW29" s="111" cm="1">
        <f t="array" ref="BW29:CH29">BT29*BA29:BL29/100</f>
        <v>1.5</v>
      </c>
      <c r="BX29" s="95">
        <v>1.5</v>
      </c>
      <c r="BY29" s="95">
        <v>1.5</v>
      </c>
      <c r="BZ29" s="95">
        <v>1.5</v>
      </c>
      <c r="CA29" s="95">
        <v>1.5</v>
      </c>
      <c r="CB29" s="95">
        <v>1.5</v>
      </c>
      <c r="CC29" s="95">
        <v>1.5</v>
      </c>
      <c r="CD29" s="95">
        <v>1.5</v>
      </c>
      <c r="CE29" s="95">
        <v>1.5</v>
      </c>
      <c r="CF29" s="95">
        <v>1.5</v>
      </c>
      <c r="CG29" s="95">
        <v>1.5</v>
      </c>
      <c r="CH29" s="95">
        <v>1.5</v>
      </c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</row>
    <row r="30" spans="1:102" ht="16.5">
      <c r="A30" s="519">
        <v>7</v>
      </c>
      <c r="B30" s="271" t="s">
        <v>305</v>
      </c>
      <c r="C30" s="327"/>
      <c r="D30" s="273"/>
      <c r="E30" s="296"/>
      <c r="F30" s="295">
        <v>6</v>
      </c>
      <c r="G30" s="257"/>
      <c r="H30" s="257"/>
      <c r="I30" s="257"/>
      <c r="J30" s="257"/>
      <c r="K30" s="257"/>
      <c r="L30" s="257"/>
      <c r="M30" s="257"/>
      <c r="N30" s="257"/>
      <c r="O30" s="257"/>
      <c r="P30" s="257"/>
      <c r="Q30" s="257"/>
      <c r="R30" s="257"/>
      <c r="S30" s="257"/>
      <c r="T30" s="90"/>
      <c r="U30" s="36"/>
      <c r="V30" s="36"/>
      <c r="W30" s="51">
        <f ca="1">T.LEOK!W30</f>
        <v>7</v>
      </c>
      <c r="X30" s="271" t="s">
        <v>305</v>
      </c>
      <c r="Y30" s="327"/>
      <c r="Z30" s="53"/>
      <c r="AA30" s="296"/>
      <c r="AB30" s="53">
        <v>6</v>
      </c>
      <c r="AC30" s="142"/>
      <c r="AD30" s="142"/>
      <c r="AE30" s="142"/>
      <c r="AF30" s="95"/>
      <c r="AG30" s="142"/>
      <c r="AH30" s="142"/>
      <c r="AI30" s="142"/>
      <c r="AJ30" s="142"/>
      <c r="AK30" s="142"/>
      <c r="AL30" s="95"/>
      <c r="AM30" s="142"/>
      <c r="AN30" s="142"/>
      <c r="AO30" s="142"/>
      <c r="AP30" s="95"/>
      <c r="AS30" s="51">
        <v>7</v>
      </c>
      <c r="AT30" s="267" t="s">
        <v>305</v>
      </c>
      <c r="AU30" s="364"/>
      <c r="AV30" s="53"/>
      <c r="AW30" s="61"/>
      <c r="AX30" s="53">
        <v>6</v>
      </c>
      <c r="AY30" s="89"/>
      <c r="AZ30" s="89"/>
      <c r="BA30" s="95"/>
      <c r="BB30" s="95"/>
      <c r="BC30" s="95"/>
      <c r="BD30" s="95"/>
      <c r="BE30" s="95"/>
      <c r="BF30" s="95"/>
      <c r="BG30" s="95"/>
      <c r="BH30" s="95"/>
      <c r="BI30" s="95"/>
      <c r="BJ30" s="95"/>
      <c r="BK30" s="95"/>
      <c r="BL30" s="95"/>
      <c r="BM30"/>
      <c r="BN30"/>
      <c r="BO30" s="51">
        <v>7</v>
      </c>
      <c r="BP30" s="267" t="s">
        <v>305</v>
      </c>
      <c r="BQ30" s="364"/>
      <c r="BR30" s="53"/>
      <c r="BS30" s="61"/>
      <c r="BT30" s="513">
        <v>6</v>
      </c>
      <c r="BU30" s="89"/>
      <c r="BV30" s="89"/>
      <c r="BW30" s="95"/>
      <c r="BX30" s="95"/>
      <c r="BY30" s="95"/>
      <c r="BZ30" s="95"/>
      <c r="CA30" s="95"/>
      <c r="CB30" s="95"/>
      <c r="CC30" s="95"/>
      <c r="CD30" s="95"/>
      <c r="CE30" s="95"/>
      <c r="CF30" s="95"/>
      <c r="CG30" s="95"/>
      <c r="CH30" s="95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</row>
    <row r="31" spans="1:102" ht="16.5">
      <c r="A31" s="519"/>
      <c r="B31" s="275" t="s">
        <v>307</v>
      </c>
      <c r="C31" s="327" t="s">
        <v>276</v>
      </c>
      <c r="D31" s="273" t="s">
        <v>149</v>
      </c>
      <c r="E31" s="296" t="s">
        <v>419</v>
      </c>
      <c r="F31" s="295"/>
      <c r="G31" s="257">
        <f t="shared" ref="G31:G32" si="26">N31</f>
        <v>100</v>
      </c>
      <c r="H31" s="257">
        <f t="shared" ref="H31:H32" si="27">T31</f>
        <v>100</v>
      </c>
      <c r="I31" s="257">
        <f>PI!D148</f>
        <v>100</v>
      </c>
      <c r="J31" s="257">
        <f>PI!E148</f>
        <v>100</v>
      </c>
      <c r="K31" s="257">
        <f>PI!F148</f>
        <v>100</v>
      </c>
      <c r="L31" s="257">
        <f>PI!G148</f>
        <v>100</v>
      </c>
      <c r="M31" s="257">
        <f>PI!H148</f>
        <v>100</v>
      </c>
      <c r="N31" s="257">
        <f>PI!I148</f>
        <v>100</v>
      </c>
      <c r="O31" s="257">
        <f>PI!J148</f>
        <v>100</v>
      </c>
      <c r="P31" s="257">
        <f>PI!K148</f>
        <v>100</v>
      </c>
      <c r="Q31" s="257">
        <f>PI!L148</f>
        <v>100</v>
      </c>
      <c r="R31" s="257">
        <f>PI!M148</f>
        <v>100</v>
      </c>
      <c r="S31" s="257">
        <f>PI!N148</f>
        <v>100</v>
      </c>
      <c r="T31" s="90">
        <f>PI!O148</f>
        <v>100</v>
      </c>
      <c r="U31" s="36"/>
      <c r="V31" s="36"/>
      <c r="W31" s="51"/>
      <c r="X31" s="275" t="s">
        <v>307</v>
      </c>
      <c r="Y31" s="327" t="s">
        <v>276</v>
      </c>
      <c r="Z31" s="53" t="s">
        <v>149</v>
      </c>
      <c r="AA31" s="296" t="s">
        <v>419</v>
      </c>
      <c r="AB31" s="53"/>
      <c r="AC31" s="142">
        <f t="shared" si="1"/>
        <v>109.5</v>
      </c>
      <c r="AD31" s="142">
        <f t="shared" si="2"/>
        <v>0</v>
      </c>
      <c r="AE31" s="142">
        <f>PI!AH148</f>
        <v>108.25</v>
      </c>
      <c r="AF31" s="95">
        <f>PI!AI148</f>
        <v>84.25</v>
      </c>
      <c r="AG31" s="142">
        <f>PI!AJ148</f>
        <v>101.25</v>
      </c>
      <c r="AH31" s="142">
        <f>PI!AK148</f>
        <v>107</v>
      </c>
      <c r="AI31" s="142">
        <f>PI!AL148</f>
        <v>109.5</v>
      </c>
      <c r="AJ31" s="142">
        <f>PI!AM148</f>
        <v>109.5</v>
      </c>
      <c r="AK31" s="142">
        <f>PI!AN148</f>
        <v>109.5</v>
      </c>
      <c r="AL31" s="95">
        <f>PI!AO148</f>
        <v>110</v>
      </c>
      <c r="AM31" s="142">
        <f>PI!AP148</f>
        <v>110</v>
      </c>
      <c r="AN31" s="142">
        <f>PI!AQ148</f>
        <v>110</v>
      </c>
      <c r="AO31" s="142">
        <f>PI!AR148</f>
        <v>0</v>
      </c>
      <c r="AP31" s="95">
        <f>PI!AS148</f>
        <v>0</v>
      </c>
      <c r="AS31" s="51"/>
      <c r="AT31" s="52" t="s">
        <v>307</v>
      </c>
      <c r="AU31" s="364" t="s">
        <v>276</v>
      </c>
      <c r="AV31" s="53" t="s">
        <v>149</v>
      </c>
      <c r="AW31" s="61" t="s">
        <v>419</v>
      </c>
      <c r="AX31" s="53"/>
      <c r="AY31" s="89">
        <f t="shared" si="3"/>
        <v>109.5</v>
      </c>
      <c r="AZ31" s="89">
        <f t="shared" si="4"/>
        <v>0</v>
      </c>
      <c r="BA31" s="95">
        <f>IFERROR(IF(AE31/I31*100&gt;110,110,AE31/I31*100),100)</f>
        <v>108.25</v>
      </c>
      <c r="BB31" s="95">
        <f t="shared" ref="BB31:BL32" si="28">IFERROR(IF(AF31/J31*100&gt;110,110,AF31/J31*100),100)</f>
        <v>84.25</v>
      </c>
      <c r="BC31" s="95">
        <f t="shared" si="28"/>
        <v>101.25</v>
      </c>
      <c r="BD31" s="95">
        <f t="shared" si="28"/>
        <v>107</v>
      </c>
      <c r="BE31" s="95">
        <f t="shared" si="28"/>
        <v>109.5</v>
      </c>
      <c r="BF31" s="95">
        <f t="shared" si="28"/>
        <v>109.5</v>
      </c>
      <c r="BG31" s="95">
        <f t="shared" si="28"/>
        <v>109.5</v>
      </c>
      <c r="BH31" s="95">
        <f t="shared" si="28"/>
        <v>110.00000000000001</v>
      </c>
      <c r="BI31" s="95">
        <f t="shared" si="28"/>
        <v>110.00000000000001</v>
      </c>
      <c r="BJ31" s="95">
        <f t="shared" si="28"/>
        <v>110.00000000000001</v>
      </c>
      <c r="BK31" s="95">
        <f t="shared" si="28"/>
        <v>0</v>
      </c>
      <c r="BL31" s="95">
        <f t="shared" si="28"/>
        <v>0</v>
      </c>
      <c r="BM31"/>
      <c r="BN31"/>
      <c r="BO31" s="51"/>
      <c r="BP31" s="52" t="s">
        <v>307</v>
      </c>
      <c r="BQ31" s="364" t="s">
        <v>276</v>
      </c>
      <c r="BR31" s="53" t="s">
        <v>149</v>
      </c>
      <c r="BS31" s="61" t="s">
        <v>419</v>
      </c>
      <c r="BT31" s="53">
        <v>3</v>
      </c>
      <c r="BU31" s="89">
        <f t="shared" ref="BU31:BU32" si="29">CB31</f>
        <v>3.2850000000000001</v>
      </c>
      <c r="BV31" s="89">
        <f t="shared" ref="BV31:BV32" si="30">CH31</f>
        <v>0</v>
      </c>
      <c r="BW31" s="111" cm="1">
        <f t="array" ref="BW31:CH31">BT31*BA31:BL31/100</f>
        <v>3.2475000000000001</v>
      </c>
      <c r="BX31" s="95">
        <v>2.5274999999999999</v>
      </c>
      <c r="BY31" s="95">
        <v>3.0375000000000001</v>
      </c>
      <c r="BZ31" s="95">
        <v>3.21</v>
      </c>
      <c r="CA31" s="95">
        <v>3.2850000000000001</v>
      </c>
      <c r="CB31" s="95">
        <v>3.2850000000000001</v>
      </c>
      <c r="CC31" s="95">
        <v>3.2850000000000001</v>
      </c>
      <c r="CD31" s="95">
        <v>3.3000000000000007</v>
      </c>
      <c r="CE31" s="95">
        <v>3.3000000000000007</v>
      </c>
      <c r="CF31" s="95">
        <v>3.3000000000000007</v>
      </c>
      <c r="CG31" s="95">
        <v>0</v>
      </c>
      <c r="CH31" s="95">
        <v>0</v>
      </c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</row>
    <row r="32" spans="1:102" ht="16.5">
      <c r="A32" s="519"/>
      <c r="B32" s="275" t="s">
        <v>308</v>
      </c>
      <c r="C32" s="327" t="s">
        <v>276</v>
      </c>
      <c r="D32" s="273" t="s">
        <v>149</v>
      </c>
      <c r="E32" s="296" t="s">
        <v>420</v>
      </c>
      <c r="F32" s="295"/>
      <c r="G32" s="257">
        <f t="shared" si="26"/>
        <v>100</v>
      </c>
      <c r="H32" s="257">
        <f t="shared" si="27"/>
        <v>100</v>
      </c>
      <c r="I32" s="257">
        <f>PI!D170</f>
        <v>100</v>
      </c>
      <c r="J32" s="257">
        <f>PI!E170</f>
        <v>100</v>
      </c>
      <c r="K32" s="257">
        <f>PI!F170</f>
        <v>100</v>
      </c>
      <c r="L32" s="257">
        <f>PI!G170</f>
        <v>100</v>
      </c>
      <c r="M32" s="257">
        <f>PI!H170</f>
        <v>100</v>
      </c>
      <c r="N32" s="257">
        <f>PI!I170</f>
        <v>100</v>
      </c>
      <c r="O32" s="257">
        <f>PI!J170</f>
        <v>100</v>
      </c>
      <c r="P32" s="257">
        <f>PI!K170</f>
        <v>100</v>
      </c>
      <c r="Q32" s="257">
        <f>PI!L170</f>
        <v>100</v>
      </c>
      <c r="R32" s="257">
        <f>PI!M170</f>
        <v>100</v>
      </c>
      <c r="S32" s="257">
        <f>PI!N170</f>
        <v>100</v>
      </c>
      <c r="T32" s="90">
        <f>PI!O170</f>
        <v>100</v>
      </c>
      <c r="U32" s="36"/>
      <c r="V32" s="36"/>
      <c r="W32" s="51"/>
      <c r="X32" s="275" t="s">
        <v>308</v>
      </c>
      <c r="Y32" s="327" t="s">
        <v>276</v>
      </c>
      <c r="Z32" s="53" t="s">
        <v>149</v>
      </c>
      <c r="AA32" s="296" t="s">
        <v>420</v>
      </c>
      <c r="AB32" s="53"/>
      <c r="AC32" s="142">
        <f t="shared" si="1"/>
        <v>110</v>
      </c>
      <c r="AD32" s="142">
        <f t="shared" si="2"/>
        <v>0</v>
      </c>
      <c r="AE32" s="142">
        <f>PI!AH170</f>
        <v>110</v>
      </c>
      <c r="AF32" s="95">
        <f>PI!AI170</f>
        <v>110</v>
      </c>
      <c r="AG32" s="142">
        <f>PI!AJ170</f>
        <v>110</v>
      </c>
      <c r="AH32" s="142">
        <f>PI!AK170</f>
        <v>110</v>
      </c>
      <c r="AI32" s="142">
        <f>PI!AL170</f>
        <v>110</v>
      </c>
      <c r="AJ32" s="142">
        <f>PI!AM170</f>
        <v>110</v>
      </c>
      <c r="AK32" s="142">
        <f>PI!AN170</f>
        <v>110</v>
      </c>
      <c r="AL32" s="95">
        <f>PI!AO170</f>
        <v>110</v>
      </c>
      <c r="AM32" s="142">
        <f>PI!AP170</f>
        <v>110</v>
      </c>
      <c r="AN32" s="142">
        <f>PI!AQ170</f>
        <v>110</v>
      </c>
      <c r="AO32" s="142">
        <f>PI!AR170</f>
        <v>0</v>
      </c>
      <c r="AP32" s="95">
        <f>PI!AS170</f>
        <v>0</v>
      </c>
      <c r="AS32" s="51"/>
      <c r="AT32" s="52" t="s">
        <v>308</v>
      </c>
      <c r="AU32" s="364" t="s">
        <v>276</v>
      </c>
      <c r="AV32" s="53" t="s">
        <v>149</v>
      </c>
      <c r="AW32" s="61" t="s">
        <v>420</v>
      </c>
      <c r="AX32" s="53"/>
      <c r="AY32" s="89">
        <f t="shared" si="3"/>
        <v>110.00000000000001</v>
      </c>
      <c r="AZ32" s="89">
        <f t="shared" si="4"/>
        <v>0</v>
      </c>
      <c r="BA32" s="95">
        <f>IFERROR(IF(AE32/I32*100&gt;110,110,AE32/I32*100),100)</f>
        <v>110.00000000000001</v>
      </c>
      <c r="BB32" s="95">
        <f t="shared" si="28"/>
        <v>110.00000000000001</v>
      </c>
      <c r="BC32" s="95">
        <f t="shared" si="28"/>
        <v>110.00000000000001</v>
      </c>
      <c r="BD32" s="95">
        <f t="shared" si="28"/>
        <v>110.00000000000001</v>
      </c>
      <c r="BE32" s="95">
        <f t="shared" si="28"/>
        <v>110.00000000000001</v>
      </c>
      <c r="BF32" s="95">
        <f t="shared" si="28"/>
        <v>110.00000000000001</v>
      </c>
      <c r="BG32" s="95">
        <f t="shared" si="28"/>
        <v>110.00000000000001</v>
      </c>
      <c r="BH32" s="95">
        <f t="shared" si="28"/>
        <v>110.00000000000001</v>
      </c>
      <c r="BI32" s="95">
        <f t="shared" si="28"/>
        <v>110.00000000000001</v>
      </c>
      <c r="BJ32" s="95">
        <f t="shared" si="28"/>
        <v>110.00000000000001</v>
      </c>
      <c r="BK32" s="95">
        <f t="shared" si="28"/>
        <v>0</v>
      </c>
      <c r="BL32" s="95">
        <f t="shared" si="28"/>
        <v>0</v>
      </c>
      <c r="BM32"/>
      <c r="BN32"/>
      <c r="BO32" s="51"/>
      <c r="BP32" s="52" t="s">
        <v>308</v>
      </c>
      <c r="BQ32" s="364" t="s">
        <v>276</v>
      </c>
      <c r="BR32" s="53" t="s">
        <v>149</v>
      </c>
      <c r="BS32" s="61" t="s">
        <v>420</v>
      </c>
      <c r="BT32" s="53">
        <v>3</v>
      </c>
      <c r="BU32" s="89">
        <f t="shared" si="29"/>
        <v>3.3000000000000007</v>
      </c>
      <c r="BV32" s="89">
        <f t="shared" si="30"/>
        <v>0</v>
      </c>
      <c r="BW32" s="111" cm="1">
        <f t="array" ref="BW32:CH32">BT32*BA32:BL32/100</f>
        <v>3.3000000000000007</v>
      </c>
      <c r="BX32" s="95">
        <v>3.3000000000000007</v>
      </c>
      <c r="BY32" s="95">
        <v>3.3000000000000007</v>
      </c>
      <c r="BZ32" s="95">
        <v>3.3000000000000007</v>
      </c>
      <c r="CA32" s="95">
        <v>3.3000000000000007</v>
      </c>
      <c r="CB32" s="95">
        <v>3.3000000000000007</v>
      </c>
      <c r="CC32" s="95">
        <v>3.3000000000000007</v>
      </c>
      <c r="CD32" s="95">
        <v>3.3000000000000007</v>
      </c>
      <c r="CE32" s="95">
        <v>3.3000000000000007</v>
      </c>
      <c r="CF32" s="95">
        <v>3.3000000000000007</v>
      </c>
      <c r="CG32" s="95">
        <v>0</v>
      </c>
      <c r="CH32" s="95">
        <v>0</v>
      </c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</row>
    <row r="33" spans="1:102" ht="16.5">
      <c r="A33" s="519">
        <v>8</v>
      </c>
      <c r="B33" s="271" t="s">
        <v>31</v>
      </c>
      <c r="C33" s="327"/>
      <c r="D33" s="273"/>
      <c r="E33" s="296"/>
      <c r="F33" s="295">
        <v>10</v>
      </c>
      <c r="G33" s="274"/>
      <c r="H33" s="274"/>
      <c r="I33" s="274"/>
      <c r="J33" s="274"/>
      <c r="K33" s="274"/>
      <c r="L33" s="274"/>
      <c r="M33" s="274"/>
      <c r="N33" s="274"/>
      <c r="O33" s="274"/>
      <c r="P33" s="274"/>
      <c r="Q33" s="274"/>
      <c r="R33" s="274"/>
      <c r="S33" s="274"/>
      <c r="T33" s="91"/>
      <c r="U33" s="36"/>
      <c r="V33" s="36"/>
      <c r="W33" s="51">
        <f ca="1">T.LEOK!W33</f>
        <v>8</v>
      </c>
      <c r="X33" s="271" t="s">
        <v>31</v>
      </c>
      <c r="Y33" s="327"/>
      <c r="Z33" s="53"/>
      <c r="AA33" s="296"/>
      <c r="AB33" s="53">
        <v>10</v>
      </c>
      <c r="AC33" s="142"/>
      <c r="AD33" s="142"/>
      <c r="AE33" s="142"/>
      <c r="AF33" s="95"/>
      <c r="AG33" s="142"/>
      <c r="AH33" s="142"/>
      <c r="AI33" s="142"/>
      <c r="AJ33" s="142"/>
      <c r="AK33" s="142"/>
      <c r="AL33" s="95"/>
      <c r="AM33" s="142"/>
      <c r="AN33" s="142"/>
      <c r="AO33" s="142"/>
      <c r="AP33" s="95"/>
      <c r="AS33" s="51">
        <v>8</v>
      </c>
      <c r="AT33" s="267" t="s">
        <v>31</v>
      </c>
      <c r="AU33" s="364"/>
      <c r="AV33" s="53"/>
      <c r="AW33" s="61"/>
      <c r="AX33" s="53">
        <v>10</v>
      </c>
      <c r="AY33" s="89"/>
      <c r="AZ33" s="89"/>
      <c r="BA33" s="95"/>
      <c r="BB33" s="95"/>
      <c r="BC33" s="95"/>
      <c r="BD33" s="95"/>
      <c r="BE33" s="95"/>
      <c r="BF33" s="95"/>
      <c r="BG33" s="95"/>
      <c r="BH33" s="95"/>
      <c r="BI33" s="95"/>
      <c r="BJ33" s="95"/>
      <c r="BK33" s="95"/>
      <c r="BL33" s="95"/>
      <c r="BM33"/>
      <c r="BN33"/>
      <c r="BO33" s="51">
        <v>8</v>
      </c>
      <c r="BP33" s="267" t="s">
        <v>31</v>
      </c>
      <c r="BQ33" s="364"/>
      <c r="BR33" s="53"/>
      <c r="BS33" s="61"/>
      <c r="BT33" s="513">
        <v>10</v>
      </c>
      <c r="BU33" s="89"/>
      <c r="BV33" s="89"/>
      <c r="BW33" s="95"/>
      <c r="BX33" s="95"/>
      <c r="BY33" s="95"/>
      <c r="BZ33" s="95"/>
      <c r="CA33" s="95"/>
      <c r="CB33" s="95"/>
      <c r="CC33" s="95"/>
      <c r="CD33" s="95"/>
      <c r="CE33" s="95"/>
      <c r="CF33" s="95"/>
      <c r="CG33" s="95"/>
      <c r="CH33" s="95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</row>
    <row r="34" spans="1:102" ht="16.5">
      <c r="A34" s="519"/>
      <c r="B34" s="275" t="s">
        <v>311</v>
      </c>
      <c r="C34" s="327" t="s">
        <v>276</v>
      </c>
      <c r="D34" s="273" t="s">
        <v>312</v>
      </c>
      <c r="E34" s="296" t="s">
        <v>421</v>
      </c>
      <c r="F34" s="295"/>
      <c r="G34" s="274">
        <f>N34</f>
        <v>1.38</v>
      </c>
      <c r="H34" s="274">
        <f>T34</f>
        <v>3.49</v>
      </c>
      <c r="I34" s="274">
        <f>PI!D195</f>
        <v>0.19</v>
      </c>
      <c r="J34" s="274">
        <f>PI!E195</f>
        <v>0.38</v>
      </c>
      <c r="K34" s="274">
        <f>PI!F195</f>
        <v>0.59</v>
      </c>
      <c r="L34" s="274">
        <f>PI!G195</f>
        <v>0.79</v>
      </c>
      <c r="M34" s="274">
        <f>PI!H195</f>
        <v>1.0900000000000001</v>
      </c>
      <c r="N34" s="274">
        <f>PI!I195</f>
        <v>1.38</v>
      </c>
      <c r="O34" s="274">
        <f>PI!J195</f>
        <v>1.69</v>
      </c>
      <c r="P34" s="274">
        <f>PI!K195</f>
        <v>1.99</v>
      </c>
      <c r="Q34" s="274">
        <f>PI!L195</f>
        <v>2.2799999999999998</v>
      </c>
      <c r="R34" s="274">
        <f>PI!M195</f>
        <v>2.59</v>
      </c>
      <c r="S34" s="274">
        <f>PI!N195</f>
        <v>2.88</v>
      </c>
      <c r="T34" s="91">
        <f>PI!O195</f>
        <v>3.49</v>
      </c>
      <c r="U34" s="36"/>
      <c r="V34" s="36"/>
      <c r="W34" s="51"/>
      <c r="X34" s="275" t="s">
        <v>311</v>
      </c>
      <c r="Y34" s="327" t="s">
        <v>276</v>
      </c>
      <c r="Z34" s="53" t="s">
        <v>312</v>
      </c>
      <c r="AA34" s="296" t="s">
        <v>421</v>
      </c>
      <c r="AB34" s="53"/>
      <c r="AC34" s="142">
        <f t="shared" si="1"/>
        <v>0.69793333333333329</v>
      </c>
      <c r="AD34" s="142">
        <f t="shared" si="2"/>
        <v>0</v>
      </c>
      <c r="AE34" s="142">
        <f>PI!AH195</f>
        <v>0.11225</v>
      </c>
      <c r="AF34" s="95">
        <f>PI!AI195</f>
        <v>0.23485</v>
      </c>
      <c r="AG34" s="142">
        <f>PI!AJ195</f>
        <v>0.34660000000000002</v>
      </c>
      <c r="AH34" s="142">
        <f>PI!AK195</f>
        <v>0.46213333333333334</v>
      </c>
      <c r="AI34" s="142">
        <f>PI!AL195</f>
        <v>0.58793333333333331</v>
      </c>
      <c r="AJ34" s="142">
        <f>PI!AM195</f>
        <v>0.69793333333333329</v>
      </c>
      <c r="AK34" s="142">
        <f>PI!AN195</f>
        <v>0.8138333333333333</v>
      </c>
      <c r="AL34" s="95">
        <f>PI!AO195</f>
        <v>1.0222333333333333</v>
      </c>
      <c r="AM34" s="142">
        <f>PI!AP195</f>
        <v>1.1843333333333332</v>
      </c>
      <c r="AN34" s="142">
        <f>PI!AQ195</f>
        <v>1.3987833333333333</v>
      </c>
      <c r="AO34" s="142">
        <f>PI!AR195</f>
        <v>0</v>
      </c>
      <c r="AP34" s="95">
        <f>PI!AS195</f>
        <v>0</v>
      </c>
      <c r="AS34" s="51"/>
      <c r="AT34" s="52" t="s">
        <v>311</v>
      </c>
      <c r="AU34" s="364" t="s">
        <v>276</v>
      </c>
      <c r="AV34" s="53" t="s">
        <v>312</v>
      </c>
      <c r="AW34" s="61" t="s">
        <v>421</v>
      </c>
      <c r="AX34" s="53"/>
      <c r="AY34" s="89">
        <f t="shared" si="3"/>
        <v>50.574879227053138</v>
      </c>
      <c r="AZ34" s="89">
        <f t="shared" si="4"/>
        <v>0</v>
      </c>
      <c r="BA34" s="95">
        <f>IFERROR(IF(AE34/I34*100&gt;110,110,AE34/I34*100),100)</f>
        <v>59.078947368421055</v>
      </c>
      <c r="BB34" s="95">
        <f t="shared" ref="BB34:BL37" si="31">IFERROR(IF(AF34/J34*100&gt;110,110,AF34/J34*100),100)</f>
        <v>61.802631578947363</v>
      </c>
      <c r="BC34" s="95">
        <f t="shared" si="31"/>
        <v>58.745762711864415</v>
      </c>
      <c r="BD34" s="95">
        <f t="shared" si="31"/>
        <v>58.497890295358644</v>
      </c>
      <c r="BE34" s="95">
        <f t="shared" si="31"/>
        <v>53.938837920489291</v>
      </c>
      <c r="BF34" s="95">
        <f t="shared" si="31"/>
        <v>50.574879227053138</v>
      </c>
      <c r="BG34" s="95">
        <f t="shared" si="31"/>
        <v>48.155818540433927</v>
      </c>
      <c r="BH34" s="95">
        <f t="shared" si="31"/>
        <v>51.368509212730316</v>
      </c>
      <c r="BI34" s="95">
        <f t="shared" si="31"/>
        <v>51.94444444444445</v>
      </c>
      <c r="BJ34" s="95">
        <f t="shared" si="31"/>
        <v>54.007078507078511</v>
      </c>
      <c r="BK34" s="95">
        <f t="shared" si="31"/>
        <v>0</v>
      </c>
      <c r="BL34" s="95">
        <f t="shared" si="31"/>
        <v>0</v>
      </c>
      <c r="BM34"/>
      <c r="BN34"/>
      <c r="BO34" s="51"/>
      <c r="BP34" s="52" t="s">
        <v>311</v>
      </c>
      <c r="BQ34" s="364" t="s">
        <v>276</v>
      </c>
      <c r="BR34" s="53" t="s">
        <v>312</v>
      </c>
      <c r="BS34" s="61" t="s">
        <v>421</v>
      </c>
      <c r="BT34" s="53">
        <v>2.5</v>
      </c>
      <c r="BU34" s="89">
        <f t="shared" ref="BU34:BU37" si="32">CB34</f>
        <v>1.2643719806763285</v>
      </c>
      <c r="BV34" s="89">
        <f t="shared" ref="BV34:BV37" si="33">CH34</f>
        <v>0</v>
      </c>
      <c r="BW34" s="111" cm="1">
        <f t="array" ref="BW34:CH34">BT34*BA34:BL34/100</f>
        <v>1.4769736842105263</v>
      </c>
      <c r="BX34" s="95">
        <v>1.5450657894736841</v>
      </c>
      <c r="BY34" s="95">
        <v>1.4686440677966104</v>
      </c>
      <c r="BZ34" s="95">
        <v>1.462447257383966</v>
      </c>
      <c r="CA34" s="95">
        <v>1.3484709480122321</v>
      </c>
      <c r="CB34" s="95">
        <v>1.2643719806763285</v>
      </c>
      <c r="CC34" s="95">
        <v>1.2038954635108481</v>
      </c>
      <c r="CD34" s="95">
        <v>1.284212730318258</v>
      </c>
      <c r="CE34" s="95">
        <v>1.2986111111111112</v>
      </c>
      <c r="CF34" s="95">
        <v>1.3501769626769626</v>
      </c>
      <c r="CG34" s="95">
        <v>0</v>
      </c>
      <c r="CH34" s="95">
        <v>0</v>
      </c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</row>
    <row r="35" spans="1:102" ht="16.5">
      <c r="A35" s="519"/>
      <c r="B35" s="275" t="s">
        <v>313</v>
      </c>
      <c r="C35" s="327" t="s">
        <v>276</v>
      </c>
      <c r="D35" s="273" t="s">
        <v>133</v>
      </c>
      <c r="E35" s="296" t="s">
        <v>422</v>
      </c>
      <c r="F35" s="295"/>
      <c r="G35" s="274">
        <f>N35</f>
        <v>1127</v>
      </c>
      <c r="H35" s="274">
        <f>T35</f>
        <v>2594</v>
      </c>
      <c r="I35" s="274">
        <f>PI!D201</f>
        <v>154</v>
      </c>
      <c r="J35" s="274">
        <f>PI!E201</f>
        <v>313</v>
      </c>
      <c r="K35" s="274">
        <f>PI!F201</f>
        <v>480</v>
      </c>
      <c r="L35" s="274">
        <f>PI!G201</f>
        <v>641</v>
      </c>
      <c r="M35" s="274">
        <f>PI!H201</f>
        <v>888</v>
      </c>
      <c r="N35" s="274">
        <f>PI!I201</f>
        <v>1127</v>
      </c>
      <c r="O35" s="274">
        <f>PI!J201</f>
        <v>1374</v>
      </c>
      <c r="P35" s="274">
        <f>PI!K201</f>
        <v>1621</v>
      </c>
      <c r="Q35" s="274">
        <f>PI!L201</f>
        <v>1860</v>
      </c>
      <c r="R35" s="274">
        <f>PI!M201</f>
        <v>2107</v>
      </c>
      <c r="S35" s="274">
        <f>PI!N201</f>
        <v>2346</v>
      </c>
      <c r="T35" s="91">
        <f>PI!O201</f>
        <v>2594</v>
      </c>
      <c r="U35" s="36"/>
      <c r="V35" s="36"/>
      <c r="W35" s="51"/>
      <c r="X35" s="275" t="s">
        <v>313</v>
      </c>
      <c r="Y35" s="327" t="s">
        <v>276</v>
      </c>
      <c r="Z35" s="53" t="s">
        <v>133</v>
      </c>
      <c r="AA35" s="296" t="s">
        <v>422</v>
      </c>
      <c r="AB35" s="53"/>
      <c r="AC35" s="142">
        <f t="shared" si="1"/>
        <v>554</v>
      </c>
      <c r="AD35" s="142">
        <f t="shared" si="2"/>
        <v>0</v>
      </c>
      <c r="AE35" s="142">
        <f>PI!AH201</f>
        <v>62</v>
      </c>
      <c r="AF35" s="95">
        <f>PI!AI201</f>
        <v>170</v>
      </c>
      <c r="AG35" s="142">
        <f>PI!AJ201</f>
        <v>263</v>
      </c>
      <c r="AH35" s="142">
        <f>PI!AK201</f>
        <v>366</v>
      </c>
      <c r="AI35" s="142">
        <f>PI!AL201</f>
        <v>447</v>
      </c>
      <c r="AJ35" s="142">
        <f>PI!AM201</f>
        <v>554</v>
      </c>
      <c r="AK35" s="142">
        <f>PI!AN201</f>
        <v>639</v>
      </c>
      <c r="AL35" s="95">
        <f>PI!AO201</f>
        <v>775</v>
      </c>
      <c r="AM35" s="142">
        <f>PI!AP201</f>
        <v>898</v>
      </c>
      <c r="AN35" s="142">
        <f>PI!AQ201</f>
        <v>1060</v>
      </c>
      <c r="AO35" s="142">
        <f>PI!AR201</f>
        <v>0</v>
      </c>
      <c r="AP35" s="95">
        <f>PI!AS201</f>
        <v>0</v>
      </c>
      <c r="AS35" s="51"/>
      <c r="AT35" s="52" t="s">
        <v>313</v>
      </c>
      <c r="AU35" s="364" t="s">
        <v>276</v>
      </c>
      <c r="AV35" s="53" t="s">
        <v>133</v>
      </c>
      <c r="AW35" s="61" t="s">
        <v>422</v>
      </c>
      <c r="AX35" s="53"/>
      <c r="AY35" s="89">
        <f t="shared" si="3"/>
        <v>49.157054125998222</v>
      </c>
      <c r="AZ35" s="89">
        <f t="shared" si="4"/>
        <v>0</v>
      </c>
      <c r="BA35" s="95">
        <f>IFERROR(IF(AE35/I35*100&gt;110,110,AE35/I35*100),100)</f>
        <v>40.259740259740262</v>
      </c>
      <c r="BB35" s="95">
        <f t="shared" si="31"/>
        <v>54.31309904153354</v>
      </c>
      <c r="BC35" s="95">
        <f t="shared" si="31"/>
        <v>54.791666666666671</v>
      </c>
      <c r="BD35" s="95">
        <f t="shared" si="31"/>
        <v>57.098283931357251</v>
      </c>
      <c r="BE35" s="95">
        <f t="shared" si="31"/>
        <v>50.337837837837839</v>
      </c>
      <c r="BF35" s="95">
        <f t="shared" si="31"/>
        <v>49.157054125998222</v>
      </c>
      <c r="BG35" s="95">
        <f t="shared" si="31"/>
        <v>46.506550218340607</v>
      </c>
      <c r="BH35" s="95">
        <f t="shared" si="31"/>
        <v>47.809993830968537</v>
      </c>
      <c r="BI35" s="95">
        <f t="shared" si="31"/>
        <v>48.27956989247312</v>
      </c>
      <c r="BJ35" s="95">
        <f t="shared" si="31"/>
        <v>50.308495491219738</v>
      </c>
      <c r="BK35" s="95">
        <f t="shared" si="31"/>
        <v>0</v>
      </c>
      <c r="BL35" s="95">
        <f t="shared" si="31"/>
        <v>0</v>
      </c>
      <c r="BM35"/>
      <c r="BN35"/>
      <c r="BO35" s="51"/>
      <c r="BP35" s="52" t="s">
        <v>313</v>
      </c>
      <c r="BQ35" s="364" t="s">
        <v>276</v>
      </c>
      <c r="BR35" s="53" t="s">
        <v>133</v>
      </c>
      <c r="BS35" s="61" t="s">
        <v>422</v>
      </c>
      <c r="BT35" s="53">
        <v>2.5</v>
      </c>
      <c r="BU35" s="89">
        <f t="shared" si="32"/>
        <v>1.2289263531499557</v>
      </c>
      <c r="BV35" s="89">
        <f t="shared" si="33"/>
        <v>0</v>
      </c>
      <c r="BW35" s="111" cm="1">
        <f t="array" ref="BW35:CH35">BT35*BA35:BL35/100</f>
        <v>1.0064935064935066</v>
      </c>
      <c r="BX35" s="95">
        <v>1.3578274760383386</v>
      </c>
      <c r="BY35" s="95">
        <v>1.369791666666667</v>
      </c>
      <c r="BZ35" s="95">
        <v>1.4274570982839314</v>
      </c>
      <c r="CA35" s="95">
        <v>1.2584459459459461</v>
      </c>
      <c r="CB35" s="95">
        <v>1.2289263531499557</v>
      </c>
      <c r="CC35" s="95">
        <v>1.1626637554585151</v>
      </c>
      <c r="CD35" s="95">
        <v>1.1952498457742136</v>
      </c>
      <c r="CE35" s="95">
        <v>1.206989247311828</v>
      </c>
      <c r="CF35" s="95">
        <v>1.2577123872804934</v>
      </c>
      <c r="CG35" s="95">
        <v>0</v>
      </c>
      <c r="CH35" s="95">
        <v>0</v>
      </c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</row>
    <row r="36" spans="1:102" ht="15.6" customHeight="1">
      <c r="A36" s="519"/>
      <c r="B36" s="275" t="s">
        <v>314</v>
      </c>
      <c r="C36" s="327" t="s">
        <v>276</v>
      </c>
      <c r="D36" s="273" t="s">
        <v>133</v>
      </c>
      <c r="E36" s="296" t="s">
        <v>423</v>
      </c>
      <c r="F36" s="295"/>
      <c r="G36" s="257">
        <f>N36</f>
        <v>132</v>
      </c>
      <c r="H36" s="257">
        <f>T36</f>
        <v>222</v>
      </c>
      <c r="I36" s="257">
        <f>PI!D207</f>
        <v>22</v>
      </c>
      <c r="J36" s="257">
        <f>PI!E207</f>
        <v>44</v>
      </c>
      <c r="K36" s="257">
        <f>PI!F207</f>
        <v>66</v>
      </c>
      <c r="L36" s="257">
        <f>PI!G207</f>
        <v>88</v>
      </c>
      <c r="M36" s="257">
        <f>PI!H207</f>
        <v>110</v>
      </c>
      <c r="N36" s="257">
        <f>PI!I207</f>
        <v>132</v>
      </c>
      <c r="O36" s="257">
        <f>PI!J207</f>
        <v>147</v>
      </c>
      <c r="P36" s="257">
        <f>PI!K207</f>
        <v>162</v>
      </c>
      <c r="Q36" s="257">
        <f>PI!L207</f>
        <v>177</v>
      </c>
      <c r="R36" s="257">
        <f>PI!M207</f>
        <v>192</v>
      </c>
      <c r="S36" s="257">
        <f>PI!N207</f>
        <v>207</v>
      </c>
      <c r="T36" s="90">
        <f>PI!O207</f>
        <v>222</v>
      </c>
      <c r="U36" s="36"/>
      <c r="V36" s="36"/>
      <c r="W36" s="51"/>
      <c r="X36" s="275" t="s">
        <v>314</v>
      </c>
      <c r="Y36" s="327" t="s">
        <v>276</v>
      </c>
      <c r="Z36" s="53" t="s">
        <v>133</v>
      </c>
      <c r="AA36" s="296" t="s">
        <v>423</v>
      </c>
      <c r="AB36" s="53"/>
      <c r="AC36" s="142">
        <f t="shared" si="1"/>
        <v>68</v>
      </c>
      <c r="AD36" s="142">
        <f t="shared" si="2"/>
        <v>0</v>
      </c>
      <c r="AE36" s="142">
        <f>PI!AH207</f>
        <v>19</v>
      </c>
      <c r="AF36" s="95">
        <f>PI!AI207</f>
        <v>39</v>
      </c>
      <c r="AG36" s="142">
        <f>PI!AJ207</f>
        <v>42</v>
      </c>
      <c r="AH36" s="142">
        <f>PI!AK207</f>
        <v>42</v>
      </c>
      <c r="AI36" s="142">
        <f>PI!AL207</f>
        <v>58</v>
      </c>
      <c r="AJ36" s="142">
        <f>PI!AM207</f>
        <v>68</v>
      </c>
      <c r="AK36" s="142">
        <f>PI!AN207</f>
        <v>84</v>
      </c>
      <c r="AL36" s="95">
        <f>PI!AO207</f>
        <v>108</v>
      </c>
      <c r="AM36" s="142">
        <f>PI!AP207</f>
        <v>118</v>
      </c>
      <c r="AN36" s="142">
        <f>PI!AQ207</f>
        <v>143</v>
      </c>
      <c r="AO36" s="142">
        <f>PI!AR207</f>
        <v>0</v>
      </c>
      <c r="AP36" s="95">
        <f>PI!AS207</f>
        <v>0</v>
      </c>
      <c r="AS36" s="51"/>
      <c r="AT36" s="52" t="s">
        <v>314</v>
      </c>
      <c r="AU36" s="364" t="s">
        <v>276</v>
      </c>
      <c r="AV36" s="53" t="s">
        <v>133</v>
      </c>
      <c r="AW36" s="61" t="s">
        <v>423</v>
      </c>
      <c r="AX36" s="53"/>
      <c r="AY36" s="89">
        <f t="shared" si="3"/>
        <v>51.515151515151516</v>
      </c>
      <c r="AZ36" s="89">
        <f t="shared" si="4"/>
        <v>0</v>
      </c>
      <c r="BA36" s="95">
        <f>IFERROR(IF(AE36/I36*100&gt;110,110,AE36/I36*100),100)</f>
        <v>86.36363636363636</v>
      </c>
      <c r="BB36" s="95">
        <f t="shared" si="31"/>
        <v>88.63636363636364</v>
      </c>
      <c r="BC36" s="95">
        <f t="shared" si="31"/>
        <v>63.636363636363633</v>
      </c>
      <c r="BD36" s="95">
        <f t="shared" si="31"/>
        <v>47.727272727272727</v>
      </c>
      <c r="BE36" s="95">
        <f t="shared" si="31"/>
        <v>52.72727272727272</v>
      </c>
      <c r="BF36" s="95">
        <f t="shared" si="31"/>
        <v>51.515151515151516</v>
      </c>
      <c r="BG36" s="95">
        <f t="shared" si="31"/>
        <v>57.142857142857139</v>
      </c>
      <c r="BH36" s="95">
        <f t="shared" si="31"/>
        <v>66.666666666666657</v>
      </c>
      <c r="BI36" s="95">
        <f t="shared" si="31"/>
        <v>66.666666666666657</v>
      </c>
      <c r="BJ36" s="95">
        <f t="shared" si="31"/>
        <v>74.479166666666657</v>
      </c>
      <c r="BK36" s="95">
        <f t="shared" si="31"/>
        <v>0</v>
      </c>
      <c r="BL36" s="95">
        <f t="shared" si="31"/>
        <v>0</v>
      </c>
      <c r="BM36"/>
      <c r="BN36"/>
      <c r="BO36" s="51"/>
      <c r="BP36" s="52" t="s">
        <v>314</v>
      </c>
      <c r="BQ36" s="364" t="s">
        <v>276</v>
      </c>
      <c r="BR36" s="53" t="s">
        <v>133</v>
      </c>
      <c r="BS36" s="61" t="s">
        <v>423</v>
      </c>
      <c r="BT36" s="53">
        <v>2.5</v>
      </c>
      <c r="BU36" s="89">
        <f t="shared" si="32"/>
        <v>1.2878787878787878</v>
      </c>
      <c r="BV36" s="89">
        <f t="shared" si="33"/>
        <v>0</v>
      </c>
      <c r="BW36" s="111" cm="1">
        <f t="array" ref="BW36:CH36">BT36*BA36:BL36/100</f>
        <v>2.1590909090909092</v>
      </c>
      <c r="BX36" s="95">
        <v>2.2159090909090908</v>
      </c>
      <c r="BY36" s="95">
        <v>1.5909090909090908</v>
      </c>
      <c r="BZ36" s="95">
        <v>1.1931818181818181</v>
      </c>
      <c r="CA36" s="95">
        <v>1.3181818181818181</v>
      </c>
      <c r="CB36" s="95">
        <v>1.2878787878787878</v>
      </c>
      <c r="CC36" s="95">
        <v>1.4285714285714284</v>
      </c>
      <c r="CD36" s="95">
        <v>1.6666666666666663</v>
      </c>
      <c r="CE36" s="95">
        <v>1.6666666666666663</v>
      </c>
      <c r="CF36" s="95">
        <v>1.8619791666666663</v>
      </c>
      <c r="CG36" s="95">
        <v>0</v>
      </c>
      <c r="CH36" s="95">
        <v>0</v>
      </c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</row>
    <row r="37" spans="1:102" ht="16.5">
      <c r="A37" s="529"/>
      <c r="B37" s="52" t="s">
        <v>315</v>
      </c>
      <c r="C37" s="327" t="s">
        <v>276</v>
      </c>
      <c r="D37" s="273" t="s">
        <v>133</v>
      </c>
      <c r="E37" s="296" t="s">
        <v>424</v>
      </c>
      <c r="F37" s="295"/>
      <c r="G37" s="257">
        <f>N37</f>
        <v>0</v>
      </c>
      <c r="H37" s="257">
        <f>T37</f>
        <v>0</v>
      </c>
      <c r="I37" s="257">
        <f>PI!D213</f>
        <v>0</v>
      </c>
      <c r="J37" s="257">
        <f>PI!E213</f>
        <v>0</v>
      </c>
      <c r="K37" s="257">
        <f>PI!F213</f>
        <v>0</v>
      </c>
      <c r="L37" s="257">
        <f>PI!G213</f>
        <v>0</v>
      </c>
      <c r="M37" s="257">
        <f>PI!H213</f>
        <v>0</v>
      </c>
      <c r="N37" s="257">
        <f>PI!I213</f>
        <v>0</v>
      </c>
      <c r="O37" s="257">
        <f>PI!J213</f>
        <v>0</v>
      </c>
      <c r="P37" s="257">
        <f>PI!K213</f>
        <v>0</v>
      </c>
      <c r="Q37" s="257">
        <f>PI!L213</f>
        <v>0</v>
      </c>
      <c r="R37" s="257">
        <f>PI!M213</f>
        <v>0</v>
      </c>
      <c r="S37" s="257">
        <f>PI!N213</f>
        <v>0</v>
      </c>
      <c r="T37" s="90">
        <f>PI!O213</f>
        <v>0</v>
      </c>
      <c r="U37" s="36"/>
      <c r="V37" s="36"/>
      <c r="W37" s="51"/>
      <c r="X37" s="52" t="s">
        <v>315</v>
      </c>
      <c r="Y37" s="327" t="s">
        <v>276</v>
      </c>
      <c r="Z37" s="53" t="s">
        <v>133</v>
      </c>
      <c r="AA37" s="296" t="s">
        <v>424</v>
      </c>
      <c r="AB37" s="53"/>
      <c r="AC37" s="142">
        <f t="shared" si="1"/>
        <v>99</v>
      </c>
      <c r="AD37" s="142">
        <f t="shared" si="2"/>
        <v>0</v>
      </c>
      <c r="AE37" s="142">
        <f>PI!AH208</f>
        <v>17</v>
      </c>
      <c r="AF37" s="95">
        <f>PI!AI208</f>
        <v>18</v>
      </c>
      <c r="AG37" s="142">
        <f>PI!AJ208</f>
        <v>34</v>
      </c>
      <c r="AH37" s="142">
        <f>PI!AK208</f>
        <v>34</v>
      </c>
      <c r="AI37" s="142">
        <f>PI!AL208</f>
        <v>50</v>
      </c>
      <c r="AJ37" s="142">
        <f>PI!AM208</f>
        <v>99</v>
      </c>
      <c r="AK37" s="142">
        <f>PI!AN208</f>
        <v>99</v>
      </c>
      <c r="AL37" s="95">
        <f>PI!AO208</f>
        <v>133</v>
      </c>
      <c r="AM37" s="142">
        <f>PI!AP208</f>
        <v>138</v>
      </c>
      <c r="AN37" s="142">
        <f>PI!AQ208</f>
        <v>146</v>
      </c>
      <c r="AO37" s="142">
        <f>PI!AR208</f>
        <v>0</v>
      </c>
      <c r="AP37" s="95">
        <f>PI!AS208</f>
        <v>0</v>
      </c>
      <c r="AS37" s="51"/>
      <c r="AT37" s="52" t="s">
        <v>315</v>
      </c>
      <c r="AU37" s="364" t="s">
        <v>276</v>
      </c>
      <c r="AV37" s="53" t="s">
        <v>133</v>
      </c>
      <c r="AW37" s="61" t="s">
        <v>424</v>
      </c>
      <c r="AX37" s="53"/>
      <c r="AY37" s="89">
        <f t="shared" si="3"/>
        <v>100</v>
      </c>
      <c r="AZ37" s="89">
        <f t="shared" si="4"/>
        <v>100</v>
      </c>
      <c r="BA37" s="95">
        <f>IFERROR(IF(AE37/I37*100&gt;110,110,AE37/I37*100),100)</f>
        <v>100</v>
      </c>
      <c r="BB37" s="95">
        <f t="shared" si="31"/>
        <v>100</v>
      </c>
      <c r="BC37" s="95">
        <f t="shared" si="31"/>
        <v>100</v>
      </c>
      <c r="BD37" s="95">
        <f t="shared" si="31"/>
        <v>100</v>
      </c>
      <c r="BE37" s="95">
        <f t="shared" si="31"/>
        <v>100</v>
      </c>
      <c r="BF37" s="95">
        <f t="shared" si="31"/>
        <v>100</v>
      </c>
      <c r="BG37" s="95">
        <f t="shared" si="31"/>
        <v>100</v>
      </c>
      <c r="BH37" s="95">
        <f t="shared" si="31"/>
        <v>100</v>
      </c>
      <c r="BI37" s="95">
        <f t="shared" si="31"/>
        <v>100</v>
      </c>
      <c r="BJ37" s="95">
        <f t="shared" si="31"/>
        <v>100</v>
      </c>
      <c r="BK37" s="95">
        <f t="shared" si="31"/>
        <v>100</v>
      </c>
      <c r="BL37" s="95">
        <f t="shared" si="31"/>
        <v>100</v>
      </c>
      <c r="BM37"/>
      <c r="BN37"/>
      <c r="BO37" s="51"/>
      <c r="BP37" s="52" t="s">
        <v>315</v>
      </c>
      <c r="BQ37" s="364" t="s">
        <v>276</v>
      </c>
      <c r="BR37" s="53" t="s">
        <v>133</v>
      </c>
      <c r="BS37" s="61" t="s">
        <v>424</v>
      </c>
      <c r="BT37" s="53">
        <v>2.5</v>
      </c>
      <c r="BU37" s="89">
        <f t="shared" si="32"/>
        <v>2.5</v>
      </c>
      <c r="BV37" s="89">
        <f t="shared" si="33"/>
        <v>2.5</v>
      </c>
      <c r="BW37" s="111" cm="1">
        <f t="array" ref="BW37:CH37">BT37*BA37:BL37/100</f>
        <v>2.5</v>
      </c>
      <c r="BX37" s="95">
        <v>2.5</v>
      </c>
      <c r="BY37" s="95">
        <v>2.5</v>
      </c>
      <c r="BZ37" s="95">
        <v>2.5</v>
      </c>
      <c r="CA37" s="95">
        <v>2.5</v>
      </c>
      <c r="CB37" s="95">
        <v>2.5</v>
      </c>
      <c r="CC37" s="95">
        <v>2.5</v>
      </c>
      <c r="CD37" s="95">
        <v>2.5</v>
      </c>
      <c r="CE37" s="95">
        <v>2.5</v>
      </c>
      <c r="CF37" s="95">
        <v>2.5</v>
      </c>
      <c r="CG37" s="95">
        <v>2.5</v>
      </c>
      <c r="CH37" s="95">
        <v>2.5</v>
      </c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</row>
    <row r="38" spans="1:102" ht="16.5">
      <c r="A38" s="519">
        <v>9</v>
      </c>
      <c r="B38" s="271" t="s">
        <v>425</v>
      </c>
      <c r="C38" s="327"/>
      <c r="D38" s="273"/>
      <c r="E38" s="296"/>
      <c r="F38" s="295">
        <v>4</v>
      </c>
      <c r="G38" s="257"/>
      <c r="H38" s="257"/>
      <c r="I38" s="257"/>
      <c r="J38" s="257"/>
      <c r="K38" s="257"/>
      <c r="L38" s="257"/>
      <c r="M38" s="257"/>
      <c r="N38" s="257"/>
      <c r="O38" s="257"/>
      <c r="P38" s="257"/>
      <c r="Q38" s="257"/>
      <c r="R38" s="257"/>
      <c r="S38" s="257"/>
      <c r="T38" s="90"/>
      <c r="U38" s="36"/>
      <c r="V38" s="36"/>
      <c r="W38" s="51">
        <f ca="1">T.LEOK!W38</f>
        <v>9</v>
      </c>
      <c r="X38" s="271" t="s">
        <v>425</v>
      </c>
      <c r="Y38" s="327"/>
      <c r="Z38" s="53"/>
      <c r="AA38" s="296"/>
      <c r="AB38" s="53">
        <v>4</v>
      </c>
      <c r="AC38" s="142"/>
      <c r="AD38" s="142"/>
      <c r="AE38" s="280"/>
      <c r="AF38" s="534"/>
      <c r="AG38" s="280"/>
      <c r="AH38" s="280"/>
      <c r="AI38" s="280"/>
      <c r="AJ38" s="280"/>
      <c r="AK38" s="280"/>
      <c r="AL38" s="534"/>
      <c r="AM38" s="280"/>
      <c r="AN38" s="280"/>
      <c r="AO38" s="280"/>
      <c r="AP38" s="534"/>
      <c r="AS38" s="51">
        <v>9</v>
      </c>
      <c r="AT38" s="267" t="s">
        <v>425</v>
      </c>
      <c r="AU38" s="364"/>
      <c r="AV38" s="53"/>
      <c r="AW38" s="61"/>
      <c r="AX38" s="53">
        <v>4</v>
      </c>
      <c r="AY38" s="89"/>
      <c r="AZ38" s="89"/>
      <c r="BA38" s="95"/>
      <c r="BB38" s="95"/>
      <c r="BC38" s="95"/>
      <c r="BD38" s="95"/>
      <c r="BE38" s="95"/>
      <c r="BF38" s="95"/>
      <c r="BG38" s="95"/>
      <c r="BH38" s="95"/>
      <c r="BI38" s="95"/>
      <c r="BJ38" s="95"/>
      <c r="BK38" s="95"/>
      <c r="BL38" s="95"/>
      <c r="BM38"/>
      <c r="BN38"/>
      <c r="BO38" s="51">
        <v>9</v>
      </c>
      <c r="BP38" s="267" t="s">
        <v>425</v>
      </c>
      <c r="BQ38" s="364"/>
      <c r="BR38" s="53"/>
      <c r="BS38" s="61"/>
      <c r="BT38" s="513">
        <v>4</v>
      </c>
      <c r="BU38" s="89"/>
      <c r="BV38" s="89"/>
      <c r="BW38" s="95"/>
      <c r="BX38" s="95"/>
      <c r="BY38" s="95"/>
      <c r="BZ38" s="95"/>
      <c r="CA38" s="95"/>
      <c r="CB38" s="95"/>
      <c r="CC38" s="95"/>
      <c r="CD38" s="95"/>
      <c r="CE38" s="95"/>
      <c r="CF38" s="95"/>
      <c r="CG38" s="95"/>
      <c r="CH38" s="95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</row>
    <row r="39" spans="1:102" ht="15.6" customHeight="1">
      <c r="A39" s="519"/>
      <c r="B39" s="275" t="s">
        <v>426</v>
      </c>
      <c r="C39" s="327" t="s">
        <v>276</v>
      </c>
      <c r="D39" s="273" t="s">
        <v>133</v>
      </c>
      <c r="E39" s="296" t="s">
        <v>427</v>
      </c>
      <c r="F39" s="295"/>
      <c r="G39" s="257">
        <f>N39</f>
        <v>26</v>
      </c>
      <c r="H39" s="257">
        <f>T39</f>
        <v>37</v>
      </c>
      <c r="I39" s="257">
        <v>6</v>
      </c>
      <c r="J39" s="257">
        <v>10</v>
      </c>
      <c r="K39" s="257">
        <v>20</v>
      </c>
      <c r="L39" s="257">
        <v>22</v>
      </c>
      <c r="M39" s="257">
        <v>24</v>
      </c>
      <c r="N39" s="257">
        <v>26</v>
      </c>
      <c r="O39" s="257">
        <v>28</v>
      </c>
      <c r="P39" s="257">
        <v>30</v>
      </c>
      <c r="Q39" s="257">
        <v>32</v>
      </c>
      <c r="R39" s="257">
        <v>34</v>
      </c>
      <c r="S39" s="257">
        <v>36</v>
      </c>
      <c r="T39" s="90">
        <v>37</v>
      </c>
      <c r="U39" s="36"/>
      <c r="V39" s="36"/>
      <c r="W39" s="51"/>
      <c r="X39" s="275" t="s">
        <v>426</v>
      </c>
      <c r="Y39" s="327" t="s">
        <v>276</v>
      </c>
      <c r="Z39" s="53" t="s">
        <v>133</v>
      </c>
      <c r="AA39" s="296" t="s">
        <v>427</v>
      </c>
      <c r="AB39" s="53"/>
      <c r="AC39" s="142">
        <f t="shared" si="1"/>
        <v>11</v>
      </c>
      <c r="AD39" s="142">
        <f t="shared" si="2"/>
        <v>0</v>
      </c>
      <c r="AE39" s="280">
        <f>PI!AH219</f>
        <v>2</v>
      </c>
      <c r="AF39" s="534">
        <f>PI!AI219</f>
        <v>2</v>
      </c>
      <c r="AG39" s="280">
        <f>PI!AJ219</f>
        <v>3</v>
      </c>
      <c r="AH39" s="280">
        <f>PI!AK219</f>
        <v>9</v>
      </c>
      <c r="AI39" s="280">
        <f>PI!AL219</f>
        <v>11</v>
      </c>
      <c r="AJ39" s="280">
        <f>PI!AM219</f>
        <v>11</v>
      </c>
      <c r="AK39" s="280">
        <f>PI!AN219</f>
        <v>13</v>
      </c>
      <c r="AL39" s="534">
        <f>PI!AO219</f>
        <v>14</v>
      </c>
      <c r="AM39" s="280">
        <f>PI!AP219</f>
        <v>15</v>
      </c>
      <c r="AN39" s="280">
        <f>PI!AQ219</f>
        <v>17</v>
      </c>
      <c r="AO39" s="280">
        <f>PI!AR219</f>
        <v>0</v>
      </c>
      <c r="AP39" s="534">
        <f>PI!AS219</f>
        <v>0</v>
      </c>
      <c r="AS39" s="51"/>
      <c r="AT39" s="52" t="s">
        <v>426</v>
      </c>
      <c r="AU39" s="364" t="s">
        <v>276</v>
      </c>
      <c r="AV39" s="53" t="s">
        <v>133</v>
      </c>
      <c r="AW39" s="61" t="s">
        <v>427</v>
      </c>
      <c r="AX39" s="53"/>
      <c r="AY39" s="89">
        <f t="shared" si="3"/>
        <v>42.307692307692307</v>
      </c>
      <c r="AZ39" s="89">
        <f t="shared" si="4"/>
        <v>0</v>
      </c>
      <c r="BA39" s="95">
        <f>IFERROR(IF(AE39/I39*100&gt;110,110,AE39/I39*100),100)</f>
        <v>33.333333333333329</v>
      </c>
      <c r="BB39" s="95">
        <f t="shared" ref="BB39:BL40" si="34">IFERROR(IF(AF39/J39*100&gt;110,110,AF39/J39*100),100)</f>
        <v>20</v>
      </c>
      <c r="BC39" s="95">
        <f t="shared" si="34"/>
        <v>15</v>
      </c>
      <c r="BD39" s="95">
        <f t="shared" si="34"/>
        <v>40.909090909090914</v>
      </c>
      <c r="BE39" s="95">
        <f t="shared" si="34"/>
        <v>45.833333333333329</v>
      </c>
      <c r="BF39" s="95">
        <f t="shared" si="34"/>
        <v>42.307692307692307</v>
      </c>
      <c r="BG39" s="95">
        <f t="shared" si="34"/>
        <v>46.428571428571431</v>
      </c>
      <c r="BH39" s="95">
        <f t="shared" si="34"/>
        <v>46.666666666666664</v>
      </c>
      <c r="BI39" s="95">
        <f t="shared" si="34"/>
        <v>46.875</v>
      </c>
      <c r="BJ39" s="95">
        <f t="shared" si="34"/>
        <v>50</v>
      </c>
      <c r="BK39" s="95">
        <f t="shared" si="34"/>
        <v>0</v>
      </c>
      <c r="BL39" s="95">
        <f t="shared" si="34"/>
        <v>0</v>
      </c>
      <c r="BM39"/>
      <c r="BN39"/>
      <c r="BO39" s="51"/>
      <c r="BP39" s="52" t="s">
        <v>426</v>
      </c>
      <c r="BQ39" s="364" t="s">
        <v>276</v>
      </c>
      <c r="BR39" s="53" t="s">
        <v>133</v>
      </c>
      <c r="BS39" s="61" t="s">
        <v>427</v>
      </c>
      <c r="BT39" s="53">
        <v>2</v>
      </c>
      <c r="BU39" s="89">
        <f t="shared" ref="BU39:BU40" si="35">CB39</f>
        <v>0.84615384615384615</v>
      </c>
      <c r="BV39" s="89">
        <f t="shared" ref="BV39:BV40" si="36">CH39</f>
        <v>0</v>
      </c>
      <c r="BW39" s="111" cm="1">
        <f t="array" ref="BW39:CH39">BT39*BA39:BL39/100</f>
        <v>0.66666666666666652</v>
      </c>
      <c r="BX39" s="95">
        <v>0.4</v>
      </c>
      <c r="BY39" s="95">
        <v>0.3</v>
      </c>
      <c r="BZ39" s="95">
        <v>0.81818181818181823</v>
      </c>
      <c r="CA39" s="95">
        <v>0.91666666666666652</v>
      </c>
      <c r="CB39" s="95">
        <v>0.84615384615384615</v>
      </c>
      <c r="CC39" s="95">
        <v>0.9285714285714286</v>
      </c>
      <c r="CD39" s="95">
        <v>0.93333333333333324</v>
      </c>
      <c r="CE39" s="95">
        <v>0.9375</v>
      </c>
      <c r="CF39" s="95">
        <v>1</v>
      </c>
      <c r="CG39" s="95">
        <v>0</v>
      </c>
      <c r="CH39" s="95">
        <v>0</v>
      </c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</row>
    <row r="40" spans="1:102" ht="16.5">
      <c r="A40" s="519"/>
      <c r="B40" s="275" t="s">
        <v>428</v>
      </c>
      <c r="C40" s="327" t="s">
        <v>276</v>
      </c>
      <c r="D40" s="273" t="s">
        <v>429</v>
      </c>
      <c r="E40" s="296" t="s">
        <v>430</v>
      </c>
      <c r="F40" s="295"/>
      <c r="G40" s="257">
        <f>N40</f>
        <v>3369.6</v>
      </c>
      <c r="H40" s="257">
        <f>T40</f>
        <v>4795.2</v>
      </c>
      <c r="I40" s="257">
        <v>777.6</v>
      </c>
      <c r="J40" s="257">
        <v>1296</v>
      </c>
      <c r="K40" s="257">
        <v>2592</v>
      </c>
      <c r="L40" s="257">
        <v>2851.2</v>
      </c>
      <c r="M40" s="257">
        <v>3110.4</v>
      </c>
      <c r="N40" s="257">
        <v>3369.6</v>
      </c>
      <c r="O40" s="257">
        <v>3628.8</v>
      </c>
      <c r="P40" s="257">
        <v>3888</v>
      </c>
      <c r="Q40" s="257">
        <v>4147.2</v>
      </c>
      <c r="R40" s="257">
        <v>4406.3999999999996</v>
      </c>
      <c r="S40" s="257">
        <v>4665.6000000000004</v>
      </c>
      <c r="T40" s="90">
        <v>4795.2</v>
      </c>
      <c r="U40" s="36"/>
      <c r="V40" s="36"/>
      <c r="W40" s="51"/>
      <c r="X40" s="275" t="s">
        <v>428</v>
      </c>
      <c r="Y40" s="327" t="s">
        <v>276</v>
      </c>
      <c r="Z40" s="53" t="s">
        <v>429</v>
      </c>
      <c r="AA40" s="296" t="s">
        <v>430</v>
      </c>
      <c r="AB40" s="53"/>
      <c r="AC40" s="142">
        <f t="shared" si="1"/>
        <v>1760.1000000000001</v>
      </c>
      <c r="AD40" s="142">
        <f t="shared" si="2"/>
        <v>0</v>
      </c>
      <c r="AE40" s="280">
        <f>PI!AH225</f>
        <v>450.9</v>
      </c>
      <c r="AF40" s="534">
        <f>PI!AI225</f>
        <v>962</v>
      </c>
      <c r="AG40" s="280">
        <f>PI!AJ225</f>
        <v>977.7</v>
      </c>
      <c r="AH40" s="280">
        <f>PI!AK225</f>
        <v>1322.5</v>
      </c>
      <c r="AI40" s="280">
        <f>PI!AL225</f>
        <v>1472.9</v>
      </c>
      <c r="AJ40" s="280">
        <f>PI!AM225</f>
        <v>1760.1000000000001</v>
      </c>
      <c r="AK40" s="280">
        <f>PI!AN225</f>
        <v>2503.7000000000003</v>
      </c>
      <c r="AL40" s="534">
        <f>PI!AO225</f>
        <v>2848.1000000000004</v>
      </c>
      <c r="AM40" s="280">
        <f>PI!AP225</f>
        <v>3297.5000000000005</v>
      </c>
      <c r="AN40" s="280">
        <f>PI!AQ225</f>
        <v>4031.7000000000007</v>
      </c>
      <c r="AO40" s="280">
        <f>PI!AR225</f>
        <v>0</v>
      </c>
      <c r="AP40" s="534">
        <f>PI!AS225</f>
        <v>0</v>
      </c>
      <c r="AS40" s="51"/>
      <c r="AT40" s="52" t="s">
        <v>428</v>
      </c>
      <c r="AU40" s="364" t="s">
        <v>276</v>
      </c>
      <c r="AV40" s="53" t="s">
        <v>429</v>
      </c>
      <c r="AW40" s="61" t="s">
        <v>430</v>
      </c>
      <c r="AX40" s="53"/>
      <c r="AY40" s="89">
        <f t="shared" si="3"/>
        <v>52.234686609686619</v>
      </c>
      <c r="AZ40" s="89">
        <f t="shared" si="4"/>
        <v>0</v>
      </c>
      <c r="BA40" s="95">
        <f>IFERROR(IF(AE40/I40*100&gt;110,110,AE40/I40*100),100)</f>
        <v>57.986111111111107</v>
      </c>
      <c r="BB40" s="95">
        <f t="shared" si="34"/>
        <v>74.228395061728392</v>
      </c>
      <c r="BC40" s="95">
        <f t="shared" si="34"/>
        <v>37.719907407407412</v>
      </c>
      <c r="BD40" s="95">
        <f t="shared" si="34"/>
        <v>46.383978675645345</v>
      </c>
      <c r="BE40" s="95">
        <f t="shared" si="34"/>
        <v>47.354038065843625</v>
      </c>
      <c r="BF40" s="95">
        <f t="shared" si="34"/>
        <v>52.234686609686619</v>
      </c>
      <c r="BG40" s="95">
        <f t="shared" si="34"/>
        <v>68.995260141093468</v>
      </c>
      <c r="BH40" s="95">
        <f t="shared" si="34"/>
        <v>73.253600823045275</v>
      </c>
      <c r="BI40" s="95">
        <f t="shared" si="34"/>
        <v>79.511477623456813</v>
      </c>
      <c r="BJ40" s="95">
        <f t="shared" si="34"/>
        <v>91.496459694989127</v>
      </c>
      <c r="BK40" s="95">
        <f t="shared" si="34"/>
        <v>0</v>
      </c>
      <c r="BL40" s="95">
        <f t="shared" si="34"/>
        <v>0</v>
      </c>
      <c r="BM40"/>
      <c r="BN40"/>
      <c r="BO40" s="51"/>
      <c r="BP40" s="52" t="s">
        <v>428</v>
      </c>
      <c r="BQ40" s="364" t="s">
        <v>276</v>
      </c>
      <c r="BR40" s="53" t="s">
        <v>429</v>
      </c>
      <c r="BS40" s="61" t="s">
        <v>430</v>
      </c>
      <c r="BT40" s="53">
        <v>2</v>
      </c>
      <c r="BU40" s="89">
        <f t="shared" si="35"/>
        <v>1.0446937321937324</v>
      </c>
      <c r="BV40" s="89">
        <f t="shared" si="36"/>
        <v>0</v>
      </c>
      <c r="BW40" s="111" cm="1">
        <f t="array" ref="BW40:CH40">BT40*BA40:BL40/100</f>
        <v>1.1597222222222221</v>
      </c>
      <c r="BX40" s="95">
        <v>1.4845679012345678</v>
      </c>
      <c r="BY40" s="95">
        <v>0.75439814814814821</v>
      </c>
      <c r="BZ40" s="95">
        <v>0.92767957351290686</v>
      </c>
      <c r="CA40" s="95">
        <v>0.94708076131687247</v>
      </c>
      <c r="CB40" s="95">
        <v>1.0446937321937324</v>
      </c>
      <c r="CC40" s="95">
        <v>1.3799052028218695</v>
      </c>
      <c r="CD40" s="95">
        <v>1.4650720164609055</v>
      </c>
      <c r="CE40" s="95">
        <v>1.5902295524691363</v>
      </c>
      <c r="CF40" s="95">
        <v>1.8299291938997826</v>
      </c>
      <c r="CG40" s="95">
        <v>0</v>
      </c>
      <c r="CH40" s="95">
        <v>0</v>
      </c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</row>
    <row r="41" spans="1:102" ht="16.5">
      <c r="A41" s="519">
        <v>10</v>
      </c>
      <c r="B41" s="271" t="s">
        <v>320</v>
      </c>
      <c r="C41" s="327"/>
      <c r="D41" s="273"/>
      <c r="E41" s="296"/>
      <c r="F41" s="295">
        <v>8</v>
      </c>
      <c r="G41" s="257"/>
      <c r="H41" s="257"/>
      <c r="I41" s="257"/>
      <c r="J41" s="257"/>
      <c r="K41" s="257"/>
      <c r="L41" s="257"/>
      <c r="M41" s="257"/>
      <c r="N41" s="257"/>
      <c r="O41" s="257"/>
      <c r="P41" s="257"/>
      <c r="Q41" s="257"/>
      <c r="R41" s="257"/>
      <c r="S41" s="257"/>
      <c r="T41" s="90"/>
      <c r="U41" s="36"/>
      <c r="V41" s="36"/>
      <c r="W41" s="51">
        <f ca="1">T.LEOK!W41</f>
        <v>10</v>
      </c>
      <c r="X41" s="271" t="s">
        <v>320</v>
      </c>
      <c r="Y41" s="327"/>
      <c r="Z41" s="53"/>
      <c r="AA41" s="296"/>
      <c r="AB41" s="53">
        <v>8</v>
      </c>
      <c r="AC41" s="142"/>
      <c r="AD41" s="142">
        <f t="shared" si="2"/>
        <v>0</v>
      </c>
      <c r="AE41" s="280"/>
      <c r="AF41" s="534"/>
      <c r="AG41" s="280"/>
      <c r="AH41" s="280"/>
      <c r="AI41" s="280"/>
      <c r="AJ41" s="280"/>
      <c r="AK41" s="280"/>
      <c r="AL41" s="534"/>
      <c r="AM41" s="280"/>
      <c r="AN41" s="280"/>
      <c r="AO41" s="280"/>
      <c r="AP41" s="534"/>
      <c r="AS41" s="51">
        <v>10</v>
      </c>
      <c r="AT41" s="267" t="s">
        <v>320</v>
      </c>
      <c r="AU41" s="364"/>
      <c r="AV41" s="53"/>
      <c r="AW41" s="61"/>
      <c r="AX41" s="53">
        <v>8</v>
      </c>
      <c r="AY41" s="89"/>
      <c r="AZ41" s="89"/>
      <c r="BA41" s="95"/>
      <c r="BB41" s="95"/>
      <c r="BC41" s="95"/>
      <c r="BD41" s="95"/>
      <c r="BE41" s="95"/>
      <c r="BF41" s="95"/>
      <c r="BG41" s="95"/>
      <c r="BH41" s="95"/>
      <c r="BI41" s="95"/>
      <c r="BJ41" s="95"/>
      <c r="BK41" s="95"/>
      <c r="BL41" s="95"/>
      <c r="BM41"/>
      <c r="BN41"/>
      <c r="BO41" s="51">
        <v>10</v>
      </c>
      <c r="BP41" s="267" t="s">
        <v>320</v>
      </c>
      <c r="BQ41" s="364"/>
      <c r="BR41" s="53"/>
      <c r="BS41" s="61"/>
      <c r="BT41" s="513">
        <v>8</v>
      </c>
      <c r="BU41" s="89"/>
      <c r="BV41" s="89"/>
      <c r="BW41" s="95"/>
      <c r="BX41" s="95"/>
      <c r="BY41" s="95"/>
      <c r="BZ41" s="95"/>
      <c r="CA41" s="95"/>
      <c r="CB41" s="95"/>
      <c r="CC41" s="95"/>
      <c r="CD41" s="95"/>
      <c r="CE41" s="95"/>
      <c r="CF41" s="95"/>
      <c r="CG41" s="95"/>
      <c r="CH41" s="95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</row>
    <row r="42" spans="1:102" ht="16.5">
      <c r="A42" s="517"/>
      <c r="B42" s="275" t="s">
        <v>321</v>
      </c>
      <c r="C42" s="327" t="s">
        <v>276</v>
      </c>
      <c r="D42" s="273" t="s">
        <v>133</v>
      </c>
      <c r="E42" s="296" t="s">
        <v>431</v>
      </c>
      <c r="F42" s="295"/>
      <c r="G42" s="257">
        <f>N42</f>
        <v>1449</v>
      </c>
      <c r="H42" s="257">
        <f>T42</f>
        <v>1449</v>
      </c>
      <c r="I42" s="257">
        <f>PI!D235</f>
        <v>1449</v>
      </c>
      <c r="J42" s="257">
        <f>PI!E235</f>
        <v>1449</v>
      </c>
      <c r="K42" s="257">
        <f>PI!F235</f>
        <v>1449</v>
      </c>
      <c r="L42" s="257">
        <f>PI!G235</f>
        <v>1449</v>
      </c>
      <c r="M42" s="257">
        <f>PI!H235</f>
        <v>1449</v>
      </c>
      <c r="N42" s="257">
        <f>PI!I235</f>
        <v>1449</v>
      </c>
      <c r="O42" s="257">
        <f>PI!J235</f>
        <v>1449</v>
      </c>
      <c r="P42" s="257">
        <f>PI!K235</f>
        <v>1449</v>
      </c>
      <c r="Q42" s="257">
        <f>PI!L235</f>
        <v>1449</v>
      </c>
      <c r="R42" s="257">
        <f>PI!M235</f>
        <v>1449</v>
      </c>
      <c r="S42" s="257">
        <f>PI!N235</f>
        <v>1449</v>
      </c>
      <c r="T42" s="90">
        <f>PI!O235</f>
        <v>1449</v>
      </c>
      <c r="U42" s="36"/>
      <c r="V42" s="36"/>
      <c r="W42" s="51"/>
      <c r="X42" s="275" t="s">
        <v>321</v>
      </c>
      <c r="Y42" s="327" t="s">
        <v>276</v>
      </c>
      <c r="Z42" s="53" t="s">
        <v>133</v>
      </c>
      <c r="AA42" s="296" t="s">
        <v>431</v>
      </c>
      <c r="AB42" s="53"/>
      <c r="AC42" s="142">
        <f t="shared" si="1"/>
        <v>2007.8333333333333</v>
      </c>
      <c r="AD42" s="142">
        <f t="shared" si="2"/>
        <v>1753.4</v>
      </c>
      <c r="AE42" s="280">
        <f>PI!AH235</f>
        <v>3652</v>
      </c>
      <c r="AF42" s="534">
        <f>PI!AI235</f>
        <v>2886</v>
      </c>
      <c r="AG42" s="280">
        <f>PI!AJ235</f>
        <v>2577.5</v>
      </c>
      <c r="AH42" s="280">
        <f>PI!AK235</f>
        <v>2413</v>
      </c>
      <c r="AI42" s="280">
        <f>PI!AL235</f>
        <v>2114.1999999999998</v>
      </c>
      <c r="AJ42" s="280">
        <f>PI!AM235</f>
        <v>2007.8333333333333</v>
      </c>
      <c r="AK42" s="280">
        <f>PI!AN235</f>
        <v>1907.2857142857142</v>
      </c>
      <c r="AL42" s="534">
        <f>PI!AO235</f>
        <v>1822.5</v>
      </c>
      <c r="AM42" s="280">
        <f>PI!AP235</f>
        <v>1775.3333333333333</v>
      </c>
      <c r="AN42" s="280">
        <f>PI!AQ235</f>
        <v>1753.4</v>
      </c>
      <c r="AO42" s="280">
        <f>PI!AR235</f>
        <v>1753.4</v>
      </c>
      <c r="AP42" s="534">
        <f>PI!AS235</f>
        <v>1753.4</v>
      </c>
      <c r="AS42" s="51"/>
      <c r="AT42" s="52" t="s">
        <v>321</v>
      </c>
      <c r="AU42" s="364" t="s">
        <v>276</v>
      </c>
      <c r="AV42" s="53" t="s">
        <v>133</v>
      </c>
      <c r="AW42" s="61" t="s">
        <v>431</v>
      </c>
      <c r="AX42" s="53"/>
      <c r="AY42" s="89">
        <f t="shared" si="3"/>
        <v>110</v>
      </c>
      <c r="AZ42" s="89">
        <f t="shared" si="4"/>
        <v>110</v>
      </c>
      <c r="BA42" s="95">
        <f>IFERROR(IF(AE42/I42*100&gt;110,110,AE42/I42*100),100)</f>
        <v>110</v>
      </c>
      <c r="BB42" s="95">
        <f t="shared" ref="BB42:BL44" si="37">IFERROR(IF(AF42/J42*100&gt;110,110,AF42/J42*100),100)</f>
        <v>110</v>
      </c>
      <c r="BC42" s="95">
        <f t="shared" si="37"/>
        <v>110</v>
      </c>
      <c r="BD42" s="95">
        <f t="shared" si="37"/>
        <v>110</v>
      </c>
      <c r="BE42" s="95">
        <f t="shared" si="37"/>
        <v>110</v>
      </c>
      <c r="BF42" s="95">
        <f t="shared" si="37"/>
        <v>110</v>
      </c>
      <c r="BG42" s="95">
        <f t="shared" si="37"/>
        <v>110</v>
      </c>
      <c r="BH42" s="95">
        <f t="shared" si="37"/>
        <v>110</v>
      </c>
      <c r="BI42" s="95">
        <f t="shared" si="37"/>
        <v>110</v>
      </c>
      <c r="BJ42" s="95">
        <f t="shared" si="37"/>
        <v>110</v>
      </c>
      <c r="BK42" s="95">
        <f t="shared" si="37"/>
        <v>110</v>
      </c>
      <c r="BL42" s="95">
        <f t="shared" si="37"/>
        <v>110</v>
      </c>
      <c r="BM42"/>
      <c r="BN42"/>
      <c r="BO42" s="51"/>
      <c r="BP42" s="52" t="s">
        <v>321</v>
      </c>
      <c r="BQ42" s="364" t="s">
        <v>276</v>
      </c>
      <c r="BR42" s="53" t="s">
        <v>133</v>
      </c>
      <c r="BS42" s="61" t="s">
        <v>431</v>
      </c>
      <c r="BT42" s="53">
        <v>4</v>
      </c>
      <c r="BU42" s="89">
        <f t="shared" ref="BU42:BU44" si="38">CB42</f>
        <v>4.4000000000000004</v>
      </c>
      <c r="BV42" s="89">
        <f t="shared" ref="BV42:BV44" si="39">CH42</f>
        <v>4.4000000000000004</v>
      </c>
      <c r="BW42" s="111" cm="1">
        <f t="array" ref="BW42:CH42">BT42*BA42:BL42/100</f>
        <v>4.4000000000000004</v>
      </c>
      <c r="BX42" s="95">
        <v>4.4000000000000004</v>
      </c>
      <c r="BY42" s="95">
        <v>4.4000000000000004</v>
      </c>
      <c r="BZ42" s="95">
        <v>4.4000000000000004</v>
      </c>
      <c r="CA42" s="95">
        <v>4.4000000000000004</v>
      </c>
      <c r="CB42" s="95">
        <v>4.4000000000000004</v>
      </c>
      <c r="CC42" s="95">
        <v>4.4000000000000004</v>
      </c>
      <c r="CD42" s="95">
        <v>4.4000000000000004</v>
      </c>
      <c r="CE42" s="95">
        <v>4.4000000000000004</v>
      </c>
      <c r="CF42" s="95">
        <v>4.4000000000000004</v>
      </c>
      <c r="CG42" s="95">
        <v>4.4000000000000004</v>
      </c>
      <c r="CH42" s="95">
        <v>4.4000000000000004</v>
      </c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</row>
    <row r="43" spans="1:102" ht="16.5">
      <c r="A43" s="519"/>
      <c r="B43" s="275" t="s">
        <v>323</v>
      </c>
      <c r="C43" s="327" t="s">
        <v>278</v>
      </c>
      <c r="D43" s="273" t="s">
        <v>133</v>
      </c>
      <c r="E43" s="296" t="s">
        <v>432</v>
      </c>
      <c r="F43" s="295"/>
      <c r="G43" s="257"/>
      <c r="H43" s="257"/>
      <c r="I43" s="257"/>
      <c r="J43" s="257"/>
      <c r="K43" s="257"/>
      <c r="L43" s="257"/>
      <c r="M43" s="257"/>
      <c r="N43" s="257"/>
      <c r="O43" s="257"/>
      <c r="P43" s="257"/>
      <c r="Q43" s="257"/>
      <c r="R43" s="257"/>
      <c r="S43" s="257"/>
      <c r="T43" s="90"/>
      <c r="U43" s="36"/>
      <c r="V43" s="36"/>
      <c r="W43" s="51"/>
      <c r="X43" s="275" t="s">
        <v>323</v>
      </c>
      <c r="Y43" s="327" t="s">
        <v>278</v>
      </c>
      <c r="Z43" s="53" t="s">
        <v>133</v>
      </c>
      <c r="AA43" s="296" t="s">
        <v>432</v>
      </c>
      <c r="AB43" s="53"/>
      <c r="AC43" s="142">
        <f t="shared" si="1"/>
        <v>0</v>
      </c>
      <c r="AD43" s="142">
        <f t="shared" si="2"/>
        <v>0</v>
      </c>
      <c r="AE43" s="280">
        <v>0</v>
      </c>
      <c r="AF43" s="534">
        <v>0</v>
      </c>
      <c r="AG43" s="280">
        <v>0</v>
      </c>
      <c r="AH43" s="280">
        <v>0</v>
      </c>
      <c r="AI43" s="280">
        <v>0</v>
      </c>
      <c r="AJ43" s="280">
        <v>0</v>
      </c>
      <c r="AK43" s="280">
        <v>0</v>
      </c>
      <c r="AL43" s="534">
        <v>0</v>
      </c>
      <c r="AM43" s="280">
        <v>0</v>
      </c>
      <c r="AN43" s="280">
        <v>0</v>
      </c>
      <c r="AO43" s="280">
        <v>0</v>
      </c>
      <c r="AP43" s="534">
        <v>0</v>
      </c>
      <c r="AS43" s="51"/>
      <c r="AT43" s="52" t="s">
        <v>323</v>
      </c>
      <c r="AU43" s="364" t="s">
        <v>278</v>
      </c>
      <c r="AV43" s="53" t="s">
        <v>133</v>
      </c>
      <c r="AW43" s="61" t="s">
        <v>432</v>
      </c>
      <c r="AX43" s="53"/>
      <c r="AY43" s="89">
        <f t="shared" si="3"/>
        <v>100</v>
      </c>
      <c r="AZ43" s="89">
        <f t="shared" si="4"/>
        <v>100</v>
      </c>
      <c r="BA43" s="95">
        <f>IFERROR(IF(AE43/I43*100&gt;110,110,AE43/I43*100),100)</f>
        <v>100</v>
      </c>
      <c r="BB43" s="95">
        <f t="shared" si="37"/>
        <v>100</v>
      </c>
      <c r="BC43" s="95">
        <f t="shared" si="37"/>
        <v>100</v>
      </c>
      <c r="BD43" s="95">
        <f t="shared" si="37"/>
        <v>100</v>
      </c>
      <c r="BE43" s="95">
        <f t="shared" si="37"/>
        <v>100</v>
      </c>
      <c r="BF43" s="95">
        <f t="shared" si="37"/>
        <v>100</v>
      </c>
      <c r="BG43" s="95">
        <f t="shared" si="37"/>
        <v>100</v>
      </c>
      <c r="BH43" s="95">
        <f t="shared" si="37"/>
        <v>100</v>
      </c>
      <c r="BI43" s="95">
        <f t="shared" si="37"/>
        <v>100</v>
      </c>
      <c r="BJ43" s="95">
        <f t="shared" si="37"/>
        <v>100</v>
      </c>
      <c r="BK43" s="95">
        <f t="shared" si="37"/>
        <v>100</v>
      </c>
      <c r="BL43" s="95">
        <f t="shared" si="37"/>
        <v>100</v>
      </c>
      <c r="BM43"/>
      <c r="BN43"/>
      <c r="BO43" s="51"/>
      <c r="BP43" s="52" t="s">
        <v>323</v>
      </c>
      <c r="BQ43" s="364" t="s">
        <v>278</v>
      </c>
      <c r="BR43" s="53" t="s">
        <v>133</v>
      </c>
      <c r="BS43" s="61" t="s">
        <v>432</v>
      </c>
      <c r="BT43" s="53">
        <v>4</v>
      </c>
      <c r="BU43" s="89">
        <f t="shared" si="38"/>
        <v>4</v>
      </c>
      <c r="BV43" s="89">
        <f t="shared" si="39"/>
        <v>4</v>
      </c>
      <c r="BW43" s="111" cm="1">
        <f t="array" ref="BW43:CH43">BT43*BA43:BL43/100</f>
        <v>4</v>
      </c>
      <c r="BX43" s="95">
        <v>4</v>
      </c>
      <c r="BY43" s="95">
        <v>4</v>
      </c>
      <c r="BZ43" s="95">
        <v>4</v>
      </c>
      <c r="CA43" s="95">
        <v>4</v>
      </c>
      <c r="CB43" s="95">
        <v>4</v>
      </c>
      <c r="CC43" s="95">
        <v>4</v>
      </c>
      <c r="CD43" s="95">
        <v>4</v>
      </c>
      <c r="CE43" s="95">
        <v>4</v>
      </c>
      <c r="CF43" s="95">
        <v>4</v>
      </c>
      <c r="CG43" s="95">
        <v>4</v>
      </c>
      <c r="CH43" s="95">
        <v>4</v>
      </c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</row>
    <row r="44" spans="1:102" ht="16.5">
      <c r="A44" s="519">
        <v>11</v>
      </c>
      <c r="B44" s="271" t="s">
        <v>433</v>
      </c>
      <c r="C44" s="327" t="s">
        <v>276</v>
      </c>
      <c r="D44" s="273" t="s">
        <v>149</v>
      </c>
      <c r="E44" s="296" t="s">
        <v>434</v>
      </c>
      <c r="F44" s="295">
        <v>3</v>
      </c>
      <c r="G44" s="257">
        <f>N44</f>
        <v>100</v>
      </c>
      <c r="H44" s="257">
        <f>T44</f>
        <v>100</v>
      </c>
      <c r="I44" s="257">
        <f>PI!D249</f>
        <v>100</v>
      </c>
      <c r="J44" s="257">
        <f>PI!E249</f>
        <v>100</v>
      </c>
      <c r="K44" s="257">
        <f>PI!F249</f>
        <v>100</v>
      </c>
      <c r="L44" s="257">
        <f>PI!G249</f>
        <v>100</v>
      </c>
      <c r="M44" s="257">
        <f>PI!H249</f>
        <v>100</v>
      </c>
      <c r="N44" s="257">
        <f>PI!I249</f>
        <v>100</v>
      </c>
      <c r="O44" s="257">
        <f>PI!J249</f>
        <v>100</v>
      </c>
      <c r="P44" s="257">
        <f>PI!K249</f>
        <v>100</v>
      </c>
      <c r="Q44" s="257">
        <f>PI!L249</f>
        <v>100</v>
      </c>
      <c r="R44" s="257">
        <f>PI!M249</f>
        <v>100</v>
      </c>
      <c r="S44" s="257">
        <f>PI!N249</f>
        <v>100</v>
      </c>
      <c r="T44" s="90">
        <f>PI!O249</f>
        <v>100</v>
      </c>
      <c r="U44" s="36"/>
      <c r="V44" s="36"/>
      <c r="W44" s="51">
        <f ca="1">T.LEOK!W44</f>
        <v>11</v>
      </c>
      <c r="X44" s="271" t="s">
        <v>433</v>
      </c>
      <c r="Y44" s="327" t="s">
        <v>276</v>
      </c>
      <c r="Z44" s="53"/>
      <c r="AA44" s="296" t="s">
        <v>434</v>
      </c>
      <c r="AB44" s="53">
        <v>3</v>
      </c>
      <c r="AC44" s="142">
        <f t="shared" si="1"/>
        <v>100</v>
      </c>
      <c r="AD44" s="142">
        <f t="shared" si="2"/>
        <v>100</v>
      </c>
      <c r="AE44" s="280">
        <f>PI!AH249</f>
        <v>100</v>
      </c>
      <c r="AF44" s="534">
        <f>PI!AI249</f>
        <v>100</v>
      </c>
      <c r="AG44" s="280">
        <f>PI!AJ249</f>
        <v>100</v>
      </c>
      <c r="AH44" s="280">
        <f>PI!AK249</f>
        <v>100</v>
      </c>
      <c r="AI44" s="280">
        <f>PI!AL249</f>
        <v>100</v>
      </c>
      <c r="AJ44" s="280">
        <f>PI!AM249</f>
        <v>100</v>
      </c>
      <c r="AK44" s="280">
        <f>PI!AN249</f>
        <v>100</v>
      </c>
      <c r="AL44" s="534">
        <f>PI!AO249</f>
        <v>100</v>
      </c>
      <c r="AM44" s="280">
        <f>PI!AP249</f>
        <v>100</v>
      </c>
      <c r="AN44" s="280">
        <f>PI!AQ249</f>
        <v>100</v>
      </c>
      <c r="AO44" s="280">
        <f>PI!AR249</f>
        <v>100</v>
      </c>
      <c r="AP44" s="534">
        <f>PI!AS249</f>
        <v>100</v>
      </c>
      <c r="AS44" s="51">
        <v>11</v>
      </c>
      <c r="AT44" s="267" t="s">
        <v>433</v>
      </c>
      <c r="AU44" s="364" t="s">
        <v>276</v>
      </c>
      <c r="AV44" s="53" t="s">
        <v>149</v>
      </c>
      <c r="AW44" s="61" t="s">
        <v>434</v>
      </c>
      <c r="AX44" s="53">
        <v>3</v>
      </c>
      <c r="AY44" s="89">
        <f t="shared" si="3"/>
        <v>100</v>
      </c>
      <c r="AZ44" s="89">
        <f t="shared" si="4"/>
        <v>100</v>
      </c>
      <c r="BA44" s="95">
        <f>IFERROR(IF(AE44/I44*100&gt;110,110,AE44/I44*100),100)</f>
        <v>100</v>
      </c>
      <c r="BB44" s="95">
        <f t="shared" si="37"/>
        <v>100</v>
      </c>
      <c r="BC44" s="95">
        <f t="shared" si="37"/>
        <v>100</v>
      </c>
      <c r="BD44" s="95">
        <f t="shared" si="37"/>
        <v>100</v>
      </c>
      <c r="BE44" s="95">
        <f t="shared" si="37"/>
        <v>100</v>
      </c>
      <c r="BF44" s="95">
        <f t="shared" si="37"/>
        <v>100</v>
      </c>
      <c r="BG44" s="95">
        <f t="shared" si="37"/>
        <v>100</v>
      </c>
      <c r="BH44" s="95">
        <f t="shared" si="37"/>
        <v>100</v>
      </c>
      <c r="BI44" s="95">
        <f t="shared" si="37"/>
        <v>100</v>
      </c>
      <c r="BJ44" s="95">
        <f t="shared" si="37"/>
        <v>100</v>
      </c>
      <c r="BK44" s="95">
        <f t="shared" si="37"/>
        <v>100</v>
      </c>
      <c r="BL44" s="95">
        <f t="shared" si="37"/>
        <v>100</v>
      </c>
      <c r="BM44"/>
      <c r="BN44"/>
      <c r="BO44" s="51">
        <v>11</v>
      </c>
      <c r="BP44" s="267" t="s">
        <v>433</v>
      </c>
      <c r="BQ44" s="364" t="s">
        <v>276</v>
      </c>
      <c r="BR44" s="53" t="s">
        <v>149</v>
      </c>
      <c r="BS44" s="61" t="s">
        <v>434</v>
      </c>
      <c r="BT44" s="513">
        <v>3</v>
      </c>
      <c r="BU44" s="89">
        <f t="shared" si="38"/>
        <v>3</v>
      </c>
      <c r="BV44" s="89">
        <f t="shared" si="39"/>
        <v>3</v>
      </c>
      <c r="BW44" s="111" cm="1">
        <f t="array" ref="BW44:CH44">BT44*BA44:BL44/100</f>
        <v>3</v>
      </c>
      <c r="BX44" s="95">
        <v>3</v>
      </c>
      <c r="BY44" s="95">
        <v>3</v>
      </c>
      <c r="BZ44" s="95">
        <v>3</v>
      </c>
      <c r="CA44" s="95">
        <v>3</v>
      </c>
      <c r="CB44" s="95">
        <v>3</v>
      </c>
      <c r="CC44" s="95">
        <v>3</v>
      </c>
      <c r="CD44" s="95">
        <v>3</v>
      </c>
      <c r="CE44" s="95">
        <v>3</v>
      </c>
      <c r="CF44" s="95">
        <v>3</v>
      </c>
      <c r="CG44" s="95">
        <v>3</v>
      </c>
      <c r="CH44" s="95">
        <v>3</v>
      </c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</row>
    <row r="45" spans="1:102" ht="16.5">
      <c r="A45" s="519">
        <v>12</v>
      </c>
      <c r="B45" s="267" t="s">
        <v>324</v>
      </c>
      <c r="C45" s="327"/>
      <c r="D45" s="273" t="s">
        <v>149</v>
      </c>
      <c r="E45" s="296"/>
      <c r="F45" s="295">
        <v>9</v>
      </c>
      <c r="G45" s="257"/>
      <c r="H45" s="257"/>
      <c r="I45" s="257"/>
      <c r="J45" s="257"/>
      <c r="K45" s="257"/>
      <c r="L45" s="257"/>
      <c r="M45" s="257"/>
      <c r="N45" s="257"/>
      <c r="O45" s="257"/>
      <c r="P45" s="257"/>
      <c r="Q45" s="257"/>
      <c r="R45" s="257"/>
      <c r="S45" s="257"/>
      <c r="T45" s="90"/>
      <c r="U45" s="36"/>
      <c r="V45" s="36"/>
      <c r="W45" s="51">
        <f ca="1">T.LEOK!W45</f>
        <v>12</v>
      </c>
      <c r="X45" s="267" t="s">
        <v>324</v>
      </c>
      <c r="Y45" s="327"/>
      <c r="Z45" s="53" t="s">
        <v>149</v>
      </c>
      <c r="AA45" s="296"/>
      <c r="AB45" s="53">
        <v>9</v>
      </c>
      <c r="AC45" s="142"/>
      <c r="AD45" s="142"/>
      <c r="AE45" s="280"/>
      <c r="AF45" s="534"/>
      <c r="AG45" s="280"/>
      <c r="AH45" s="280"/>
      <c r="AI45" s="280"/>
      <c r="AJ45" s="280"/>
      <c r="AK45" s="280"/>
      <c r="AL45" s="534"/>
      <c r="AM45" s="280"/>
      <c r="AN45" s="280"/>
      <c r="AO45" s="280"/>
      <c r="AP45" s="534"/>
      <c r="AS45" s="51">
        <v>12</v>
      </c>
      <c r="AT45" s="267" t="s">
        <v>324</v>
      </c>
      <c r="AU45" s="364"/>
      <c r="AV45" s="53"/>
      <c r="AW45" s="61"/>
      <c r="AX45" s="53">
        <v>9</v>
      </c>
      <c r="AY45" s="89"/>
      <c r="AZ45" s="89"/>
      <c r="BA45" s="95"/>
      <c r="BB45" s="95"/>
      <c r="BC45" s="95"/>
      <c r="BD45" s="95"/>
      <c r="BE45" s="95"/>
      <c r="BF45" s="95"/>
      <c r="BG45" s="95"/>
      <c r="BH45" s="95"/>
      <c r="BI45" s="95"/>
      <c r="BJ45" s="95"/>
      <c r="BK45" s="95"/>
      <c r="BL45" s="95"/>
      <c r="BM45"/>
      <c r="BN45"/>
      <c r="BO45" s="51">
        <v>12</v>
      </c>
      <c r="BP45" s="267" t="s">
        <v>324</v>
      </c>
      <c r="BQ45" s="364"/>
      <c r="BR45" s="53"/>
      <c r="BS45" s="61"/>
      <c r="BT45" s="513">
        <v>9</v>
      </c>
      <c r="BU45" s="89"/>
      <c r="BV45" s="89"/>
      <c r="BW45" s="95"/>
      <c r="BX45" s="95"/>
      <c r="BY45" s="95"/>
      <c r="BZ45" s="95"/>
      <c r="CA45" s="95"/>
      <c r="CB45" s="95"/>
      <c r="CC45" s="95"/>
      <c r="CD45" s="95"/>
      <c r="CE45" s="95"/>
      <c r="CF45" s="95"/>
      <c r="CG45" s="95"/>
      <c r="CH45" s="9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</row>
    <row r="46" spans="1:102" ht="16.5">
      <c r="A46" s="520"/>
      <c r="B46" s="275" t="s">
        <v>435</v>
      </c>
      <c r="C46" s="301" t="s">
        <v>278</v>
      </c>
      <c r="D46" s="273" t="s">
        <v>326</v>
      </c>
      <c r="E46" s="296" t="s">
        <v>436</v>
      </c>
      <c r="F46" s="295"/>
      <c r="G46" s="257">
        <f>N46</f>
        <v>354</v>
      </c>
      <c r="H46" s="257">
        <f>T46</f>
        <v>354</v>
      </c>
      <c r="I46" s="257">
        <f>PI!D268</f>
        <v>354</v>
      </c>
      <c r="J46" s="257">
        <f>PI!E268</f>
        <v>354</v>
      </c>
      <c r="K46" s="257">
        <f>PI!F268</f>
        <v>354</v>
      </c>
      <c r="L46" s="257">
        <f>PI!G268</f>
        <v>354</v>
      </c>
      <c r="M46" s="257">
        <f>PI!H268</f>
        <v>354</v>
      </c>
      <c r="N46" s="257">
        <f>PI!I268</f>
        <v>354</v>
      </c>
      <c r="O46" s="257">
        <f>PI!J268</f>
        <v>354</v>
      </c>
      <c r="P46" s="257">
        <f>PI!K268</f>
        <v>354</v>
      </c>
      <c r="Q46" s="257">
        <f>PI!L268</f>
        <v>354</v>
      </c>
      <c r="R46" s="257">
        <f>PI!M268</f>
        <v>354</v>
      </c>
      <c r="S46" s="257">
        <f>PI!N268</f>
        <v>354</v>
      </c>
      <c r="T46" s="90">
        <f>PI!O268</f>
        <v>354</v>
      </c>
      <c r="U46" s="36"/>
      <c r="V46" s="36"/>
      <c r="W46" s="51"/>
      <c r="X46" s="275" t="s">
        <v>435</v>
      </c>
      <c r="Y46" s="301" t="s">
        <v>278</v>
      </c>
      <c r="Z46" s="53" t="s">
        <v>326</v>
      </c>
      <c r="AA46" s="296" t="s">
        <v>436</v>
      </c>
      <c r="AB46" s="53"/>
      <c r="AC46" s="142">
        <f t="shared" si="1"/>
        <v>204.70423233333329</v>
      </c>
      <c r="AD46" s="142">
        <f t="shared" si="2"/>
        <v>215.15237779999998</v>
      </c>
      <c r="AE46" s="280">
        <f>PI!AH267</f>
        <v>432.64853799999997</v>
      </c>
      <c r="AF46" s="534">
        <f>PI!AI267</f>
        <v>262.09724999999997</v>
      </c>
      <c r="AG46" s="280">
        <f>PI!AJ267</f>
        <v>203.27037699999997</v>
      </c>
      <c r="AH46" s="280">
        <f>PI!AK267</f>
        <v>204.79259424999998</v>
      </c>
      <c r="AI46" s="280">
        <f>PI!AL267</f>
        <v>203.12221959999997</v>
      </c>
      <c r="AJ46" s="280">
        <f>PI!AM267</f>
        <v>204.70423233333329</v>
      </c>
      <c r="AK46" s="280">
        <f>PI!AN267</f>
        <v>207.58398814285712</v>
      </c>
      <c r="AL46" s="534">
        <f>PI!AO267</f>
        <v>212.62195174999999</v>
      </c>
      <c r="AM46" s="280">
        <f>PI!AP267</f>
        <v>214.83072299999998</v>
      </c>
      <c r="AN46" s="280">
        <f>PI!AQ267</f>
        <v>215.15237779999998</v>
      </c>
      <c r="AO46" s="280">
        <f>PI!AR267</f>
        <v>215.15237779999998</v>
      </c>
      <c r="AP46" s="534">
        <f>PI!AS267</f>
        <v>215.15237779999998</v>
      </c>
      <c r="AS46" s="51"/>
      <c r="AT46" s="52" t="s">
        <v>435</v>
      </c>
      <c r="AU46" s="364" t="s">
        <v>278</v>
      </c>
      <c r="AV46" s="53" t="s">
        <v>326</v>
      </c>
      <c r="AW46" s="61" t="s">
        <v>436</v>
      </c>
      <c r="AX46" s="53"/>
      <c r="AY46" s="89">
        <f t="shared" si="3"/>
        <v>110</v>
      </c>
      <c r="AZ46" s="89">
        <f t="shared" si="4"/>
        <v>110</v>
      </c>
      <c r="BA46" s="95">
        <f>IFERROR(IF((2-(AE46/I46))*100&gt;110,110,(2-(AE46/I46))*100),100)</f>
        <v>77.782898870056499</v>
      </c>
      <c r="BB46" s="95">
        <f t="shared" ref="BB46:BL46" si="40">IFERROR(IF((2-(AF46/J46))*100&gt;110,110,(2-(AF46/J46))*100),100)</f>
        <v>110</v>
      </c>
      <c r="BC46" s="95">
        <f t="shared" si="40"/>
        <v>110</v>
      </c>
      <c r="BD46" s="95">
        <f t="shared" si="40"/>
        <v>110</v>
      </c>
      <c r="BE46" s="95">
        <f t="shared" si="40"/>
        <v>110</v>
      </c>
      <c r="BF46" s="95">
        <f t="shared" si="40"/>
        <v>110</v>
      </c>
      <c r="BG46" s="95">
        <f t="shared" si="40"/>
        <v>110</v>
      </c>
      <c r="BH46" s="95">
        <f t="shared" si="40"/>
        <v>110</v>
      </c>
      <c r="BI46" s="95">
        <f t="shared" si="40"/>
        <v>110</v>
      </c>
      <c r="BJ46" s="95">
        <f t="shared" si="40"/>
        <v>110</v>
      </c>
      <c r="BK46" s="95">
        <f t="shared" si="40"/>
        <v>110</v>
      </c>
      <c r="BL46" s="95">
        <f t="shared" si="40"/>
        <v>110</v>
      </c>
      <c r="BM46"/>
      <c r="BN46"/>
      <c r="BO46" s="51"/>
      <c r="BP46" s="52" t="s">
        <v>435</v>
      </c>
      <c r="BQ46" s="364" t="s">
        <v>278</v>
      </c>
      <c r="BR46" s="53" t="s">
        <v>326</v>
      </c>
      <c r="BS46" s="61" t="s">
        <v>436</v>
      </c>
      <c r="BT46" s="53">
        <v>3</v>
      </c>
      <c r="BU46" s="89">
        <f t="shared" ref="BU46:BU48" si="41">CB46</f>
        <v>3.3</v>
      </c>
      <c r="BV46" s="89">
        <f t="shared" ref="BV46:BV48" si="42">CH46</f>
        <v>3.3</v>
      </c>
      <c r="BW46" s="111" cm="1">
        <f t="array" ref="BW46:CH46">BT46*BA46:BL46/100</f>
        <v>2.3334869661016948</v>
      </c>
      <c r="BX46" s="95">
        <v>3.3</v>
      </c>
      <c r="BY46" s="95">
        <v>3.3</v>
      </c>
      <c r="BZ46" s="95">
        <v>3.3</v>
      </c>
      <c r="CA46" s="95">
        <v>3.3</v>
      </c>
      <c r="CB46" s="95">
        <v>3.3</v>
      </c>
      <c r="CC46" s="95">
        <v>3.3</v>
      </c>
      <c r="CD46" s="95">
        <v>3.3</v>
      </c>
      <c r="CE46" s="95">
        <v>3.3</v>
      </c>
      <c r="CF46" s="95">
        <v>3.3</v>
      </c>
      <c r="CG46" s="95">
        <v>3.3</v>
      </c>
      <c r="CH46" s="95">
        <v>3.3</v>
      </c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</row>
    <row r="47" spans="1:102" ht="33">
      <c r="A47" s="519"/>
      <c r="B47" s="275" t="s">
        <v>437</v>
      </c>
      <c r="C47" s="301" t="s">
        <v>278</v>
      </c>
      <c r="D47" s="273" t="s">
        <v>326</v>
      </c>
      <c r="E47" s="296" t="s">
        <v>438</v>
      </c>
      <c r="F47" s="295"/>
      <c r="G47" s="257">
        <f>N47</f>
        <v>4.17</v>
      </c>
      <c r="H47" s="257">
        <f>T47</f>
        <v>4.17</v>
      </c>
      <c r="I47" s="257">
        <f>PI!D290</f>
        <v>4.17</v>
      </c>
      <c r="J47" s="257">
        <f>PI!E290</f>
        <v>4.17</v>
      </c>
      <c r="K47" s="257">
        <f>PI!F290</f>
        <v>4.17</v>
      </c>
      <c r="L47" s="257">
        <f>PI!G290</f>
        <v>4.17</v>
      </c>
      <c r="M47" s="257">
        <f>PI!H290</f>
        <v>4.17</v>
      </c>
      <c r="N47" s="257">
        <f>PI!I290</f>
        <v>4.17</v>
      </c>
      <c r="O47" s="257">
        <f>PI!J290</f>
        <v>4.17</v>
      </c>
      <c r="P47" s="257">
        <f>PI!K290</f>
        <v>4.17</v>
      </c>
      <c r="Q47" s="257">
        <f>PI!L290</f>
        <v>4.17</v>
      </c>
      <c r="R47" s="257">
        <f>PI!M290</f>
        <v>4.17</v>
      </c>
      <c r="S47" s="257">
        <f>PI!N290</f>
        <v>4.17</v>
      </c>
      <c r="T47" s="90">
        <f>PI!O290</f>
        <v>4.17</v>
      </c>
      <c r="U47" s="36"/>
      <c r="V47" s="36"/>
      <c r="W47" s="51"/>
      <c r="X47" s="275" t="s">
        <v>437</v>
      </c>
      <c r="Y47" s="301" t="s">
        <v>278</v>
      </c>
      <c r="Z47" s="53" t="s">
        <v>326</v>
      </c>
      <c r="AA47" s="296" t="s">
        <v>438</v>
      </c>
      <c r="AB47" s="53"/>
      <c r="AC47" s="142">
        <f t="shared" si="1"/>
        <v>2.4672841666666669</v>
      </c>
      <c r="AD47" s="142">
        <f t="shared" si="2"/>
        <v>2.2811970000000001</v>
      </c>
      <c r="AE47" s="280">
        <f>PI!AH289</f>
        <v>5.237749</v>
      </c>
      <c r="AF47" s="534">
        <f>PI!AI289</f>
        <v>2.6188745</v>
      </c>
      <c r="AG47" s="280">
        <f>PI!AJ289</f>
        <v>1.7459163333333334</v>
      </c>
      <c r="AH47" s="280">
        <f>PI!AK289</f>
        <v>2.9689424999999998</v>
      </c>
      <c r="AI47" s="280">
        <f>PI!AL289</f>
        <v>2.7957200000000002</v>
      </c>
      <c r="AJ47" s="280">
        <f>PI!AM289</f>
        <v>2.4672841666666669</v>
      </c>
      <c r="AK47" s="280">
        <f>PI!AN289</f>
        <v>2.6471661428571429</v>
      </c>
      <c r="AL47" s="534">
        <f>PI!AO289</f>
        <v>2.6505557500000001</v>
      </c>
      <c r="AM47" s="280">
        <f>PI!AP289</f>
        <v>2.399983555555556</v>
      </c>
      <c r="AN47" s="280">
        <f>PI!AQ289</f>
        <v>2.2811970000000001</v>
      </c>
      <c r="AO47" s="280">
        <f>PI!AR289</f>
        <v>2.2811970000000001</v>
      </c>
      <c r="AP47" s="534">
        <f>PI!AS289</f>
        <v>2.2811970000000001</v>
      </c>
      <c r="AS47" s="51"/>
      <c r="AT47" s="52" t="s">
        <v>437</v>
      </c>
      <c r="AU47" s="364" t="s">
        <v>278</v>
      </c>
      <c r="AV47" s="53" t="s">
        <v>326</v>
      </c>
      <c r="AW47" s="61" t="s">
        <v>438</v>
      </c>
      <c r="AX47" s="53"/>
      <c r="AY47" s="89">
        <f t="shared" si="3"/>
        <v>110</v>
      </c>
      <c r="AZ47" s="89">
        <f t="shared" si="4"/>
        <v>110</v>
      </c>
      <c r="BA47" s="95">
        <f>IF((2-(AE47/I47))*100&gt;110,110,IF((2-(AE47/I47))*100&lt;0,0,(2-(AE47/I47))*100))</f>
        <v>74.394508393285363</v>
      </c>
      <c r="BB47" s="95">
        <f t="shared" ref="BB47:BL47" si="43">IF((2-(AF47/J47))*100&gt;110,110,IF((2-(AF47/J47))*100&lt;0,0,(2-(AF47/J47))*100))</f>
        <v>110</v>
      </c>
      <c r="BC47" s="95">
        <f t="shared" si="43"/>
        <v>110</v>
      </c>
      <c r="BD47" s="95">
        <f t="shared" si="43"/>
        <v>110</v>
      </c>
      <c r="BE47" s="95">
        <f t="shared" si="43"/>
        <v>110</v>
      </c>
      <c r="BF47" s="95">
        <f t="shared" si="43"/>
        <v>110</v>
      </c>
      <c r="BG47" s="95">
        <f t="shared" si="43"/>
        <v>110</v>
      </c>
      <c r="BH47" s="95">
        <f t="shared" si="43"/>
        <v>110</v>
      </c>
      <c r="BI47" s="95">
        <f t="shared" si="43"/>
        <v>110</v>
      </c>
      <c r="BJ47" s="95">
        <f t="shared" si="43"/>
        <v>110</v>
      </c>
      <c r="BK47" s="95">
        <f t="shared" si="43"/>
        <v>110</v>
      </c>
      <c r="BL47" s="95">
        <f t="shared" si="43"/>
        <v>110</v>
      </c>
      <c r="BM47"/>
      <c r="BN47"/>
      <c r="BO47" s="51"/>
      <c r="BP47" s="52" t="s">
        <v>437</v>
      </c>
      <c r="BQ47" s="364" t="s">
        <v>278</v>
      </c>
      <c r="BR47" s="53" t="s">
        <v>326</v>
      </c>
      <c r="BS47" s="61" t="s">
        <v>438</v>
      </c>
      <c r="BT47" s="53">
        <v>3</v>
      </c>
      <c r="BU47" s="89">
        <f t="shared" si="41"/>
        <v>3.3</v>
      </c>
      <c r="BV47" s="89">
        <f t="shared" si="42"/>
        <v>3.3</v>
      </c>
      <c r="BW47" s="111" cm="1">
        <f t="array" ref="BW47:CH47">BT47*BA47:BL47/100</f>
        <v>2.2318352517985609</v>
      </c>
      <c r="BX47" s="95">
        <v>3.3</v>
      </c>
      <c r="BY47" s="95">
        <v>3.3</v>
      </c>
      <c r="BZ47" s="95">
        <v>3.3</v>
      </c>
      <c r="CA47" s="95">
        <v>3.3</v>
      </c>
      <c r="CB47" s="95">
        <v>3.3</v>
      </c>
      <c r="CC47" s="95">
        <v>3.3</v>
      </c>
      <c r="CD47" s="95">
        <v>3.3</v>
      </c>
      <c r="CE47" s="95">
        <v>3.3</v>
      </c>
      <c r="CF47" s="95">
        <v>3.3</v>
      </c>
      <c r="CG47" s="95">
        <v>3.3</v>
      </c>
      <c r="CH47" s="95">
        <v>3.3</v>
      </c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</row>
    <row r="48" spans="1:102" ht="16.5">
      <c r="A48" s="519"/>
      <c r="B48" s="275" t="s">
        <v>330</v>
      </c>
      <c r="C48" s="301" t="s">
        <v>276</v>
      </c>
      <c r="D48" s="273" t="s">
        <v>326</v>
      </c>
      <c r="E48" s="296" t="s">
        <v>439</v>
      </c>
      <c r="F48" s="295"/>
      <c r="G48" s="257">
        <f>N48</f>
        <v>0</v>
      </c>
      <c r="H48" s="257">
        <f>T48</f>
        <v>0</v>
      </c>
      <c r="I48" s="257">
        <f>PI!D311</f>
        <v>0</v>
      </c>
      <c r="J48" s="257">
        <f>PI!E311</f>
        <v>0</v>
      </c>
      <c r="K48" s="257">
        <f>PI!F311</f>
        <v>0</v>
      </c>
      <c r="L48" s="257">
        <f>PI!G311</f>
        <v>0</v>
      </c>
      <c r="M48" s="257">
        <f>PI!H311</f>
        <v>0</v>
      </c>
      <c r="N48" s="257">
        <f>PI!I311</f>
        <v>0</v>
      </c>
      <c r="O48" s="257">
        <f>PI!J311</f>
        <v>0</v>
      </c>
      <c r="P48" s="257">
        <f>PI!K311</f>
        <v>0</v>
      </c>
      <c r="Q48" s="257">
        <f>PI!L311</f>
        <v>0</v>
      </c>
      <c r="R48" s="257">
        <f>PI!M311</f>
        <v>0</v>
      </c>
      <c r="S48" s="257">
        <f>PI!N311</f>
        <v>0</v>
      </c>
      <c r="T48" s="90">
        <f>PI!O311</f>
        <v>0</v>
      </c>
      <c r="U48" s="36"/>
      <c r="V48" s="36"/>
      <c r="W48" s="51"/>
      <c r="X48" s="275" t="s">
        <v>330</v>
      </c>
      <c r="Y48" s="301" t="s">
        <v>276</v>
      </c>
      <c r="Z48" s="53" t="s">
        <v>326</v>
      </c>
      <c r="AA48" s="296" t="s">
        <v>439</v>
      </c>
      <c r="AB48" s="53"/>
      <c r="AC48" s="142">
        <f t="shared" si="1"/>
        <v>0</v>
      </c>
      <c r="AD48" s="142">
        <f t="shared" si="2"/>
        <v>0</v>
      </c>
      <c r="AE48" s="280">
        <f>PI!AH312</f>
        <v>0</v>
      </c>
      <c r="AF48" s="534">
        <f>PI!AI312</f>
        <v>0</v>
      </c>
      <c r="AG48" s="280">
        <f>PI!AJ312</f>
        <v>0</v>
      </c>
      <c r="AH48" s="280">
        <f>PI!AK312</f>
        <v>0</v>
      </c>
      <c r="AI48" s="280">
        <f>PI!AL312</f>
        <v>0</v>
      </c>
      <c r="AJ48" s="280">
        <f>PI!AM312</f>
        <v>0</v>
      </c>
      <c r="AK48" s="280">
        <f>PI!AN312</f>
        <v>0</v>
      </c>
      <c r="AL48" s="534">
        <f>PI!AO312</f>
        <v>0</v>
      </c>
      <c r="AM48" s="280">
        <f>PI!AP312</f>
        <v>0</v>
      </c>
      <c r="AN48" s="280">
        <f>PI!AQ312</f>
        <v>0</v>
      </c>
      <c r="AO48" s="280">
        <f>PI!AR312</f>
        <v>0</v>
      </c>
      <c r="AP48" s="534">
        <f>PI!AS312</f>
        <v>0</v>
      </c>
      <c r="AS48" s="51"/>
      <c r="AT48" s="52" t="s">
        <v>330</v>
      </c>
      <c r="AU48" s="364" t="s">
        <v>276</v>
      </c>
      <c r="AV48" s="53" t="s">
        <v>326</v>
      </c>
      <c r="AW48" s="61" t="s">
        <v>439</v>
      </c>
      <c r="AX48" s="53"/>
      <c r="AY48" s="89">
        <f t="shared" si="3"/>
        <v>100</v>
      </c>
      <c r="AZ48" s="89">
        <f t="shared" si="4"/>
        <v>100</v>
      </c>
      <c r="BA48" s="95">
        <f>IFERROR(IF(AE48/I48*100&gt;110,110,AE48/I48*100),100)</f>
        <v>100</v>
      </c>
      <c r="BB48" s="95">
        <f t="shared" ref="BB48:BL48" si="44">IFERROR(IF(AF48/J48*100&gt;110,110,AF48/J48*100),100)</f>
        <v>100</v>
      </c>
      <c r="BC48" s="95">
        <f t="shared" si="44"/>
        <v>100</v>
      </c>
      <c r="BD48" s="95">
        <f t="shared" si="44"/>
        <v>100</v>
      </c>
      <c r="BE48" s="95">
        <f t="shared" si="44"/>
        <v>100</v>
      </c>
      <c r="BF48" s="95">
        <f t="shared" si="44"/>
        <v>100</v>
      </c>
      <c r="BG48" s="95">
        <f t="shared" si="44"/>
        <v>100</v>
      </c>
      <c r="BH48" s="95">
        <f t="shared" si="44"/>
        <v>100</v>
      </c>
      <c r="BI48" s="95">
        <f t="shared" si="44"/>
        <v>100</v>
      </c>
      <c r="BJ48" s="95">
        <f t="shared" si="44"/>
        <v>100</v>
      </c>
      <c r="BK48" s="95">
        <f t="shared" si="44"/>
        <v>100</v>
      </c>
      <c r="BL48" s="95">
        <f t="shared" si="44"/>
        <v>100</v>
      </c>
      <c r="BM48"/>
      <c r="BN48"/>
      <c r="BO48" s="51"/>
      <c r="BP48" s="52" t="s">
        <v>330</v>
      </c>
      <c r="BQ48" s="364" t="s">
        <v>276</v>
      </c>
      <c r="BR48" s="53" t="s">
        <v>326</v>
      </c>
      <c r="BS48" s="61" t="s">
        <v>439</v>
      </c>
      <c r="BT48" s="53">
        <v>3</v>
      </c>
      <c r="BU48" s="89">
        <f t="shared" si="41"/>
        <v>3</v>
      </c>
      <c r="BV48" s="89">
        <f t="shared" si="42"/>
        <v>3</v>
      </c>
      <c r="BW48" s="111" cm="1">
        <f t="array" ref="BW48:CH48">BT48*BA48:BL48/100</f>
        <v>3</v>
      </c>
      <c r="BX48" s="95">
        <v>3</v>
      </c>
      <c r="BY48" s="95">
        <v>3</v>
      </c>
      <c r="BZ48" s="95">
        <v>3</v>
      </c>
      <c r="CA48" s="95">
        <v>3</v>
      </c>
      <c r="CB48" s="95">
        <v>3</v>
      </c>
      <c r="CC48" s="95">
        <v>3</v>
      </c>
      <c r="CD48" s="95">
        <v>3</v>
      </c>
      <c r="CE48" s="95">
        <v>3</v>
      </c>
      <c r="CF48" s="95">
        <v>3</v>
      </c>
      <c r="CG48" s="95">
        <v>3</v>
      </c>
      <c r="CH48" s="95">
        <v>3</v>
      </c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</row>
    <row r="49" spans="1:102" ht="16.5">
      <c r="A49" s="519">
        <v>13</v>
      </c>
      <c r="B49" s="271" t="s">
        <v>355</v>
      </c>
      <c r="C49" s="301"/>
      <c r="D49" s="273"/>
      <c r="E49" s="296"/>
      <c r="F49" s="295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90"/>
      <c r="U49" s="36"/>
      <c r="V49" s="36"/>
      <c r="W49" s="51">
        <f ca="1">T.LEOK!W49</f>
        <v>13</v>
      </c>
      <c r="X49" s="271" t="s">
        <v>355</v>
      </c>
      <c r="Y49" s="301"/>
      <c r="Z49" s="53"/>
      <c r="AA49" s="296"/>
      <c r="AB49" s="53"/>
      <c r="AC49" s="89"/>
      <c r="AD49" s="89"/>
      <c r="AE49" s="225"/>
      <c r="AF49" s="225"/>
      <c r="AG49" s="225"/>
      <c r="AH49" s="225"/>
      <c r="AI49" s="225"/>
      <c r="AJ49" s="225"/>
      <c r="AK49" s="225"/>
      <c r="AL49" s="225"/>
      <c r="AM49" s="225"/>
      <c r="AN49" s="532"/>
      <c r="AO49" s="225"/>
      <c r="AP49" s="532"/>
      <c r="AS49" s="51">
        <v>13</v>
      </c>
      <c r="AT49" s="267" t="s">
        <v>355</v>
      </c>
      <c r="AU49" s="364"/>
      <c r="AV49" s="53"/>
      <c r="AW49" s="61"/>
      <c r="AX49" s="53"/>
      <c r="AY49" s="89"/>
      <c r="AZ49" s="89"/>
      <c r="BA49" s="111"/>
      <c r="BB49" s="111"/>
      <c r="BC49" s="111"/>
      <c r="BD49" s="111"/>
      <c r="BE49" s="111"/>
      <c r="BF49" s="111"/>
      <c r="BG49" s="111"/>
      <c r="BH49" s="111"/>
      <c r="BI49" s="111"/>
      <c r="BJ49" s="111"/>
      <c r="BK49" s="111"/>
      <c r="BL49" s="111"/>
      <c r="BM49"/>
      <c r="BN49"/>
      <c r="BO49" s="51">
        <v>13</v>
      </c>
      <c r="BP49" s="267" t="s">
        <v>355</v>
      </c>
      <c r="BQ49" s="364"/>
      <c r="BR49" s="53"/>
      <c r="BS49" s="61"/>
      <c r="BT49" s="53"/>
      <c r="BU49" s="89"/>
      <c r="BV49" s="89"/>
      <c r="BW49" s="111"/>
      <c r="BX49" s="111"/>
      <c r="BY49" s="111"/>
      <c r="BZ49" s="111"/>
      <c r="CA49" s="111"/>
      <c r="CB49" s="111"/>
      <c r="CC49" s="111"/>
      <c r="CD49" s="111"/>
      <c r="CE49" s="111"/>
      <c r="CF49" s="111"/>
      <c r="CG49" s="111"/>
      <c r="CH49" s="111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</row>
    <row r="50" spans="1:102" ht="15.6" customHeight="1">
      <c r="A50" s="517"/>
      <c r="B50" s="275" t="s">
        <v>356</v>
      </c>
      <c r="C50" s="301"/>
      <c r="D50" s="273"/>
      <c r="E50" s="523" t="s">
        <v>396</v>
      </c>
      <c r="F50" s="61" t="s">
        <v>357</v>
      </c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90"/>
      <c r="U50" s="36"/>
      <c r="V50" s="36"/>
      <c r="W50" s="51"/>
      <c r="X50" s="275" t="s">
        <v>356</v>
      </c>
      <c r="Y50" s="301"/>
      <c r="Z50" s="53"/>
      <c r="AA50" s="523" t="s">
        <v>396</v>
      </c>
      <c r="AB50" s="53" t="s">
        <v>357</v>
      </c>
      <c r="AC50" s="89"/>
      <c r="AD50" s="89"/>
      <c r="AE50" s="89"/>
      <c r="AF50" s="89"/>
      <c r="AG50" s="89"/>
      <c r="AH50" s="89"/>
      <c r="AI50" s="89"/>
      <c r="AJ50" s="89"/>
      <c r="AK50" s="89"/>
      <c r="AL50" s="89"/>
      <c r="AM50" s="89"/>
      <c r="AN50" s="89"/>
      <c r="AO50" s="89"/>
      <c r="AP50" s="111"/>
      <c r="AS50" s="51"/>
      <c r="AT50" s="52" t="s">
        <v>356</v>
      </c>
      <c r="AU50" s="364"/>
      <c r="AV50" s="53"/>
      <c r="AW50" s="61" t="s">
        <v>396</v>
      </c>
      <c r="AX50" s="53" t="s">
        <v>357</v>
      </c>
      <c r="AY50" s="89"/>
      <c r="AZ50" s="89"/>
      <c r="BA50" s="111"/>
      <c r="BB50" s="111"/>
      <c r="BC50" s="111"/>
      <c r="BD50" s="111"/>
      <c r="BE50" s="111"/>
      <c r="BF50" s="111"/>
      <c r="BG50" s="111"/>
      <c r="BH50" s="111"/>
      <c r="BI50" s="111"/>
      <c r="BJ50" s="111"/>
      <c r="BK50" s="111"/>
      <c r="BL50" s="111"/>
      <c r="BM50"/>
      <c r="BN50"/>
      <c r="BO50" s="51"/>
      <c r="BP50" s="52" t="s">
        <v>356</v>
      </c>
      <c r="BQ50" s="364"/>
      <c r="BR50" s="53"/>
      <c r="BS50" s="61" t="s">
        <v>396</v>
      </c>
      <c r="BT50" s="53" t="s">
        <v>357</v>
      </c>
      <c r="BU50" s="89"/>
      <c r="BV50" s="89"/>
      <c r="BW50" s="111"/>
      <c r="BX50" s="111"/>
      <c r="BY50" s="111"/>
      <c r="BZ50" s="111"/>
      <c r="CA50" s="111"/>
      <c r="CB50" s="111"/>
      <c r="CC50" s="111"/>
      <c r="CD50" s="111"/>
      <c r="CE50" s="111"/>
      <c r="CF50" s="111"/>
      <c r="CG50" s="111"/>
      <c r="CH50" s="111"/>
    </row>
    <row r="51" spans="1:102" ht="15.6" customHeight="1">
      <c r="A51" s="519"/>
      <c r="B51" s="52" t="s">
        <v>358</v>
      </c>
      <c r="C51" s="301"/>
      <c r="D51" s="273"/>
      <c r="E51" s="523" t="s">
        <v>440</v>
      </c>
      <c r="F51" s="61" t="s">
        <v>359</v>
      </c>
      <c r="G51" s="257"/>
      <c r="H51" s="257"/>
      <c r="I51" s="257"/>
      <c r="J51" s="257"/>
      <c r="K51" s="257"/>
      <c r="L51" s="257"/>
      <c r="M51" s="257"/>
      <c r="N51" s="257"/>
      <c r="O51" s="257"/>
      <c r="P51" s="257"/>
      <c r="Q51" s="257"/>
      <c r="R51" s="257"/>
      <c r="S51" s="257"/>
      <c r="T51" s="90"/>
      <c r="U51" s="36"/>
      <c r="V51" s="36"/>
      <c r="W51" s="51"/>
      <c r="X51" s="52" t="s">
        <v>358</v>
      </c>
      <c r="Y51" s="301"/>
      <c r="Z51" s="53"/>
      <c r="AA51" s="523" t="s">
        <v>440</v>
      </c>
      <c r="AB51" s="53" t="s">
        <v>359</v>
      </c>
      <c r="AC51" s="89"/>
      <c r="AD51" s="89"/>
      <c r="AE51" s="89"/>
      <c r="AF51" s="89"/>
      <c r="AG51" s="89"/>
      <c r="AH51" s="89"/>
      <c r="AI51" s="89"/>
      <c r="AJ51" s="89"/>
      <c r="AK51" s="89"/>
      <c r="AL51" s="89"/>
      <c r="AM51" s="89"/>
      <c r="AN51" s="89"/>
      <c r="AO51" s="89"/>
      <c r="AP51" s="111"/>
      <c r="AS51" s="51"/>
      <c r="AT51" s="52" t="s">
        <v>358</v>
      </c>
      <c r="AU51" s="364"/>
      <c r="AV51" s="53"/>
      <c r="AW51" s="61" t="s">
        <v>440</v>
      </c>
      <c r="AX51" s="53" t="s">
        <v>359</v>
      </c>
      <c r="AY51" s="89"/>
      <c r="AZ51" s="89"/>
      <c r="BA51" s="111"/>
      <c r="BB51" s="111"/>
      <c r="BC51" s="111"/>
      <c r="BD51" s="111"/>
      <c r="BE51" s="111"/>
      <c r="BF51" s="111"/>
      <c r="BG51" s="111"/>
      <c r="BH51" s="111"/>
      <c r="BI51" s="111"/>
      <c r="BJ51" s="111"/>
      <c r="BK51" s="111"/>
      <c r="BL51" s="111"/>
      <c r="BM51"/>
      <c r="BN51"/>
      <c r="BO51" s="51"/>
      <c r="BP51" s="52" t="s">
        <v>358</v>
      </c>
      <c r="BQ51" s="364"/>
      <c r="BR51" s="53"/>
      <c r="BS51" s="61" t="s">
        <v>440</v>
      </c>
      <c r="BT51" s="53" t="s">
        <v>359</v>
      </c>
      <c r="BU51" s="89"/>
      <c r="BV51" s="89"/>
      <c r="BW51" s="111"/>
      <c r="BX51" s="111"/>
      <c r="BY51" s="111"/>
      <c r="BZ51" s="111"/>
      <c r="CA51" s="111"/>
      <c r="CB51" s="111"/>
      <c r="CC51" s="111"/>
      <c r="CD51" s="111"/>
      <c r="CE51" s="111"/>
      <c r="CF51" s="111"/>
      <c r="CG51" s="111"/>
      <c r="CH51" s="111"/>
    </row>
    <row r="52" spans="1:102" ht="33">
      <c r="A52" s="519"/>
      <c r="B52" s="52" t="s">
        <v>360</v>
      </c>
      <c r="C52" s="301"/>
      <c r="D52" s="273"/>
      <c r="E52" s="296" t="s">
        <v>398</v>
      </c>
      <c r="F52" s="286" t="s">
        <v>362</v>
      </c>
      <c r="G52" s="257"/>
      <c r="H52" s="257"/>
      <c r="I52" s="257"/>
      <c r="J52" s="257"/>
      <c r="K52" s="257"/>
      <c r="L52" s="257"/>
      <c r="M52" s="257"/>
      <c r="N52" s="257"/>
      <c r="O52" s="257"/>
      <c r="P52" s="257"/>
      <c r="Q52" s="257"/>
      <c r="R52" s="257"/>
      <c r="S52" s="257"/>
      <c r="T52" s="90"/>
      <c r="U52" s="36"/>
      <c r="V52" s="36"/>
      <c r="W52" s="51"/>
      <c r="X52" s="52" t="s">
        <v>360</v>
      </c>
      <c r="Y52" s="301"/>
      <c r="Z52" s="53"/>
      <c r="AA52" s="296" t="s">
        <v>398</v>
      </c>
      <c r="AB52" s="53" t="s">
        <v>362</v>
      </c>
      <c r="AC52" s="89"/>
      <c r="AD52" s="89"/>
      <c r="AE52" s="89"/>
      <c r="AF52" s="89"/>
      <c r="AG52" s="89"/>
      <c r="AH52" s="89"/>
      <c r="AI52" s="89"/>
      <c r="AJ52" s="89"/>
      <c r="AK52" s="89"/>
      <c r="AL52" s="89"/>
      <c r="AM52" s="89"/>
      <c r="AN52" s="89"/>
      <c r="AO52" s="89"/>
      <c r="AP52" s="111"/>
      <c r="AS52" s="51"/>
      <c r="AT52" s="52" t="s">
        <v>360</v>
      </c>
      <c r="AU52" s="364"/>
      <c r="AV52" s="53"/>
      <c r="AW52" s="61" t="s">
        <v>398</v>
      </c>
      <c r="AX52" s="53" t="s">
        <v>362</v>
      </c>
      <c r="AY52" s="89"/>
      <c r="AZ52" s="89"/>
      <c r="BA52" s="111"/>
      <c r="BB52" s="111"/>
      <c r="BC52" s="111"/>
      <c r="BD52" s="111"/>
      <c r="BE52" s="111"/>
      <c r="BF52" s="111"/>
      <c r="BG52" s="111"/>
      <c r="BH52" s="111"/>
      <c r="BI52" s="111"/>
      <c r="BJ52" s="111"/>
      <c r="BK52" s="111"/>
      <c r="BL52" s="111"/>
      <c r="BM52"/>
      <c r="BN52"/>
      <c r="BO52" s="51"/>
      <c r="BP52" s="52" t="s">
        <v>360</v>
      </c>
      <c r="BQ52" s="364"/>
      <c r="BR52" s="53"/>
      <c r="BS52" s="61" t="s">
        <v>398</v>
      </c>
      <c r="BT52" s="53" t="s">
        <v>362</v>
      </c>
      <c r="BU52" s="89"/>
      <c r="BV52" s="89"/>
      <c r="BW52" s="111"/>
      <c r="BX52" s="111"/>
      <c r="BY52" s="111"/>
      <c r="BZ52" s="111"/>
      <c r="CA52" s="111"/>
      <c r="CB52" s="111"/>
      <c r="CC52" s="111"/>
      <c r="CD52" s="111"/>
      <c r="CE52" s="111"/>
      <c r="CF52" s="111"/>
      <c r="CG52" s="111"/>
      <c r="CH52" s="111"/>
    </row>
    <row r="53" spans="1:102" ht="16.5">
      <c r="A53" s="519"/>
      <c r="B53" s="52" t="s">
        <v>363</v>
      </c>
      <c r="C53" s="301"/>
      <c r="D53" s="273"/>
      <c r="E53" s="296" t="s">
        <v>399</v>
      </c>
      <c r="F53" s="461" t="s">
        <v>365</v>
      </c>
      <c r="G53" s="257"/>
      <c r="H53" s="257"/>
      <c r="I53" s="274"/>
      <c r="J53" s="274"/>
      <c r="K53" s="274"/>
      <c r="L53" s="274"/>
      <c r="M53" s="274"/>
      <c r="N53" s="274"/>
      <c r="O53" s="274"/>
      <c r="P53" s="274"/>
      <c r="Q53" s="274"/>
      <c r="R53" s="274"/>
      <c r="S53" s="274"/>
      <c r="T53" s="91"/>
      <c r="U53" s="36"/>
      <c r="V53" s="36"/>
      <c r="W53" s="51"/>
      <c r="X53" s="52" t="s">
        <v>363</v>
      </c>
      <c r="Y53" s="301"/>
      <c r="Z53" s="53"/>
      <c r="AA53" s="296" t="s">
        <v>399</v>
      </c>
      <c r="AB53" s="53" t="s">
        <v>365</v>
      </c>
      <c r="AC53" s="89"/>
      <c r="AD53" s="89"/>
      <c r="AE53" s="89"/>
      <c r="AF53" s="89"/>
      <c r="AG53" s="89"/>
      <c r="AH53" s="89"/>
      <c r="AI53" s="89"/>
      <c r="AJ53" s="89"/>
      <c r="AK53" s="89"/>
      <c r="AL53" s="89"/>
      <c r="AM53" s="89"/>
      <c r="AN53" s="89"/>
      <c r="AO53" s="89"/>
      <c r="AP53" s="111"/>
      <c r="AS53" s="51"/>
      <c r="AT53" s="52" t="s">
        <v>363</v>
      </c>
      <c r="AU53" s="364"/>
      <c r="AV53" s="53"/>
      <c r="AW53" s="61" t="s">
        <v>399</v>
      </c>
      <c r="AX53" s="53" t="s">
        <v>365</v>
      </c>
      <c r="AY53" s="89"/>
      <c r="AZ53" s="89"/>
      <c r="BA53" s="111"/>
      <c r="BB53" s="111"/>
      <c r="BC53" s="111"/>
      <c r="BD53" s="111"/>
      <c r="BE53" s="111"/>
      <c r="BF53" s="111"/>
      <c r="BG53" s="111"/>
      <c r="BH53" s="111"/>
      <c r="BI53" s="111"/>
      <c r="BJ53" s="111"/>
      <c r="BK53" s="111"/>
      <c r="BL53" s="111"/>
      <c r="BM53"/>
      <c r="BN53"/>
      <c r="BO53" s="51"/>
      <c r="BP53" s="52" t="s">
        <v>363</v>
      </c>
      <c r="BQ53" s="364"/>
      <c r="BR53" s="53"/>
      <c r="BS53" s="61" t="s">
        <v>399</v>
      </c>
      <c r="BT53" s="53" t="s">
        <v>365</v>
      </c>
      <c r="BU53" s="89"/>
      <c r="BV53" s="89"/>
      <c r="BW53" s="111"/>
      <c r="BX53" s="111"/>
      <c r="BY53" s="111"/>
      <c r="BZ53" s="111"/>
      <c r="CA53" s="111"/>
      <c r="CB53" s="111"/>
      <c r="CC53" s="111"/>
      <c r="CD53" s="111"/>
      <c r="CE53" s="111"/>
      <c r="CF53" s="111"/>
      <c r="CG53" s="111"/>
      <c r="CH53" s="111"/>
    </row>
    <row r="54" spans="1:102" ht="30.2" customHeight="1">
      <c r="A54" s="520"/>
      <c r="B54" s="52" t="s">
        <v>366</v>
      </c>
      <c r="C54" s="301"/>
      <c r="D54" s="273"/>
      <c r="E54" s="296" t="s">
        <v>441</v>
      </c>
      <c r="F54" s="531" t="s">
        <v>367</v>
      </c>
      <c r="G54" s="257"/>
      <c r="H54" s="257"/>
      <c r="I54" s="257"/>
      <c r="J54" s="257"/>
      <c r="K54" s="257"/>
      <c r="L54" s="257"/>
      <c r="M54" s="257"/>
      <c r="N54" s="257"/>
      <c r="O54" s="257"/>
      <c r="P54" s="257"/>
      <c r="Q54" s="257"/>
      <c r="R54" s="257"/>
      <c r="S54" s="257"/>
      <c r="T54" s="90"/>
      <c r="U54" s="36"/>
      <c r="V54" s="36"/>
      <c r="W54" s="51"/>
      <c r="X54" s="52" t="s">
        <v>366</v>
      </c>
      <c r="Y54" s="301"/>
      <c r="Z54" s="53"/>
      <c r="AA54" s="296" t="s">
        <v>441</v>
      </c>
      <c r="AB54" s="53" t="s">
        <v>367</v>
      </c>
      <c r="AC54" s="89"/>
      <c r="AD54" s="89"/>
      <c r="AE54" s="89"/>
      <c r="AF54" s="89"/>
      <c r="AG54" s="89"/>
      <c r="AH54" s="89"/>
      <c r="AI54" s="89"/>
      <c r="AJ54" s="89"/>
      <c r="AK54" s="89"/>
      <c r="AL54" s="89"/>
      <c r="AM54" s="89"/>
      <c r="AN54" s="89"/>
      <c r="AO54" s="89"/>
      <c r="AP54" s="111"/>
      <c r="AS54" s="51"/>
      <c r="AT54" s="52" t="s">
        <v>366</v>
      </c>
      <c r="AU54" s="364"/>
      <c r="AV54" s="53"/>
      <c r="AW54" s="61" t="s">
        <v>441</v>
      </c>
      <c r="AX54" s="53" t="s">
        <v>367</v>
      </c>
      <c r="AY54" s="89"/>
      <c r="AZ54" s="89"/>
      <c r="BA54" s="111"/>
      <c r="BB54" s="111"/>
      <c r="BC54" s="111"/>
      <c r="BD54" s="111"/>
      <c r="BE54" s="111"/>
      <c r="BF54" s="111"/>
      <c r="BG54" s="111"/>
      <c r="BH54" s="111"/>
      <c r="BI54" s="111"/>
      <c r="BJ54" s="111"/>
      <c r="BK54" s="111"/>
      <c r="BL54" s="111"/>
      <c r="BM54"/>
      <c r="BN54"/>
      <c r="BO54" s="51"/>
      <c r="BP54" s="52" t="s">
        <v>366</v>
      </c>
      <c r="BQ54" s="364"/>
      <c r="BR54" s="53"/>
      <c r="BS54" s="61" t="s">
        <v>441</v>
      </c>
      <c r="BT54" s="53" t="s">
        <v>367</v>
      </c>
      <c r="BU54" s="89"/>
      <c r="BV54" s="89"/>
      <c r="BW54" s="111"/>
      <c r="BX54" s="111"/>
      <c r="BY54" s="111"/>
      <c r="BZ54" s="111"/>
      <c r="CA54" s="111"/>
      <c r="CB54" s="111"/>
      <c r="CC54" s="111"/>
      <c r="CD54" s="111"/>
      <c r="CE54" s="111"/>
      <c r="CF54" s="111"/>
      <c r="CG54" s="111"/>
      <c r="CH54" s="111"/>
    </row>
    <row r="55" spans="1:102" ht="16.5">
      <c r="A55" s="58"/>
      <c r="B55" s="276" t="s">
        <v>104</v>
      </c>
      <c r="C55" s="530"/>
      <c r="D55" s="278"/>
      <c r="E55" s="60"/>
      <c r="F55" s="279">
        <f>F7+F17</f>
        <v>100</v>
      </c>
      <c r="G55" s="279"/>
      <c r="H55" s="279"/>
      <c r="I55" s="279"/>
      <c r="J55" s="279"/>
      <c r="K55" s="279"/>
      <c r="L55" s="279"/>
      <c r="M55" s="279"/>
      <c r="N55" s="279"/>
      <c r="O55" s="279"/>
      <c r="P55" s="279"/>
      <c r="Q55" s="279"/>
      <c r="R55" s="279"/>
      <c r="S55" s="279"/>
      <c r="T55" s="58"/>
      <c r="W55" s="54"/>
      <c r="X55" s="276" t="s">
        <v>104</v>
      </c>
      <c r="Y55" s="530"/>
      <c r="Z55" s="129"/>
      <c r="AA55" s="55"/>
      <c r="AB55" s="139">
        <f>AB7+AB17</f>
        <v>100</v>
      </c>
      <c r="AC55" s="139"/>
      <c r="AD55" s="139"/>
      <c r="AE55" s="139"/>
      <c r="AF55" s="139"/>
      <c r="AG55" s="139"/>
      <c r="AH55" s="139"/>
      <c r="AI55" s="139"/>
      <c r="AJ55" s="139"/>
      <c r="AK55" s="139"/>
      <c r="AL55" s="139"/>
      <c r="AM55" s="139"/>
      <c r="AN55" s="139"/>
      <c r="AO55" s="139"/>
      <c r="AP55" s="168"/>
      <c r="AS55" s="54"/>
      <c r="AT55" s="55" t="str">
        <f ca="1">T.TOLIS!AT55</f>
        <v>TOTAL BOBOT</v>
      </c>
      <c r="AU55" s="365"/>
      <c r="AV55" s="129"/>
      <c r="AW55" s="55"/>
      <c r="AX55" s="139">
        <f>AX7+AX17</f>
        <v>100</v>
      </c>
      <c r="AY55" s="139"/>
      <c r="AZ55" s="139"/>
      <c r="BA55" s="168"/>
      <c r="BB55" s="168"/>
      <c r="BC55" s="168"/>
      <c r="BD55" s="168"/>
      <c r="BE55" s="168"/>
      <c r="BF55" s="168"/>
      <c r="BG55" s="168"/>
      <c r="BH55" s="168"/>
      <c r="BI55" s="168"/>
      <c r="BJ55" s="168"/>
      <c r="BK55" s="168"/>
      <c r="BL55" s="168"/>
      <c r="BO55" s="54"/>
      <c r="BP55" s="55" t="str">
        <f ca="1">T.TOLIS!BP55</f>
        <v>TOTAL BOBOT</v>
      </c>
      <c r="BQ55" s="365"/>
      <c r="BR55" s="129"/>
      <c r="BS55" s="55"/>
      <c r="BT55" s="139">
        <f>BT7+BT17</f>
        <v>100</v>
      </c>
      <c r="BU55" s="139"/>
      <c r="BV55" s="139"/>
      <c r="BW55" s="514">
        <f>SUM(BW8:BW54)</f>
        <v>91.287482790739205</v>
      </c>
      <c r="BX55" s="514">
        <f t="shared" ref="BX55:CH55" si="45">SUM(BX8:BX54)</f>
        <v>95.832887844141311</v>
      </c>
      <c r="BY55" s="514">
        <f t="shared" si="45"/>
        <v>97.158431271800666</v>
      </c>
      <c r="BZ55" s="514">
        <f t="shared" si="45"/>
        <v>97.607556827492786</v>
      </c>
      <c r="CA55" s="514">
        <f t="shared" si="45"/>
        <v>98.100344002532339</v>
      </c>
      <c r="CB55" s="514">
        <f t="shared" si="45"/>
        <v>99.120932449465812</v>
      </c>
      <c r="CC55" s="514">
        <f t="shared" si="45"/>
        <v>99.269604387912452</v>
      </c>
      <c r="CD55" s="514">
        <f t="shared" si="45"/>
        <v>99.34169925084521</v>
      </c>
      <c r="CE55" s="514">
        <f t="shared" si="45"/>
        <v>100.39225121559565</v>
      </c>
      <c r="CF55" s="514">
        <f t="shared" si="45"/>
        <v>100.52314535154579</v>
      </c>
      <c r="CG55" s="514">
        <f t="shared" si="45"/>
        <v>70.638219685643477</v>
      </c>
      <c r="CH55" s="514">
        <f t="shared" si="45"/>
        <v>70.25599716712496</v>
      </c>
    </row>
    <row r="56" spans="1:102" customFormat="1">
      <c r="C56" s="366"/>
      <c r="E56" s="343"/>
    </row>
    <row r="57" spans="1:102" customFormat="1">
      <c r="A57" s="114"/>
      <c r="B57" s="115" t="s">
        <v>368</v>
      </c>
      <c r="C57" s="375"/>
      <c r="D57" s="4">
        <f>COUNTA(D8:D54)</f>
        <v>31</v>
      </c>
      <c r="E57" s="344"/>
      <c r="F57" s="4"/>
      <c r="G57" s="116"/>
      <c r="H57" s="116"/>
      <c r="I57" s="116"/>
      <c r="J57" s="116"/>
      <c r="K57" s="116"/>
      <c r="L57" s="116"/>
      <c r="M57" s="116"/>
      <c r="N57" s="116"/>
      <c r="O57" s="116"/>
      <c r="P57" s="116"/>
      <c r="Q57" s="116"/>
      <c r="R57" s="116"/>
      <c r="S57" s="116"/>
      <c r="T57" s="116"/>
    </row>
    <row r="58" spans="1:102" customFormat="1">
      <c r="C58" s="366"/>
      <c r="E58" s="343"/>
    </row>
    <row r="59" spans="1:102" customFormat="1">
      <c r="A59" s="117" t="s">
        <v>369</v>
      </c>
      <c r="B59" s="118"/>
      <c r="C59" s="376"/>
      <c r="D59" s="119"/>
      <c r="E59" s="345"/>
      <c r="F59" s="119"/>
      <c r="G59" s="119"/>
      <c r="H59" s="119"/>
      <c r="I59" s="119"/>
      <c r="J59" s="119"/>
      <c r="K59" s="119"/>
      <c r="L59" s="119"/>
      <c r="M59" s="119"/>
      <c r="Q59" s="119"/>
      <c r="S59" s="119"/>
    </row>
    <row r="60" spans="1:102" customFormat="1">
      <c r="A60" s="119">
        <v>3</v>
      </c>
      <c r="B60" s="120" t="s">
        <v>370</v>
      </c>
      <c r="C60" s="376"/>
      <c r="D60" s="119"/>
      <c r="E60" s="345"/>
      <c r="F60" s="119"/>
      <c r="G60" s="119"/>
      <c r="H60" s="119"/>
      <c r="I60" s="119"/>
      <c r="J60" s="119"/>
      <c r="K60" s="119"/>
      <c r="L60" s="119"/>
      <c r="M60" s="119"/>
      <c r="Q60" s="119"/>
      <c r="S60" s="119"/>
    </row>
    <row r="61" spans="1:102" customFormat="1">
      <c r="A61" s="119">
        <v>1</v>
      </c>
      <c r="B61" s="120" t="s">
        <v>371</v>
      </c>
      <c r="C61" s="376"/>
      <c r="D61" s="119"/>
      <c r="E61" s="345"/>
      <c r="F61" s="119"/>
      <c r="G61" s="119"/>
      <c r="H61" s="119"/>
      <c r="I61" s="119"/>
      <c r="J61" s="119"/>
      <c r="K61" s="119"/>
      <c r="L61" s="119"/>
      <c r="M61" s="119"/>
      <c r="Q61" s="119"/>
      <c r="S61" s="119"/>
    </row>
    <row r="62" spans="1:102" customFormat="1">
      <c r="A62" s="119"/>
      <c r="B62" s="118"/>
      <c r="C62" s="376"/>
      <c r="D62" s="119"/>
      <c r="E62" s="345"/>
      <c r="F62" s="119"/>
      <c r="G62" s="119"/>
      <c r="H62" s="119"/>
      <c r="I62" s="119"/>
      <c r="J62" s="119"/>
      <c r="K62" s="119"/>
      <c r="L62" s="119"/>
      <c r="M62" s="119"/>
      <c r="Q62" s="119"/>
      <c r="S62" s="119"/>
    </row>
    <row r="63" spans="1:102" customFormat="1">
      <c r="A63" s="119"/>
      <c r="B63" s="118"/>
      <c r="C63" s="376"/>
      <c r="D63" s="119"/>
      <c r="E63" s="345"/>
      <c r="F63" s="119"/>
      <c r="G63" s="119"/>
      <c r="H63" s="119"/>
      <c r="I63" s="119"/>
      <c r="J63" s="119"/>
      <c r="K63" s="119"/>
      <c r="L63" s="119"/>
      <c r="M63" s="119"/>
      <c r="Q63" s="119"/>
      <c r="S63" s="119"/>
    </row>
    <row r="64" spans="1:102" customFormat="1">
      <c r="A64" s="121"/>
      <c r="B64" s="122"/>
      <c r="C64" s="376"/>
      <c r="D64" s="121"/>
      <c r="E64" s="346"/>
      <c r="F64" s="121"/>
      <c r="G64" s="121"/>
      <c r="H64" s="121"/>
      <c r="I64" s="121"/>
      <c r="J64" s="121"/>
      <c r="K64" s="121"/>
      <c r="L64" s="121"/>
      <c r="M64" s="121"/>
    </row>
    <row r="65" spans="1:30" customFormat="1">
      <c r="C65" s="366"/>
      <c r="E65" s="343"/>
      <c r="Q65" s="121"/>
      <c r="S65" s="121"/>
    </row>
    <row r="66" spans="1:30" s="31" customFormat="1">
      <c r="A66" s="28"/>
      <c r="B66" s="30"/>
      <c r="C66" s="377"/>
      <c r="D66" s="28"/>
      <c r="E66" s="347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W66" s="30"/>
      <c r="X66" s="30"/>
      <c r="Y66" s="30"/>
      <c r="Z66" s="30"/>
      <c r="AA66" s="30"/>
      <c r="AB66" s="30"/>
      <c r="AC66" s="30"/>
      <c r="AD66" s="30"/>
    </row>
  </sheetData>
  <mergeCells count="34">
    <mergeCell ref="I4:T4"/>
    <mergeCell ref="A4:A5"/>
    <mergeCell ref="B4:C5"/>
    <mergeCell ref="D4:D5"/>
    <mergeCell ref="E4:E5"/>
    <mergeCell ref="F4:F5"/>
    <mergeCell ref="G4:H4"/>
    <mergeCell ref="W4:W5"/>
    <mergeCell ref="X4:Y5"/>
    <mergeCell ref="Z4:Z5"/>
    <mergeCell ref="AA4:AA5"/>
    <mergeCell ref="AB4:AB5"/>
    <mergeCell ref="AC4:AC5"/>
    <mergeCell ref="AD4:AD5"/>
    <mergeCell ref="AE4:AP4"/>
    <mergeCell ref="X6:Y6"/>
    <mergeCell ref="AS4:AS5"/>
    <mergeCell ref="AZ4:AZ5"/>
    <mergeCell ref="BA4:BL4"/>
    <mergeCell ref="AT6:AU6"/>
    <mergeCell ref="BO4:BO5"/>
    <mergeCell ref="BP4:BQ5"/>
    <mergeCell ref="AT4:AU5"/>
    <mergeCell ref="AV4:AV5"/>
    <mergeCell ref="AW4:AW5"/>
    <mergeCell ref="AX4:AX5"/>
    <mergeCell ref="AY4:AY5"/>
    <mergeCell ref="BW4:CH4"/>
    <mergeCell ref="BP6:BQ6"/>
    <mergeCell ref="BR4:BR5"/>
    <mergeCell ref="BS4:BS5"/>
    <mergeCell ref="BT4:BT5"/>
    <mergeCell ref="BU4:BU5"/>
    <mergeCell ref="BV4:BV5"/>
  </mergeCells>
  <conditionalFormatting sqref="A60">
    <cfRule type="iconSet" priority="50">
      <iconSet iconSet="3ArrowsGray" showValue="0">
        <cfvo type="percent" val="0"/>
        <cfvo type="num" val="2"/>
        <cfvo type="num" val="3"/>
      </iconSet>
    </cfRule>
  </conditionalFormatting>
  <conditionalFormatting sqref="A61">
    <cfRule type="iconSet" priority="49">
      <iconSet iconSet="3ArrowsGray" showValue="0">
        <cfvo type="percent" val="0"/>
        <cfvo type="num" val="2"/>
        <cfvo type="num" val="3"/>
      </iconSet>
    </cfRule>
  </conditionalFormatting>
  <conditionalFormatting sqref="C8">
    <cfRule type="iconSet" priority="64">
      <iconSet iconSet="3ArrowsGray" showValue="0">
        <cfvo type="percent" val="0"/>
        <cfvo type="num" val="2"/>
        <cfvo type="num" val="3"/>
      </iconSet>
    </cfRule>
    <cfRule type="iconSet" priority="60">
      <iconSet iconSet="3ArrowsGray" showValue="0">
        <cfvo type="percent" val="0"/>
        <cfvo type="num" val="2"/>
        <cfvo type="num" val="3"/>
      </iconSet>
    </cfRule>
  </conditionalFormatting>
  <conditionalFormatting sqref="C9">
    <cfRule type="iconSet" priority="59">
      <iconSet iconSet="3ArrowsGray" showValue="0">
        <cfvo type="percent" val="0"/>
        <cfvo type="num" val="2"/>
        <cfvo type="num" val="3"/>
      </iconSet>
    </cfRule>
  </conditionalFormatting>
  <conditionalFormatting sqref="C10:C16">
    <cfRule type="iconSet" priority="48414">
      <iconSet iconSet="3ArrowsGray" showValue="0">
        <cfvo type="percent" val="0"/>
        <cfvo type="num" val="2"/>
        <cfvo type="num" val="3"/>
      </iconSet>
    </cfRule>
    <cfRule type="iconSet" priority="48415">
      <iconSet iconSet="3ArrowsGray" showValue="0">
        <cfvo type="percent" val="0"/>
        <cfvo type="num" val="2"/>
        <cfvo type="num" val="3"/>
      </iconSet>
    </cfRule>
  </conditionalFormatting>
  <conditionalFormatting sqref="C18">
    <cfRule type="iconSet" priority="23">
      <iconSet iconSet="3ArrowsGray" showValue="0">
        <cfvo type="percent" val="0"/>
        <cfvo type="num" val="2"/>
        <cfvo type="num" val="3"/>
      </iconSet>
    </cfRule>
    <cfRule type="iconSet" priority="24">
      <iconSet iconSet="3ArrowsGray" showValue="0">
        <cfvo type="percent" val="0"/>
        <cfvo type="num" val="2"/>
        <cfvo type="num" val="3"/>
      </iconSet>
    </cfRule>
  </conditionalFormatting>
  <conditionalFormatting sqref="C19:C45">
    <cfRule type="iconSet" priority="47686">
      <iconSet iconSet="3ArrowsGray" showValue="0">
        <cfvo type="percent" val="0"/>
        <cfvo type="num" val="2"/>
        <cfvo type="num" val="3"/>
      </iconSet>
    </cfRule>
    <cfRule type="iconSet" priority="47687">
      <iconSet iconSet="3ArrowsGray" showValue="0">
        <cfvo type="percent" val="0"/>
        <cfvo type="num" val="2"/>
        <cfvo type="num" val="3"/>
      </iconSet>
    </cfRule>
  </conditionalFormatting>
  <conditionalFormatting sqref="C46:C49">
    <cfRule type="iconSet" priority="25">
      <iconSet iconSet="3ArrowsGray" showValue="0">
        <cfvo type="percent" val="0"/>
        <cfvo type="num" val="2"/>
        <cfvo type="num" val="3"/>
      </iconSet>
    </cfRule>
    <cfRule type="iconSet" priority="26">
      <iconSet iconSet="3ArrowsGray" showValue="0">
        <cfvo type="percent" val="0"/>
        <cfvo type="num" val="2"/>
        <cfvo type="num" val="3"/>
      </iconSet>
    </cfRule>
  </conditionalFormatting>
  <conditionalFormatting sqref="C50">
    <cfRule type="iconSet" priority="47688">
      <iconSet iconSet="3ArrowsGray" showValue="0">
        <cfvo type="percent" val="0"/>
        <cfvo type="num" val="2"/>
        <cfvo type="num" val="3"/>
      </iconSet>
    </cfRule>
  </conditionalFormatting>
  <conditionalFormatting sqref="C50:C54">
    <cfRule type="iconSet" priority="47689">
      <iconSet iconSet="3ArrowsGray" showValue="0">
        <cfvo type="percent" val="0"/>
        <cfvo type="num" val="2"/>
        <cfvo type="num" val="3"/>
      </iconSet>
    </cfRule>
  </conditionalFormatting>
  <conditionalFormatting sqref="C56">
    <cfRule type="iconSet" priority="52">
      <iconSet iconSet="3ArrowsGray" showValue="0">
        <cfvo type="percent" val="0"/>
        <cfvo type="num" val="2"/>
        <cfvo type="num" val="3"/>
      </iconSet>
    </cfRule>
  </conditionalFormatting>
  <conditionalFormatting sqref="C57">
    <cfRule type="iconSet" priority="55">
      <iconSet iconSet="3ArrowsGray" showValue="0">
        <cfvo type="percent" val="0"/>
        <cfvo type="num" val="2"/>
        <cfvo type="num" val="3"/>
      </iconSet>
    </cfRule>
  </conditionalFormatting>
  <conditionalFormatting sqref="D56">
    <cfRule type="iconSet" priority="45">
      <iconSet iconSet="3ArrowsGray" showValue="0">
        <cfvo type="percent" val="0"/>
        <cfvo type="num" val="2"/>
        <cfvo type="num" val="3"/>
      </iconSet>
    </cfRule>
    <cfRule type="iconSet" priority="54">
      <iconSet iconSet="3ArrowsGray" showValue="0">
        <cfvo type="percent" val="0"/>
        <cfvo type="num" val="2"/>
        <cfvo type="num" val="3"/>
      </iconSet>
    </cfRule>
  </conditionalFormatting>
  <conditionalFormatting sqref="E56">
    <cfRule type="iconSet" priority="53">
      <iconSet iconSet="3ArrowsGray" showValue="0">
        <cfvo type="percent" val="0"/>
        <cfvo type="num" val="2"/>
        <cfvo type="num" val="3"/>
      </iconSet>
    </cfRule>
  </conditionalFormatting>
  <conditionalFormatting sqref="G56:H56">
    <cfRule type="iconSet" priority="62">
      <iconSet iconSet="3ArrowsGray" showValue="0">
        <cfvo type="percent" val="0"/>
        <cfvo type="num" val="2"/>
        <cfvo type="num" val="3"/>
      </iconSet>
    </cfRule>
  </conditionalFormatting>
  <conditionalFormatting sqref="G57:H57">
    <cfRule type="iconSet" priority="61">
      <iconSet iconSet="3ArrowsGray" showValue="0">
        <cfvo type="percent" val="0"/>
        <cfvo type="num" val="2"/>
        <cfvo type="num" val="3"/>
      </iconSet>
    </cfRule>
  </conditionalFormatting>
  <conditionalFormatting sqref="I56:T56">
    <cfRule type="iconSet" priority="51">
      <iconSet iconSet="3ArrowsGray" showValue="0">
        <cfvo type="percent" val="0"/>
        <cfvo type="num" val="2"/>
        <cfvo type="num" val="3"/>
      </iconSet>
    </cfRule>
  </conditionalFormatting>
  <conditionalFormatting sqref="I57:T57">
    <cfRule type="iconSet" priority="46">
      <iconSet iconSet="3ArrowsGray" showValue="0">
        <cfvo type="percent" val="0"/>
        <cfvo type="num" val="2"/>
        <cfvo type="num" val="3"/>
      </iconSet>
    </cfRule>
    <cfRule type="iconSet" priority="47">
      <iconSet iconSet="3ArrowsGray" showValue="0">
        <cfvo type="percent" val="0"/>
        <cfvo type="num" val="2"/>
        <cfvo type="num" val="3"/>
      </iconSet>
    </cfRule>
  </conditionalFormatting>
  <conditionalFormatting sqref="Y8">
    <cfRule type="iconSet" priority="13">
      <iconSet iconSet="3ArrowsGray" showValue="0">
        <cfvo type="percent" val="0"/>
        <cfvo type="num" val="2"/>
        <cfvo type="num" val="3"/>
      </iconSet>
    </cfRule>
    <cfRule type="iconSet" priority="12">
      <iconSet iconSet="3ArrowsGray" showValue="0">
        <cfvo type="percent" val="0"/>
        <cfvo type="num" val="2"/>
        <cfvo type="num" val="3"/>
      </iconSet>
    </cfRule>
  </conditionalFormatting>
  <conditionalFormatting sqref="Y9">
    <cfRule type="iconSet" priority="11">
      <iconSet iconSet="3ArrowsGray" showValue="0">
        <cfvo type="percent" val="0"/>
        <cfvo type="num" val="2"/>
        <cfvo type="num" val="3"/>
      </iconSet>
    </cfRule>
  </conditionalFormatting>
  <conditionalFormatting sqref="Y10:Y16">
    <cfRule type="iconSet" priority="19">
      <iconSet iconSet="3ArrowsGray" showValue="0">
        <cfvo type="percent" val="0"/>
        <cfvo type="num" val="2"/>
        <cfvo type="num" val="3"/>
      </iconSet>
    </cfRule>
    <cfRule type="iconSet" priority="18">
      <iconSet iconSet="3ArrowsGray" showValue="0">
        <cfvo type="percent" val="0"/>
        <cfvo type="num" val="2"/>
        <cfvo type="num" val="3"/>
      </iconSet>
    </cfRule>
  </conditionalFormatting>
  <conditionalFormatting sqref="Y18">
    <cfRule type="iconSet" priority="7">
      <iconSet iconSet="3ArrowsGray" showValue="0">
        <cfvo type="percent" val="0"/>
        <cfvo type="num" val="2"/>
        <cfvo type="num" val="3"/>
      </iconSet>
    </cfRule>
    <cfRule type="iconSet" priority="8">
      <iconSet iconSet="3ArrowsGray" showValue="0">
        <cfvo type="percent" val="0"/>
        <cfvo type="num" val="2"/>
        <cfvo type="num" val="3"/>
      </iconSet>
    </cfRule>
  </conditionalFormatting>
  <conditionalFormatting sqref="Y19:Y45">
    <cfRule type="iconSet" priority="15">
      <iconSet iconSet="3ArrowsGray" showValue="0">
        <cfvo type="percent" val="0"/>
        <cfvo type="num" val="2"/>
        <cfvo type="num" val="3"/>
      </iconSet>
    </cfRule>
    <cfRule type="iconSet" priority="14">
      <iconSet iconSet="3ArrowsGray" showValue="0">
        <cfvo type="percent" val="0"/>
        <cfvo type="num" val="2"/>
        <cfvo type="num" val="3"/>
      </iconSet>
    </cfRule>
  </conditionalFormatting>
  <conditionalFormatting sqref="Y46:Y49">
    <cfRule type="iconSet" priority="9">
      <iconSet iconSet="3ArrowsGray" showValue="0">
        <cfvo type="percent" val="0"/>
        <cfvo type="num" val="2"/>
        <cfvo type="num" val="3"/>
      </iconSet>
    </cfRule>
    <cfRule type="iconSet" priority="10">
      <iconSet iconSet="3ArrowsGray" showValue="0">
        <cfvo type="percent" val="0"/>
        <cfvo type="num" val="2"/>
        <cfvo type="num" val="3"/>
      </iconSet>
    </cfRule>
  </conditionalFormatting>
  <conditionalFormatting sqref="Y50">
    <cfRule type="iconSet" priority="16">
      <iconSet iconSet="3ArrowsGray" showValue="0">
        <cfvo type="percent" val="0"/>
        <cfvo type="num" val="2"/>
        <cfvo type="num" val="3"/>
      </iconSet>
    </cfRule>
  </conditionalFormatting>
  <conditionalFormatting sqref="Y50:Y54">
    <cfRule type="iconSet" priority="17">
      <iconSet iconSet="3ArrowsGray" showValue="0">
        <cfvo type="percent" val="0"/>
        <cfvo type="num" val="2"/>
        <cfvo type="num" val="3"/>
      </iconSet>
    </cfRule>
  </conditionalFormatting>
  <conditionalFormatting sqref="AU8:AU16">
    <cfRule type="iconSet" priority="5">
      <iconSet iconSet="3ArrowsGray" showValue="0">
        <cfvo type="percent" val="0"/>
        <cfvo type="num" val="2"/>
        <cfvo type="num" val="3"/>
      </iconSet>
    </cfRule>
    <cfRule type="iconSet" priority="6">
      <iconSet iconSet="3ArrowsGray" showValue="0">
        <cfvo type="percent" val="0"/>
        <cfvo type="num" val="2"/>
        <cfvo type="num" val="3"/>
      </iconSet>
    </cfRule>
  </conditionalFormatting>
  <conditionalFormatting sqref="AU18:AU54">
    <cfRule type="iconSet" priority="4">
      <iconSet iconSet="3ArrowsGray" showValue="0">
        <cfvo type="percent" val="0"/>
        <cfvo type="num" val="2"/>
        <cfvo type="num" val="3"/>
      </iconSet>
    </cfRule>
  </conditionalFormatting>
  <conditionalFormatting sqref="BQ8:BQ16">
    <cfRule type="iconSet" priority="2">
      <iconSet iconSet="3ArrowsGray" showValue="0">
        <cfvo type="percent" val="0"/>
        <cfvo type="num" val="2"/>
        <cfvo type="num" val="3"/>
      </iconSet>
    </cfRule>
    <cfRule type="iconSet" priority="3">
      <iconSet iconSet="3ArrowsGray" showValue="0">
        <cfvo type="percent" val="0"/>
        <cfvo type="num" val="2"/>
        <cfvo type="num" val="3"/>
      </iconSet>
    </cfRule>
  </conditionalFormatting>
  <conditionalFormatting sqref="BQ18:BQ54">
    <cfRule type="iconSet" priority="1">
      <iconSet iconSet="3ArrowsGray" showValue="0">
        <cfvo type="percent" val="0"/>
        <cfvo type="num" val="2"/>
        <cfvo type="num" val="3"/>
      </iconSet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52" fitToHeight="0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C8848-0900-4E2E-8729-9667D00AAEC6}">
  <sheetPr>
    <tabColor rgb="FFFF0000"/>
    <pageSetUpPr fitToPage="1"/>
  </sheetPr>
  <dimension ref="A1:CH66"/>
  <sheetViews>
    <sheetView topLeftCell="BD24" workbookViewId="0"/>
  </sheetViews>
  <sheetFormatPr defaultColWidth="8.85546875" defaultRowHeight="15"/>
  <cols>
    <col min="1" max="1" width="5.7109375" style="28" customWidth="1"/>
    <col min="2" max="2" width="60" style="357" customWidth="1"/>
    <col min="3" max="3" width="2.85546875" style="377" customWidth="1"/>
    <col min="4" max="4" width="14.42578125" style="28" customWidth="1"/>
    <col min="5" max="5" width="106.7109375" style="336" hidden="1" customWidth="1"/>
    <col min="6" max="6" width="10.140625" style="30" customWidth="1"/>
    <col min="7" max="20" width="11.28515625" style="30" customWidth="1"/>
    <col min="21" max="22" width="8.85546875" style="31" customWidth="1"/>
    <col min="23" max="23" width="5.7109375" style="30" customWidth="1"/>
    <col min="24" max="24" width="60" style="30" customWidth="1"/>
    <col min="25" max="25" width="4.140625" style="30" customWidth="1"/>
    <col min="26" max="26" width="12.42578125" style="30" customWidth="1"/>
    <col min="27" max="27" width="0" style="30" hidden="1" customWidth="1"/>
    <col min="28" max="28" width="7.7109375" style="30" bestFit="1" customWidth="1"/>
    <col min="29" max="29" width="11" style="30" customWidth="1"/>
    <col min="30" max="30" width="11.140625" style="30" customWidth="1"/>
    <col min="31" max="42" width="12.140625" style="30" customWidth="1"/>
    <col min="43" max="44" width="8.85546875" style="30"/>
    <col min="45" max="45" width="5.7109375" style="30" customWidth="1"/>
    <col min="46" max="46" width="60" style="30" customWidth="1"/>
    <col min="47" max="47" width="4.140625" style="30" customWidth="1"/>
    <col min="48" max="48" width="11.7109375" style="30" bestFit="1" customWidth="1"/>
    <col min="49" max="49" width="0" style="30" hidden="1" customWidth="1"/>
    <col min="50" max="50" width="7.28515625" style="30" bestFit="1" customWidth="1"/>
    <col min="51" max="51" width="14.28515625" style="30" customWidth="1"/>
    <col min="52" max="52" width="12.42578125" style="30" bestFit="1" customWidth="1"/>
    <col min="53" max="64" width="11.28515625" style="30" customWidth="1"/>
    <col min="65" max="66" width="8.85546875" style="30"/>
    <col min="67" max="67" width="5.7109375" style="30" customWidth="1"/>
    <col min="68" max="68" width="60" style="30" customWidth="1"/>
    <col min="69" max="69" width="4.140625" style="30" customWidth="1"/>
    <col min="70" max="70" width="11.7109375" style="30" bestFit="1" customWidth="1"/>
    <col min="71" max="71" width="0" style="30" hidden="1" customWidth="1"/>
    <col min="72" max="72" width="10.5703125" style="30" bestFit="1" customWidth="1"/>
    <col min="73" max="73" width="14.28515625" style="30" customWidth="1"/>
    <col min="74" max="74" width="12.42578125" style="30" bestFit="1" customWidth="1"/>
    <col min="75" max="86" width="11.28515625" style="30" customWidth="1"/>
    <col min="87" max="16384" width="8.85546875" style="30"/>
  </cols>
  <sheetData>
    <row r="1" spans="1:86" ht="15.75">
      <c r="B1" s="348" t="s">
        <v>251</v>
      </c>
      <c r="C1" s="362"/>
      <c r="I1" s="22"/>
      <c r="W1" s="28"/>
      <c r="X1" s="348" t="s">
        <v>251</v>
      </c>
      <c r="AS1" s="28"/>
      <c r="AT1" s="348" t="s">
        <v>251</v>
      </c>
      <c r="BO1" s="28"/>
      <c r="BP1" s="348" t="s">
        <v>251</v>
      </c>
    </row>
    <row r="2" spans="1:86" ht="15.75">
      <c r="B2" s="348" t="s">
        <v>123</v>
      </c>
      <c r="C2" s="362"/>
      <c r="W2" s="28"/>
      <c r="X2" s="348" t="s">
        <v>123</v>
      </c>
      <c r="AS2" s="28"/>
      <c r="AT2" s="348" t="s">
        <v>123</v>
      </c>
      <c r="BO2" s="28"/>
      <c r="BP2" s="348" t="s">
        <v>123</v>
      </c>
    </row>
    <row r="3" spans="1:86" ht="15.75">
      <c r="B3" s="348" t="s">
        <v>376</v>
      </c>
      <c r="C3" s="362"/>
      <c r="W3" s="28"/>
      <c r="X3" s="348" t="s">
        <v>376</v>
      </c>
      <c r="AS3" s="28"/>
      <c r="AT3" s="348" t="s">
        <v>376</v>
      </c>
      <c r="BO3" s="28"/>
      <c r="BP3" s="348" t="s">
        <v>376</v>
      </c>
    </row>
    <row r="4" spans="1:86" s="33" customFormat="1" ht="15" customHeight="1">
      <c r="A4" s="818" t="s">
        <v>8</v>
      </c>
      <c r="B4" s="820" t="s">
        <v>9</v>
      </c>
      <c r="C4" s="821"/>
      <c r="D4" s="818" t="s">
        <v>93</v>
      </c>
      <c r="E4" s="818" t="s">
        <v>271</v>
      </c>
      <c r="F4" s="818" t="s">
        <v>99</v>
      </c>
      <c r="G4" s="824" t="s">
        <v>100</v>
      </c>
      <c r="H4" s="825"/>
      <c r="I4" s="807" t="s">
        <v>272</v>
      </c>
      <c r="J4" s="808"/>
      <c r="K4" s="808"/>
      <c r="L4" s="808"/>
      <c r="M4" s="808"/>
      <c r="N4" s="808"/>
      <c r="O4" s="808"/>
      <c r="P4" s="808"/>
      <c r="Q4" s="808"/>
      <c r="R4" s="808"/>
      <c r="S4" s="808"/>
      <c r="T4" s="809"/>
      <c r="U4" s="32"/>
      <c r="V4" s="32"/>
      <c r="W4" s="812" t="s">
        <v>8</v>
      </c>
      <c r="X4" s="814" t="s">
        <v>9</v>
      </c>
      <c r="Y4" s="815"/>
      <c r="Z4" s="790" t="s">
        <v>93</v>
      </c>
      <c r="AA4" s="795" t="s">
        <v>271</v>
      </c>
      <c r="AB4" s="790" t="s">
        <v>99</v>
      </c>
      <c r="AC4" s="790" t="s">
        <v>373</v>
      </c>
      <c r="AD4" s="790" t="s">
        <v>374</v>
      </c>
      <c r="AE4" s="807" t="s">
        <v>377</v>
      </c>
      <c r="AF4" s="808"/>
      <c r="AG4" s="808"/>
      <c r="AH4" s="808"/>
      <c r="AI4" s="808"/>
      <c r="AJ4" s="808"/>
      <c r="AK4" s="808"/>
      <c r="AL4" s="808"/>
      <c r="AM4" s="808"/>
      <c r="AN4" s="808"/>
      <c r="AO4" s="808"/>
      <c r="AP4" s="809"/>
      <c r="AS4" s="812" t="s">
        <v>8</v>
      </c>
      <c r="AT4" s="814" t="s">
        <v>451</v>
      </c>
      <c r="AU4" s="815"/>
      <c r="AV4" s="790" t="s">
        <v>93</v>
      </c>
      <c r="AW4" s="795" t="s">
        <v>271</v>
      </c>
      <c r="AX4" s="790" t="s">
        <v>99</v>
      </c>
      <c r="AY4" s="790" t="s">
        <v>485</v>
      </c>
      <c r="AZ4" s="790" t="s">
        <v>484</v>
      </c>
      <c r="BA4" s="807" t="s">
        <v>483</v>
      </c>
      <c r="BB4" s="808"/>
      <c r="BC4" s="808"/>
      <c r="BD4" s="808"/>
      <c r="BE4" s="808"/>
      <c r="BF4" s="808"/>
      <c r="BG4" s="808"/>
      <c r="BH4" s="808"/>
      <c r="BI4" s="808"/>
      <c r="BJ4" s="808"/>
      <c r="BK4" s="808"/>
      <c r="BL4" s="809"/>
      <c r="BO4" s="812" t="s">
        <v>8</v>
      </c>
      <c r="BP4" s="814" t="s">
        <v>451</v>
      </c>
      <c r="BQ4" s="815"/>
      <c r="BR4" s="790" t="s">
        <v>93</v>
      </c>
      <c r="BS4" s="795" t="s">
        <v>271</v>
      </c>
      <c r="BT4" s="790" t="s">
        <v>99</v>
      </c>
      <c r="BU4" s="790" t="s">
        <v>485</v>
      </c>
      <c r="BV4" s="790" t="s">
        <v>484</v>
      </c>
      <c r="BW4" s="807" t="s">
        <v>483</v>
      </c>
      <c r="BX4" s="808"/>
      <c r="BY4" s="808"/>
      <c r="BZ4" s="808"/>
      <c r="CA4" s="808"/>
      <c r="CB4" s="808"/>
      <c r="CC4" s="808"/>
      <c r="CD4" s="808"/>
      <c r="CE4" s="808"/>
      <c r="CF4" s="808"/>
      <c r="CG4" s="808"/>
      <c r="CH4" s="809"/>
    </row>
    <row r="5" spans="1:86" s="33" customFormat="1" ht="15" customHeight="1">
      <c r="A5" s="819"/>
      <c r="B5" s="822"/>
      <c r="C5" s="823"/>
      <c r="D5" s="819"/>
      <c r="E5" s="819"/>
      <c r="F5" s="819"/>
      <c r="G5" s="428" t="s">
        <v>273</v>
      </c>
      <c r="H5" s="428" t="s">
        <v>274</v>
      </c>
      <c r="I5" s="113" t="s">
        <v>94</v>
      </c>
      <c r="J5" s="113" t="s">
        <v>95</v>
      </c>
      <c r="K5" s="113" t="s">
        <v>96</v>
      </c>
      <c r="L5" s="113" t="s">
        <v>97</v>
      </c>
      <c r="M5" s="113" t="s">
        <v>98</v>
      </c>
      <c r="N5" s="113" t="s">
        <v>153</v>
      </c>
      <c r="O5" s="113" t="s">
        <v>163</v>
      </c>
      <c r="P5" s="113" t="s">
        <v>165</v>
      </c>
      <c r="Q5" s="113" t="s">
        <v>167</v>
      </c>
      <c r="R5" s="113" t="s">
        <v>169</v>
      </c>
      <c r="S5" s="113" t="s">
        <v>171</v>
      </c>
      <c r="T5" s="429" t="s">
        <v>174</v>
      </c>
      <c r="U5" s="32"/>
      <c r="V5" s="32"/>
      <c r="W5" s="813"/>
      <c r="X5" s="816"/>
      <c r="Y5" s="817"/>
      <c r="Z5" s="791"/>
      <c r="AA5" s="796"/>
      <c r="AB5" s="791"/>
      <c r="AC5" s="791"/>
      <c r="AD5" s="791"/>
      <c r="AE5" s="424" t="s">
        <v>94</v>
      </c>
      <c r="AF5" s="424" t="s">
        <v>95</v>
      </c>
      <c r="AG5" s="424" t="s">
        <v>96</v>
      </c>
      <c r="AH5" s="424" t="s">
        <v>97</v>
      </c>
      <c r="AI5" s="424" t="s">
        <v>98</v>
      </c>
      <c r="AJ5" s="424" t="s">
        <v>153</v>
      </c>
      <c r="AK5" s="424" t="s">
        <v>163</v>
      </c>
      <c r="AL5" s="424" t="s">
        <v>165</v>
      </c>
      <c r="AM5" s="424" t="s">
        <v>167</v>
      </c>
      <c r="AN5" s="424" t="s">
        <v>169</v>
      </c>
      <c r="AO5" s="424" t="s">
        <v>171</v>
      </c>
      <c r="AP5" s="424" t="s">
        <v>174</v>
      </c>
      <c r="AS5" s="813"/>
      <c r="AT5" s="816"/>
      <c r="AU5" s="817"/>
      <c r="AV5" s="791"/>
      <c r="AW5" s="796"/>
      <c r="AX5" s="791"/>
      <c r="AY5" s="791"/>
      <c r="AZ5" s="791"/>
      <c r="BA5" s="424" t="s">
        <v>94</v>
      </c>
      <c r="BB5" s="424" t="s">
        <v>95</v>
      </c>
      <c r="BC5" s="424" t="s">
        <v>96</v>
      </c>
      <c r="BD5" s="424" t="s">
        <v>488</v>
      </c>
      <c r="BE5" s="424" t="s">
        <v>489</v>
      </c>
      <c r="BF5" s="424" t="s">
        <v>490</v>
      </c>
      <c r="BG5" s="424" t="s">
        <v>491</v>
      </c>
      <c r="BH5" s="424" t="s">
        <v>165</v>
      </c>
      <c r="BI5" s="424" t="s">
        <v>167</v>
      </c>
      <c r="BJ5" s="424" t="s">
        <v>492</v>
      </c>
      <c r="BK5" s="424" t="s">
        <v>171</v>
      </c>
      <c r="BL5" s="424" t="s">
        <v>493</v>
      </c>
      <c r="BO5" s="813"/>
      <c r="BP5" s="816"/>
      <c r="BQ5" s="817"/>
      <c r="BR5" s="791"/>
      <c r="BS5" s="796"/>
      <c r="BT5" s="791"/>
      <c r="BU5" s="791"/>
      <c r="BV5" s="791"/>
      <c r="BW5" s="424" t="s">
        <v>94</v>
      </c>
      <c r="BX5" s="424" t="s">
        <v>95</v>
      </c>
      <c r="BY5" s="424" t="s">
        <v>96</v>
      </c>
      <c r="BZ5" s="424" t="s">
        <v>488</v>
      </c>
      <c r="CA5" s="424" t="s">
        <v>489</v>
      </c>
      <c r="CB5" s="424" t="s">
        <v>490</v>
      </c>
      <c r="CC5" s="424" t="s">
        <v>491</v>
      </c>
      <c r="CD5" s="424" t="s">
        <v>165</v>
      </c>
      <c r="CE5" s="424" t="s">
        <v>167</v>
      </c>
      <c r="CF5" s="424" t="s">
        <v>492</v>
      </c>
      <c r="CG5" s="424" t="s">
        <v>171</v>
      </c>
      <c r="CH5" s="424" t="s">
        <v>493</v>
      </c>
    </row>
    <row r="6" spans="1:86" s="33" customFormat="1" ht="15" customHeight="1">
      <c r="A6" s="428">
        <v>1</v>
      </c>
      <c r="B6" s="456">
        <v>2</v>
      </c>
      <c r="C6" s="400"/>
      <c r="D6" s="428">
        <v>3</v>
      </c>
      <c r="E6" s="428">
        <v>4</v>
      </c>
      <c r="F6" s="428">
        <v>5</v>
      </c>
      <c r="G6" s="428">
        <v>6</v>
      </c>
      <c r="H6" s="428">
        <v>7</v>
      </c>
      <c r="I6" s="428">
        <v>8</v>
      </c>
      <c r="J6" s="428">
        <v>9</v>
      </c>
      <c r="K6" s="428">
        <v>10</v>
      </c>
      <c r="L6" s="428">
        <v>11</v>
      </c>
      <c r="M6" s="428">
        <v>12</v>
      </c>
      <c r="N6" s="428">
        <v>13</v>
      </c>
      <c r="O6" s="428">
        <v>14</v>
      </c>
      <c r="P6" s="428">
        <v>15</v>
      </c>
      <c r="Q6" s="428">
        <v>16</v>
      </c>
      <c r="R6" s="428">
        <v>17</v>
      </c>
      <c r="S6" s="428">
        <v>18</v>
      </c>
      <c r="T6" s="428">
        <v>19</v>
      </c>
      <c r="U6" s="32"/>
      <c r="V6" s="32"/>
      <c r="W6" s="427">
        <v>1</v>
      </c>
      <c r="X6" s="810">
        <v>2</v>
      </c>
      <c r="Y6" s="811"/>
      <c r="Z6" s="455">
        <v>3</v>
      </c>
      <c r="AA6" s="425">
        <v>4</v>
      </c>
      <c r="AB6" s="455">
        <v>4</v>
      </c>
      <c r="AC6" s="455">
        <v>5</v>
      </c>
      <c r="AD6" s="424">
        <v>6</v>
      </c>
      <c r="AE6" s="427">
        <v>7</v>
      </c>
      <c r="AF6" s="424">
        <v>8</v>
      </c>
      <c r="AG6" s="455">
        <v>9</v>
      </c>
      <c r="AH6" s="424">
        <v>10</v>
      </c>
      <c r="AI6" s="455">
        <v>11</v>
      </c>
      <c r="AJ6" s="424">
        <v>12</v>
      </c>
      <c r="AK6" s="455">
        <v>13</v>
      </c>
      <c r="AL6" s="424">
        <v>14</v>
      </c>
      <c r="AM6" s="455">
        <v>15</v>
      </c>
      <c r="AN6" s="424">
        <v>16</v>
      </c>
      <c r="AO6" s="455">
        <v>17</v>
      </c>
      <c r="AP6" s="424">
        <v>18</v>
      </c>
      <c r="AS6" s="427">
        <v>1</v>
      </c>
      <c r="AT6" s="810">
        <v>2</v>
      </c>
      <c r="AU6" s="811"/>
      <c r="AV6" s="455">
        <v>3</v>
      </c>
      <c r="AW6" s="425">
        <v>4</v>
      </c>
      <c r="AX6" s="455">
        <v>4</v>
      </c>
      <c r="AY6" s="455">
        <v>5</v>
      </c>
      <c r="AZ6" s="424">
        <v>6</v>
      </c>
      <c r="BA6" s="427">
        <v>7</v>
      </c>
      <c r="BB6" s="424">
        <v>8</v>
      </c>
      <c r="BC6" s="427">
        <v>9</v>
      </c>
      <c r="BD6" s="424">
        <v>10</v>
      </c>
      <c r="BE6" s="427">
        <v>11</v>
      </c>
      <c r="BF6" s="424">
        <v>12</v>
      </c>
      <c r="BG6" s="427">
        <v>13</v>
      </c>
      <c r="BH6" s="424">
        <v>14</v>
      </c>
      <c r="BI6" s="427">
        <v>15</v>
      </c>
      <c r="BJ6" s="424">
        <v>16</v>
      </c>
      <c r="BK6" s="427">
        <v>17</v>
      </c>
      <c r="BL6" s="424">
        <v>18</v>
      </c>
      <c r="BO6" s="427">
        <v>1</v>
      </c>
      <c r="BP6" s="810">
        <v>2</v>
      </c>
      <c r="BQ6" s="811"/>
      <c r="BR6" s="455">
        <v>3</v>
      </c>
      <c r="BS6" s="425">
        <v>4</v>
      </c>
      <c r="BT6" s="455">
        <v>4</v>
      </c>
      <c r="BU6" s="455">
        <v>5</v>
      </c>
      <c r="BV6" s="424">
        <v>6</v>
      </c>
      <c r="BW6" s="427">
        <v>7</v>
      </c>
      <c r="BX6" s="424">
        <v>8</v>
      </c>
      <c r="BY6" s="427">
        <v>9</v>
      </c>
      <c r="BZ6" s="424">
        <v>10</v>
      </c>
      <c r="CA6" s="427">
        <v>11</v>
      </c>
      <c r="CB6" s="424">
        <v>12</v>
      </c>
      <c r="CC6" s="427">
        <v>13</v>
      </c>
      <c r="CD6" s="424">
        <v>14</v>
      </c>
      <c r="CE6" s="427">
        <v>15</v>
      </c>
      <c r="CF6" s="424">
        <v>16</v>
      </c>
      <c r="CG6" s="427">
        <v>17</v>
      </c>
      <c r="CH6" s="424">
        <v>18</v>
      </c>
    </row>
    <row r="7" spans="1:86" s="35" customFormat="1" ht="15.6" customHeight="1">
      <c r="A7" s="47" t="s">
        <v>267</v>
      </c>
      <c r="B7" s="535" t="s">
        <v>15</v>
      </c>
      <c r="C7" s="541"/>
      <c r="D7" s="50"/>
      <c r="E7" s="515"/>
      <c r="F7" s="62">
        <f>SUM(F8:F16)</f>
        <v>40</v>
      </c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536"/>
      <c r="U7" s="34"/>
      <c r="V7" s="34"/>
      <c r="W7" s="47" t="s">
        <v>267</v>
      </c>
      <c r="X7" s="48" t="str">
        <f>T.TOLIS!X7</f>
        <v>Key Performance Indicators</v>
      </c>
      <c r="Y7" s="363"/>
      <c r="Z7" s="50"/>
      <c r="AA7" s="48"/>
      <c r="AB7" s="62">
        <v>40</v>
      </c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260"/>
      <c r="AS7" s="47" t="s">
        <v>267</v>
      </c>
      <c r="AT7" s="48" t="s">
        <v>15</v>
      </c>
      <c r="AU7" s="363"/>
      <c r="AV7" s="50"/>
      <c r="AW7" s="48"/>
      <c r="AX7" s="62">
        <v>40</v>
      </c>
      <c r="AY7" s="62"/>
      <c r="AZ7" s="62"/>
      <c r="BA7" s="260"/>
      <c r="BB7" s="260"/>
      <c r="BC7" s="260"/>
      <c r="BD7" s="260"/>
      <c r="BE7" s="260"/>
      <c r="BF7" s="260"/>
      <c r="BG7" s="260"/>
      <c r="BH7" s="260"/>
      <c r="BI7" s="260"/>
      <c r="BJ7" s="260"/>
      <c r="BK7" s="260"/>
      <c r="BL7" s="260"/>
      <c r="BO7" s="47" t="s">
        <v>267</v>
      </c>
      <c r="BP7" s="48" t="s">
        <v>15</v>
      </c>
      <c r="BQ7" s="363"/>
      <c r="BR7" s="50"/>
      <c r="BS7" s="48"/>
      <c r="BT7" s="62">
        <v>40</v>
      </c>
      <c r="BU7" s="62"/>
      <c r="BV7" s="62"/>
      <c r="BW7" s="260"/>
      <c r="BX7" s="260"/>
      <c r="BY7" s="260"/>
      <c r="BZ7" s="260"/>
      <c r="CA7" s="260"/>
      <c r="CB7" s="260"/>
      <c r="CC7" s="260"/>
      <c r="CD7" s="260"/>
      <c r="CE7" s="260"/>
      <c r="CF7" s="260"/>
      <c r="CG7" s="260"/>
      <c r="CH7" s="260"/>
    </row>
    <row r="8" spans="1:86" ht="15.6" customHeight="1">
      <c r="A8" s="516">
        <v>1</v>
      </c>
      <c r="B8" s="267" t="s">
        <v>382</v>
      </c>
      <c r="C8" s="301" t="s">
        <v>276</v>
      </c>
      <c r="D8" s="273" t="s">
        <v>383</v>
      </c>
      <c r="E8" s="53" t="s">
        <v>400</v>
      </c>
      <c r="F8" s="61">
        <v>14</v>
      </c>
      <c r="G8" s="257">
        <f>N8</f>
        <v>13.31</v>
      </c>
      <c r="H8" s="257">
        <f>T8</f>
        <v>27.1</v>
      </c>
      <c r="I8" s="257">
        <f>KPI!D14</f>
        <v>2.19</v>
      </c>
      <c r="J8" s="257">
        <f>KPI!E14</f>
        <v>4.28</v>
      </c>
      <c r="K8" s="257">
        <f>KPI!F14</f>
        <v>6.6</v>
      </c>
      <c r="L8" s="257">
        <f>KPI!G14</f>
        <v>8.84</v>
      </c>
      <c r="M8" s="257">
        <f>KPI!H14</f>
        <v>11.15</v>
      </c>
      <c r="N8" s="257">
        <f>KPI!I14</f>
        <v>13.31</v>
      </c>
      <c r="O8" s="257">
        <f>KPI!J14</f>
        <v>15.51</v>
      </c>
      <c r="P8" s="257">
        <f>KPI!K14</f>
        <v>17.760000000000002</v>
      </c>
      <c r="Q8" s="257">
        <f>KPI!L14</f>
        <v>20.04</v>
      </c>
      <c r="R8" s="257">
        <f>KPI!M14</f>
        <v>22.41</v>
      </c>
      <c r="S8" s="257">
        <f>KPI!N14</f>
        <v>24.74</v>
      </c>
      <c r="T8" s="537">
        <f>KPI!O14</f>
        <v>27.1</v>
      </c>
      <c r="U8" s="36"/>
      <c r="V8" s="36"/>
      <c r="W8" s="51">
        <f ca="1">T.BANGKIR!W8</f>
        <v>1</v>
      </c>
      <c r="X8" s="267" t="str">
        <f ca="1">T.BANGKIR!X8</f>
        <v>Penjualan Tenaga Listrik</v>
      </c>
      <c r="Y8" s="364" t="s">
        <v>276</v>
      </c>
      <c r="Z8" s="53" t="s">
        <v>383</v>
      </c>
      <c r="AA8" s="61" t="e">
        <f>#REF!</f>
        <v>#REF!</v>
      </c>
      <c r="AB8" s="53">
        <v>14</v>
      </c>
      <c r="AC8" s="142">
        <f>AJ8</f>
        <v>13.639104963999998</v>
      </c>
      <c r="AD8" s="142">
        <f>AP8</f>
        <v>0</v>
      </c>
      <c r="AE8" s="142">
        <f>KPI!AH14</f>
        <v>3.349951645</v>
      </c>
      <c r="AF8" s="142">
        <f>KPI!AI14</f>
        <v>6.1451815389999993</v>
      </c>
      <c r="AG8" s="142">
        <f>KPI!AJ14</f>
        <v>8.5735038369999987</v>
      </c>
      <c r="AH8" s="142">
        <f>KPI!AK14</f>
        <v>9.9639753729999985</v>
      </c>
      <c r="AI8" s="142">
        <f>KPI!AL14</f>
        <v>11.682466393999999</v>
      </c>
      <c r="AJ8" s="142">
        <f>KPI!AM14</f>
        <v>13.639104963999998</v>
      </c>
      <c r="AK8" s="142">
        <f>KPI!AN14</f>
        <v>15.664647543999997</v>
      </c>
      <c r="AL8" s="142">
        <f>KPI!AO14</f>
        <v>17.818448144999998</v>
      </c>
      <c r="AM8" s="142">
        <f>KPI!AP14</f>
        <v>20.044852349999999</v>
      </c>
      <c r="AN8" s="142">
        <f>KPI!AQ14</f>
        <v>22.320869412</v>
      </c>
      <c r="AO8" s="142">
        <f>KPI!AR14</f>
        <v>0</v>
      </c>
      <c r="AP8" s="95">
        <f>KPI!AS14</f>
        <v>0</v>
      </c>
      <c r="AR8"/>
      <c r="AS8" s="51">
        <v>1</v>
      </c>
      <c r="AT8" s="267" t="s">
        <v>382</v>
      </c>
      <c r="AU8" s="364" t="s">
        <v>276</v>
      </c>
      <c r="AV8" s="53" t="s">
        <v>383</v>
      </c>
      <c r="AW8" s="61" t="s">
        <v>400</v>
      </c>
      <c r="AX8" s="53">
        <v>14</v>
      </c>
      <c r="AY8" s="89">
        <f>BF8</f>
        <v>102.47261430503379</v>
      </c>
      <c r="AZ8" s="89">
        <f>BL8</f>
        <v>0</v>
      </c>
      <c r="BA8" s="111">
        <f>IF(AE8/I8*100&gt;110,110,AE8/I8*100)</f>
        <v>110</v>
      </c>
      <c r="BB8" s="111">
        <f t="shared" ref="BB8:BL8" si="0">IF(AF8/J8*100&gt;110,110,AF8/J8*100)</f>
        <v>110</v>
      </c>
      <c r="BC8" s="111">
        <f t="shared" si="0"/>
        <v>110</v>
      </c>
      <c r="BD8" s="111">
        <f t="shared" si="0"/>
        <v>110</v>
      </c>
      <c r="BE8" s="111">
        <f t="shared" si="0"/>
        <v>104.77548335426007</v>
      </c>
      <c r="BF8" s="111">
        <f t="shared" si="0"/>
        <v>102.47261430503379</v>
      </c>
      <c r="BG8" s="111">
        <f t="shared" si="0"/>
        <v>100.99708281108961</v>
      </c>
      <c r="BH8" s="111">
        <f t="shared" si="0"/>
        <v>100.32909991554051</v>
      </c>
      <c r="BI8" s="111">
        <f t="shared" si="0"/>
        <v>100.02421332335329</v>
      </c>
      <c r="BJ8" s="111">
        <f t="shared" si="0"/>
        <v>99.602273145916996</v>
      </c>
      <c r="BK8" s="111">
        <f t="shared" si="0"/>
        <v>0</v>
      </c>
      <c r="BL8" s="111">
        <f t="shared" si="0"/>
        <v>0</v>
      </c>
      <c r="BM8"/>
      <c r="BN8"/>
      <c r="BO8" s="51">
        <v>1</v>
      </c>
      <c r="BP8" s="267" t="s">
        <v>382</v>
      </c>
      <c r="BQ8" s="364" t="s">
        <v>276</v>
      </c>
      <c r="BR8" s="53" t="s">
        <v>383</v>
      </c>
      <c r="BS8" s="61" t="s">
        <v>400</v>
      </c>
      <c r="BT8" s="513">
        <v>14</v>
      </c>
      <c r="BU8" s="89">
        <f>CB8</f>
        <v>14.346166002704731</v>
      </c>
      <c r="BV8" s="89">
        <f>CH8</f>
        <v>0</v>
      </c>
      <c r="BW8" s="111" cm="1">
        <f t="array" ref="BW8:CH8">BT8*BA8:BL8/100</f>
        <v>15.4</v>
      </c>
      <c r="BX8" s="111">
        <v>15.4</v>
      </c>
      <c r="BY8" s="111">
        <v>15.4</v>
      </c>
      <c r="BZ8" s="111">
        <v>15.4</v>
      </c>
      <c r="CA8" s="111">
        <v>14.66856766959641</v>
      </c>
      <c r="CB8" s="111">
        <v>14.346166002704731</v>
      </c>
      <c r="CC8" s="111">
        <v>14.139591593552545</v>
      </c>
      <c r="CD8" s="111">
        <v>14.046073988175671</v>
      </c>
      <c r="CE8" s="111">
        <v>14.003389865269462</v>
      </c>
      <c r="CF8" s="111">
        <v>13.944318240428379</v>
      </c>
      <c r="CG8" s="111">
        <v>0</v>
      </c>
      <c r="CH8" s="111">
        <v>0</v>
      </c>
    </row>
    <row r="9" spans="1:86" ht="15.6" customHeight="1">
      <c r="A9" s="517">
        <v>2</v>
      </c>
      <c r="B9" s="267" t="s">
        <v>384</v>
      </c>
      <c r="C9" s="542"/>
      <c r="D9" s="273"/>
      <c r="E9" s="53"/>
      <c r="F9" s="61">
        <v>14</v>
      </c>
      <c r="G9" s="257"/>
      <c r="H9" s="257"/>
      <c r="I9" s="257"/>
      <c r="J9" s="257"/>
      <c r="K9" s="257"/>
      <c r="L9" s="257"/>
      <c r="M9" s="257"/>
      <c r="N9" s="257"/>
      <c r="O9" s="257"/>
      <c r="P9" s="257"/>
      <c r="Q9" s="257"/>
      <c r="R9" s="257"/>
      <c r="S9" s="257"/>
      <c r="T9" s="90"/>
      <c r="U9" s="36"/>
      <c r="V9" s="36"/>
      <c r="W9" s="51">
        <f ca="1">T.BANGKIR!W9</f>
        <v>2</v>
      </c>
      <c r="X9" s="267" t="str">
        <f ca="1">T.BANGKIR!X9</f>
        <v>Keandalan Sistem</v>
      </c>
      <c r="Y9" s="364"/>
      <c r="Z9" s="53"/>
      <c r="AA9" s="61"/>
      <c r="AB9" s="53">
        <v>14</v>
      </c>
      <c r="AC9" s="142"/>
      <c r="AD9" s="142"/>
      <c r="AE9" s="142"/>
      <c r="AF9" s="142"/>
      <c r="AG9" s="142"/>
      <c r="AH9" s="142"/>
      <c r="AI9" s="95"/>
      <c r="AJ9" s="142"/>
      <c r="AK9" s="142"/>
      <c r="AL9" s="142"/>
      <c r="AM9" s="142"/>
      <c r="AN9" s="95"/>
      <c r="AO9" s="142"/>
      <c r="AP9" s="95"/>
      <c r="AR9"/>
      <c r="AS9" s="51">
        <v>2</v>
      </c>
      <c r="AT9" s="267" t="s">
        <v>384</v>
      </c>
      <c r="AU9" s="364"/>
      <c r="AV9" s="53"/>
      <c r="AW9" s="61"/>
      <c r="AX9" s="53">
        <v>14</v>
      </c>
      <c r="AY9" s="89"/>
      <c r="AZ9" s="89"/>
      <c r="BA9" s="512"/>
      <c r="BB9" s="512"/>
      <c r="BC9" s="512"/>
      <c r="BD9" s="512"/>
      <c r="BE9" s="512"/>
      <c r="BF9" s="512"/>
      <c r="BG9" s="512"/>
      <c r="BH9" s="512"/>
      <c r="BI9" s="512"/>
      <c r="BJ9" s="512"/>
      <c r="BK9" s="512"/>
      <c r="BL9" s="512"/>
      <c r="BM9"/>
      <c r="BN9"/>
      <c r="BO9" s="51">
        <v>2</v>
      </c>
      <c r="BP9" s="267" t="s">
        <v>384</v>
      </c>
      <c r="BQ9" s="364"/>
      <c r="BR9" s="53"/>
      <c r="BS9" s="61"/>
      <c r="BT9" s="513">
        <v>14</v>
      </c>
      <c r="BU9" s="89"/>
      <c r="BV9" s="89"/>
      <c r="BW9" s="512"/>
      <c r="BX9" s="512"/>
      <c r="BY9" s="512"/>
      <c r="BZ9" s="512"/>
      <c r="CA9" s="512"/>
      <c r="CB9" s="512"/>
      <c r="CC9" s="512"/>
      <c r="CD9" s="512"/>
      <c r="CE9" s="512"/>
      <c r="CF9" s="512"/>
      <c r="CG9" s="512"/>
      <c r="CH9" s="512"/>
    </row>
    <row r="10" spans="1:86" ht="15.6" customHeight="1">
      <c r="A10" s="519"/>
      <c r="B10" s="52" t="s">
        <v>401</v>
      </c>
      <c r="C10" s="301" t="s">
        <v>278</v>
      </c>
      <c r="D10" s="273" t="s">
        <v>442</v>
      </c>
      <c r="E10" s="53" t="s">
        <v>279</v>
      </c>
      <c r="F10" s="61"/>
      <c r="G10" s="257">
        <f>N10</f>
        <v>87.89</v>
      </c>
      <c r="H10" s="257">
        <f>T10</f>
        <v>175.78</v>
      </c>
      <c r="I10" s="257">
        <f>KPI!D38</f>
        <v>14.65</v>
      </c>
      <c r="J10" s="257">
        <f>KPI!E38</f>
        <v>29.3</v>
      </c>
      <c r="K10" s="257">
        <f>KPI!F38</f>
        <v>43.94</v>
      </c>
      <c r="L10" s="257">
        <f>KPI!G38</f>
        <v>58.59</v>
      </c>
      <c r="M10" s="257">
        <f>KPI!H38</f>
        <v>73.239999999999995</v>
      </c>
      <c r="N10" s="257">
        <f>KPI!I38</f>
        <v>87.89</v>
      </c>
      <c r="O10" s="257">
        <f>KPI!J38</f>
        <v>102.54</v>
      </c>
      <c r="P10" s="257">
        <f>KPI!K38</f>
        <v>117.18</v>
      </c>
      <c r="Q10" s="257">
        <f>KPI!L38</f>
        <v>131.83000000000001</v>
      </c>
      <c r="R10" s="257">
        <f>KPI!M38</f>
        <v>146.47999999999999</v>
      </c>
      <c r="S10" s="257">
        <f>KPI!N38</f>
        <v>161.13</v>
      </c>
      <c r="T10" s="90">
        <f>KPI!O38</f>
        <v>175.78</v>
      </c>
      <c r="U10" s="36"/>
      <c r="V10" s="36"/>
      <c r="W10" s="51"/>
      <c r="X10" s="52" t="str">
        <f ca="1">T.BANGKIR!X10</f>
        <v>a. SAIDI (sesuai kewenangan)</v>
      </c>
      <c r="Y10" s="364" t="s">
        <v>278</v>
      </c>
      <c r="Z10" s="53" t="s">
        <v>442</v>
      </c>
      <c r="AA10" s="61" t="e">
        <f>#REF!</f>
        <v>#REF!</v>
      </c>
      <c r="AB10" s="53"/>
      <c r="AC10" s="142">
        <f t="shared" ref="AC10:AC48" si="1">AJ10</f>
        <v>66.18075679613861</v>
      </c>
      <c r="AD10" s="142">
        <f t="shared" ref="AD10:AD48" si="2">AP10</f>
        <v>0</v>
      </c>
      <c r="AE10" s="142">
        <f>KPI!AH38</f>
        <v>15.179571527297856</v>
      </c>
      <c r="AF10" s="142">
        <f>KPI!AI38</f>
        <v>15.281531883591558</v>
      </c>
      <c r="AG10" s="142">
        <f>KPI!AJ38</f>
        <v>18.773988439306358</v>
      </c>
      <c r="AH10" s="142">
        <f>KPI!AK38</f>
        <v>33.332720032953453</v>
      </c>
      <c r="AI10" s="142">
        <f>KPI!AL38</f>
        <v>50.742571454661679</v>
      </c>
      <c r="AJ10" s="142">
        <f>KPI!AM38</f>
        <v>66.18075679613861</v>
      </c>
      <c r="AK10" s="142">
        <f>KPI!AN38</f>
        <v>86.78775398881767</v>
      </c>
      <c r="AL10" s="142">
        <f>KPI!AO38</f>
        <v>86.942387802332448</v>
      </c>
      <c r="AM10" s="142">
        <f>KPI!AP38</f>
        <v>98.540400108626784</v>
      </c>
      <c r="AN10" s="142">
        <f>KPI!AQ38</f>
        <v>124.96484766418416</v>
      </c>
      <c r="AO10" s="142">
        <f>KPI!AR38</f>
        <v>0</v>
      </c>
      <c r="AP10" s="95">
        <f>KPI!AS38</f>
        <v>0</v>
      </c>
      <c r="AR10"/>
      <c r="AS10" s="51"/>
      <c r="AT10" s="52" t="s">
        <v>401</v>
      </c>
      <c r="AU10" s="364" t="s">
        <v>278</v>
      </c>
      <c r="AV10" s="53" t="s">
        <v>402</v>
      </c>
      <c r="AW10" s="61" t="s">
        <v>279</v>
      </c>
      <c r="AX10" s="53"/>
      <c r="AY10" s="89">
        <f t="shared" ref="AY10:AY48" si="3">BF10</f>
        <v>110</v>
      </c>
      <c r="AZ10" s="89">
        <f t="shared" ref="AZ10:AZ48" si="4">BL10</f>
        <v>110</v>
      </c>
      <c r="BA10" s="111">
        <f>IF((2-(AE10/I10))*100&gt;110,110,(2-(AE10/I10))*100)</f>
        <v>96.385177288069229</v>
      </c>
      <c r="BB10" s="111">
        <f t="shared" ref="BB10:BL11" si="5">IF((2-(AF10/J10))*100&gt;110,110,(2-(AF10/J10))*100)</f>
        <v>110</v>
      </c>
      <c r="BC10" s="111">
        <f t="shared" si="5"/>
        <v>110</v>
      </c>
      <c r="BD10" s="111">
        <f t="shared" si="5"/>
        <v>110</v>
      </c>
      <c r="BE10" s="111">
        <f t="shared" si="5"/>
        <v>110</v>
      </c>
      <c r="BF10" s="111">
        <f t="shared" si="5"/>
        <v>110</v>
      </c>
      <c r="BG10" s="111">
        <f t="shared" si="5"/>
        <v>110</v>
      </c>
      <c r="BH10" s="111">
        <f t="shared" si="5"/>
        <v>110</v>
      </c>
      <c r="BI10" s="111">
        <f t="shared" si="5"/>
        <v>110</v>
      </c>
      <c r="BJ10" s="111">
        <f t="shared" si="5"/>
        <v>110</v>
      </c>
      <c r="BK10" s="111">
        <f t="shared" si="5"/>
        <v>110</v>
      </c>
      <c r="BL10" s="111">
        <f t="shared" si="5"/>
        <v>110</v>
      </c>
      <c r="BM10"/>
      <c r="BN10"/>
      <c r="BO10" s="51"/>
      <c r="BP10" s="52" t="s">
        <v>401</v>
      </c>
      <c r="BQ10" s="364" t="s">
        <v>278</v>
      </c>
      <c r="BR10" s="53" t="s">
        <v>402</v>
      </c>
      <c r="BS10" s="61" t="s">
        <v>279</v>
      </c>
      <c r="BT10" s="142">
        <v>4.666666666666667</v>
      </c>
      <c r="BU10" s="89">
        <f t="shared" ref="BU10:BU12" si="6">CB10</f>
        <v>5.1333333333333337</v>
      </c>
      <c r="BV10" s="89">
        <f t="shared" ref="BV10:BV12" si="7">CH10</f>
        <v>5.1333333333333337</v>
      </c>
      <c r="BW10" s="111" cm="1">
        <f t="array" ref="BW10:CH10">BT10*BA10:BL10/100</f>
        <v>4.4979749401098976</v>
      </c>
      <c r="BX10" s="111">
        <v>5.1333333333333337</v>
      </c>
      <c r="BY10" s="111">
        <v>5.1333333333333337</v>
      </c>
      <c r="BZ10" s="111">
        <v>5.1333333333333337</v>
      </c>
      <c r="CA10" s="111">
        <v>5.1333333333333337</v>
      </c>
      <c r="CB10" s="111">
        <v>5.1333333333333337</v>
      </c>
      <c r="CC10" s="111">
        <v>5.1333333333333337</v>
      </c>
      <c r="CD10" s="111">
        <v>5.1333333333333337</v>
      </c>
      <c r="CE10" s="111">
        <v>5.1333333333333337</v>
      </c>
      <c r="CF10" s="111">
        <v>5.1333333333333337</v>
      </c>
      <c r="CG10" s="111">
        <v>5.1333333333333337</v>
      </c>
      <c r="CH10" s="111">
        <v>5.1333333333333337</v>
      </c>
    </row>
    <row r="11" spans="1:86" ht="15.6" customHeight="1">
      <c r="A11" s="519"/>
      <c r="B11" s="52" t="s">
        <v>403</v>
      </c>
      <c r="C11" s="301" t="s">
        <v>278</v>
      </c>
      <c r="D11" s="273" t="s">
        <v>443</v>
      </c>
      <c r="E11" s="53" t="s">
        <v>280</v>
      </c>
      <c r="F11" s="61"/>
      <c r="G11" s="257">
        <f>N11</f>
        <v>1.4</v>
      </c>
      <c r="H11" s="257">
        <f>T11</f>
        <v>2.81</v>
      </c>
      <c r="I11" s="257">
        <f>KPI!D60</f>
        <v>0.23</v>
      </c>
      <c r="J11" s="257">
        <f>KPI!E60</f>
        <v>0.47</v>
      </c>
      <c r="K11" s="257">
        <f>KPI!F60</f>
        <v>0.7</v>
      </c>
      <c r="L11" s="257">
        <f>KPI!G60</f>
        <v>0.94</v>
      </c>
      <c r="M11" s="257">
        <f>KPI!H60</f>
        <v>1.17</v>
      </c>
      <c r="N11" s="257">
        <f>KPI!I60</f>
        <v>1.4</v>
      </c>
      <c r="O11" s="257">
        <f>KPI!J60</f>
        <v>1.64</v>
      </c>
      <c r="P11" s="257">
        <f>KPI!K60</f>
        <v>1.87</v>
      </c>
      <c r="Q11" s="257">
        <f>KPI!L60</f>
        <v>2.1</v>
      </c>
      <c r="R11" s="257">
        <f>KPI!M60</f>
        <v>2.34</v>
      </c>
      <c r="S11" s="257">
        <f>KPI!N60</f>
        <v>2.57</v>
      </c>
      <c r="T11" s="90">
        <f>KPI!O60</f>
        <v>2.81</v>
      </c>
      <c r="U11" s="36"/>
      <c r="V11" s="36"/>
      <c r="W11" s="51"/>
      <c r="X11" s="52" t="str">
        <f ca="1">T.BANGKIR!X11</f>
        <v>b. SAIFI (sesuai kewenangan)</v>
      </c>
      <c r="Y11" s="364" t="s">
        <v>278</v>
      </c>
      <c r="Z11" s="53" t="s">
        <v>443</v>
      </c>
      <c r="AA11" s="61"/>
      <c r="AB11" s="53"/>
      <c r="AC11" s="142">
        <f t="shared" si="1"/>
        <v>1.1430718091161605</v>
      </c>
      <c r="AD11" s="142">
        <f t="shared" si="2"/>
        <v>0</v>
      </c>
      <c r="AE11" s="142">
        <f>KPI!AH60</f>
        <v>0.1485372034093527</v>
      </c>
      <c r="AF11" s="142">
        <f>KPI!AI60</f>
        <v>0.15934899544848513</v>
      </c>
      <c r="AG11" s="142">
        <f>KPI!AJ60</f>
        <v>0.3023213138820075</v>
      </c>
      <c r="AH11" s="142">
        <f>KPI!AK60</f>
        <v>0.39850794086685887</v>
      </c>
      <c r="AI11" s="142">
        <f>KPI!AL60</f>
        <v>0.82083827960916811</v>
      </c>
      <c r="AJ11" s="142">
        <f>KPI!AM60</f>
        <v>1.1430718091161605</v>
      </c>
      <c r="AK11" s="142">
        <f>KPI!AN60</f>
        <v>1.4126551206873039</v>
      </c>
      <c r="AL11" s="142">
        <f>KPI!AO60</f>
        <v>1.4216544901756138</v>
      </c>
      <c r="AM11" s="142">
        <f>KPI!AP60</f>
        <v>1.6025165203222593</v>
      </c>
      <c r="AN11" s="142">
        <f>KPI!AQ60</f>
        <v>2.0909952606635072</v>
      </c>
      <c r="AO11" s="142">
        <f>KPI!AR60</f>
        <v>0</v>
      </c>
      <c r="AP11" s="95">
        <f>KPI!AS60</f>
        <v>0</v>
      </c>
      <c r="AR11"/>
      <c r="AS11" s="51"/>
      <c r="AT11" s="52" t="s">
        <v>403</v>
      </c>
      <c r="AU11" s="364" t="s">
        <v>278</v>
      </c>
      <c r="AV11" s="53" t="s">
        <v>404</v>
      </c>
      <c r="AW11" s="61" t="s">
        <v>280</v>
      </c>
      <c r="AX11" s="53"/>
      <c r="AY11" s="89">
        <f t="shared" si="3"/>
        <v>110</v>
      </c>
      <c r="AZ11" s="89">
        <f t="shared" si="4"/>
        <v>110</v>
      </c>
      <c r="BA11" s="111">
        <f>IF((2-(AE11/I11))*100&gt;110,110,(2-(AE11/I11))*100)</f>
        <v>110</v>
      </c>
      <c r="BB11" s="111">
        <f t="shared" si="5"/>
        <v>110</v>
      </c>
      <c r="BC11" s="111">
        <f t="shared" si="5"/>
        <v>110</v>
      </c>
      <c r="BD11" s="111">
        <f t="shared" si="5"/>
        <v>110</v>
      </c>
      <c r="BE11" s="111">
        <f t="shared" si="5"/>
        <v>110</v>
      </c>
      <c r="BF11" s="111">
        <f t="shared" si="5"/>
        <v>110</v>
      </c>
      <c r="BG11" s="111">
        <f t="shared" si="5"/>
        <v>110</v>
      </c>
      <c r="BH11" s="111">
        <f t="shared" si="5"/>
        <v>110</v>
      </c>
      <c r="BI11" s="111">
        <f t="shared" si="5"/>
        <v>110</v>
      </c>
      <c r="BJ11" s="111">
        <f t="shared" si="5"/>
        <v>110</v>
      </c>
      <c r="BK11" s="111">
        <f t="shared" si="5"/>
        <v>110</v>
      </c>
      <c r="BL11" s="111">
        <f t="shared" si="5"/>
        <v>110</v>
      </c>
      <c r="BM11"/>
      <c r="BN11"/>
      <c r="BO11" s="51"/>
      <c r="BP11" s="52" t="s">
        <v>403</v>
      </c>
      <c r="BQ11" s="364" t="s">
        <v>278</v>
      </c>
      <c r="BR11" s="53" t="s">
        <v>404</v>
      </c>
      <c r="BS11" s="61" t="s">
        <v>280</v>
      </c>
      <c r="BT11" s="142">
        <v>4.666666666666667</v>
      </c>
      <c r="BU11" s="89">
        <f t="shared" si="6"/>
        <v>5.1333333333333337</v>
      </c>
      <c r="BV11" s="89">
        <f t="shared" si="7"/>
        <v>5.1333333333333337</v>
      </c>
      <c r="BW11" s="111" cm="1">
        <f t="array" ref="BW11:CH11">BT11*BA11:BL11/100</f>
        <v>5.1333333333333337</v>
      </c>
      <c r="BX11" s="111">
        <v>5.1333333333333337</v>
      </c>
      <c r="BY11" s="111">
        <v>5.1333333333333337</v>
      </c>
      <c r="BZ11" s="111">
        <v>5.1333333333333337</v>
      </c>
      <c r="CA11" s="111">
        <v>5.1333333333333337</v>
      </c>
      <c r="CB11" s="111">
        <v>5.1333333333333337</v>
      </c>
      <c r="CC11" s="111">
        <v>5.1333333333333337</v>
      </c>
      <c r="CD11" s="111">
        <v>5.1333333333333337</v>
      </c>
      <c r="CE11" s="111">
        <v>5.1333333333333337</v>
      </c>
      <c r="CF11" s="111">
        <v>5.1333333333333337</v>
      </c>
      <c r="CG11" s="111">
        <v>5.1333333333333337</v>
      </c>
      <c r="CH11" s="111">
        <v>5.1333333333333337</v>
      </c>
    </row>
    <row r="12" spans="1:86" ht="15.6" customHeight="1">
      <c r="A12" s="520"/>
      <c r="B12" s="52" t="s">
        <v>405</v>
      </c>
      <c r="C12" s="301" t="s">
        <v>278</v>
      </c>
      <c r="D12" s="273" t="s">
        <v>140</v>
      </c>
      <c r="E12" s="53" t="s">
        <v>406</v>
      </c>
      <c r="F12" s="61"/>
      <c r="G12" s="257">
        <f>N12</f>
        <v>3.54</v>
      </c>
      <c r="H12" s="257">
        <f>T12</f>
        <v>7.08</v>
      </c>
      <c r="I12" s="257">
        <f>KPI!D76</f>
        <v>0.59</v>
      </c>
      <c r="J12" s="257">
        <f>KPI!E76</f>
        <v>1.18</v>
      </c>
      <c r="K12" s="257">
        <f>KPI!F76</f>
        <v>1.77</v>
      </c>
      <c r="L12" s="257">
        <f>KPI!G76</f>
        <v>2.36</v>
      </c>
      <c r="M12" s="257">
        <f>KPI!H76</f>
        <v>2.95</v>
      </c>
      <c r="N12" s="257">
        <f>KPI!I76</f>
        <v>3.54</v>
      </c>
      <c r="O12" s="257">
        <f>KPI!J76</f>
        <v>4.13</v>
      </c>
      <c r="P12" s="257">
        <f>KPI!K76</f>
        <v>4.72</v>
      </c>
      <c r="Q12" s="257">
        <f>KPI!L76</f>
        <v>5.31</v>
      </c>
      <c r="R12" s="257">
        <f>KPI!M76</f>
        <v>5.9</v>
      </c>
      <c r="S12" s="257">
        <f>KPI!N76</f>
        <v>6.49</v>
      </c>
      <c r="T12" s="90">
        <f>KPI!O76</f>
        <v>7.08</v>
      </c>
      <c r="U12" s="36"/>
      <c r="V12" s="36"/>
      <c r="W12" s="51"/>
      <c r="X12" s="52" t="str">
        <f ca="1">T.BANGKIR!X12</f>
        <v>c. ENS (sesuai kewenangan)</v>
      </c>
      <c r="Y12" s="364" t="s">
        <v>278</v>
      </c>
      <c r="Z12" s="53" t="s">
        <v>140</v>
      </c>
      <c r="AA12" s="61"/>
      <c r="AB12" s="53"/>
      <c r="AC12" s="142">
        <f t="shared" si="1"/>
        <v>3.0380000000000003</v>
      </c>
      <c r="AD12" s="142">
        <f t="shared" si="2"/>
        <v>0</v>
      </c>
      <c r="AE12" s="142">
        <f>KPI!AH76</f>
        <v>0.79600000000000004</v>
      </c>
      <c r="AF12" s="142">
        <f>KPI!AI76</f>
        <v>0.80200000000000005</v>
      </c>
      <c r="AG12" s="142">
        <f>KPI!AJ76</f>
        <v>1.0550000000000002</v>
      </c>
      <c r="AH12" s="142">
        <f>KPI!AK76</f>
        <v>1.8940000000000001</v>
      </c>
      <c r="AI12" s="142">
        <f>KPI!AL76</f>
        <v>2.5420000000000003</v>
      </c>
      <c r="AJ12" s="142">
        <f>KPI!AM76</f>
        <v>3.0380000000000003</v>
      </c>
      <c r="AK12" s="142">
        <f>KPI!AN76</f>
        <v>3.6530000000000005</v>
      </c>
      <c r="AL12" s="142">
        <f>KPI!AO76</f>
        <v>3.6660000000000004</v>
      </c>
      <c r="AM12" s="142">
        <f>KPI!AP76</f>
        <v>4.1610000000000005</v>
      </c>
      <c r="AN12" s="142">
        <f>KPI!AQ76</f>
        <v>5.0650000000000004</v>
      </c>
      <c r="AO12" s="142">
        <f>KPI!AR76</f>
        <v>0</v>
      </c>
      <c r="AP12" s="95">
        <f>KPI!AS76</f>
        <v>0</v>
      </c>
      <c r="AR12"/>
      <c r="AS12" s="51"/>
      <c r="AT12" s="52" t="s">
        <v>405</v>
      </c>
      <c r="AU12" s="364" t="s">
        <v>278</v>
      </c>
      <c r="AV12" s="53" t="s">
        <v>140</v>
      </c>
      <c r="AW12" s="61" t="s">
        <v>406</v>
      </c>
      <c r="AX12" s="53"/>
      <c r="AY12" s="89">
        <f t="shared" si="3"/>
        <v>110</v>
      </c>
      <c r="AZ12" s="89">
        <f t="shared" si="4"/>
        <v>110</v>
      </c>
      <c r="BA12" s="111">
        <f>IF(((I12-(AE12-I12))/I12)*100&gt;110,110,((I12-(AE12-I12))/I12)*100)</f>
        <v>65.084745762711847</v>
      </c>
      <c r="BB12" s="111">
        <f t="shared" ref="BB12:BL12" si="8">IF(((J12-(AF12-J12))/J12)*100&gt;110,110,((J12-(AF12-J12))/J12)*100)</f>
        <v>110</v>
      </c>
      <c r="BC12" s="111">
        <f t="shared" si="8"/>
        <v>110</v>
      </c>
      <c r="BD12" s="111">
        <f t="shared" si="8"/>
        <v>110</v>
      </c>
      <c r="BE12" s="111">
        <f t="shared" si="8"/>
        <v>110</v>
      </c>
      <c r="BF12" s="111">
        <f t="shared" si="8"/>
        <v>110</v>
      </c>
      <c r="BG12" s="111">
        <f t="shared" si="8"/>
        <v>110</v>
      </c>
      <c r="BH12" s="111">
        <f t="shared" si="8"/>
        <v>110</v>
      </c>
      <c r="BI12" s="111">
        <f t="shared" si="8"/>
        <v>110</v>
      </c>
      <c r="BJ12" s="111">
        <f t="shared" si="8"/>
        <v>110</v>
      </c>
      <c r="BK12" s="111">
        <f t="shared" si="8"/>
        <v>110</v>
      </c>
      <c r="BL12" s="111">
        <f t="shared" si="8"/>
        <v>110</v>
      </c>
      <c r="BM12"/>
      <c r="BN12"/>
      <c r="BO12" s="51"/>
      <c r="BP12" s="52" t="s">
        <v>405</v>
      </c>
      <c r="BQ12" s="364" t="s">
        <v>278</v>
      </c>
      <c r="BR12" s="53" t="s">
        <v>140</v>
      </c>
      <c r="BS12" s="61" t="s">
        <v>406</v>
      </c>
      <c r="BT12" s="142">
        <v>4.666666666666667</v>
      </c>
      <c r="BU12" s="89">
        <f t="shared" si="6"/>
        <v>5.1333333333333337</v>
      </c>
      <c r="BV12" s="89">
        <f t="shared" si="7"/>
        <v>5.1333333333333337</v>
      </c>
      <c r="BW12" s="111" cm="1">
        <f t="array" ref="BW12:CH12">BT12*BA12:BL12/100</f>
        <v>3.0372881355932195</v>
      </c>
      <c r="BX12" s="111">
        <v>5.1333333333333337</v>
      </c>
      <c r="BY12" s="111">
        <v>5.1333333333333337</v>
      </c>
      <c r="BZ12" s="111">
        <v>5.1333333333333337</v>
      </c>
      <c r="CA12" s="111">
        <v>5.1333333333333337</v>
      </c>
      <c r="CB12" s="111">
        <v>5.1333333333333337</v>
      </c>
      <c r="CC12" s="111">
        <v>5.1333333333333337</v>
      </c>
      <c r="CD12" s="111">
        <v>5.1333333333333337</v>
      </c>
      <c r="CE12" s="111">
        <v>5.1333333333333337</v>
      </c>
      <c r="CF12" s="111">
        <v>5.1333333333333337</v>
      </c>
      <c r="CG12" s="111">
        <v>5.1333333333333337</v>
      </c>
      <c r="CH12" s="111">
        <v>5.1333333333333337</v>
      </c>
    </row>
    <row r="13" spans="1:86" ht="15.6" customHeight="1">
      <c r="A13" s="519">
        <v>3</v>
      </c>
      <c r="B13" s="267" t="s">
        <v>390</v>
      </c>
      <c r="C13" s="301"/>
      <c r="D13" s="273"/>
      <c r="E13" s="53"/>
      <c r="F13" s="61">
        <v>12</v>
      </c>
      <c r="G13" s="257"/>
      <c r="H13" s="257"/>
      <c r="I13" s="257"/>
      <c r="J13" s="257"/>
      <c r="K13" s="257"/>
      <c r="L13" s="257"/>
      <c r="M13" s="257"/>
      <c r="N13" s="257"/>
      <c r="O13" s="257"/>
      <c r="P13" s="257"/>
      <c r="Q13" s="257"/>
      <c r="R13" s="257"/>
      <c r="S13" s="257"/>
      <c r="T13" s="90"/>
      <c r="U13" s="36"/>
      <c r="V13" s="36"/>
      <c r="W13" s="51">
        <f ca="1">T.BANGKIR!W13</f>
        <v>3</v>
      </c>
      <c r="X13" s="267" t="str">
        <f ca="1">T.BANGKIR!X13</f>
        <v>Efisiensi Jaringan Distribusi</v>
      </c>
      <c r="Y13" s="364"/>
      <c r="Z13" s="53"/>
      <c r="AA13" s="61"/>
      <c r="AB13" s="53">
        <v>12</v>
      </c>
      <c r="AC13" s="142"/>
      <c r="AD13" s="142"/>
      <c r="AE13" s="142"/>
      <c r="AF13" s="142"/>
      <c r="AG13" s="142"/>
      <c r="AH13" s="142"/>
      <c r="AI13" s="95"/>
      <c r="AJ13" s="142"/>
      <c r="AK13" s="142"/>
      <c r="AL13" s="142"/>
      <c r="AM13" s="142"/>
      <c r="AN13" s="95"/>
      <c r="AO13" s="142"/>
      <c r="AP13" s="95"/>
      <c r="AR13"/>
      <c r="AS13" s="51">
        <v>3</v>
      </c>
      <c r="AT13" s="267" t="s">
        <v>390</v>
      </c>
      <c r="AU13" s="364"/>
      <c r="AV13" s="53"/>
      <c r="AW13" s="61"/>
      <c r="AX13" s="53">
        <v>12</v>
      </c>
      <c r="AY13" s="89"/>
      <c r="AZ13" s="89"/>
      <c r="BA13" s="111"/>
      <c r="BB13" s="111"/>
      <c r="BC13" s="111"/>
      <c r="BD13" s="111"/>
      <c r="BE13" s="111"/>
      <c r="BF13" s="111"/>
      <c r="BG13" s="111"/>
      <c r="BH13" s="111"/>
      <c r="BI13" s="111"/>
      <c r="BJ13" s="111"/>
      <c r="BK13" s="111"/>
      <c r="BL13" s="111"/>
      <c r="BM13"/>
      <c r="BN13"/>
      <c r="BO13" s="51">
        <v>3</v>
      </c>
      <c r="BP13" s="267" t="s">
        <v>390</v>
      </c>
      <c r="BQ13" s="364"/>
      <c r="BR13" s="53"/>
      <c r="BS13" s="61"/>
      <c r="BT13" s="513">
        <v>12</v>
      </c>
      <c r="BU13" s="89"/>
      <c r="BV13" s="89"/>
      <c r="BW13" s="111"/>
      <c r="BX13" s="111"/>
      <c r="BY13" s="111"/>
      <c r="BZ13" s="111"/>
      <c r="CA13" s="111"/>
      <c r="CB13" s="111"/>
      <c r="CC13" s="111"/>
      <c r="CD13" s="111"/>
      <c r="CE13" s="111"/>
      <c r="CF13" s="111"/>
      <c r="CG13" s="111"/>
      <c r="CH13" s="111"/>
    </row>
    <row r="14" spans="1:86" ht="15.6" customHeight="1">
      <c r="A14" s="519"/>
      <c r="B14" s="52" t="s">
        <v>391</v>
      </c>
      <c r="C14" s="301" t="s">
        <v>278</v>
      </c>
      <c r="D14" s="273" t="s">
        <v>149</v>
      </c>
      <c r="E14" s="53" t="s">
        <v>407</v>
      </c>
      <c r="F14" s="61"/>
      <c r="G14" s="257">
        <f>N14</f>
        <v>8.15</v>
      </c>
      <c r="H14" s="257">
        <f>T14</f>
        <v>7.8</v>
      </c>
      <c r="I14" s="257">
        <f>KPI!D97</f>
        <v>8.6199999999999992</v>
      </c>
      <c r="J14" s="257">
        <f>KPI!E97</f>
        <v>8.6199999999999992</v>
      </c>
      <c r="K14" s="257">
        <f>KPI!F97</f>
        <v>8.6199999999999992</v>
      </c>
      <c r="L14" s="257">
        <f>KPI!G97</f>
        <v>8.4700000000000006</v>
      </c>
      <c r="M14" s="257">
        <f>KPI!H97</f>
        <v>8.31</v>
      </c>
      <c r="N14" s="257">
        <f>KPI!I97</f>
        <v>8.15</v>
      </c>
      <c r="O14" s="257">
        <f>KPI!J97</f>
        <v>8.1</v>
      </c>
      <c r="P14" s="257">
        <f>KPI!K97</f>
        <v>8.0399999999999991</v>
      </c>
      <c r="Q14" s="257">
        <f>KPI!L97</f>
        <v>7.98</v>
      </c>
      <c r="R14" s="257">
        <f>KPI!M97</f>
        <v>7.92</v>
      </c>
      <c r="S14" s="257">
        <f>KPI!N97</f>
        <v>7.86</v>
      </c>
      <c r="T14" s="90">
        <f>KPI!O97</f>
        <v>7.8</v>
      </c>
      <c r="U14" s="36"/>
      <c r="V14" s="36"/>
      <c r="W14" s="51"/>
      <c r="X14" s="52" t="str">
        <f ca="1">T.BANGKIR!X14</f>
        <v>a. Susut Distribusi Tanpa E-min (sesuai kewenangan)</v>
      </c>
      <c r="Y14" s="364" t="s">
        <v>278</v>
      </c>
      <c r="Z14" s="53" t="s">
        <v>149</v>
      </c>
      <c r="AA14" s="61"/>
      <c r="AB14" s="53"/>
      <c r="AC14" s="142">
        <f t="shared" si="1"/>
        <v>-1.1391962555810786</v>
      </c>
      <c r="AD14" s="142">
        <f t="shared" si="2"/>
        <v>0</v>
      </c>
      <c r="AE14" s="142">
        <f>KPI!AH97</f>
        <v>-42.071974368355406</v>
      </c>
      <c r="AF14" s="142">
        <f>KPI!AI97</f>
        <v>-35.354654309349698</v>
      </c>
      <c r="AG14" s="142">
        <f>KPI!AJ97</f>
        <v>-23.859018142778591</v>
      </c>
      <c r="AH14" s="142">
        <f>KPI!AK97</f>
        <v>-10.249560685854476</v>
      </c>
      <c r="AI14" s="142">
        <f>KPI!AL97</f>
        <v>-3.699252289146763</v>
      </c>
      <c r="AJ14" s="142">
        <f>KPI!AM97</f>
        <v>-1.1391962555810786</v>
      </c>
      <c r="AK14" s="142">
        <f>KPI!AN97</f>
        <v>1.0833197905053189</v>
      </c>
      <c r="AL14" s="142">
        <f>KPI!AO97</f>
        <v>2.4114935378769062</v>
      </c>
      <c r="AM14" s="142">
        <f>KPI!AP97</f>
        <v>3.3809757551298412</v>
      </c>
      <c r="AN14" s="142">
        <f>KPI!AQ97</f>
        <v>3.9521214420022299</v>
      </c>
      <c r="AO14" s="142">
        <f>KPI!AR97</f>
        <v>0</v>
      </c>
      <c r="AP14" s="95">
        <f>KPI!AS97</f>
        <v>0</v>
      </c>
      <c r="AR14"/>
      <c r="AS14" s="51"/>
      <c r="AT14" s="52" t="s">
        <v>391</v>
      </c>
      <c r="AU14" s="364" t="s">
        <v>278</v>
      </c>
      <c r="AV14" s="53" t="s">
        <v>149</v>
      </c>
      <c r="AW14" s="61" t="s">
        <v>407</v>
      </c>
      <c r="AX14" s="53"/>
      <c r="AY14" s="89">
        <f t="shared" si="3"/>
        <v>110</v>
      </c>
      <c r="AZ14" s="89">
        <f t="shared" si="4"/>
        <v>110</v>
      </c>
      <c r="BA14" s="111">
        <f>IF((2-(AE14/I14))*100&gt;110,110,(2-(AE14/I14))*100)</f>
        <v>110</v>
      </c>
      <c r="BB14" s="111">
        <f t="shared" ref="BB14:BL14" si="9">IF((2-(AF14/J14))*100&gt;110,110,(2-(AF14/J14))*100)</f>
        <v>110</v>
      </c>
      <c r="BC14" s="111">
        <f t="shared" si="9"/>
        <v>110</v>
      </c>
      <c r="BD14" s="111">
        <f t="shared" si="9"/>
        <v>110</v>
      </c>
      <c r="BE14" s="111">
        <f t="shared" si="9"/>
        <v>110</v>
      </c>
      <c r="BF14" s="111">
        <f t="shared" si="9"/>
        <v>110</v>
      </c>
      <c r="BG14" s="111">
        <f t="shared" si="9"/>
        <v>110</v>
      </c>
      <c r="BH14" s="111">
        <f t="shared" si="9"/>
        <v>110</v>
      </c>
      <c r="BI14" s="111">
        <f t="shared" si="9"/>
        <v>110</v>
      </c>
      <c r="BJ14" s="111">
        <f t="shared" si="9"/>
        <v>110</v>
      </c>
      <c r="BK14" s="111">
        <f t="shared" si="9"/>
        <v>110</v>
      </c>
      <c r="BL14" s="111">
        <f t="shared" si="9"/>
        <v>110</v>
      </c>
      <c r="BM14"/>
      <c r="BN14"/>
      <c r="BO14" s="51"/>
      <c r="BP14" s="52" t="s">
        <v>391</v>
      </c>
      <c r="BQ14" s="364" t="s">
        <v>278</v>
      </c>
      <c r="BR14" s="53" t="s">
        <v>149</v>
      </c>
      <c r="BS14" s="61" t="s">
        <v>407</v>
      </c>
      <c r="BT14" s="53">
        <v>4</v>
      </c>
      <c r="BU14" s="89">
        <f t="shared" ref="BU14:BU16" si="10">CB14</f>
        <v>4.4000000000000004</v>
      </c>
      <c r="BV14" s="89">
        <f t="shared" ref="BV14:BV16" si="11">CH14</f>
        <v>4.4000000000000004</v>
      </c>
      <c r="BW14" s="111" cm="1">
        <f t="array" ref="BW14:CH14">BT14*BA14:BL14/100</f>
        <v>4.4000000000000004</v>
      </c>
      <c r="BX14" s="111">
        <v>4.4000000000000004</v>
      </c>
      <c r="BY14" s="111">
        <v>4.4000000000000004</v>
      </c>
      <c r="BZ14" s="111">
        <v>4.4000000000000004</v>
      </c>
      <c r="CA14" s="111">
        <v>4.4000000000000004</v>
      </c>
      <c r="CB14" s="111">
        <v>4.4000000000000004</v>
      </c>
      <c r="CC14" s="111">
        <v>4.4000000000000004</v>
      </c>
      <c r="CD14" s="111">
        <v>4.4000000000000004</v>
      </c>
      <c r="CE14" s="111">
        <v>4.4000000000000004</v>
      </c>
      <c r="CF14" s="111">
        <v>4.4000000000000004</v>
      </c>
      <c r="CG14" s="111">
        <v>4.4000000000000004</v>
      </c>
      <c r="CH14" s="111">
        <v>4.4000000000000004</v>
      </c>
    </row>
    <row r="15" spans="1:86" ht="15.6" customHeight="1">
      <c r="A15" s="519"/>
      <c r="B15" s="52" t="s">
        <v>392</v>
      </c>
      <c r="C15" s="301" t="s">
        <v>276</v>
      </c>
      <c r="D15" s="273" t="s">
        <v>149</v>
      </c>
      <c r="E15" s="53" t="s">
        <v>408</v>
      </c>
      <c r="F15" s="61"/>
      <c r="G15" s="257">
        <f>N15</f>
        <v>40</v>
      </c>
      <c r="H15" s="257">
        <f>T15</f>
        <v>100</v>
      </c>
      <c r="I15" s="257">
        <f>KPI!D119</f>
        <v>6.666666666666667</v>
      </c>
      <c r="J15" s="257">
        <f>KPI!E119</f>
        <v>13.333333333333334</v>
      </c>
      <c r="K15" s="257">
        <f>KPI!F119</f>
        <v>20</v>
      </c>
      <c r="L15" s="257">
        <f>KPI!G119</f>
        <v>26.666666666666668</v>
      </c>
      <c r="M15" s="257">
        <f>KPI!H119</f>
        <v>33.333333333333336</v>
      </c>
      <c r="N15" s="257">
        <f>KPI!I119</f>
        <v>40</v>
      </c>
      <c r="O15" s="257">
        <f>KPI!J119</f>
        <v>50</v>
      </c>
      <c r="P15" s="257">
        <f>KPI!K119</f>
        <v>60</v>
      </c>
      <c r="Q15" s="257">
        <f>KPI!L119</f>
        <v>70</v>
      </c>
      <c r="R15" s="257">
        <f>KPI!M119</f>
        <v>80</v>
      </c>
      <c r="S15" s="257">
        <f>KPI!N119</f>
        <v>90</v>
      </c>
      <c r="T15" s="90">
        <f>KPI!O119</f>
        <v>100</v>
      </c>
      <c r="U15" s="36"/>
      <c r="V15" s="36"/>
      <c r="W15" s="51"/>
      <c r="X15" s="52" t="str">
        <f ca="1">T.BANGKIR!X15</f>
        <v>b. Penyelesaian Temuan P2TL</v>
      </c>
      <c r="Y15" s="364" t="s">
        <v>276</v>
      </c>
      <c r="Z15" s="53" t="s">
        <v>149</v>
      </c>
      <c r="AA15" s="61" t="e">
        <f>#REF!</f>
        <v>#REF!</v>
      </c>
      <c r="AB15" s="53"/>
      <c r="AC15" s="142">
        <f t="shared" si="1"/>
        <v>114.065</v>
      </c>
      <c r="AD15" s="142">
        <f t="shared" si="2"/>
        <v>188.03649999999999</v>
      </c>
      <c r="AE15" s="142">
        <f>KPI!AH119</f>
        <v>0.99950000000000006</v>
      </c>
      <c r="AF15" s="142">
        <f>KPI!AI119</f>
        <v>1.63</v>
      </c>
      <c r="AG15" s="142">
        <f>KPI!AJ119</f>
        <v>20.366</v>
      </c>
      <c r="AH15" s="142">
        <f>KPI!AK119</f>
        <v>39.002499999999998</v>
      </c>
      <c r="AI15" s="142">
        <f>KPI!AL119</f>
        <v>56.213000000000001</v>
      </c>
      <c r="AJ15" s="142">
        <f>KPI!AM119</f>
        <v>114.065</v>
      </c>
      <c r="AK15" s="142">
        <f>KPI!AN119</f>
        <v>135.39250000000001</v>
      </c>
      <c r="AL15" s="142">
        <f>KPI!AO119</f>
        <v>155.3065</v>
      </c>
      <c r="AM15" s="142">
        <f>KPI!AP119</f>
        <v>174.14400000000001</v>
      </c>
      <c r="AN15" s="142">
        <f>KPI!AQ119</f>
        <v>188.03649999999999</v>
      </c>
      <c r="AO15" s="142">
        <f>KPI!AR119</f>
        <v>188.03649999999999</v>
      </c>
      <c r="AP15" s="95">
        <f>KPI!AS119</f>
        <v>188.03649999999999</v>
      </c>
      <c r="AR15"/>
      <c r="AS15" s="51"/>
      <c r="AT15" s="52" t="s">
        <v>392</v>
      </c>
      <c r="AU15" s="364" t="s">
        <v>276</v>
      </c>
      <c r="AV15" s="53" t="s">
        <v>149</v>
      </c>
      <c r="AW15" s="61" t="s">
        <v>408</v>
      </c>
      <c r="AX15" s="53"/>
      <c r="AY15" s="89">
        <f t="shared" si="3"/>
        <v>110</v>
      </c>
      <c r="AZ15" s="89">
        <f t="shared" si="4"/>
        <v>110</v>
      </c>
      <c r="BA15" s="111">
        <f>IF(AE15/I15*100&gt;110,110,AE15/I15*100)</f>
        <v>14.9925</v>
      </c>
      <c r="BB15" s="111">
        <f t="shared" ref="BB15:BL16" si="12">IF(AF15/J15*100&gt;110,110,AF15/J15*100)</f>
        <v>12.224999999999998</v>
      </c>
      <c r="BC15" s="111">
        <f t="shared" si="12"/>
        <v>101.83</v>
      </c>
      <c r="BD15" s="111">
        <f t="shared" si="12"/>
        <v>110</v>
      </c>
      <c r="BE15" s="111">
        <f t="shared" si="12"/>
        <v>110</v>
      </c>
      <c r="BF15" s="111">
        <f t="shared" si="12"/>
        <v>110</v>
      </c>
      <c r="BG15" s="111">
        <f t="shared" si="12"/>
        <v>110</v>
      </c>
      <c r="BH15" s="111">
        <f t="shared" si="12"/>
        <v>110</v>
      </c>
      <c r="BI15" s="111">
        <f t="shared" si="12"/>
        <v>110</v>
      </c>
      <c r="BJ15" s="111">
        <f t="shared" si="12"/>
        <v>110</v>
      </c>
      <c r="BK15" s="111">
        <f t="shared" si="12"/>
        <v>110</v>
      </c>
      <c r="BL15" s="111">
        <f t="shared" si="12"/>
        <v>110</v>
      </c>
      <c r="BM15"/>
      <c r="BN15"/>
      <c r="BO15" s="51"/>
      <c r="BP15" s="52" t="s">
        <v>392</v>
      </c>
      <c r="BQ15" s="364" t="s">
        <v>276</v>
      </c>
      <c r="BR15" s="53" t="s">
        <v>149</v>
      </c>
      <c r="BS15" s="61" t="s">
        <v>408</v>
      </c>
      <c r="BT15" s="53">
        <v>4</v>
      </c>
      <c r="BU15" s="89">
        <f t="shared" si="10"/>
        <v>4.4000000000000004</v>
      </c>
      <c r="BV15" s="89">
        <f t="shared" si="11"/>
        <v>4.4000000000000004</v>
      </c>
      <c r="BW15" s="111" cm="1">
        <f t="array" ref="BW15:CH15">BT15*BA15:BL15/100</f>
        <v>0.59970000000000001</v>
      </c>
      <c r="BX15" s="111">
        <v>0.48899999999999993</v>
      </c>
      <c r="BY15" s="111">
        <v>4.0731999999999999</v>
      </c>
      <c r="BZ15" s="111">
        <v>4.4000000000000004</v>
      </c>
      <c r="CA15" s="111">
        <v>4.4000000000000004</v>
      </c>
      <c r="CB15" s="111">
        <v>4.4000000000000004</v>
      </c>
      <c r="CC15" s="111">
        <v>4.4000000000000004</v>
      </c>
      <c r="CD15" s="111">
        <v>4.4000000000000004</v>
      </c>
      <c r="CE15" s="111">
        <v>4.4000000000000004</v>
      </c>
      <c r="CF15" s="111">
        <v>4.4000000000000004</v>
      </c>
      <c r="CG15" s="111">
        <v>4.4000000000000004</v>
      </c>
      <c r="CH15" s="111">
        <v>4.4000000000000004</v>
      </c>
    </row>
    <row r="16" spans="1:86" ht="15.6" customHeight="1">
      <c r="A16" s="519"/>
      <c r="B16" s="52" t="s">
        <v>393</v>
      </c>
      <c r="C16" s="301" t="s">
        <v>276</v>
      </c>
      <c r="D16" s="273" t="s">
        <v>72</v>
      </c>
      <c r="E16" s="53" t="s">
        <v>409</v>
      </c>
      <c r="F16" s="61"/>
      <c r="G16" s="257">
        <f>N16</f>
        <v>266</v>
      </c>
      <c r="H16" s="257">
        <f>T16</f>
        <v>793</v>
      </c>
      <c r="I16" s="257">
        <f>KPI!D132</f>
        <v>45</v>
      </c>
      <c r="J16" s="257">
        <f>KPI!E132</f>
        <v>90</v>
      </c>
      <c r="K16" s="257">
        <f>KPI!F132</f>
        <v>134</v>
      </c>
      <c r="L16" s="257">
        <f>KPI!G132</f>
        <v>178</v>
      </c>
      <c r="M16" s="257">
        <f>KPI!H132</f>
        <v>222</v>
      </c>
      <c r="N16" s="257">
        <f>KPI!I132</f>
        <v>266</v>
      </c>
      <c r="O16" s="257">
        <f>KPI!J132</f>
        <v>398</v>
      </c>
      <c r="P16" s="257">
        <f>KPI!K132</f>
        <v>530</v>
      </c>
      <c r="Q16" s="257">
        <f>KPI!L132</f>
        <v>662</v>
      </c>
      <c r="R16" s="257">
        <f>KPI!M132</f>
        <v>793</v>
      </c>
      <c r="S16" s="257">
        <f>KPI!N132</f>
        <v>793</v>
      </c>
      <c r="T16" s="90">
        <f>KPI!O132</f>
        <v>793</v>
      </c>
      <c r="U16" s="36"/>
      <c r="V16" s="36"/>
      <c r="W16" s="51"/>
      <c r="X16" s="52" t="str">
        <f ca="1">T.BANGKIR!X16</f>
        <v>c. Penyelesaian Ganti Meter</v>
      </c>
      <c r="Y16" s="364" t="s">
        <v>276</v>
      </c>
      <c r="Z16" s="53" t="s">
        <v>72</v>
      </c>
      <c r="AA16" s="61" t="e">
        <f>#REF!</f>
        <v>#REF!</v>
      </c>
      <c r="AB16" s="53"/>
      <c r="AC16" s="142">
        <f t="shared" si="1"/>
        <v>641</v>
      </c>
      <c r="AD16" s="142">
        <f t="shared" si="2"/>
        <v>794</v>
      </c>
      <c r="AE16" s="142">
        <f>KPI!AH132</f>
        <v>9</v>
      </c>
      <c r="AF16" s="142">
        <f>KPI!AI132</f>
        <v>9</v>
      </c>
      <c r="AG16" s="142">
        <f>KPI!AJ132</f>
        <v>303</v>
      </c>
      <c r="AH16" s="142">
        <f>KPI!AK132</f>
        <v>510</v>
      </c>
      <c r="AI16" s="142">
        <f>KPI!AL132</f>
        <v>611</v>
      </c>
      <c r="AJ16" s="142">
        <f>KPI!AM132</f>
        <v>641</v>
      </c>
      <c r="AK16" s="142">
        <f>KPI!AN132</f>
        <v>695</v>
      </c>
      <c r="AL16" s="142">
        <f>KPI!AO132</f>
        <v>711</v>
      </c>
      <c r="AM16" s="142">
        <f>KPI!AP132</f>
        <v>794</v>
      </c>
      <c r="AN16" s="142">
        <f>KPI!AQ132</f>
        <v>794</v>
      </c>
      <c r="AO16" s="142">
        <f>KPI!AR132</f>
        <v>794</v>
      </c>
      <c r="AP16" s="95">
        <f>KPI!AS132</f>
        <v>794</v>
      </c>
      <c r="AR16"/>
      <c r="AS16" s="51"/>
      <c r="AT16" s="52" t="s">
        <v>393</v>
      </c>
      <c r="AU16" s="364" t="s">
        <v>276</v>
      </c>
      <c r="AV16" s="53" t="s">
        <v>72</v>
      </c>
      <c r="AW16" s="61" t="s">
        <v>409</v>
      </c>
      <c r="AX16" s="53">
        <v>0</v>
      </c>
      <c r="AY16" s="89">
        <f t="shared" si="3"/>
        <v>110</v>
      </c>
      <c r="AZ16" s="89">
        <f t="shared" si="4"/>
        <v>100.12610340479193</v>
      </c>
      <c r="BA16" s="111">
        <f>IF(AE16/I16*100&gt;110,110,AE16/I16*100)</f>
        <v>20</v>
      </c>
      <c r="BB16" s="111">
        <f t="shared" si="12"/>
        <v>10</v>
      </c>
      <c r="BC16" s="111">
        <f t="shared" si="12"/>
        <v>110</v>
      </c>
      <c r="BD16" s="111">
        <f t="shared" si="12"/>
        <v>110</v>
      </c>
      <c r="BE16" s="111">
        <f t="shared" si="12"/>
        <v>110</v>
      </c>
      <c r="BF16" s="111">
        <f t="shared" si="12"/>
        <v>110</v>
      </c>
      <c r="BG16" s="111">
        <f t="shared" si="12"/>
        <v>110</v>
      </c>
      <c r="BH16" s="111">
        <f t="shared" si="12"/>
        <v>110</v>
      </c>
      <c r="BI16" s="111">
        <f t="shared" si="12"/>
        <v>110</v>
      </c>
      <c r="BJ16" s="111">
        <f t="shared" si="12"/>
        <v>100.12610340479193</v>
      </c>
      <c r="BK16" s="111">
        <f t="shared" si="12"/>
        <v>100.12610340479193</v>
      </c>
      <c r="BL16" s="111">
        <f t="shared" si="12"/>
        <v>100.12610340479193</v>
      </c>
      <c r="BM16"/>
      <c r="BN16"/>
      <c r="BO16" s="51"/>
      <c r="BP16" s="52" t="s">
        <v>393</v>
      </c>
      <c r="BQ16" s="364" t="s">
        <v>276</v>
      </c>
      <c r="BR16" s="53" t="s">
        <v>72</v>
      </c>
      <c r="BS16" s="61" t="s">
        <v>409</v>
      </c>
      <c r="BT16" s="53">
        <v>4</v>
      </c>
      <c r="BU16" s="89">
        <f t="shared" si="10"/>
        <v>4.4000000000000004</v>
      </c>
      <c r="BV16" s="89">
        <f t="shared" si="11"/>
        <v>4.0050441361916773</v>
      </c>
      <c r="BW16" s="111" cm="1">
        <f t="array" ref="BW16:CH16">BT16*BA16:BL16/100</f>
        <v>0.8</v>
      </c>
      <c r="BX16" s="111">
        <v>0.4</v>
      </c>
      <c r="BY16" s="111">
        <v>4.4000000000000004</v>
      </c>
      <c r="BZ16" s="111">
        <v>4.4000000000000004</v>
      </c>
      <c r="CA16" s="111">
        <v>4.4000000000000004</v>
      </c>
      <c r="CB16" s="111">
        <v>4.4000000000000004</v>
      </c>
      <c r="CC16" s="111">
        <v>4.4000000000000004</v>
      </c>
      <c r="CD16" s="111">
        <v>4.4000000000000004</v>
      </c>
      <c r="CE16" s="111">
        <v>4.4000000000000004</v>
      </c>
      <c r="CF16" s="111">
        <v>4.0050441361916773</v>
      </c>
      <c r="CG16" s="111">
        <v>4.0050441361916773</v>
      </c>
      <c r="CH16" s="111">
        <v>4.0050441361916773</v>
      </c>
    </row>
    <row r="17" spans="1:86" s="35" customFormat="1" ht="15.6" customHeight="1">
      <c r="A17" s="521" t="s">
        <v>283</v>
      </c>
      <c r="B17" s="538" t="s">
        <v>284</v>
      </c>
      <c r="C17" s="543"/>
      <c r="D17" s="129"/>
      <c r="E17" s="522"/>
      <c r="F17" s="139">
        <f>SUM(F18:F54)</f>
        <v>60</v>
      </c>
      <c r="G17" s="139"/>
      <c r="H17" s="139"/>
      <c r="I17" s="139"/>
      <c r="J17" s="139"/>
      <c r="K17" s="139"/>
      <c r="L17" s="139"/>
      <c r="M17" s="139"/>
      <c r="N17" s="139"/>
      <c r="O17" s="139"/>
      <c r="P17" s="139"/>
      <c r="Q17" s="139"/>
      <c r="R17" s="139"/>
      <c r="S17" s="139"/>
      <c r="T17" s="168"/>
      <c r="U17" s="34"/>
      <c r="V17" s="34"/>
      <c r="W17" s="47" t="str">
        <f ca="1">T.BANGKIR!W17</f>
        <v>II</v>
      </c>
      <c r="X17" s="269" t="str">
        <f ca="1">T.BANGKIR!X17</f>
        <v>Perfomance Indicators</v>
      </c>
      <c r="Y17" s="365"/>
      <c r="Z17" s="50"/>
      <c r="AA17" s="48"/>
      <c r="AB17" s="139">
        <v>60</v>
      </c>
      <c r="AC17" s="533"/>
      <c r="AD17" s="533"/>
      <c r="AE17" s="533"/>
      <c r="AF17" s="533"/>
      <c r="AG17" s="533"/>
      <c r="AH17" s="533"/>
      <c r="AI17" s="163"/>
      <c r="AJ17" s="533"/>
      <c r="AK17" s="533"/>
      <c r="AL17" s="533"/>
      <c r="AM17" s="533"/>
      <c r="AN17" s="163"/>
      <c r="AO17" s="533"/>
      <c r="AP17" s="163"/>
      <c r="AR17"/>
      <c r="AS17" s="47" t="s">
        <v>283</v>
      </c>
      <c r="AT17" s="48" t="s">
        <v>284</v>
      </c>
      <c r="AU17" s="363"/>
      <c r="AV17" s="50"/>
      <c r="AW17" s="48"/>
      <c r="AX17" s="139">
        <v>60</v>
      </c>
      <c r="AY17" s="139"/>
      <c r="AZ17" s="139"/>
      <c r="BA17" s="168"/>
      <c r="BB17" s="168"/>
      <c r="BC17" s="168"/>
      <c r="BD17" s="168"/>
      <c r="BE17" s="168"/>
      <c r="BF17" s="168"/>
      <c r="BG17" s="168"/>
      <c r="BH17" s="168"/>
      <c r="BI17" s="168"/>
      <c r="BJ17" s="168"/>
      <c r="BK17" s="168"/>
      <c r="BL17" s="168"/>
      <c r="BM17"/>
      <c r="BN17"/>
      <c r="BO17" s="47" t="s">
        <v>283</v>
      </c>
      <c r="BP17" s="48" t="s">
        <v>284</v>
      </c>
      <c r="BQ17" s="363"/>
      <c r="BR17" s="50"/>
      <c r="BS17" s="48"/>
      <c r="BT17" s="139">
        <v>60</v>
      </c>
      <c r="BU17" s="139"/>
      <c r="BV17" s="139"/>
      <c r="BW17" s="168"/>
      <c r="BX17" s="168"/>
      <c r="BY17" s="168"/>
      <c r="BZ17" s="168"/>
      <c r="CA17" s="168"/>
      <c r="CB17" s="168"/>
      <c r="CC17" s="168"/>
      <c r="CD17" s="168"/>
      <c r="CE17" s="168"/>
      <c r="CF17" s="168"/>
      <c r="CG17" s="168"/>
      <c r="CH17" s="168"/>
    </row>
    <row r="18" spans="1:86" ht="15.6" customHeight="1">
      <c r="A18" s="517">
        <v>4</v>
      </c>
      <c r="B18" s="267" t="s">
        <v>285</v>
      </c>
      <c r="C18" s="301"/>
      <c r="D18" s="273"/>
      <c r="E18" s="523"/>
      <c r="F18" s="61">
        <v>9</v>
      </c>
      <c r="G18" s="257"/>
      <c r="H18" s="257"/>
      <c r="I18" s="257"/>
      <c r="J18" s="257"/>
      <c r="K18" s="257"/>
      <c r="L18" s="257"/>
      <c r="M18" s="257"/>
      <c r="N18" s="257"/>
      <c r="O18" s="257"/>
      <c r="P18" s="257"/>
      <c r="Q18" s="257"/>
      <c r="R18" s="257"/>
      <c r="S18" s="257"/>
      <c r="T18" s="90"/>
      <c r="U18" s="36"/>
      <c r="V18" s="36"/>
      <c r="W18" s="51">
        <f ca="1">T.BANGKIR!W18</f>
        <v>4</v>
      </c>
      <c r="X18" s="267" t="str">
        <f ca="1">T.BANGKIR!X18</f>
        <v>Keandalan Jaringan Distribusi</v>
      </c>
      <c r="Y18" s="364"/>
      <c r="Z18" s="53"/>
      <c r="AA18" s="61"/>
      <c r="AB18" s="53">
        <v>9</v>
      </c>
      <c r="AC18" s="142"/>
      <c r="AD18" s="142"/>
      <c r="AE18" s="142"/>
      <c r="AF18" s="142"/>
      <c r="AG18" s="142"/>
      <c r="AH18" s="142"/>
      <c r="AI18" s="95"/>
      <c r="AJ18" s="142"/>
      <c r="AK18" s="142"/>
      <c r="AL18" s="142"/>
      <c r="AM18" s="142"/>
      <c r="AN18" s="95"/>
      <c r="AO18" s="142"/>
      <c r="AP18" s="95"/>
      <c r="AR18"/>
      <c r="AS18" s="51">
        <v>4</v>
      </c>
      <c r="AT18" s="267" t="s">
        <v>285</v>
      </c>
      <c r="AU18" s="364"/>
      <c r="AV18" s="53"/>
      <c r="AW18" s="61"/>
      <c r="AX18" s="53">
        <v>9</v>
      </c>
      <c r="AY18" s="89"/>
      <c r="AZ18" s="89"/>
      <c r="BA18" s="95"/>
      <c r="BB18" s="95"/>
      <c r="BC18" s="95"/>
      <c r="BD18" s="95"/>
      <c r="BE18" s="95"/>
      <c r="BF18" s="95"/>
      <c r="BG18" s="95"/>
      <c r="BH18" s="95"/>
      <c r="BI18" s="95"/>
      <c r="BJ18" s="95"/>
      <c r="BK18" s="95"/>
      <c r="BL18" s="95"/>
      <c r="BM18"/>
      <c r="BN18"/>
      <c r="BO18" s="51">
        <v>4</v>
      </c>
      <c r="BP18" s="267" t="s">
        <v>285</v>
      </c>
      <c r="BQ18" s="364"/>
      <c r="BR18" s="53"/>
      <c r="BS18" s="61"/>
      <c r="BT18" s="513">
        <v>9</v>
      </c>
      <c r="BU18" s="89"/>
      <c r="BV18" s="89"/>
      <c r="BW18" s="95"/>
      <c r="BX18" s="95"/>
      <c r="BY18" s="95"/>
      <c r="BZ18" s="95"/>
      <c r="CA18" s="95"/>
      <c r="CB18" s="95"/>
      <c r="CC18" s="95"/>
      <c r="CD18" s="95"/>
      <c r="CE18" s="95"/>
      <c r="CF18" s="95"/>
      <c r="CG18" s="95"/>
      <c r="CH18" s="95"/>
    </row>
    <row r="19" spans="1:86" ht="15.6" customHeight="1">
      <c r="A19" s="519"/>
      <c r="B19" s="52" t="s">
        <v>287</v>
      </c>
      <c r="C19" s="301" t="s">
        <v>278</v>
      </c>
      <c r="D19" s="273" t="s">
        <v>136</v>
      </c>
      <c r="E19" s="523" t="s">
        <v>410</v>
      </c>
      <c r="F19" s="61"/>
      <c r="G19" s="257">
        <f>N19</f>
        <v>19</v>
      </c>
      <c r="H19" s="257">
        <f>T19</f>
        <v>36</v>
      </c>
      <c r="I19" s="257">
        <f>PI!D14</f>
        <v>3</v>
      </c>
      <c r="J19" s="257">
        <f>PI!E14</f>
        <v>6</v>
      </c>
      <c r="K19" s="257">
        <f>PI!F14</f>
        <v>10</v>
      </c>
      <c r="L19" s="257">
        <f>PI!G14</f>
        <v>13</v>
      </c>
      <c r="M19" s="257">
        <f>PI!H14</f>
        <v>16.000000000000004</v>
      </c>
      <c r="N19" s="257">
        <f>PI!I14</f>
        <v>19</v>
      </c>
      <c r="O19" s="257">
        <f>PI!J14</f>
        <v>22</v>
      </c>
      <c r="P19" s="257">
        <f>PI!K14</f>
        <v>26</v>
      </c>
      <c r="Q19" s="257">
        <f>PI!L14</f>
        <v>29</v>
      </c>
      <c r="R19" s="257">
        <f>PI!M14</f>
        <v>32</v>
      </c>
      <c r="S19" s="257">
        <f>PI!N14</f>
        <v>35</v>
      </c>
      <c r="T19" s="90">
        <f>PI!O14</f>
        <v>36</v>
      </c>
      <c r="U19" s="36"/>
      <c r="V19" s="36"/>
      <c r="W19" s="51"/>
      <c r="X19" s="52" t="str">
        <f ca="1">T.BANGKIR!X19</f>
        <v>a. Gangguan TM &gt; 5 Menit</v>
      </c>
      <c r="Y19" s="364" t="s">
        <v>278</v>
      </c>
      <c r="Z19" s="53" t="s">
        <v>136</v>
      </c>
      <c r="AA19" s="61" t="e">
        <f>#REF!</f>
        <v>#REF!</v>
      </c>
      <c r="AB19" s="53"/>
      <c r="AC19" s="142">
        <f t="shared" si="1"/>
        <v>13</v>
      </c>
      <c r="AD19" s="142">
        <f t="shared" si="2"/>
        <v>21</v>
      </c>
      <c r="AE19" s="142">
        <f>PI!AH14</f>
        <v>0</v>
      </c>
      <c r="AF19" s="142">
        <f>PI!AI14</f>
        <v>0</v>
      </c>
      <c r="AG19" s="142">
        <f>PI!AJ14</f>
        <v>8</v>
      </c>
      <c r="AH19" s="142">
        <f>PI!AK14</f>
        <v>9</v>
      </c>
      <c r="AI19" s="142">
        <f>PI!AL14</f>
        <v>11</v>
      </c>
      <c r="AJ19" s="142">
        <f>PI!AM14</f>
        <v>13</v>
      </c>
      <c r="AK19" s="142">
        <f>PI!AN14</f>
        <v>16</v>
      </c>
      <c r="AL19" s="142">
        <f>PI!AO14</f>
        <v>16</v>
      </c>
      <c r="AM19" s="142">
        <f>PI!AP14</f>
        <v>18</v>
      </c>
      <c r="AN19" s="142">
        <f>PI!AQ14</f>
        <v>21</v>
      </c>
      <c r="AO19" s="142">
        <f>PI!AR14</f>
        <v>21</v>
      </c>
      <c r="AP19" s="95">
        <f>PI!AS14</f>
        <v>21</v>
      </c>
      <c r="AR19"/>
      <c r="AS19" s="51"/>
      <c r="AT19" s="52" t="s">
        <v>287</v>
      </c>
      <c r="AU19" s="364" t="s">
        <v>278</v>
      </c>
      <c r="AV19" s="53" t="s">
        <v>136</v>
      </c>
      <c r="AW19" s="61" t="s">
        <v>410</v>
      </c>
      <c r="AX19" s="53"/>
      <c r="AY19" s="89">
        <f t="shared" si="3"/>
        <v>110</v>
      </c>
      <c r="AZ19" s="89">
        <f t="shared" si="4"/>
        <v>110</v>
      </c>
      <c r="BA19" s="95">
        <f>IF(((I19-(AE19-I19))/I19)*100&gt;110,110,((I19-(AE19-I19))/I19)*100)</f>
        <v>110</v>
      </c>
      <c r="BB19" s="95">
        <f t="shared" ref="BB19:BL19" si="13">IF(((J19-(AF19-J19))/J19)*100&gt;110,110,((J19-(AF19-J19))/J19)*100)</f>
        <v>110</v>
      </c>
      <c r="BC19" s="95">
        <f t="shared" si="13"/>
        <v>110</v>
      </c>
      <c r="BD19" s="95">
        <f t="shared" si="13"/>
        <v>110</v>
      </c>
      <c r="BE19" s="95">
        <f t="shared" si="13"/>
        <v>110</v>
      </c>
      <c r="BF19" s="95">
        <f t="shared" si="13"/>
        <v>110</v>
      </c>
      <c r="BG19" s="95">
        <f t="shared" si="13"/>
        <v>110</v>
      </c>
      <c r="BH19" s="95">
        <f t="shared" si="13"/>
        <v>110</v>
      </c>
      <c r="BI19" s="95">
        <f t="shared" si="13"/>
        <v>110</v>
      </c>
      <c r="BJ19" s="95">
        <f t="shared" si="13"/>
        <v>110</v>
      </c>
      <c r="BK19" s="95">
        <f t="shared" si="13"/>
        <v>110</v>
      </c>
      <c r="BL19" s="95">
        <f t="shared" si="13"/>
        <v>110</v>
      </c>
      <c r="BM19"/>
      <c r="BN19"/>
      <c r="BO19" s="51"/>
      <c r="BP19" s="52" t="s">
        <v>287</v>
      </c>
      <c r="BQ19" s="364" t="s">
        <v>278</v>
      </c>
      <c r="BR19" s="53" t="s">
        <v>136</v>
      </c>
      <c r="BS19" s="61" t="s">
        <v>410</v>
      </c>
      <c r="BT19" s="53">
        <v>3</v>
      </c>
      <c r="BU19" s="89">
        <f t="shared" ref="BU19:BU21" si="14">CB19</f>
        <v>3.3</v>
      </c>
      <c r="BV19" s="89">
        <f t="shared" ref="BV19:BV21" si="15">CH19</f>
        <v>3.3</v>
      </c>
      <c r="BW19" s="111" cm="1">
        <f t="array" ref="BW19:CH19">BT19*BA19:BL19/100</f>
        <v>3.3</v>
      </c>
      <c r="BX19" s="95">
        <v>3.3</v>
      </c>
      <c r="BY19" s="95">
        <v>3.3</v>
      </c>
      <c r="BZ19" s="95">
        <v>3.3</v>
      </c>
      <c r="CA19" s="95">
        <v>3.3</v>
      </c>
      <c r="CB19" s="95">
        <v>3.3</v>
      </c>
      <c r="CC19" s="95">
        <v>3.3</v>
      </c>
      <c r="CD19" s="95">
        <v>3.3</v>
      </c>
      <c r="CE19" s="95">
        <v>3.3</v>
      </c>
      <c r="CF19" s="95">
        <v>3.3</v>
      </c>
      <c r="CG19" s="95">
        <v>3.3</v>
      </c>
      <c r="CH19" s="95">
        <v>3.3</v>
      </c>
    </row>
    <row r="20" spans="1:86" ht="15.6" customHeight="1">
      <c r="A20" s="519"/>
      <c r="B20" s="52" t="s">
        <v>289</v>
      </c>
      <c r="C20" s="301" t="s">
        <v>278</v>
      </c>
      <c r="D20" s="273" t="s">
        <v>136</v>
      </c>
      <c r="E20" s="523" t="s">
        <v>411</v>
      </c>
      <c r="F20" s="61"/>
      <c r="G20" s="257">
        <f>N20</f>
        <v>11</v>
      </c>
      <c r="H20" s="257">
        <f>T20</f>
        <v>21</v>
      </c>
      <c r="I20" s="257">
        <f>PI!D15</f>
        <v>2</v>
      </c>
      <c r="J20" s="257">
        <f>PI!E15</f>
        <v>4</v>
      </c>
      <c r="K20" s="257">
        <f>PI!F15</f>
        <v>5</v>
      </c>
      <c r="L20" s="257">
        <f>PI!G15</f>
        <v>7</v>
      </c>
      <c r="M20" s="257">
        <f>PI!H15</f>
        <v>9</v>
      </c>
      <c r="N20" s="257">
        <f>PI!I15</f>
        <v>11</v>
      </c>
      <c r="O20" s="257">
        <f>PI!J15</f>
        <v>13</v>
      </c>
      <c r="P20" s="257">
        <f>PI!K15</f>
        <v>14</v>
      </c>
      <c r="Q20" s="257">
        <f>PI!L15</f>
        <v>16</v>
      </c>
      <c r="R20" s="257">
        <f>PI!M15</f>
        <v>18</v>
      </c>
      <c r="S20" s="257">
        <f>PI!N15</f>
        <v>20</v>
      </c>
      <c r="T20" s="90">
        <f>PI!O15</f>
        <v>21</v>
      </c>
      <c r="U20" s="36"/>
      <c r="V20" s="36"/>
      <c r="W20" s="51"/>
      <c r="X20" s="52" t="str">
        <f ca="1">T.BANGKIR!X20</f>
        <v>b. Gangguan TM ≤ 5 Menit</v>
      </c>
      <c r="Y20" s="364" t="s">
        <v>278</v>
      </c>
      <c r="Z20" s="53" t="s">
        <v>136</v>
      </c>
      <c r="AA20" s="61" t="e">
        <f>#REF!</f>
        <v>#REF!</v>
      </c>
      <c r="AB20" s="53"/>
      <c r="AC20" s="142">
        <f t="shared" si="1"/>
        <v>9</v>
      </c>
      <c r="AD20" s="142">
        <f t="shared" si="2"/>
        <v>15</v>
      </c>
      <c r="AE20" s="142">
        <f>PI!AH15</f>
        <v>0</v>
      </c>
      <c r="AF20" s="142">
        <f>PI!AI15</f>
        <v>4</v>
      </c>
      <c r="AG20" s="142">
        <f>PI!AJ15</f>
        <v>4</v>
      </c>
      <c r="AH20" s="142">
        <f>PI!AK15</f>
        <v>4</v>
      </c>
      <c r="AI20" s="142">
        <f>PI!AL15</f>
        <v>7</v>
      </c>
      <c r="AJ20" s="142">
        <f>PI!AM15</f>
        <v>9</v>
      </c>
      <c r="AK20" s="142">
        <f>PI!AN15</f>
        <v>11</v>
      </c>
      <c r="AL20" s="142">
        <f>PI!AO15</f>
        <v>11</v>
      </c>
      <c r="AM20" s="142">
        <f>PI!AP15</f>
        <v>12</v>
      </c>
      <c r="AN20" s="142">
        <f>PI!AQ15</f>
        <v>15</v>
      </c>
      <c r="AO20" s="142">
        <f>PI!AR15</f>
        <v>15</v>
      </c>
      <c r="AP20" s="95">
        <f>PI!AS15</f>
        <v>15</v>
      </c>
      <c r="AR20"/>
      <c r="AS20" s="51"/>
      <c r="AT20" s="52" t="s">
        <v>289</v>
      </c>
      <c r="AU20" s="364" t="s">
        <v>278</v>
      </c>
      <c r="AV20" s="53" t="s">
        <v>136</v>
      </c>
      <c r="AW20" s="61" t="s">
        <v>411</v>
      </c>
      <c r="AX20" s="53"/>
      <c r="AY20" s="89">
        <f t="shared" si="3"/>
        <v>110</v>
      </c>
      <c r="AZ20" s="89">
        <f t="shared" si="4"/>
        <v>110</v>
      </c>
      <c r="BA20" s="95">
        <f>IF((2-(AE20/I20))*100&gt;110,110,(2-(AE20/I20))*100)</f>
        <v>110</v>
      </c>
      <c r="BB20" s="95">
        <f t="shared" ref="BB20:BL20" si="16">IF((2-(AF20/J20))*100&gt;110,110,(2-(AF20/J20))*100)</f>
        <v>100</v>
      </c>
      <c r="BC20" s="95">
        <f t="shared" si="16"/>
        <v>110</v>
      </c>
      <c r="BD20" s="95">
        <f t="shared" si="16"/>
        <v>110</v>
      </c>
      <c r="BE20" s="95">
        <f t="shared" si="16"/>
        <v>110</v>
      </c>
      <c r="BF20" s="95">
        <f t="shared" si="16"/>
        <v>110</v>
      </c>
      <c r="BG20" s="95">
        <f t="shared" si="16"/>
        <v>110</v>
      </c>
      <c r="BH20" s="95">
        <f t="shared" si="16"/>
        <v>110</v>
      </c>
      <c r="BI20" s="95">
        <f t="shared" si="16"/>
        <v>110</v>
      </c>
      <c r="BJ20" s="95">
        <f t="shared" si="16"/>
        <v>110</v>
      </c>
      <c r="BK20" s="95">
        <f t="shared" si="16"/>
        <v>110</v>
      </c>
      <c r="BL20" s="95">
        <f t="shared" si="16"/>
        <v>110</v>
      </c>
      <c r="BM20"/>
      <c r="BN20"/>
      <c r="BO20" s="51"/>
      <c r="BP20" s="52" t="s">
        <v>289</v>
      </c>
      <c r="BQ20" s="364" t="s">
        <v>278</v>
      </c>
      <c r="BR20" s="53" t="s">
        <v>136</v>
      </c>
      <c r="BS20" s="61" t="s">
        <v>411</v>
      </c>
      <c r="BT20" s="53">
        <v>3</v>
      </c>
      <c r="BU20" s="89">
        <f t="shared" si="14"/>
        <v>3.3</v>
      </c>
      <c r="BV20" s="89">
        <f t="shared" si="15"/>
        <v>3.3</v>
      </c>
      <c r="BW20" s="111" cm="1">
        <f t="array" ref="BW20:CH20">BT20*BA20:BL20/100</f>
        <v>3.3</v>
      </c>
      <c r="BX20" s="95">
        <v>3</v>
      </c>
      <c r="BY20" s="95">
        <v>3.3</v>
      </c>
      <c r="BZ20" s="95">
        <v>3.3</v>
      </c>
      <c r="CA20" s="95">
        <v>3.3</v>
      </c>
      <c r="CB20" s="95">
        <v>3.3</v>
      </c>
      <c r="CC20" s="95">
        <v>3.3</v>
      </c>
      <c r="CD20" s="95">
        <v>3.3</v>
      </c>
      <c r="CE20" s="95">
        <v>3.3</v>
      </c>
      <c r="CF20" s="95">
        <v>3.3</v>
      </c>
      <c r="CG20" s="95">
        <v>3.3</v>
      </c>
      <c r="CH20" s="95">
        <v>3.3</v>
      </c>
    </row>
    <row r="21" spans="1:86" ht="15.6" customHeight="1">
      <c r="A21" s="519"/>
      <c r="B21" s="52" t="s">
        <v>291</v>
      </c>
      <c r="C21" s="327" t="s">
        <v>278</v>
      </c>
      <c r="D21" s="273" t="s">
        <v>72</v>
      </c>
      <c r="E21" s="523" t="s">
        <v>412</v>
      </c>
      <c r="F21" s="61"/>
      <c r="G21" s="257">
        <f>N21</f>
        <v>1</v>
      </c>
      <c r="H21" s="257">
        <f>T21</f>
        <v>1</v>
      </c>
      <c r="I21" s="257">
        <f>PI!D39</f>
        <v>0</v>
      </c>
      <c r="J21" s="257">
        <f>PI!E39</f>
        <v>0</v>
      </c>
      <c r="K21" s="257">
        <f>PI!F39</f>
        <v>1</v>
      </c>
      <c r="L21" s="257">
        <f>PI!G39</f>
        <v>1</v>
      </c>
      <c r="M21" s="257">
        <f>PI!H39</f>
        <v>1</v>
      </c>
      <c r="N21" s="257">
        <f>PI!I39</f>
        <v>1</v>
      </c>
      <c r="O21" s="257">
        <f>PI!J39</f>
        <v>1</v>
      </c>
      <c r="P21" s="257">
        <f>PI!K39</f>
        <v>1</v>
      </c>
      <c r="Q21" s="257">
        <f>PI!L39</f>
        <v>1</v>
      </c>
      <c r="R21" s="257">
        <f>PI!M39</f>
        <v>1</v>
      </c>
      <c r="S21" s="257">
        <f>PI!N39</f>
        <v>1</v>
      </c>
      <c r="T21" s="90">
        <f>PI!O39</f>
        <v>1</v>
      </c>
      <c r="U21" s="36"/>
      <c r="V21" s="36"/>
      <c r="W21" s="51"/>
      <c r="X21" s="52" t="str">
        <f ca="1">T.BANGKIR!X21</f>
        <v>c. Kerusakan Peralatan Distribusi (PHB TM dan Trafo) Sesuai Kewenangan</v>
      </c>
      <c r="Y21" s="364" t="s">
        <v>278</v>
      </c>
      <c r="Z21" s="53" t="s">
        <v>72</v>
      </c>
      <c r="AA21" s="61" t="e">
        <f>#REF!</f>
        <v>#REF!</v>
      </c>
      <c r="AB21" s="53"/>
      <c r="AC21" s="142">
        <f t="shared" si="1"/>
        <v>0</v>
      </c>
      <c r="AD21" s="142">
        <f t="shared" si="2"/>
        <v>0</v>
      </c>
      <c r="AE21" s="142">
        <f>PI!AH39</f>
        <v>0</v>
      </c>
      <c r="AF21" s="142">
        <f>PI!AI39</f>
        <v>0</v>
      </c>
      <c r="AG21" s="142">
        <f>PI!AJ39</f>
        <v>0</v>
      </c>
      <c r="AH21" s="142">
        <f>PI!AK39</f>
        <v>0</v>
      </c>
      <c r="AI21" s="142">
        <f>PI!AL39</f>
        <v>0</v>
      </c>
      <c r="AJ21" s="142">
        <f>PI!AM39</f>
        <v>0</v>
      </c>
      <c r="AK21" s="142">
        <f>PI!AN39</f>
        <v>0</v>
      </c>
      <c r="AL21" s="142">
        <f>PI!AO39</f>
        <v>0</v>
      </c>
      <c r="AM21" s="142">
        <f>PI!AP39</f>
        <v>0</v>
      </c>
      <c r="AN21" s="142">
        <f>PI!AQ39</f>
        <v>0</v>
      </c>
      <c r="AO21" s="142">
        <f>PI!AR39</f>
        <v>0</v>
      </c>
      <c r="AP21" s="95">
        <f>PI!AS39</f>
        <v>0</v>
      </c>
      <c r="AR21"/>
      <c r="AS21" s="51"/>
      <c r="AT21" s="52" t="s">
        <v>291</v>
      </c>
      <c r="AU21" s="364" t="s">
        <v>278</v>
      </c>
      <c r="AV21" s="53" t="s">
        <v>72</v>
      </c>
      <c r="AW21" s="61" t="s">
        <v>412</v>
      </c>
      <c r="AX21" s="53"/>
      <c r="AY21" s="89">
        <f t="shared" si="3"/>
        <v>110</v>
      </c>
      <c r="AZ21" s="89">
        <f t="shared" si="4"/>
        <v>110</v>
      </c>
      <c r="BA21" s="95">
        <f>IFERROR(IF((2-(AE21/I21))*100&gt;110,110,(2-(AE21/I21))*100),100)</f>
        <v>100</v>
      </c>
      <c r="BB21" s="95">
        <f t="shared" ref="BB21:BL21" si="17">IFERROR(IF((2-(AF21/J21))*100&gt;110,110,(2-(AF21/J21))*100),100)</f>
        <v>100</v>
      </c>
      <c r="BC21" s="95">
        <f t="shared" si="17"/>
        <v>110</v>
      </c>
      <c r="BD21" s="95">
        <f t="shared" si="17"/>
        <v>110</v>
      </c>
      <c r="BE21" s="95">
        <f t="shared" si="17"/>
        <v>110</v>
      </c>
      <c r="BF21" s="95">
        <f t="shared" si="17"/>
        <v>110</v>
      </c>
      <c r="BG21" s="95">
        <f t="shared" si="17"/>
        <v>110</v>
      </c>
      <c r="BH21" s="95">
        <f t="shared" si="17"/>
        <v>110</v>
      </c>
      <c r="BI21" s="95">
        <f t="shared" si="17"/>
        <v>110</v>
      </c>
      <c r="BJ21" s="95">
        <f t="shared" si="17"/>
        <v>110</v>
      </c>
      <c r="BK21" s="95">
        <f t="shared" si="17"/>
        <v>110</v>
      </c>
      <c r="BL21" s="95">
        <f t="shared" si="17"/>
        <v>110</v>
      </c>
      <c r="BM21"/>
      <c r="BN21"/>
      <c r="BO21" s="51"/>
      <c r="BP21" s="52" t="s">
        <v>291</v>
      </c>
      <c r="BQ21" s="364" t="s">
        <v>278</v>
      </c>
      <c r="BR21" s="53" t="s">
        <v>72</v>
      </c>
      <c r="BS21" s="61" t="s">
        <v>412</v>
      </c>
      <c r="BT21" s="53">
        <v>3</v>
      </c>
      <c r="BU21" s="89">
        <f t="shared" si="14"/>
        <v>3.3</v>
      </c>
      <c r="BV21" s="89">
        <f t="shared" si="15"/>
        <v>3.3</v>
      </c>
      <c r="BW21" s="111" cm="1">
        <f t="array" ref="BW21:CH21">BT21*BA21:BL21/100</f>
        <v>3</v>
      </c>
      <c r="BX21" s="95">
        <v>3</v>
      </c>
      <c r="BY21" s="95">
        <v>3.3</v>
      </c>
      <c r="BZ21" s="95">
        <v>3.3</v>
      </c>
      <c r="CA21" s="95">
        <v>3.3</v>
      </c>
      <c r="CB21" s="95">
        <v>3.3</v>
      </c>
      <c r="CC21" s="95">
        <v>3.3</v>
      </c>
      <c r="CD21" s="95">
        <v>3.3</v>
      </c>
      <c r="CE21" s="95">
        <v>3.3</v>
      </c>
      <c r="CF21" s="95">
        <v>3.3</v>
      </c>
      <c r="CG21" s="95">
        <v>3.3</v>
      </c>
      <c r="CH21" s="95">
        <v>3.3</v>
      </c>
    </row>
    <row r="22" spans="1:86" ht="15.6" customHeight="1">
      <c r="A22" s="520">
        <v>5</v>
      </c>
      <c r="B22" s="267" t="s">
        <v>293</v>
      </c>
      <c r="C22" s="327"/>
      <c r="D22" s="524"/>
      <c r="E22" s="296"/>
      <c r="F22" s="295">
        <v>8</v>
      </c>
      <c r="G22" s="274"/>
      <c r="H22" s="274"/>
      <c r="I22" s="274"/>
      <c r="J22" s="274"/>
      <c r="K22" s="274"/>
      <c r="L22" s="274"/>
      <c r="M22" s="274"/>
      <c r="N22" s="274"/>
      <c r="O22" s="274"/>
      <c r="P22" s="274"/>
      <c r="Q22" s="274"/>
      <c r="R22" s="274"/>
      <c r="S22" s="274"/>
      <c r="T22" s="91"/>
      <c r="U22" s="36"/>
      <c r="V22" s="36"/>
      <c r="W22" s="51">
        <f ca="1">T.BANGKIR!W22</f>
        <v>5</v>
      </c>
      <c r="X22" s="267" t="str">
        <f ca="1">T.BANGKIR!X22</f>
        <v>Peningkatan Layanan</v>
      </c>
      <c r="Y22" s="364"/>
      <c r="Z22" s="53"/>
      <c r="AA22" s="61"/>
      <c r="AB22" s="53">
        <v>8</v>
      </c>
      <c r="AC22" s="142"/>
      <c r="AD22" s="142"/>
      <c r="AE22" s="142"/>
      <c r="AF22" s="142"/>
      <c r="AG22" s="142"/>
      <c r="AH22" s="142"/>
      <c r="AI22" s="142"/>
      <c r="AJ22" s="142"/>
      <c r="AK22" s="142"/>
      <c r="AL22" s="142"/>
      <c r="AM22" s="142"/>
      <c r="AN22" s="142"/>
      <c r="AO22" s="142"/>
      <c r="AP22" s="95"/>
      <c r="AR22"/>
      <c r="AS22" s="51">
        <v>5</v>
      </c>
      <c r="AT22" s="267" t="s">
        <v>293</v>
      </c>
      <c r="AU22" s="364"/>
      <c r="AV22" s="53"/>
      <c r="AW22" s="61"/>
      <c r="AX22" s="53">
        <v>8</v>
      </c>
      <c r="AY22" s="89"/>
      <c r="AZ22" s="89"/>
      <c r="BA22" s="227"/>
      <c r="BB22" s="227"/>
      <c r="BC22" s="227"/>
      <c r="BD22" s="227"/>
      <c r="BE22" s="227"/>
      <c r="BF22" s="227"/>
      <c r="BG22" s="227"/>
      <c r="BH22" s="227"/>
      <c r="BI22" s="227"/>
      <c r="BJ22" s="227"/>
      <c r="BK22" s="227"/>
      <c r="BL22" s="227"/>
      <c r="BM22"/>
      <c r="BN22"/>
      <c r="BO22" s="51">
        <v>5</v>
      </c>
      <c r="BP22" s="267" t="s">
        <v>293</v>
      </c>
      <c r="BQ22" s="364"/>
      <c r="BR22" s="53"/>
      <c r="BS22" s="61"/>
      <c r="BT22" s="513">
        <v>8</v>
      </c>
      <c r="BU22" s="89"/>
      <c r="BV22" s="89"/>
      <c r="BW22" s="227"/>
      <c r="BX22" s="227"/>
      <c r="BY22" s="227"/>
      <c r="BZ22" s="227"/>
      <c r="CA22" s="227"/>
      <c r="CB22" s="227"/>
      <c r="CC22" s="227"/>
      <c r="CD22" s="227"/>
      <c r="CE22" s="227"/>
      <c r="CF22" s="227"/>
      <c r="CG22" s="227"/>
      <c r="CH22" s="227"/>
    </row>
    <row r="23" spans="1:86" ht="15.6" customHeight="1">
      <c r="A23" s="519"/>
      <c r="B23" s="52" t="s">
        <v>294</v>
      </c>
      <c r="C23" s="327" t="s">
        <v>278</v>
      </c>
      <c r="D23" s="273" t="s">
        <v>149</v>
      </c>
      <c r="E23" s="296" t="s">
        <v>413</v>
      </c>
      <c r="F23" s="295"/>
      <c r="G23" s="274">
        <f>N23</f>
        <v>0.09</v>
      </c>
      <c r="H23" s="274">
        <f>T23</f>
        <v>0.09</v>
      </c>
      <c r="I23" s="525">
        <f>PI!D61</f>
        <v>0.09</v>
      </c>
      <c r="J23" s="525">
        <f>PI!E61</f>
        <v>0.09</v>
      </c>
      <c r="K23" s="525">
        <f>PI!F61</f>
        <v>0.09</v>
      </c>
      <c r="L23" s="525">
        <f>PI!G61</f>
        <v>0.09</v>
      </c>
      <c r="M23" s="525">
        <f>PI!H61</f>
        <v>0.09</v>
      </c>
      <c r="N23" s="525">
        <f>PI!I61</f>
        <v>0.09</v>
      </c>
      <c r="O23" s="525">
        <f>PI!J61</f>
        <v>0.09</v>
      </c>
      <c r="P23" s="525">
        <f>PI!K61</f>
        <v>0.09</v>
      </c>
      <c r="Q23" s="525">
        <f>PI!L61</f>
        <v>0.09</v>
      </c>
      <c r="R23" s="525">
        <f>PI!M61</f>
        <v>0.09</v>
      </c>
      <c r="S23" s="525">
        <f>PI!N61</f>
        <v>0.09</v>
      </c>
      <c r="T23" s="526">
        <f>PI!O61</f>
        <v>0.09</v>
      </c>
      <c r="U23" s="36"/>
      <c r="V23" s="36"/>
      <c r="W23" s="51"/>
      <c r="X23" s="52" t="str">
        <f ca="1">T.BANGKIR!X23</f>
        <v>a. Feedback Rating Negatif pada PLN Mobile - Gangguan</v>
      </c>
      <c r="Y23" s="364" t="s">
        <v>278</v>
      </c>
      <c r="Z23" s="53" t="s">
        <v>149</v>
      </c>
      <c r="AA23" s="61"/>
      <c r="AB23" s="53"/>
      <c r="AC23" s="142">
        <f t="shared" si="1"/>
        <v>0</v>
      </c>
      <c r="AD23" s="142">
        <f t="shared" si="2"/>
        <v>0</v>
      </c>
      <c r="AE23" s="142">
        <f>PI!AH61</f>
        <v>0</v>
      </c>
      <c r="AF23" s="142">
        <f>PI!AI61</f>
        <v>0</v>
      </c>
      <c r="AG23" s="142">
        <f>PI!AJ61</f>
        <v>0</v>
      </c>
      <c r="AH23" s="142">
        <f>PI!AK61</f>
        <v>0</v>
      </c>
      <c r="AI23" s="142">
        <f>PI!AL61</f>
        <v>0</v>
      </c>
      <c r="AJ23" s="142">
        <f>PI!AM61</f>
        <v>0</v>
      </c>
      <c r="AK23" s="142">
        <f>PI!AN61</f>
        <v>0</v>
      </c>
      <c r="AL23" s="142">
        <f>PI!AO61</f>
        <v>0</v>
      </c>
      <c r="AM23" s="142">
        <f>PI!AP61</f>
        <v>0</v>
      </c>
      <c r="AN23" s="142">
        <f>PI!AQ61</f>
        <v>0</v>
      </c>
      <c r="AO23" s="142">
        <f>PI!AR61</f>
        <v>0</v>
      </c>
      <c r="AP23" s="95">
        <f>PI!AS61</f>
        <v>0</v>
      </c>
      <c r="AR23"/>
      <c r="AS23" s="51"/>
      <c r="AT23" s="52" t="s">
        <v>294</v>
      </c>
      <c r="AU23" s="364" t="s">
        <v>278</v>
      </c>
      <c r="AV23" s="53" t="s">
        <v>149</v>
      </c>
      <c r="AW23" s="61" t="s">
        <v>413</v>
      </c>
      <c r="AX23" s="53"/>
      <c r="AY23" s="89">
        <f t="shared" si="3"/>
        <v>110</v>
      </c>
      <c r="AZ23" s="89">
        <f t="shared" si="4"/>
        <v>110</v>
      </c>
      <c r="BA23" s="227">
        <f>IFERROR(IF((2-(AE23/I23))*100&gt;110,110,(2-(AE23/I23))*100),100)</f>
        <v>110</v>
      </c>
      <c r="BB23" s="227">
        <f t="shared" ref="BB23:BL24" si="18">IFERROR(IF((2-(AF23/J23))*100&gt;110,110,(2-(AF23/J23))*100),100)</f>
        <v>110</v>
      </c>
      <c r="BC23" s="227">
        <f t="shared" si="18"/>
        <v>110</v>
      </c>
      <c r="BD23" s="227">
        <f t="shared" si="18"/>
        <v>110</v>
      </c>
      <c r="BE23" s="227">
        <f t="shared" si="18"/>
        <v>110</v>
      </c>
      <c r="BF23" s="227">
        <f t="shared" si="18"/>
        <v>110</v>
      </c>
      <c r="BG23" s="227">
        <f t="shared" si="18"/>
        <v>110</v>
      </c>
      <c r="BH23" s="227">
        <f t="shared" si="18"/>
        <v>110</v>
      </c>
      <c r="BI23" s="227">
        <f t="shared" si="18"/>
        <v>110</v>
      </c>
      <c r="BJ23" s="227">
        <f t="shared" si="18"/>
        <v>110</v>
      </c>
      <c r="BK23" s="227">
        <f t="shared" si="18"/>
        <v>110</v>
      </c>
      <c r="BL23" s="227">
        <f t="shared" si="18"/>
        <v>110</v>
      </c>
      <c r="BM23"/>
      <c r="BN23"/>
      <c r="BO23" s="51"/>
      <c r="BP23" s="52" t="s">
        <v>294</v>
      </c>
      <c r="BQ23" s="364" t="s">
        <v>278</v>
      </c>
      <c r="BR23" s="53" t="s">
        <v>149</v>
      </c>
      <c r="BS23" s="61" t="s">
        <v>413</v>
      </c>
      <c r="BT23" s="53">
        <v>2</v>
      </c>
      <c r="BU23" s="89">
        <f t="shared" ref="BU23:BU26" si="19">CB23</f>
        <v>2.2000000000000002</v>
      </c>
      <c r="BV23" s="89">
        <f t="shared" ref="BV23:BV26" si="20">CH23</f>
        <v>2.2000000000000002</v>
      </c>
      <c r="BW23" s="111" cm="1">
        <f t="array" ref="BW23:CH23">BT23*BA23:BL23/100</f>
        <v>2.2000000000000002</v>
      </c>
      <c r="BX23" s="227">
        <v>2.2000000000000002</v>
      </c>
      <c r="BY23" s="227">
        <v>2.2000000000000002</v>
      </c>
      <c r="BZ23" s="227">
        <v>2.2000000000000002</v>
      </c>
      <c r="CA23" s="227">
        <v>2.2000000000000002</v>
      </c>
      <c r="CB23" s="227">
        <v>2.2000000000000002</v>
      </c>
      <c r="CC23" s="227">
        <v>2.2000000000000002</v>
      </c>
      <c r="CD23" s="227">
        <v>2.2000000000000002</v>
      </c>
      <c r="CE23" s="227">
        <v>2.2000000000000002</v>
      </c>
      <c r="CF23" s="227">
        <v>2.2000000000000002</v>
      </c>
      <c r="CG23" s="227">
        <v>2.2000000000000002</v>
      </c>
      <c r="CH23" s="227">
        <v>2.2000000000000002</v>
      </c>
    </row>
    <row r="24" spans="1:86" ht="15.6" customHeight="1">
      <c r="A24" s="517"/>
      <c r="B24" s="52" t="s">
        <v>295</v>
      </c>
      <c r="C24" s="327" t="s">
        <v>278</v>
      </c>
      <c r="D24" s="273" t="s">
        <v>149</v>
      </c>
      <c r="E24" s="296" t="s">
        <v>414</v>
      </c>
      <c r="F24" s="295"/>
      <c r="G24" s="274">
        <f>N24</f>
        <v>0.04</v>
      </c>
      <c r="H24" s="274">
        <f>T24</f>
        <v>0.04</v>
      </c>
      <c r="I24" s="525">
        <f>PI!D83</f>
        <v>0.04</v>
      </c>
      <c r="J24" s="525">
        <f>PI!E83</f>
        <v>0.04</v>
      </c>
      <c r="K24" s="525">
        <f>PI!F83</f>
        <v>0.04</v>
      </c>
      <c r="L24" s="525">
        <f>PI!G83</f>
        <v>0.04</v>
      </c>
      <c r="M24" s="525">
        <f>PI!H83</f>
        <v>0.04</v>
      </c>
      <c r="N24" s="525">
        <f>PI!I83</f>
        <v>0.04</v>
      </c>
      <c r="O24" s="525">
        <f>PI!J83</f>
        <v>0.04</v>
      </c>
      <c r="P24" s="525">
        <f>PI!K83</f>
        <v>0.04</v>
      </c>
      <c r="Q24" s="525">
        <f>PI!L83</f>
        <v>0.04</v>
      </c>
      <c r="R24" s="525">
        <f>PI!M83</f>
        <v>0.04</v>
      </c>
      <c r="S24" s="525">
        <f>PI!N83</f>
        <v>0.04</v>
      </c>
      <c r="T24" s="526">
        <f>PI!O83</f>
        <v>0.04</v>
      </c>
      <c r="U24" s="36"/>
      <c r="V24" s="36"/>
      <c r="W24" s="51"/>
      <c r="X24" s="52" t="str">
        <f ca="1">T.BANGKIR!X24</f>
        <v>b. Pengaduan Gangguan Berulang pada PLN Mobile</v>
      </c>
      <c r="Y24" s="364" t="s">
        <v>278</v>
      </c>
      <c r="Z24" s="53" t="s">
        <v>149</v>
      </c>
      <c r="AA24" s="61"/>
      <c r="AB24" s="53"/>
      <c r="AC24" s="142">
        <f t="shared" si="1"/>
        <v>0</v>
      </c>
      <c r="AD24" s="142">
        <f t="shared" si="2"/>
        <v>3.0969340353050479E-2</v>
      </c>
      <c r="AE24" s="142">
        <f>PI!AH83</f>
        <v>0</v>
      </c>
      <c r="AF24" s="142">
        <f>PI!AI83</f>
        <v>0</v>
      </c>
      <c r="AG24" s="142">
        <f>PI!AJ83</f>
        <v>0</v>
      </c>
      <c r="AH24" s="142">
        <f>PI!AK83</f>
        <v>0</v>
      </c>
      <c r="AI24" s="142">
        <f>PI!AL83</f>
        <v>0</v>
      </c>
      <c r="AJ24" s="142">
        <f>PI!AM83</f>
        <v>0</v>
      </c>
      <c r="AK24" s="142">
        <f>PI!AN83</f>
        <v>0</v>
      </c>
      <c r="AL24" s="142">
        <f>PI!AO83</f>
        <v>0</v>
      </c>
      <c r="AM24" s="142">
        <f>PI!AP83</f>
        <v>0</v>
      </c>
      <c r="AN24" s="142">
        <f>PI!AQ83</f>
        <v>0</v>
      </c>
      <c r="AO24" s="142">
        <f>PI!AR83</f>
        <v>3.0969340353050479E-2</v>
      </c>
      <c r="AP24" s="95">
        <f>PI!AS83</f>
        <v>3.0969340353050479E-2</v>
      </c>
      <c r="AR24"/>
      <c r="AS24" s="51"/>
      <c r="AT24" s="52" t="s">
        <v>295</v>
      </c>
      <c r="AU24" s="364" t="s">
        <v>278</v>
      </c>
      <c r="AV24" s="53" t="s">
        <v>149</v>
      </c>
      <c r="AW24" s="61" t="s">
        <v>414</v>
      </c>
      <c r="AX24" s="53"/>
      <c r="AY24" s="89">
        <f t="shared" si="3"/>
        <v>110</v>
      </c>
      <c r="AZ24" s="89">
        <f t="shared" si="4"/>
        <v>110</v>
      </c>
      <c r="BA24" s="227">
        <f>IFERROR(IF((2-(AE24/I24))*100&gt;110,110,(2-(AE24/I24))*100),100)</f>
        <v>110</v>
      </c>
      <c r="BB24" s="227">
        <f t="shared" si="18"/>
        <v>110</v>
      </c>
      <c r="BC24" s="227">
        <f t="shared" si="18"/>
        <v>110</v>
      </c>
      <c r="BD24" s="227">
        <f t="shared" si="18"/>
        <v>110</v>
      </c>
      <c r="BE24" s="227">
        <f t="shared" si="18"/>
        <v>110</v>
      </c>
      <c r="BF24" s="227">
        <f t="shared" si="18"/>
        <v>110</v>
      </c>
      <c r="BG24" s="227">
        <f t="shared" si="18"/>
        <v>110</v>
      </c>
      <c r="BH24" s="227">
        <f t="shared" si="18"/>
        <v>110</v>
      </c>
      <c r="BI24" s="227">
        <f t="shared" si="18"/>
        <v>110</v>
      </c>
      <c r="BJ24" s="227">
        <f t="shared" si="18"/>
        <v>110</v>
      </c>
      <c r="BK24" s="227">
        <f t="shared" si="18"/>
        <v>110</v>
      </c>
      <c r="BL24" s="227">
        <f t="shared" si="18"/>
        <v>110</v>
      </c>
      <c r="BM24"/>
      <c r="BN24"/>
      <c r="BO24" s="51"/>
      <c r="BP24" s="52" t="s">
        <v>295</v>
      </c>
      <c r="BQ24" s="364" t="s">
        <v>278</v>
      </c>
      <c r="BR24" s="53" t="s">
        <v>149</v>
      </c>
      <c r="BS24" s="61" t="s">
        <v>414</v>
      </c>
      <c r="BT24" s="53">
        <v>2</v>
      </c>
      <c r="BU24" s="89">
        <f t="shared" si="19"/>
        <v>2.2000000000000002</v>
      </c>
      <c r="BV24" s="89">
        <f t="shared" si="20"/>
        <v>2.2000000000000002</v>
      </c>
      <c r="BW24" s="111" cm="1">
        <f t="array" ref="BW24:CH24">BT24*BA24:BL24/100</f>
        <v>2.2000000000000002</v>
      </c>
      <c r="BX24" s="227">
        <v>2.2000000000000002</v>
      </c>
      <c r="BY24" s="227">
        <v>2.2000000000000002</v>
      </c>
      <c r="BZ24" s="227">
        <v>2.2000000000000002</v>
      </c>
      <c r="CA24" s="227">
        <v>2.2000000000000002</v>
      </c>
      <c r="CB24" s="227">
        <v>2.2000000000000002</v>
      </c>
      <c r="CC24" s="227">
        <v>2.2000000000000002</v>
      </c>
      <c r="CD24" s="227">
        <v>2.2000000000000002</v>
      </c>
      <c r="CE24" s="227">
        <v>2.2000000000000002</v>
      </c>
      <c r="CF24" s="227">
        <v>2.2000000000000002</v>
      </c>
      <c r="CG24" s="227">
        <v>2.2000000000000002</v>
      </c>
      <c r="CH24" s="227">
        <v>2.2000000000000002</v>
      </c>
    </row>
    <row r="25" spans="1:86" ht="15.6" customHeight="1">
      <c r="A25" s="519"/>
      <c r="B25" s="52" t="s">
        <v>297</v>
      </c>
      <c r="C25" s="327" t="s">
        <v>276</v>
      </c>
      <c r="D25" s="273" t="s">
        <v>193</v>
      </c>
      <c r="E25" s="296" t="s">
        <v>415</v>
      </c>
      <c r="F25" s="295"/>
      <c r="G25" s="257">
        <f>N25</f>
        <v>4.9000000000000004</v>
      </c>
      <c r="H25" s="257">
        <f>T25</f>
        <v>4.9000000000000004</v>
      </c>
      <c r="I25" s="257">
        <f>PI!D97</f>
        <v>4.9000000000000004</v>
      </c>
      <c r="J25" s="257">
        <f>PI!E97</f>
        <v>4.9000000000000004</v>
      </c>
      <c r="K25" s="257">
        <f>PI!F97</f>
        <v>4.9000000000000004</v>
      </c>
      <c r="L25" s="257">
        <f>PI!G97</f>
        <v>4.9000000000000004</v>
      </c>
      <c r="M25" s="257">
        <f>PI!H97</f>
        <v>4.9000000000000004</v>
      </c>
      <c r="N25" s="257">
        <f>PI!I97</f>
        <v>4.9000000000000004</v>
      </c>
      <c r="O25" s="257">
        <f>PI!J97</f>
        <v>4.9000000000000004</v>
      </c>
      <c r="P25" s="257">
        <f>PI!K97</f>
        <v>4.9000000000000004</v>
      </c>
      <c r="Q25" s="257">
        <f>PI!L97</f>
        <v>4.9000000000000004</v>
      </c>
      <c r="R25" s="257">
        <f>PI!M97</f>
        <v>4.9000000000000004</v>
      </c>
      <c r="S25" s="257">
        <f>PI!N97</f>
        <v>4.9000000000000004</v>
      </c>
      <c r="T25" s="90">
        <f>PI!O97</f>
        <v>4.9000000000000004</v>
      </c>
      <c r="U25" s="36"/>
      <c r="V25" s="36"/>
      <c r="W25" s="51"/>
      <c r="X25" s="52" t="str">
        <f ca="1">T.BANGKIR!X25</f>
        <v>c. Rating PLN Mobile</v>
      </c>
      <c r="Y25" s="364" t="s">
        <v>276</v>
      </c>
      <c r="Z25" s="53" t="s">
        <v>193</v>
      </c>
      <c r="AA25" s="61"/>
      <c r="AB25" s="53"/>
      <c r="AC25" s="142">
        <f t="shared" si="1"/>
        <v>4.9000000000000004</v>
      </c>
      <c r="AD25" s="142">
        <f t="shared" si="2"/>
        <v>4.9000000000000004</v>
      </c>
      <c r="AE25" s="142">
        <f>PI!AH97</f>
        <v>4.91</v>
      </c>
      <c r="AF25" s="142">
        <f>PI!AI97</f>
        <v>4.91</v>
      </c>
      <c r="AG25" s="142">
        <f>PI!AJ97</f>
        <v>4.91</v>
      </c>
      <c r="AH25" s="142">
        <f>PI!AK97</f>
        <v>4.91</v>
      </c>
      <c r="AI25" s="142">
        <f>PI!AL97</f>
        <v>4.9000000000000004</v>
      </c>
      <c r="AJ25" s="142">
        <f>PI!AM97</f>
        <v>4.9000000000000004</v>
      </c>
      <c r="AK25" s="142">
        <f>PI!AN97</f>
        <v>4.9000000000000004</v>
      </c>
      <c r="AL25" s="142">
        <f>PI!AO97</f>
        <v>4.9000000000000004</v>
      </c>
      <c r="AM25" s="142">
        <f>PI!AP97</f>
        <v>4.9000000000000004</v>
      </c>
      <c r="AN25" s="142">
        <f>PI!AQ97</f>
        <v>4.9000000000000004</v>
      </c>
      <c r="AO25" s="142">
        <f>PI!AR97</f>
        <v>4.9000000000000004</v>
      </c>
      <c r="AP25" s="95">
        <f>PI!AS97</f>
        <v>4.9000000000000004</v>
      </c>
      <c r="AR25"/>
      <c r="AS25" s="51"/>
      <c r="AT25" s="52" t="s">
        <v>297</v>
      </c>
      <c r="AU25" s="364" t="s">
        <v>276</v>
      </c>
      <c r="AV25" s="53" t="s">
        <v>193</v>
      </c>
      <c r="AW25" s="61" t="s">
        <v>415</v>
      </c>
      <c r="AX25" s="53"/>
      <c r="AY25" s="89">
        <f t="shared" si="3"/>
        <v>100</v>
      </c>
      <c r="AZ25" s="89">
        <f t="shared" si="4"/>
        <v>100</v>
      </c>
      <c r="BA25" s="95">
        <f>IF(AE25/I25*100&gt;110,110,AE25/I25*100)</f>
        <v>100.20408163265306</v>
      </c>
      <c r="BB25" s="95">
        <f t="shared" ref="BB25:BL26" si="21">IF(AF25/J25*100&gt;110,110,AF25/J25*100)</f>
        <v>100.20408163265306</v>
      </c>
      <c r="BC25" s="95">
        <f t="shared" si="21"/>
        <v>100.20408163265306</v>
      </c>
      <c r="BD25" s="95">
        <f t="shared" si="21"/>
        <v>100.20408163265306</v>
      </c>
      <c r="BE25" s="95">
        <f t="shared" si="21"/>
        <v>100</v>
      </c>
      <c r="BF25" s="95">
        <f t="shared" si="21"/>
        <v>100</v>
      </c>
      <c r="BG25" s="95">
        <f t="shared" si="21"/>
        <v>100</v>
      </c>
      <c r="BH25" s="95">
        <f t="shared" si="21"/>
        <v>100</v>
      </c>
      <c r="BI25" s="95">
        <f t="shared" si="21"/>
        <v>100</v>
      </c>
      <c r="BJ25" s="95">
        <f t="shared" si="21"/>
        <v>100</v>
      </c>
      <c r="BK25" s="95">
        <f t="shared" si="21"/>
        <v>100</v>
      </c>
      <c r="BL25" s="95">
        <f t="shared" si="21"/>
        <v>100</v>
      </c>
      <c r="BM25"/>
      <c r="BN25"/>
      <c r="BO25" s="51"/>
      <c r="BP25" s="52" t="s">
        <v>297</v>
      </c>
      <c r="BQ25" s="364" t="s">
        <v>276</v>
      </c>
      <c r="BR25" s="53" t="s">
        <v>193</v>
      </c>
      <c r="BS25" s="61" t="s">
        <v>415</v>
      </c>
      <c r="BT25" s="53">
        <v>2</v>
      </c>
      <c r="BU25" s="89">
        <f t="shared" si="19"/>
        <v>2</v>
      </c>
      <c r="BV25" s="89">
        <f t="shared" si="20"/>
        <v>2</v>
      </c>
      <c r="BW25" s="111" cm="1">
        <f t="array" ref="BW25:CH25">BT25*BA25:BL25/100</f>
        <v>2.0040816326530613</v>
      </c>
      <c r="BX25" s="95">
        <v>2.0040816326530613</v>
      </c>
      <c r="BY25" s="95">
        <v>2.0040816326530613</v>
      </c>
      <c r="BZ25" s="95">
        <v>2.0040816326530613</v>
      </c>
      <c r="CA25" s="95">
        <v>2</v>
      </c>
      <c r="CB25" s="95">
        <v>2</v>
      </c>
      <c r="CC25" s="95">
        <v>2</v>
      </c>
      <c r="CD25" s="95">
        <v>2</v>
      </c>
      <c r="CE25" s="95">
        <v>2</v>
      </c>
      <c r="CF25" s="95">
        <v>2</v>
      </c>
      <c r="CG25" s="95">
        <v>2</v>
      </c>
      <c r="CH25" s="95">
        <v>2</v>
      </c>
    </row>
    <row r="26" spans="1:86" ht="15.6" customHeight="1">
      <c r="A26" s="519"/>
      <c r="B26" s="52" t="s">
        <v>299</v>
      </c>
      <c r="C26" s="327" t="s">
        <v>276</v>
      </c>
      <c r="D26" s="273" t="s">
        <v>300</v>
      </c>
      <c r="E26" s="296" t="s">
        <v>416</v>
      </c>
      <c r="F26" s="295"/>
      <c r="G26" s="257">
        <f>N26</f>
        <v>4912</v>
      </c>
      <c r="H26" s="257">
        <f>T26</f>
        <v>9824</v>
      </c>
      <c r="I26" s="257">
        <f>PI!D104</f>
        <v>841</v>
      </c>
      <c r="J26" s="257">
        <f>PI!E104</f>
        <v>1601</v>
      </c>
      <c r="K26" s="257">
        <f>PI!F104</f>
        <v>2442</v>
      </c>
      <c r="L26" s="257">
        <f>PI!G104</f>
        <v>3257</v>
      </c>
      <c r="M26" s="257">
        <f>PI!H104</f>
        <v>4098</v>
      </c>
      <c r="N26" s="257">
        <f>PI!I104</f>
        <v>4912</v>
      </c>
      <c r="O26" s="257">
        <f>PI!J104</f>
        <v>5740</v>
      </c>
      <c r="P26" s="257">
        <f>PI!K104</f>
        <v>6567</v>
      </c>
      <c r="Q26" s="257">
        <f>PI!L104</f>
        <v>7368</v>
      </c>
      <c r="R26" s="257">
        <f>PI!M104</f>
        <v>8196</v>
      </c>
      <c r="S26" s="257">
        <f>PI!N104</f>
        <v>8996</v>
      </c>
      <c r="T26" s="90">
        <f>PI!O104</f>
        <v>9824</v>
      </c>
      <c r="U26" s="36"/>
      <c r="V26" s="36"/>
      <c r="W26" s="51"/>
      <c r="X26" s="52" t="str">
        <f ca="1">T.BANGKIR!X26</f>
        <v>d. Jumlah Kali Transaksi Keuangan melalui PLN Mobile</v>
      </c>
      <c r="Y26" s="364" t="s">
        <v>276</v>
      </c>
      <c r="Z26" s="53" t="s">
        <v>300</v>
      </c>
      <c r="AA26" s="61"/>
      <c r="AB26" s="53"/>
      <c r="AC26" s="142">
        <f t="shared" si="1"/>
        <v>6265</v>
      </c>
      <c r="AD26" s="142">
        <f t="shared" si="2"/>
        <v>0</v>
      </c>
      <c r="AE26" s="142">
        <f>PI!AH104</f>
        <v>293</v>
      </c>
      <c r="AF26" s="142">
        <f>PI!AI104</f>
        <v>515</v>
      </c>
      <c r="AG26" s="142">
        <f>PI!AJ104</f>
        <v>2124</v>
      </c>
      <c r="AH26" s="142">
        <f>PI!AK104</f>
        <v>3968</v>
      </c>
      <c r="AI26" s="142">
        <f>PI!AL104</f>
        <v>5435</v>
      </c>
      <c r="AJ26" s="142">
        <f>PI!AM104</f>
        <v>6265</v>
      </c>
      <c r="AK26" s="142">
        <f>PI!AN104</f>
        <v>7241</v>
      </c>
      <c r="AL26" s="142">
        <f>PI!AO104</f>
        <v>8114</v>
      </c>
      <c r="AM26" s="142">
        <f>PI!AP104</f>
        <v>9488</v>
      </c>
      <c r="AN26" s="142">
        <f>PI!AQ104</f>
        <v>10474</v>
      </c>
      <c r="AO26" s="142">
        <f>PI!AR104</f>
        <v>0</v>
      </c>
      <c r="AP26" s="95">
        <f>PI!AS104</f>
        <v>0</v>
      </c>
      <c r="AR26"/>
      <c r="AS26" s="51"/>
      <c r="AT26" s="52" t="s">
        <v>299</v>
      </c>
      <c r="AU26" s="364" t="s">
        <v>276</v>
      </c>
      <c r="AV26" s="53" t="s">
        <v>300</v>
      </c>
      <c r="AW26" s="61" t="s">
        <v>416</v>
      </c>
      <c r="AX26" s="53"/>
      <c r="AY26" s="89">
        <f t="shared" si="3"/>
        <v>110</v>
      </c>
      <c r="AZ26" s="89">
        <f t="shared" si="4"/>
        <v>0</v>
      </c>
      <c r="BA26" s="95">
        <f>IF(AE26/I26*100&gt;110,110,AE26/I26*100)</f>
        <v>34.839476813317475</v>
      </c>
      <c r="BB26" s="95">
        <f t="shared" si="21"/>
        <v>32.167395377888816</v>
      </c>
      <c r="BC26" s="95">
        <f t="shared" si="21"/>
        <v>86.977886977886982</v>
      </c>
      <c r="BD26" s="95">
        <f t="shared" si="21"/>
        <v>110</v>
      </c>
      <c r="BE26" s="95">
        <f t="shared" si="21"/>
        <v>110</v>
      </c>
      <c r="BF26" s="95">
        <f t="shared" si="21"/>
        <v>110</v>
      </c>
      <c r="BG26" s="95">
        <f t="shared" si="21"/>
        <v>110</v>
      </c>
      <c r="BH26" s="95">
        <f t="shared" si="21"/>
        <v>110</v>
      </c>
      <c r="BI26" s="95">
        <f t="shared" si="21"/>
        <v>110</v>
      </c>
      <c r="BJ26" s="95">
        <f t="shared" si="21"/>
        <v>110</v>
      </c>
      <c r="BK26" s="95">
        <f t="shared" si="21"/>
        <v>0</v>
      </c>
      <c r="BL26" s="95">
        <f t="shared" si="21"/>
        <v>0</v>
      </c>
      <c r="BM26"/>
      <c r="BN26"/>
      <c r="BO26" s="51"/>
      <c r="BP26" s="52" t="s">
        <v>299</v>
      </c>
      <c r="BQ26" s="364" t="s">
        <v>276</v>
      </c>
      <c r="BR26" s="53" t="s">
        <v>300</v>
      </c>
      <c r="BS26" s="61" t="s">
        <v>416</v>
      </c>
      <c r="BT26" s="53">
        <v>2</v>
      </c>
      <c r="BU26" s="89">
        <f t="shared" si="19"/>
        <v>2.2000000000000002</v>
      </c>
      <c r="BV26" s="89">
        <f t="shared" si="20"/>
        <v>0</v>
      </c>
      <c r="BW26" s="111" cm="1">
        <f t="array" ref="BW26:CH26">BT26*BA26:BL26/100</f>
        <v>0.69678953626634954</v>
      </c>
      <c r="BX26" s="95">
        <v>0.64334790755777638</v>
      </c>
      <c r="BY26" s="95">
        <v>1.7395577395577397</v>
      </c>
      <c r="BZ26" s="95">
        <v>2.2000000000000002</v>
      </c>
      <c r="CA26" s="95">
        <v>2.2000000000000002</v>
      </c>
      <c r="CB26" s="95">
        <v>2.2000000000000002</v>
      </c>
      <c r="CC26" s="95">
        <v>2.2000000000000002</v>
      </c>
      <c r="CD26" s="95">
        <v>2.2000000000000002</v>
      </c>
      <c r="CE26" s="95">
        <v>2.2000000000000002</v>
      </c>
      <c r="CF26" s="95">
        <v>2.2000000000000002</v>
      </c>
      <c r="CG26" s="95">
        <v>0</v>
      </c>
      <c r="CH26" s="95">
        <v>0</v>
      </c>
    </row>
    <row r="27" spans="1:86" ht="15.6" customHeight="1">
      <c r="A27" s="519">
        <v>6</v>
      </c>
      <c r="B27" s="267" t="s">
        <v>302</v>
      </c>
      <c r="C27" s="327"/>
      <c r="D27" s="273"/>
      <c r="E27" s="296"/>
      <c r="F27" s="295">
        <v>3</v>
      </c>
      <c r="G27" s="257"/>
      <c r="H27" s="257"/>
      <c r="I27" s="257"/>
      <c r="J27" s="257"/>
      <c r="K27" s="257"/>
      <c r="L27" s="257"/>
      <c r="M27" s="257"/>
      <c r="N27" s="257"/>
      <c r="O27" s="257"/>
      <c r="P27" s="257"/>
      <c r="Q27" s="257"/>
      <c r="R27" s="257"/>
      <c r="S27" s="257"/>
      <c r="T27" s="90"/>
      <c r="U27" s="36"/>
      <c r="V27" s="36"/>
      <c r="W27" s="51">
        <f ca="1">T.BANGKIR!W27</f>
        <v>6</v>
      </c>
      <c r="X27" s="267" t="str">
        <f ca="1">T.BANGKIR!X27</f>
        <v>Dispatch Respon Time</v>
      </c>
      <c r="Y27" s="364"/>
      <c r="Z27" s="53"/>
      <c r="AA27" s="61"/>
      <c r="AB27" s="53">
        <v>3</v>
      </c>
      <c r="AC27" s="142"/>
      <c r="AD27" s="142"/>
      <c r="AE27" s="142"/>
      <c r="AF27" s="142"/>
      <c r="AG27" s="142"/>
      <c r="AH27" s="142"/>
      <c r="AI27" s="142"/>
      <c r="AJ27" s="142"/>
      <c r="AK27" s="142"/>
      <c r="AL27" s="142"/>
      <c r="AM27" s="142"/>
      <c r="AN27" s="142"/>
      <c r="AO27" s="142"/>
      <c r="AP27" s="95"/>
      <c r="AR27"/>
      <c r="AS27" s="51">
        <v>6</v>
      </c>
      <c r="AT27" s="267" t="s">
        <v>302</v>
      </c>
      <c r="AU27" s="364"/>
      <c r="AV27" s="53"/>
      <c r="AW27" s="61"/>
      <c r="AX27" s="53">
        <v>3</v>
      </c>
      <c r="AY27" s="89"/>
      <c r="AZ27" s="89"/>
      <c r="BA27" s="95"/>
      <c r="BB27" s="95"/>
      <c r="BC27" s="95"/>
      <c r="BD27" s="95"/>
      <c r="BE27" s="95"/>
      <c r="BF27" s="95"/>
      <c r="BG27" s="95"/>
      <c r="BH27" s="95"/>
      <c r="BI27" s="95"/>
      <c r="BJ27" s="95"/>
      <c r="BK27" s="95"/>
      <c r="BL27" s="95"/>
      <c r="BM27"/>
      <c r="BN27"/>
      <c r="BO27" s="51">
        <v>6</v>
      </c>
      <c r="BP27" s="267" t="s">
        <v>302</v>
      </c>
      <c r="BQ27" s="364"/>
      <c r="BR27" s="53"/>
      <c r="BS27" s="61"/>
      <c r="BT27" s="513">
        <v>3</v>
      </c>
      <c r="BU27" s="89"/>
      <c r="BV27" s="89"/>
      <c r="BW27" s="95"/>
      <c r="BX27" s="95"/>
      <c r="BY27" s="95"/>
      <c r="BZ27" s="95"/>
      <c r="CA27" s="95"/>
      <c r="CB27" s="95"/>
      <c r="CC27" s="95"/>
      <c r="CD27" s="95"/>
      <c r="CE27" s="95"/>
      <c r="CF27" s="95"/>
      <c r="CG27" s="95"/>
      <c r="CH27" s="95"/>
    </row>
    <row r="28" spans="1:86" ht="15.6" customHeight="1">
      <c r="A28" s="519"/>
      <c r="B28" s="52" t="s">
        <v>303</v>
      </c>
      <c r="C28" s="327" t="s">
        <v>278</v>
      </c>
      <c r="D28" s="273" t="s">
        <v>132</v>
      </c>
      <c r="E28" s="296" t="s">
        <v>417</v>
      </c>
      <c r="F28" s="295"/>
      <c r="G28" s="257">
        <f t="shared" ref="G28:G29" si="22">N28</f>
        <v>30</v>
      </c>
      <c r="H28" s="257">
        <f t="shared" ref="H28:H29" si="23">T28</f>
        <v>30</v>
      </c>
      <c r="I28" s="257">
        <f>PI!D117</f>
        <v>30</v>
      </c>
      <c r="J28" s="257">
        <f>PI!E117</f>
        <v>30</v>
      </c>
      <c r="K28" s="257">
        <f>PI!F117</f>
        <v>30</v>
      </c>
      <c r="L28" s="257">
        <f>PI!G117</f>
        <v>30</v>
      </c>
      <c r="M28" s="257">
        <f>PI!H117</f>
        <v>30</v>
      </c>
      <c r="N28" s="257">
        <f>PI!I117</f>
        <v>30</v>
      </c>
      <c r="O28" s="257">
        <f>PI!J117</f>
        <v>30</v>
      </c>
      <c r="P28" s="257">
        <f>PI!K117</f>
        <v>30</v>
      </c>
      <c r="Q28" s="257">
        <f>PI!L117</f>
        <v>30</v>
      </c>
      <c r="R28" s="257">
        <f>PI!M117</f>
        <v>30</v>
      </c>
      <c r="S28" s="257">
        <f>PI!N117</f>
        <v>30</v>
      </c>
      <c r="T28" s="90">
        <f>PI!O117</f>
        <v>30</v>
      </c>
      <c r="U28" s="36"/>
      <c r="V28" s="36"/>
      <c r="W28" s="51"/>
      <c r="X28" s="52" t="str">
        <f ca="1">T.BANGKIR!X28</f>
        <v>a. Response Time atas Gangguan (diluar Clear Tamper)</v>
      </c>
      <c r="Y28" s="364" t="s">
        <v>278</v>
      </c>
      <c r="Z28" s="53" t="s">
        <v>132</v>
      </c>
      <c r="AA28" s="61"/>
      <c r="AB28" s="53"/>
      <c r="AC28" s="142">
        <f t="shared" si="1"/>
        <v>7.5801323675968462</v>
      </c>
      <c r="AD28" s="142">
        <f t="shared" si="2"/>
        <v>8.5487728209444054</v>
      </c>
      <c r="AE28" s="142">
        <f>PI!AH117</f>
        <v>5.9774038461538472</v>
      </c>
      <c r="AF28" s="142">
        <f>PI!AI117</f>
        <v>5.9760125291375301</v>
      </c>
      <c r="AG28" s="142">
        <f>PI!AJ117</f>
        <v>6.0147331635906918</v>
      </c>
      <c r="AH28" s="142">
        <f>PI!AK117</f>
        <v>6.009756374524521</v>
      </c>
      <c r="AI28" s="142">
        <f>PI!AL117</f>
        <v>7.465805099619617</v>
      </c>
      <c r="AJ28" s="142">
        <f>PI!AM117</f>
        <v>7.5801323675968462</v>
      </c>
      <c r="AK28" s="142">
        <f>PI!AN117</f>
        <v>7.6617947018662962</v>
      </c>
      <c r="AL28" s="142">
        <f>PI!AO117</f>
        <v>7.9087392340137761</v>
      </c>
      <c r="AM28" s="142">
        <f>PI!AP117</f>
        <v>8.3605463442592161</v>
      </c>
      <c r="AN28" s="142">
        <f>PI!AQ117</f>
        <v>8.5487728209444054</v>
      </c>
      <c r="AO28" s="142">
        <f>PI!AR117</f>
        <v>8.5487728209444054</v>
      </c>
      <c r="AP28" s="95">
        <f>PI!AS117</f>
        <v>8.5487728209444054</v>
      </c>
      <c r="AR28"/>
      <c r="AS28" s="51"/>
      <c r="AT28" s="52" t="s">
        <v>303</v>
      </c>
      <c r="AU28" s="364" t="s">
        <v>278</v>
      </c>
      <c r="AV28" s="53" t="s">
        <v>132</v>
      </c>
      <c r="AW28" s="61" t="s">
        <v>417</v>
      </c>
      <c r="AX28" s="53"/>
      <c r="AY28" s="89">
        <f t="shared" si="3"/>
        <v>110</v>
      </c>
      <c r="AZ28" s="89">
        <f t="shared" si="4"/>
        <v>110</v>
      </c>
      <c r="BA28" s="95">
        <f>IFERROR(IF((2-(AE28/I28))*100&gt;110,110,(2-(AE28/I28))*100),100)</f>
        <v>110</v>
      </c>
      <c r="BB28" s="95">
        <f t="shared" ref="BB28:BL28" si="24">IFERROR(IF((2-(AF28/J28))*100&gt;110,110,(2-(AF28/J28))*100),100)</f>
        <v>110</v>
      </c>
      <c r="BC28" s="95">
        <f t="shared" si="24"/>
        <v>110</v>
      </c>
      <c r="BD28" s="95">
        <f t="shared" si="24"/>
        <v>110</v>
      </c>
      <c r="BE28" s="95">
        <f t="shared" si="24"/>
        <v>110</v>
      </c>
      <c r="BF28" s="95">
        <f t="shared" si="24"/>
        <v>110</v>
      </c>
      <c r="BG28" s="95">
        <f t="shared" si="24"/>
        <v>110</v>
      </c>
      <c r="BH28" s="95">
        <f t="shared" si="24"/>
        <v>110</v>
      </c>
      <c r="BI28" s="95">
        <f t="shared" si="24"/>
        <v>110</v>
      </c>
      <c r="BJ28" s="95">
        <f t="shared" si="24"/>
        <v>110</v>
      </c>
      <c r="BK28" s="95">
        <f t="shared" si="24"/>
        <v>110</v>
      </c>
      <c r="BL28" s="95">
        <f t="shared" si="24"/>
        <v>110</v>
      </c>
      <c r="BM28"/>
      <c r="BN28"/>
      <c r="BO28" s="51"/>
      <c r="BP28" s="52" t="s">
        <v>303</v>
      </c>
      <c r="BQ28" s="364" t="s">
        <v>278</v>
      </c>
      <c r="BR28" s="53" t="s">
        <v>132</v>
      </c>
      <c r="BS28" s="61" t="s">
        <v>417</v>
      </c>
      <c r="BT28" s="53">
        <v>1.5</v>
      </c>
      <c r="BU28" s="89">
        <f t="shared" ref="BU28:BU29" si="25">CB28</f>
        <v>1.65</v>
      </c>
      <c r="BV28" s="89">
        <f t="shared" ref="BV28:BV29" si="26">CH28</f>
        <v>1.65</v>
      </c>
      <c r="BW28" s="111" cm="1">
        <f t="array" ref="BW28:CH28">BT28*BA28:BL28/100</f>
        <v>1.65</v>
      </c>
      <c r="BX28" s="95">
        <v>1.65</v>
      </c>
      <c r="BY28" s="95">
        <v>1.65</v>
      </c>
      <c r="BZ28" s="95">
        <v>1.65</v>
      </c>
      <c r="CA28" s="95">
        <v>1.65</v>
      </c>
      <c r="CB28" s="95">
        <v>1.65</v>
      </c>
      <c r="CC28" s="95">
        <v>1.65</v>
      </c>
      <c r="CD28" s="95">
        <v>1.65</v>
      </c>
      <c r="CE28" s="95">
        <v>1.65</v>
      </c>
      <c r="CF28" s="95">
        <v>1.65</v>
      </c>
      <c r="CG28" s="95">
        <v>1.65</v>
      </c>
      <c r="CH28" s="95">
        <v>1.65</v>
      </c>
    </row>
    <row r="29" spans="1:86" ht="15.6" customHeight="1">
      <c r="A29" s="519"/>
      <c r="B29" s="52" t="s">
        <v>304</v>
      </c>
      <c r="C29" s="327" t="s">
        <v>276</v>
      </c>
      <c r="D29" s="273" t="s">
        <v>149</v>
      </c>
      <c r="E29" s="296" t="s">
        <v>418</v>
      </c>
      <c r="F29" s="295"/>
      <c r="G29" s="257">
        <f t="shared" si="22"/>
        <v>0</v>
      </c>
      <c r="H29" s="257">
        <f t="shared" si="23"/>
        <v>0</v>
      </c>
      <c r="I29" s="257">
        <f>PI!D133</f>
        <v>0</v>
      </c>
      <c r="J29" s="257">
        <f>PI!E133</f>
        <v>0</v>
      </c>
      <c r="K29" s="257">
        <f>PI!F133</f>
        <v>0</v>
      </c>
      <c r="L29" s="257">
        <f>PI!G133</f>
        <v>0</v>
      </c>
      <c r="M29" s="257">
        <f>PI!H133</f>
        <v>0</v>
      </c>
      <c r="N29" s="257">
        <f>PI!I133</f>
        <v>0</v>
      </c>
      <c r="O29" s="257">
        <f>PI!J133</f>
        <v>0</v>
      </c>
      <c r="P29" s="257">
        <f>PI!K133</f>
        <v>0</v>
      </c>
      <c r="Q29" s="257">
        <f>PI!L133</f>
        <v>0</v>
      </c>
      <c r="R29" s="257">
        <f>PI!M133</f>
        <v>0</v>
      </c>
      <c r="S29" s="257">
        <f>PI!N133</f>
        <v>0</v>
      </c>
      <c r="T29" s="90">
        <f>PI!O133</f>
        <v>0</v>
      </c>
      <c r="U29" s="36"/>
      <c r="V29" s="36"/>
      <c r="W29" s="51"/>
      <c r="X29" s="52" t="str">
        <f ca="1">T.BANGKIR!X29</f>
        <v>b. Success Rate Auto Dispatch Gangguan Individual (diluar Clear Tamper)</v>
      </c>
      <c r="Y29" s="364" t="s">
        <v>276</v>
      </c>
      <c r="Z29" s="53" t="s">
        <v>149</v>
      </c>
      <c r="AA29" s="61"/>
      <c r="AB29" s="53"/>
      <c r="AC29" s="142">
        <f t="shared" si="1"/>
        <v>0</v>
      </c>
      <c r="AD29" s="142">
        <f t="shared" si="2"/>
        <v>0</v>
      </c>
      <c r="AE29" s="142">
        <f>PI!AH133</f>
        <v>0</v>
      </c>
      <c r="AF29" s="142">
        <f>PI!AI133</f>
        <v>0</v>
      </c>
      <c r="AG29" s="142">
        <f>PI!AJ133</f>
        <v>0</v>
      </c>
      <c r="AH29" s="142">
        <f>PI!AK133</f>
        <v>0</v>
      </c>
      <c r="AI29" s="142">
        <f>PI!AL133</f>
        <v>0</v>
      </c>
      <c r="AJ29" s="142">
        <f>PI!AM133</f>
        <v>0</v>
      </c>
      <c r="AK29" s="142">
        <f>PI!AN133</f>
        <v>0</v>
      </c>
      <c r="AL29" s="142">
        <f>PI!AO133</f>
        <v>0</v>
      </c>
      <c r="AM29" s="142">
        <f>PI!AP133</f>
        <v>0</v>
      </c>
      <c r="AN29" s="142">
        <f>PI!AQ133</f>
        <v>0</v>
      </c>
      <c r="AO29" s="142">
        <f>PI!AR133</f>
        <v>0</v>
      </c>
      <c r="AP29" s="95">
        <f>PI!AS133</f>
        <v>0</v>
      </c>
      <c r="AR29"/>
      <c r="AS29" s="51"/>
      <c r="AT29" s="52" t="s">
        <v>304</v>
      </c>
      <c r="AU29" s="364" t="s">
        <v>276</v>
      </c>
      <c r="AV29" s="53" t="s">
        <v>149</v>
      </c>
      <c r="AW29" s="61" t="s">
        <v>418</v>
      </c>
      <c r="AX29" s="53"/>
      <c r="AY29" s="89">
        <f t="shared" si="3"/>
        <v>100</v>
      </c>
      <c r="AZ29" s="89">
        <f t="shared" si="4"/>
        <v>100</v>
      </c>
      <c r="BA29" s="95">
        <f>IFERROR(IF(AE29/I29*100&gt;110,110,AE29/I29*100),100)</f>
        <v>100</v>
      </c>
      <c r="BB29" s="95">
        <f t="shared" ref="BB29:BL29" si="27">IFERROR(IF(AF29/J29*100&gt;110,110,AF29/J29*100),100)</f>
        <v>100</v>
      </c>
      <c r="BC29" s="95">
        <f t="shared" si="27"/>
        <v>100</v>
      </c>
      <c r="BD29" s="95">
        <f t="shared" si="27"/>
        <v>100</v>
      </c>
      <c r="BE29" s="95">
        <f t="shared" si="27"/>
        <v>100</v>
      </c>
      <c r="BF29" s="95">
        <f t="shared" si="27"/>
        <v>100</v>
      </c>
      <c r="BG29" s="95">
        <f t="shared" si="27"/>
        <v>100</v>
      </c>
      <c r="BH29" s="95">
        <f t="shared" si="27"/>
        <v>100</v>
      </c>
      <c r="BI29" s="95">
        <f t="shared" si="27"/>
        <v>100</v>
      </c>
      <c r="BJ29" s="95">
        <f t="shared" si="27"/>
        <v>100</v>
      </c>
      <c r="BK29" s="95">
        <f t="shared" si="27"/>
        <v>100</v>
      </c>
      <c r="BL29" s="95">
        <f t="shared" si="27"/>
        <v>100</v>
      </c>
      <c r="BM29"/>
      <c r="BN29"/>
      <c r="BO29" s="51"/>
      <c r="BP29" s="52" t="s">
        <v>304</v>
      </c>
      <c r="BQ29" s="364" t="s">
        <v>276</v>
      </c>
      <c r="BR29" s="53" t="s">
        <v>149</v>
      </c>
      <c r="BS29" s="61" t="s">
        <v>418</v>
      </c>
      <c r="BT29" s="53">
        <v>1.5</v>
      </c>
      <c r="BU29" s="89">
        <f t="shared" si="25"/>
        <v>1.5</v>
      </c>
      <c r="BV29" s="89">
        <f t="shared" si="26"/>
        <v>1.5</v>
      </c>
      <c r="BW29" s="111" cm="1">
        <f t="array" ref="BW29:CH29">BT29*BA29:BL29/100</f>
        <v>1.5</v>
      </c>
      <c r="BX29" s="95">
        <v>1.5</v>
      </c>
      <c r="BY29" s="95">
        <v>1.5</v>
      </c>
      <c r="BZ29" s="95">
        <v>1.5</v>
      </c>
      <c r="CA29" s="95">
        <v>1.5</v>
      </c>
      <c r="CB29" s="95">
        <v>1.5</v>
      </c>
      <c r="CC29" s="95">
        <v>1.5</v>
      </c>
      <c r="CD29" s="95">
        <v>1.5</v>
      </c>
      <c r="CE29" s="95">
        <v>1.5</v>
      </c>
      <c r="CF29" s="95">
        <v>1.5</v>
      </c>
      <c r="CG29" s="95">
        <v>1.5</v>
      </c>
      <c r="CH29" s="95">
        <v>1.5</v>
      </c>
    </row>
    <row r="30" spans="1:86" ht="15.6" customHeight="1">
      <c r="A30" s="519">
        <v>7</v>
      </c>
      <c r="B30" s="539" t="s">
        <v>305</v>
      </c>
      <c r="C30" s="327"/>
      <c r="D30" s="273"/>
      <c r="E30" s="296"/>
      <c r="F30" s="295">
        <v>6</v>
      </c>
      <c r="G30" s="257"/>
      <c r="H30" s="257"/>
      <c r="I30" s="257"/>
      <c r="J30" s="257"/>
      <c r="K30" s="257"/>
      <c r="L30" s="257"/>
      <c r="M30" s="257"/>
      <c r="N30" s="257"/>
      <c r="O30" s="257"/>
      <c r="P30" s="257"/>
      <c r="Q30" s="257"/>
      <c r="R30" s="257"/>
      <c r="S30" s="257"/>
      <c r="T30" s="90"/>
      <c r="U30" s="36"/>
      <c r="V30" s="36"/>
      <c r="W30" s="51">
        <f ca="1">T.BANGKIR!W30</f>
        <v>7</v>
      </c>
      <c r="X30" s="267" t="str">
        <f ca="1">T.BANGKIR!X30</f>
        <v>Sistem Recovery :</v>
      </c>
      <c r="Y30" s="364"/>
      <c r="Z30" s="53"/>
      <c r="AA30" s="61"/>
      <c r="AB30" s="53">
        <v>6</v>
      </c>
      <c r="AC30" s="142"/>
      <c r="AD30" s="142"/>
      <c r="AE30" s="142"/>
      <c r="AF30" s="142"/>
      <c r="AG30" s="142"/>
      <c r="AH30" s="142"/>
      <c r="AI30" s="142"/>
      <c r="AJ30" s="142"/>
      <c r="AK30" s="142"/>
      <c r="AL30" s="142"/>
      <c r="AM30" s="142"/>
      <c r="AN30" s="142"/>
      <c r="AO30" s="142"/>
      <c r="AP30" s="95"/>
      <c r="AR30"/>
      <c r="AS30" s="51">
        <v>7</v>
      </c>
      <c r="AT30" s="267" t="s">
        <v>305</v>
      </c>
      <c r="AU30" s="364"/>
      <c r="AV30" s="53"/>
      <c r="AW30" s="61"/>
      <c r="AX30" s="53">
        <v>6</v>
      </c>
      <c r="AY30" s="89"/>
      <c r="AZ30" s="89"/>
      <c r="BA30" s="95"/>
      <c r="BB30" s="95"/>
      <c r="BC30" s="95"/>
      <c r="BD30" s="95"/>
      <c r="BE30" s="95"/>
      <c r="BF30" s="95"/>
      <c r="BG30" s="95"/>
      <c r="BH30" s="95"/>
      <c r="BI30" s="95"/>
      <c r="BJ30" s="95"/>
      <c r="BK30" s="95"/>
      <c r="BL30" s="95"/>
      <c r="BM30"/>
      <c r="BN30"/>
      <c r="BO30" s="51">
        <v>7</v>
      </c>
      <c r="BP30" s="267" t="s">
        <v>305</v>
      </c>
      <c r="BQ30" s="364"/>
      <c r="BR30" s="53"/>
      <c r="BS30" s="61"/>
      <c r="BT30" s="513">
        <v>6</v>
      </c>
      <c r="BU30" s="89"/>
      <c r="BV30" s="89"/>
      <c r="BW30" s="95"/>
      <c r="BX30" s="95"/>
      <c r="BY30" s="95"/>
      <c r="BZ30" s="95"/>
      <c r="CA30" s="95"/>
      <c r="CB30" s="95"/>
      <c r="CC30" s="95"/>
      <c r="CD30" s="95"/>
      <c r="CE30" s="95"/>
      <c r="CF30" s="95"/>
      <c r="CG30" s="95"/>
      <c r="CH30" s="95"/>
    </row>
    <row r="31" spans="1:86" ht="15.6" customHeight="1">
      <c r="A31" s="519"/>
      <c r="B31" s="52" t="s">
        <v>307</v>
      </c>
      <c r="C31" s="327" t="s">
        <v>276</v>
      </c>
      <c r="D31" s="273" t="s">
        <v>149</v>
      </c>
      <c r="E31" s="296" t="s">
        <v>419</v>
      </c>
      <c r="F31" s="295"/>
      <c r="G31" s="257">
        <f>N31</f>
        <v>100</v>
      </c>
      <c r="H31" s="257">
        <f>T31</f>
        <v>100</v>
      </c>
      <c r="I31" s="257">
        <f>PI!D151</f>
        <v>100</v>
      </c>
      <c r="J31" s="257">
        <f>PI!E151</f>
        <v>100</v>
      </c>
      <c r="K31" s="257">
        <f>PI!F151</f>
        <v>100</v>
      </c>
      <c r="L31" s="257">
        <f>PI!G151</f>
        <v>100</v>
      </c>
      <c r="M31" s="257">
        <f>PI!H151</f>
        <v>100</v>
      </c>
      <c r="N31" s="257">
        <f>PI!I151</f>
        <v>100</v>
      </c>
      <c r="O31" s="257">
        <f>PI!J151</f>
        <v>100</v>
      </c>
      <c r="P31" s="257">
        <f>PI!K151</f>
        <v>100</v>
      </c>
      <c r="Q31" s="257">
        <f>PI!L151</f>
        <v>100</v>
      </c>
      <c r="R31" s="257">
        <f>PI!M151</f>
        <v>100</v>
      </c>
      <c r="S31" s="257">
        <f>PI!N151</f>
        <v>100</v>
      </c>
      <c r="T31" s="90">
        <f>PI!O151</f>
        <v>100</v>
      </c>
      <c r="U31" s="36"/>
      <c r="V31" s="36"/>
      <c r="W31" s="51"/>
      <c r="X31" s="52" t="str">
        <f ca="1">T.BANGKIR!X31</f>
        <v>a. Recovery Time Gangguan Meluas TM</v>
      </c>
      <c r="Y31" s="364" t="s">
        <v>276</v>
      </c>
      <c r="Z31" s="53" t="s">
        <v>149</v>
      </c>
      <c r="AA31" s="61"/>
      <c r="AB31" s="53"/>
      <c r="AC31" s="142">
        <f t="shared" si="1"/>
        <v>110</v>
      </c>
      <c r="AD31" s="142">
        <f t="shared" si="2"/>
        <v>0</v>
      </c>
      <c r="AE31" s="142">
        <f>PI!AH151</f>
        <v>110</v>
      </c>
      <c r="AF31" s="142">
        <f>PI!AI151</f>
        <v>110</v>
      </c>
      <c r="AG31" s="142">
        <f>PI!AJ151</f>
        <v>110</v>
      </c>
      <c r="AH31" s="142">
        <f>PI!AK151</f>
        <v>110</v>
      </c>
      <c r="AI31" s="142">
        <f>PI!AL151</f>
        <v>110</v>
      </c>
      <c r="AJ31" s="142">
        <f>PI!AM151</f>
        <v>110</v>
      </c>
      <c r="AK31" s="142">
        <f>PI!AN151</f>
        <v>110</v>
      </c>
      <c r="AL31" s="142">
        <f>PI!AO151</f>
        <v>110</v>
      </c>
      <c r="AM31" s="142">
        <f>PI!AP151</f>
        <v>110</v>
      </c>
      <c r="AN31" s="142">
        <f>PI!AQ151</f>
        <v>110</v>
      </c>
      <c r="AO31" s="142">
        <f>PI!AR151</f>
        <v>0</v>
      </c>
      <c r="AP31" s="95">
        <f>PI!AS151</f>
        <v>0</v>
      </c>
      <c r="AR31"/>
      <c r="AS31" s="51"/>
      <c r="AT31" s="52" t="s">
        <v>307</v>
      </c>
      <c r="AU31" s="364" t="s">
        <v>276</v>
      </c>
      <c r="AV31" s="53" t="s">
        <v>149</v>
      </c>
      <c r="AW31" s="61" t="s">
        <v>419</v>
      </c>
      <c r="AX31" s="53"/>
      <c r="AY31" s="89">
        <f t="shared" si="3"/>
        <v>110.00000000000001</v>
      </c>
      <c r="AZ31" s="89">
        <f t="shared" si="4"/>
        <v>0</v>
      </c>
      <c r="BA31" s="95">
        <f>IFERROR(IF(AE31/I31*100&gt;110,110,AE31/I31*100),100)</f>
        <v>110.00000000000001</v>
      </c>
      <c r="BB31" s="95">
        <f t="shared" ref="BB31:BL32" si="28">IFERROR(IF(AF31/J31*100&gt;110,110,AF31/J31*100),100)</f>
        <v>110.00000000000001</v>
      </c>
      <c r="BC31" s="95">
        <f t="shared" si="28"/>
        <v>110.00000000000001</v>
      </c>
      <c r="BD31" s="95">
        <f t="shared" si="28"/>
        <v>110.00000000000001</v>
      </c>
      <c r="BE31" s="95">
        <f t="shared" si="28"/>
        <v>110.00000000000001</v>
      </c>
      <c r="BF31" s="95">
        <f t="shared" si="28"/>
        <v>110.00000000000001</v>
      </c>
      <c r="BG31" s="95">
        <f t="shared" si="28"/>
        <v>110.00000000000001</v>
      </c>
      <c r="BH31" s="95">
        <f t="shared" si="28"/>
        <v>110.00000000000001</v>
      </c>
      <c r="BI31" s="95">
        <f t="shared" si="28"/>
        <v>110.00000000000001</v>
      </c>
      <c r="BJ31" s="95">
        <f t="shared" si="28"/>
        <v>110.00000000000001</v>
      </c>
      <c r="BK31" s="95">
        <f t="shared" si="28"/>
        <v>0</v>
      </c>
      <c r="BL31" s="95">
        <f t="shared" si="28"/>
        <v>0</v>
      </c>
      <c r="BM31"/>
      <c r="BN31"/>
      <c r="BO31" s="51"/>
      <c r="BP31" s="52" t="s">
        <v>307</v>
      </c>
      <c r="BQ31" s="364" t="s">
        <v>276</v>
      </c>
      <c r="BR31" s="53" t="s">
        <v>149</v>
      </c>
      <c r="BS31" s="61" t="s">
        <v>419</v>
      </c>
      <c r="BT31" s="53">
        <v>3</v>
      </c>
      <c r="BU31" s="89">
        <f t="shared" ref="BU31:BU32" si="29">CB31</f>
        <v>3.3000000000000007</v>
      </c>
      <c r="BV31" s="89">
        <f t="shared" ref="BV31:BV32" si="30">CH31</f>
        <v>0</v>
      </c>
      <c r="BW31" s="111" cm="1">
        <f t="array" ref="BW31:CH31">BT31*BA31:BL31/100</f>
        <v>3.3000000000000007</v>
      </c>
      <c r="BX31" s="95">
        <v>3.3000000000000007</v>
      </c>
      <c r="BY31" s="95">
        <v>3.3000000000000007</v>
      </c>
      <c r="BZ31" s="95">
        <v>3.3000000000000007</v>
      </c>
      <c r="CA31" s="95">
        <v>3.3000000000000007</v>
      </c>
      <c r="CB31" s="95">
        <v>3.3000000000000007</v>
      </c>
      <c r="CC31" s="95">
        <v>3.3000000000000007</v>
      </c>
      <c r="CD31" s="95">
        <v>3.3000000000000007</v>
      </c>
      <c r="CE31" s="95">
        <v>3.3000000000000007</v>
      </c>
      <c r="CF31" s="95">
        <v>3.3000000000000007</v>
      </c>
      <c r="CG31" s="95">
        <v>0</v>
      </c>
      <c r="CH31" s="95">
        <v>0</v>
      </c>
    </row>
    <row r="32" spans="1:86" ht="15.6" customHeight="1">
      <c r="A32" s="519"/>
      <c r="B32" s="540" t="s">
        <v>308</v>
      </c>
      <c r="C32" s="327" t="s">
        <v>276</v>
      </c>
      <c r="D32" s="273" t="s">
        <v>149</v>
      </c>
      <c r="E32" s="296" t="s">
        <v>420</v>
      </c>
      <c r="F32" s="295"/>
      <c r="G32" s="257">
        <f>N32</f>
        <v>100</v>
      </c>
      <c r="H32" s="257">
        <f>T32</f>
        <v>100</v>
      </c>
      <c r="I32" s="257">
        <f>PI!D173</f>
        <v>100</v>
      </c>
      <c r="J32" s="257">
        <f>PI!E173</f>
        <v>100</v>
      </c>
      <c r="K32" s="257">
        <f>PI!F173</f>
        <v>100</v>
      </c>
      <c r="L32" s="257">
        <f>PI!G173</f>
        <v>100</v>
      </c>
      <c r="M32" s="257">
        <f>PI!H173</f>
        <v>100</v>
      </c>
      <c r="N32" s="257">
        <f>PI!I173</f>
        <v>100</v>
      </c>
      <c r="O32" s="257">
        <f>PI!J173</f>
        <v>100</v>
      </c>
      <c r="P32" s="257">
        <f>PI!K173</f>
        <v>100</v>
      </c>
      <c r="Q32" s="257">
        <f>PI!L173</f>
        <v>100</v>
      </c>
      <c r="R32" s="257">
        <f>PI!M173</f>
        <v>100</v>
      </c>
      <c r="S32" s="257">
        <f>PI!N173</f>
        <v>100</v>
      </c>
      <c r="T32" s="90">
        <f>PI!O173</f>
        <v>100</v>
      </c>
      <c r="U32" s="36"/>
      <c r="V32" s="36"/>
      <c r="W32" s="51"/>
      <c r="X32" s="52" t="str">
        <f ca="1">T.BANGKIR!X32</f>
        <v>b. Penormalan Siaga 1 Gangguan TM</v>
      </c>
      <c r="Y32" s="364" t="s">
        <v>276</v>
      </c>
      <c r="Z32" s="53" t="s">
        <v>149</v>
      </c>
      <c r="AA32" s="61"/>
      <c r="AB32" s="53"/>
      <c r="AC32" s="142">
        <f t="shared" si="1"/>
        <v>110</v>
      </c>
      <c r="AD32" s="142">
        <f t="shared" si="2"/>
        <v>0</v>
      </c>
      <c r="AE32" s="142">
        <f>PI!AH173</f>
        <v>110</v>
      </c>
      <c r="AF32" s="142">
        <f>PI!AI173</f>
        <v>110</v>
      </c>
      <c r="AG32" s="142">
        <f>PI!AJ173</f>
        <v>110</v>
      </c>
      <c r="AH32" s="142">
        <f>PI!AK173</f>
        <v>110</v>
      </c>
      <c r="AI32" s="142">
        <f>PI!AL173</f>
        <v>110</v>
      </c>
      <c r="AJ32" s="142">
        <f>PI!AM173</f>
        <v>110</v>
      </c>
      <c r="AK32" s="142">
        <f>PI!AN173</f>
        <v>110</v>
      </c>
      <c r="AL32" s="142">
        <f>PI!AO173</f>
        <v>110</v>
      </c>
      <c r="AM32" s="142">
        <f>PI!AP173</f>
        <v>110</v>
      </c>
      <c r="AN32" s="142">
        <f>PI!AQ173</f>
        <v>110</v>
      </c>
      <c r="AO32" s="142">
        <f>PI!AR173</f>
        <v>0</v>
      </c>
      <c r="AP32" s="95">
        <f>PI!AS173</f>
        <v>0</v>
      </c>
      <c r="AR32"/>
      <c r="AS32" s="51"/>
      <c r="AT32" s="52" t="s">
        <v>308</v>
      </c>
      <c r="AU32" s="364" t="s">
        <v>276</v>
      </c>
      <c r="AV32" s="53" t="s">
        <v>149</v>
      </c>
      <c r="AW32" s="61" t="s">
        <v>420</v>
      </c>
      <c r="AX32" s="53"/>
      <c r="AY32" s="89">
        <f t="shared" si="3"/>
        <v>110.00000000000001</v>
      </c>
      <c r="AZ32" s="89">
        <f t="shared" si="4"/>
        <v>0</v>
      </c>
      <c r="BA32" s="95">
        <f>IFERROR(IF(AE32/I32*100&gt;110,110,AE32/I32*100),100)</f>
        <v>110.00000000000001</v>
      </c>
      <c r="BB32" s="95">
        <f t="shared" si="28"/>
        <v>110.00000000000001</v>
      </c>
      <c r="BC32" s="95">
        <f t="shared" si="28"/>
        <v>110.00000000000001</v>
      </c>
      <c r="BD32" s="95">
        <f t="shared" si="28"/>
        <v>110.00000000000001</v>
      </c>
      <c r="BE32" s="95">
        <f t="shared" si="28"/>
        <v>110.00000000000001</v>
      </c>
      <c r="BF32" s="95">
        <f t="shared" si="28"/>
        <v>110.00000000000001</v>
      </c>
      <c r="BG32" s="95">
        <f t="shared" si="28"/>
        <v>110.00000000000001</v>
      </c>
      <c r="BH32" s="95">
        <f t="shared" si="28"/>
        <v>110.00000000000001</v>
      </c>
      <c r="BI32" s="95">
        <f t="shared" si="28"/>
        <v>110.00000000000001</v>
      </c>
      <c r="BJ32" s="95">
        <f t="shared" si="28"/>
        <v>110.00000000000001</v>
      </c>
      <c r="BK32" s="95">
        <f t="shared" si="28"/>
        <v>0</v>
      </c>
      <c r="BL32" s="95">
        <f t="shared" si="28"/>
        <v>0</v>
      </c>
      <c r="BM32"/>
      <c r="BN32"/>
      <c r="BO32" s="51"/>
      <c r="BP32" s="52" t="s">
        <v>308</v>
      </c>
      <c r="BQ32" s="364" t="s">
        <v>276</v>
      </c>
      <c r="BR32" s="53" t="s">
        <v>149</v>
      </c>
      <c r="BS32" s="61" t="s">
        <v>420</v>
      </c>
      <c r="BT32" s="53">
        <v>3</v>
      </c>
      <c r="BU32" s="89">
        <f t="shared" si="29"/>
        <v>3.3000000000000007</v>
      </c>
      <c r="BV32" s="89">
        <f t="shared" si="30"/>
        <v>0</v>
      </c>
      <c r="BW32" s="111" cm="1">
        <f t="array" ref="BW32:CH32">BT32*BA32:BL32/100</f>
        <v>3.3000000000000007</v>
      </c>
      <c r="BX32" s="95">
        <v>3.3000000000000007</v>
      </c>
      <c r="BY32" s="95">
        <v>3.3000000000000007</v>
      </c>
      <c r="BZ32" s="95">
        <v>3.3000000000000007</v>
      </c>
      <c r="CA32" s="95">
        <v>3.3000000000000007</v>
      </c>
      <c r="CB32" s="95">
        <v>3.3000000000000007</v>
      </c>
      <c r="CC32" s="95">
        <v>3.3000000000000007</v>
      </c>
      <c r="CD32" s="95">
        <v>3.3000000000000007</v>
      </c>
      <c r="CE32" s="95">
        <v>3.3000000000000007</v>
      </c>
      <c r="CF32" s="95">
        <v>3.3000000000000007</v>
      </c>
      <c r="CG32" s="95">
        <v>0</v>
      </c>
      <c r="CH32" s="95">
        <v>0</v>
      </c>
    </row>
    <row r="33" spans="1:86" ht="15.6" customHeight="1">
      <c r="A33" s="519">
        <v>8</v>
      </c>
      <c r="B33" s="267" t="s">
        <v>31</v>
      </c>
      <c r="C33" s="327"/>
      <c r="D33" s="273"/>
      <c r="E33" s="296"/>
      <c r="F33" s="295">
        <v>10</v>
      </c>
      <c r="G33" s="257"/>
      <c r="H33" s="257"/>
      <c r="I33" s="257"/>
      <c r="J33" s="257"/>
      <c r="K33" s="257"/>
      <c r="L33" s="257"/>
      <c r="M33" s="257"/>
      <c r="N33" s="257"/>
      <c r="O33" s="257"/>
      <c r="P33" s="257"/>
      <c r="Q33" s="257"/>
      <c r="R33" s="257"/>
      <c r="S33" s="257"/>
      <c r="T33" s="90"/>
      <c r="U33" s="36"/>
      <c r="V33" s="36"/>
      <c r="W33" s="51">
        <f ca="1">T.BANGKIR!W33</f>
        <v>8</v>
      </c>
      <c r="X33" s="267" t="str">
        <f ca="1">T.BANGKIR!X33</f>
        <v>Percepatan Penyambungan Pelanggan</v>
      </c>
      <c r="Y33" s="364"/>
      <c r="Z33" s="53"/>
      <c r="AA33" s="61"/>
      <c r="AB33" s="53">
        <v>10</v>
      </c>
      <c r="AC33" s="142"/>
      <c r="AD33" s="142"/>
      <c r="AE33" s="142"/>
      <c r="AF33" s="142"/>
      <c r="AG33" s="142"/>
      <c r="AH33" s="142"/>
      <c r="AI33" s="142"/>
      <c r="AJ33" s="142"/>
      <c r="AK33" s="142"/>
      <c r="AL33" s="142"/>
      <c r="AM33" s="142"/>
      <c r="AN33" s="142"/>
      <c r="AO33" s="142"/>
      <c r="AP33" s="95"/>
      <c r="AR33"/>
      <c r="AS33" s="51">
        <v>8</v>
      </c>
      <c r="AT33" s="267" t="s">
        <v>31</v>
      </c>
      <c r="AU33" s="364"/>
      <c r="AV33" s="53"/>
      <c r="AW33" s="61"/>
      <c r="AX33" s="53">
        <v>10</v>
      </c>
      <c r="AY33" s="89"/>
      <c r="AZ33" s="89"/>
      <c r="BA33" s="95"/>
      <c r="BB33" s="95"/>
      <c r="BC33" s="95"/>
      <c r="BD33" s="95"/>
      <c r="BE33" s="95"/>
      <c r="BF33" s="95"/>
      <c r="BG33" s="95"/>
      <c r="BH33" s="95"/>
      <c r="BI33" s="95"/>
      <c r="BJ33" s="95"/>
      <c r="BK33" s="95"/>
      <c r="BL33" s="95"/>
      <c r="BM33"/>
      <c r="BN33"/>
      <c r="BO33" s="51">
        <v>8</v>
      </c>
      <c r="BP33" s="267" t="s">
        <v>31</v>
      </c>
      <c r="BQ33" s="364"/>
      <c r="BR33" s="53"/>
      <c r="BS33" s="61"/>
      <c r="BT33" s="513">
        <v>10</v>
      </c>
      <c r="BU33" s="89"/>
      <c r="BV33" s="89"/>
      <c r="BW33" s="95"/>
      <c r="BX33" s="95"/>
      <c r="BY33" s="95"/>
      <c r="BZ33" s="95"/>
      <c r="CA33" s="95"/>
      <c r="CB33" s="95"/>
      <c r="CC33" s="95"/>
      <c r="CD33" s="95"/>
      <c r="CE33" s="95"/>
      <c r="CF33" s="95"/>
      <c r="CG33" s="95"/>
      <c r="CH33" s="95"/>
    </row>
    <row r="34" spans="1:86" ht="15.6" customHeight="1">
      <c r="A34" s="519"/>
      <c r="B34" s="52" t="s">
        <v>311</v>
      </c>
      <c r="C34" s="327" t="s">
        <v>276</v>
      </c>
      <c r="D34" s="273" t="s">
        <v>312</v>
      </c>
      <c r="E34" s="296" t="s">
        <v>421</v>
      </c>
      <c r="F34" s="295"/>
      <c r="G34" s="257">
        <f>N34</f>
        <v>0.62</v>
      </c>
      <c r="H34" s="257">
        <f>T34</f>
        <v>1.57</v>
      </c>
      <c r="I34" s="257">
        <f>PI!D196</f>
        <v>0.08</v>
      </c>
      <c r="J34" s="257">
        <f>PI!E196</f>
        <v>0.17</v>
      </c>
      <c r="K34" s="257">
        <f>PI!F196</f>
        <v>0.26</v>
      </c>
      <c r="L34" s="257">
        <f>PI!G196</f>
        <v>0.35</v>
      </c>
      <c r="M34" s="257">
        <f>PI!H196</f>
        <v>0.49</v>
      </c>
      <c r="N34" s="257">
        <f>PI!I196</f>
        <v>0.62</v>
      </c>
      <c r="O34" s="257">
        <f>PI!J196</f>
        <v>0.76</v>
      </c>
      <c r="P34" s="257">
        <f>PI!K196</f>
        <v>0.89</v>
      </c>
      <c r="Q34" s="257">
        <f>PI!L196</f>
        <v>1.03</v>
      </c>
      <c r="R34" s="257">
        <f>PI!M196</f>
        <v>1.1599999999999999</v>
      </c>
      <c r="S34" s="257">
        <f>PI!N196</f>
        <v>1.29</v>
      </c>
      <c r="T34" s="90">
        <f>PI!O196</f>
        <v>1.57</v>
      </c>
      <c r="U34" s="36"/>
      <c r="V34" s="36"/>
      <c r="W34" s="51"/>
      <c r="X34" s="52" t="str">
        <f ca="1">T.BANGKIR!X34</f>
        <v>a. Penambahan Daya Tersambung</v>
      </c>
      <c r="Y34" s="364" t="s">
        <v>276</v>
      </c>
      <c r="Z34" s="53" t="s">
        <v>312</v>
      </c>
      <c r="AA34" s="61"/>
      <c r="AB34" s="53"/>
      <c r="AC34" s="142">
        <f t="shared" si="1"/>
        <v>0.58365</v>
      </c>
      <c r="AD34" s="142">
        <f t="shared" si="2"/>
        <v>0</v>
      </c>
      <c r="AE34" s="142">
        <f>PI!AH196</f>
        <v>0.23050000000000001</v>
      </c>
      <c r="AF34" s="142">
        <f>PI!AI196</f>
        <v>0.27365</v>
      </c>
      <c r="AG34" s="142">
        <f>PI!AJ196</f>
        <v>0.34379999999999999</v>
      </c>
      <c r="AH34" s="142">
        <f>PI!AK196</f>
        <v>0.45839999999999997</v>
      </c>
      <c r="AI34" s="142">
        <f>PI!AL196</f>
        <v>0.52405000000000002</v>
      </c>
      <c r="AJ34" s="142">
        <f>PI!AM196</f>
        <v>0.58365</v>
      </c>
      <c r="AK34" s="142">
        <f>PI!AN196</f>
        <v>0.65820000000000001</v>
      </c>
      <c r="AL34" s="142">
        <f>PI!AO196</f>
        <v>0.76949999999999996</v>
      </c>
      <c r="AM34" s="142">
        <f>PI!AP196</f>
        <v>0.86299999999999999</v>
      </c>
      <c r="AN34" s="142">
        <f>PI!AQ196</f>
        <v>0.9304</v>
      </c>
      <c r="AO34" s="142">
        <f>PI!AR196</f>
        <v>0</v>
      </c>
      <c r="AP34" s="95">
        <f>PI!AS196</f>
        <v>0</v>
      </c>
      <c r="AR34"/>
      <c r="AS34" s="51"/>
      <c r="AT34" s="52" t="s">
        <v>311</v>
      </c>
      <c r="AU34" s="364" t="s">
        <v>276</v>
      </c>
      <c r="AV34" s="53" t="s">
        <v>312</v>
      </c>
      <c r="AW34" s="61" t="s">
        <v>421</v>
      </c>
      <c r="AX34" s="53"/>
      <c r="AY34" s="89">
        <f t="shared" si="3"/>
        <v>94.137096774193552</v>
      </c>
      <c r="AZ34" s="89">
        <f t="shared" si="4"/>
        <v>0</v>
      </c>
      <c r="BA34" s="95">
        <f>IFERROR(IF(AE34/I34*100&gt;110,110,AE34/I34*100),100)</f>
        <v>110</v>
      </c>
      <c r="BB34" s="95">
        <f t="shared" ref="BB34:BL37" si="31">IFERROR(IF(AF34/J34*100&gt;110,110,AF34/J34*100),100)</f>
        <v>110</v>
      </c>
      <c r="BC34" s="95">
        <f t="shared" si="31"/>
        <v>110</v>
      </c>
      <c r="BD34" s="95">
        <f t="shared" si="31"/>
        <v>110</v>
      </c>
      <c r="BE34" s="95">
        <f t="shared" si="31"/>
        <v>106.94897959183673</v>
      </c>
      <c r="BF34" s="95">
        <f t="shared" si="31"/>
        <v>94.137096774193552</v>
      </c>
      <c r="BG34" s="95">
        <f t="shared" si="31"/>
        <v>86.60526315789474</v>
      </c>
      <c r="BH34" s="95">
        <f t="shared" si="31"/>
        <v>86.460674157303359</v>
      </c>
      <c r="BI34" s="95">
        <f t="shared" si="31"/>
        <v>83.786407766990294</v>
      </c>
      <c r="BJ34" s="95">
        <f t="shared" si="31"/>
        <v>80.206896551724142</v>
      </c>
      <c r="BK34" s="95">
        <f t="shared" si="31"/>
        <v>0</v>
      </c>
      <c r="BL34" s="95">
        <f t="shared" si="31"/>
        <v>0</v>
      </c>
      <c r="BM34"/>
      <c r="BN34"/>
      <c r="BO34" s="51"/>
      <c r="BP34" s="52" t="s">
        <v>311</v>
      </c>
      <c r="BQ34" s="364" t="s">
        <v>276</v>
      </c>
      <c r="BR34" s="53" t="s">
        <v>312</v>
      </c>
      <c r="BS34" s="61" t="s">
        <v>421</v>
      </c>
      <c r="BT34" s="53">
        <v>2.5</v>
      </c>
      <c r="BU34" s="89">
        <f t="shared" ref="BU34:BU37" si="32">CB34</f>
        <v>2.3534274193548388</v>
      </c>
      <c r="BV34" s="89">
        <f t="shared" ref="BV34:BV37" si="33">CH34</f>
        <v>0</v>
      </c>
      <c r="BW34" s="111" cm="1">
        <f t="array" ref="BW34:CH34">BT34*BA34:BL34/100</f>
        <v>2.75</v>
      </c>
      <c r="BX34" s="95">
        <v>2.75</v>
      </c>
      <c r="BY34" s="95">
        <v>2.75</v>
      </c>
      <c r="BZ34" s="95">
        <v>2.75</v>
      </c>
      <c r="CA34" s="95">
        <v>2.673724489795918</v>
      </c>
      <c r="CB34" s="95">
        <v>2.3534274193548388</v>
      </c>
      <c r="CC34" s="95">
        <v>2.1651315789473684</v>
      </c>
      <c r="CD34" s="95">
        <v>2.161516853932584</v>
      </c>
      <c r="CE34" s="95">
        <v>2.0946601941747574</v>
      </c>
      <c r="CF34" s="95">
        <v>2.0051724137931033</v>
      </c>
      <c r="CG34" s="95">
        <v>0</v>
      </c>
      <c r="CH34" s="95">
        <v>0</v>
      </c>
    </row>
    <row r="35" spans="1:86" ht="15.6" customHeight="1">
      <c r="A35" s="520"/>
      <c r="B35" s="52" t="s">
        <v>313</v>
      </c>
      <c r="C35" s="301" t="s">
        <v>276</v>
      </c>
      <c r="D35" s="273" t="s">
        <v>133</v>
      </c>
      <c r="E35" s="53" t="s">
        <v>422</v>
      </c>
      <c r="F35" s="61"/>
      <c r="G35" s="274">
        <f>N35</f>
        <v>556</v>
      </c>
      <c r="H35" s="274">
        <f>T35</f>
        <v>1280</v>
      </c>
      <c r="I35" s="274">
        <f>PI!D202</f>
        <v>76</v>
      </c>
      <c r="J35" s="274">
        <f>PI!E202</f>
        <v>154</v>
      </c>
      <c r="K35" s="274">
        <f>PI!F202</f>
        <v>237</v>
      </c>
      <c r="L35" s="274">
        <f>PI!G202</f>
        <v>316</v>
      </c>
      <c r="M35" s="274">
        <f>PI!H202</f>
        <v>438</v>
      </c>
      <c r="N35" s="274">
        <f>PI!I202</f>
        <v>556</v>
      </c>
      <c r="O35" s="274">
        <f>PI!J202</f>
        <v>678</v>
      </c>
      <c r="P35" s="274">
        <f>PI!K202</f>
        <v>800</v>
      </c>
      <c r="Q35" s="274">
        <f>PI!L202</f>
        <v>918</v>
      </c>
      <c r="R35" s="274">
        <f>PI!M202</f>
        <v>1040</v>
      </c>
      <c r="S35" s="274">
        <f>PI!N202</f>
        <v>1158</v>
      </c>
      <c r="T35" s="91">
        <f>PI!O202</f>
        <v>1280</v>
      </c>
      <c r="U35" s="36"/>
      <c r="V35" s="36"/>
      <c r="W35" s="51"/>
      <c r="X35" s="52" t="str">
        <f ca="1">T.BANGKIR!X35</f>
        <v>b. Penambahan Jumlah Pelanggan</v>
      </c>
      <c r="Y35" s="364" t="s">
        <v>276</v>
      </c>
      <c r="Z35" s="53" t="s">
        <v>133</v>
      </c>
      <c r="AA35" s="61"/>
      <c r="AB35" s="53"/>
      <c r="AC35" s="142">
        <f t="shared" si="1"/>
        <v>424</v>
      </c>
      <c r="AD35" s="142">
        <f t="shared" si="2"/>
        <v>0</v>
      </c>
      <c r="AE35" s="142">
        <f>PI!AH202</f>
        <v>168</v>
      </c>
      <c r="AF35" s="142">
        <f>PI!AI202</f>
        <v>214</v>
      </c>
      <c r="AG35" s="142">
        <f>PI!AJ202</f>
        <v>261</v>
      </c>
      <c r="AH35" s="142">
        <f>PI!AK202</f>
        <v>312</v>
      </c>
      <c r="AI35" s="142">
        <f>PI!AL202</f>
        <v>365</v>
      </c>
      <c r="AJ35" s="142">
        <f>PI!AM202</f>
        <v>424</v>
      </c>
      <c r="AK35" s="142">
        <f>PI!AN202</f>
        <v>462</v>
      </c>
      <c r="AL35" s="142">
        <f>PI!AO202</f>
        <v>500</v>
      </c>
      <c r="AM35" s="142">
        <f>PI!AP202</f>
        <v>557</v>
      </c>
      <c r="AN35" s="142">
        <f>PI!AQ202</f>
        <v>618</v>
      </c>
      <c r="AO35" s="142">
        <f>PI!AR202</f>
        <v>0</v>
      </c>
      <c r="AP35" s="95">
        <f>PI!AS202</f>
        <v>0</v>
      </c>
      <c r="AR35"/>
      <c r="AS35" s="51"/>
      <c r="AT35" s="52" t="s">
        <v>313</v>
      </c>
      <c r="AU35" s="364" t="s">
        <v>276</v>
      </c>
      <c r="AV35" s="53" t="s">
        <v>133</v>
      </c>
      <c r="AW35" s="61" t="s">
        <v>422</v>
      </c>
      <c r="AX35" s="53"/>
      <c r="AY35" s="89">
        <f t="shared" si="3"/>
        <v>76.258992805755398</v>
      </c>
      <c r="AZ35" s="89">
        <f t="shared" si="4"/>
        <v>0</v>
      </c>
      <c r="BA35" s="95">
        <f>IFERROR(IF(AE35/I35*100&gt;110,110,AE35/I35*100),100)</f>
        <v>110</v>
      </c>
      <c r="BB35" s="95">
        <f t="shared" si="31"/>
        <v>110</v>
      </c>
      <c r="BC35" s="95">
        <f t="shared" si="31"/>
        <v>110</v>
      </c>
      <c r="BD35" s="95">
        <f t="shared" si="31"/>
        <v>98.734177215189874</v>
      </c>
      <c r="BE35" s="95">
        <f t="shared" si="31"/>
        <v>83.333333333333343</v>
      </c>
      <c r="BF35" s="95">
        <f t="shared" si="31"/>
        <v>76.258992805755398</v>
      </c>
      <c r="BG35" s="95">
        <f t="shared" si="31"/>
        <v>68.141592920353972</v>
      </c>
      <c r="BH35" s="95">
        <f t="shared" si="31"/>
        <v>62.5</v>
      </c>
      <c r="BI35" s="95">
        <f t="shared" si="31"/>
        <v>60.675381263616558</v>
      </c>
      <c r="BJ35" s="95">
        <f t="shared" si="31"/>
        <v>59.42307692307692</v>
      </c>
      <c r="BK35" s="95">
        <f t="shared" si="31"/>
        <v>0</v>
      </c>
      <c r="BL35" s="95">
        <f t="shared" si="31"/>
        <v>0</v>
      </c>
      <c r="BM35"/>
      <c r="BN35"/>
      <c r="BO35" s="51"/>
      <c r="BP35" s="52" t="s">
        <v>313</v>
      </c>
      <c r="BQ35" s="364" t="s">
        <v>276</v>
      </c>
      <c r="BR35" s="53" t="s">
        <v>133</v>
      </c>
      <c r="BS35" s="61" t="s">
        <v>422</v>
      </c>
      <c r="BT35" s="53">
        <v>2.5</v>
      </c>
      <c r="BU35" s="89">
        <f t="shared" si="32"/>
        <v>1.9064748201438848</v>
      </c>
      <c r="BV35" s="89">
        <f t="shared" si="33"/>
        <v>0</v>
      </c>
      <c r="BW35" s="111" cm="1">
        <f t="array" ref="BW35:CH35">BT35*BA35:BL35/100</f>
        <v>2.75</v>
      </c>
      <c r="BX35" s="95">
        <v>2.75</v>
      </c>
      <c r="BY35" s="95">
        <v>2.75</v>
      </c>
      <c r="BZ35" s="95">
        <v>2.4683544303797471</v>
      </c>
      <c r="CA35" s="95">
        <v>2.0833333333333339</v>
      </c>
      <c r="CB35" s="95">
        <v>1.9064748201438848</v>
      </c>
      <c r="CC35" s="95">
        <v>1.7035398230088492</v>
      </c>
      <c r="CD35" s="95">
        <v>1.5625</v>
      </c>
      <c r="CE35" s="95">
        <v>1.5168845315904138</v>
      </c>
      <c r="CF35" s="95">
        <v>1.4855769230769229</v>
      </c>
      <c r="CG35" s="95">
        <v>0</v>
      </c>
      <c r="CH35" s="95">
        <v>0</v>
      </c>
    </row>
    <row r="36" spans="1:86" ht="15.6" customHeight="1">
      <c r="A36" s="519"/>
      <c r="B36" s="52" t="s">
        <v>314</v>
      </c>
      <c r="C36" s="327" t="s">
        <v>276</v>
      </c>
      <c r="D36" s="273" t="s">
        <v>133</v>
      </c>
      <c r="E36" s="296" t="s">
        <v>423</v>
      </c>
      <c r="F36" s="295"/>
      <c r="G36" s="257">
        <f>N36</f>
        <v>90</v>
      </c>
      <c r="H36" s="257">
        <f>T36</f>
        <v>150</v>
      </c>
      <c r="I36" s="257">
        <f>PI!D208</f>
        <v>15</v>
      </c>
      <c r="J36" s="257">
        <f>PI!E208</f>
        <v>30</v>
      </c>
      <c r="K36" s="257">
        <f>PI!F208</f>
        <v>45</v>
      </c>
      <c r="L36" s="257">
        <f>PI!G208</f>
        <v>60</v>
      </c>
      <c r="M36" s="257">
        <f>PI!H208</f>
        <v>75</v>
      </c>
      <c r="N36" s="257">
        <f>PI!I208</f>
        <v>90</v>
      </c>
      <c r="O36" s="257">
        <f>PI!J208</f>
        <v>100</v>
      </c>
      <c r="P36" s="257">
        <f>PI!K208</f>
        <v>110</v>
      </c>
      <c r="Q36" s="257">
        <f>PI!L208</f>
        <v>120</v>
      </c>
      <c r="R36" s="257">
        <f>PI!M208</f>
        <v>130</v>
      </c>
      <c r="S36" s="257">
        <f>PI!N208</f>
        <v>140</v>
      </c>
      <c r="T36" s="90">
        <f>PI!O208</f>
        <v>150</v>
      </c>
      <c r="U36" s="36"/>
      <c r="V36" s="36"/>
      <c r="W36" s="51"/>
      <c r="X36" s="52" t="str">
        <f ca="1">T.BANGKIR!X36</f>
        <v>c. Jumlah Penambahan Pelanggan Produk Tematik</v>
      </c>
      <c r="Y36" s="364" t="s">
        <v>276</v>
      </c>
      <c r="Z36" s="53" t="s">
        <v>133</v>
      </c>
      <c r="AA36" s="61"/>
      <c r="AB36" s="53"/>
      <c r="AC36" s="142">
        <f t="shared" si="1"/>
        <v>99</v>
      </c>
      <c r="AD36" s="142">
        <f t="shared" si="2"/>
        <v>0</v>
      </c>
      <c r="AE36" s="142">
        <f>PI!AH208</f>
        <v>17</v>
      </c>
      <c r="AF36" s="142">
        <f>PI!AI208</f>
        <v>18</v>
      </c>
      <c r="AG36" s="142">
        <f>PI!AJ208</f>
        <v>34</v>
      </c>
      <c r="AH36" s="142">
        <f>PI!AK208</f>
        <v>34</v>
      </c>
      <c r="AI36" s="142">
        <f>PI!AL208</f>
        <v>50</v>
      </c>
      <c r="AJ36" s="142">
        <f>PI!AM208</f>
        <v>99</v>
      </c>
      <c r="AK36" s="142">
        <f>PI!AN208</f>
        <v>99</v>
      </c>
      <c r="AL36" s="142">
        <f>PI!AO208</f>
        <v>133</v>
      </c>
      <c r="AM36" s="142">
        <f>PI!AP208</f>
        <v>138</v>
      </c>
      <c r="AN36" s="142">
        <f>PI!AQ208</f>
        <v>146</v>
      </c>
      <c r="AO36" s="142">
        <f>PI!AR208</f>
        <v>0</v>
      </c>
      <c r="AP36" s="95">
        <f>PI!AS208</f>
        <v>0</v>
      </c>
      <c r="AR36"/>
      <c r="AS36" s="51"/>
      <c r="AT36" s="52" t="s">
        <v>314</v>
      </c>
      <c r="AU36" s="364" t="s">
        <v>276</v>
      </c>
      <c r="AV36" s="53" t="s">
        <v>133</v>
      </c>
      <c r="AW36" s="61" t="s">
        <v>423</v>
      </c>
      <c r="AX36" s="53"/>
      <c r="AY36" s="89">
        <f t="shared" si="3"/>
        <v>110.00000000000001</v>
      </c>
      <c r="AZ36" s="89">
        <f t="shared" si="4"/>
        <v>0</v>
      </c>
      <c r="BA36" s="95">
        <f>IFERROR(IF(AE36/I36*100&gt;110,110,AE36/I36*100),100)</f>
        <v>110</v>
      </c>
      <c r="BB36" s="95">
        <f t="shared" si="31"/>
        <v>60</v>
      </c>
      <c r="BC36" s="95">
        <f t="shared" si="31"/>
        <v>75.555555555555557</v>
      </c>
      <c r="BD36" s="95">
        <f t="shared" si="31"/>
        <v>56.666666666666664</v>
      </c>
      <c r="BE36" s="95">
        <f t="shared" si="31"/>
        <v>66.666666666666657</v>
      </c>
      <c r="BF36" s="95">
        <f t="shared" si="31"/>
        <v>110.00000000000001</v>
      </c>
      <c r="BG36" s="95">
        <f t="shared" si="31"/>
        <v>99</v>
      </c>
      <c r="BH36" s="95">
        <f t="shared" si="31"/>
        <v>110</v>
      </c>
      <c r="BI36" s="95">
        <f t="shared" si="31"/>
        <v>110</v>
      </c>
      <c r="BJ36" s="95">
        <f t="shared" si="31"/>
        <v>110</v>
      </c>
      <c r="BK36" s="95">
        <f t="shared" si="31"/>
        <v>0</v>
      </c>
      <c r="BL36" s="95">
        <f t="shared" si="31"/>
        <v>0</v>
      </c>
      <c r="BM36"/>
      <c r="BN36"/>
      <c r="BO36" s="51"/>
      <c r="BP36" s="52" t="s">
        <v>314</v>
      </c>
      <c r="BQ36" s="364" t="s">
        <v>276</v>
      </c>
      <c r="BR36" s="53" t="s">
        <v>133</v>
      </c>
      <c r="BS36" s="61" t="s">
        <v>423</v>
      </c>
      <c r="BT36" s="53">
        <v>2.5</v>
      </c>
      <c r="BU36" s="89">
        <f t="shared" si="32"/>
        <v>2.7500000000000004</v>
      </c>
      <c r="BV36" s="89">
        <f t="shared" si="33"/>
        <v>0</v>
      </c>
      <c r="BW36" s="111" cm="1">
        <f t="array" ref="BW36:CH36">BT36*BA36:BL36/100</f>
        <v>2.75</v>
      </c>
      <c r="BX36" s="95">
        <v>1.5</v>
      </c>
      <c r="BY36" s="95">
        <v>1.8888888888888888</v>
      </c>
      <c r="BZ36" s="95">
        <v>1.4166666666666665</v>
      </c>
      <c r="CA36" s="95">
        <v>1.6666666666666663</v>
      </c>
      <c r="CB36" s="95">
        <v>2.7500000000000004</v>
      </c>
      <c r="CC36" s="95">
        <v>2.4750000000000001</v>
      </c>
      <c r="CD36" s="95">
        <v>2.75</v>
      </c>
      <c r="CE36" s="95">
        <v>2.75</v>
      </c>
      <c r="CF36" s="95">
        <v>2.75</v>
      </c>
      <c r="CG36" s="95">
        <v>0</v>
      </c>
      <c r="CH36" s="95">
        <v>0</v>
      </c>
    </row>
    <row r="37" spans="1:86" ht="15.6" customHeight="1">
      <c r="A37" s="529"/>
      <c r="B37" s="52" t="s">
        <v>315</v>
      </c>
      <c r="C37" s="327" t="s">
        <v>276</v>
      </c>
      <c r="D37" s="273" t="s">
        <v>133</v>
      </c>
      <c r="E37" s="296" t="s">
        <v>424</v>
      </c>
      <c r="F37" s="295"/>
      <c r="G37" s="257"/>
      <c r="H37" s="257"/>
      <c r="I37" s="257"/>
      <c r="J37" s="257"/>
      <c r="K37" s="257"/>
      <c r="L37" s="257"/>
      <c r="M37" s="257"/>
      <c r="N37" s="257"/>
      <c r="O37" s="257"/>
      <c r="P37" s="257"/>
      <c r="Q37" s="257"/>
      <c r="R37" s="257"/>
      <c r="S37" s="257"/>
      <c r="T37" s="90"/>
      <c r="U37" s="36"/>
      <c r="V37" s="36"/>
      <c r="W37" s="51"/>
      <c r="X37" s="52" t="str">
        <f ca="1">T.BANGKIR!X37</f>
        <v>d. Implementasi Kesesuaian Sektor Bisnis sesuai KBLI 2020</v>
      </c>
      <c r="Y37" s="364" t="s">
        <v>276</v>
      </c>
      <c r="Z37" s="53" t="s">
        <v>133</v>
      </c>
      <c r="AA37" s="61"/>
      <c r="AB37" s="53"/>
      <c r="AC37" s="142">
        <f t="shared" si="1"/>
        <v>0</v>
      </c>
      <c r="AD37" s="142">
        <f t="shared" si="2"/>
        <v>0</v>
      </c>
      <c r="AE37" s="142">
        <f>PI!AH214</f>
        <v>0</v>
      </c>
      <c r="AF37" s="142">
        <f>PI!AI214</f>
        <v>0</v>
      </c>
      <c r="AG37" s="142">
        <f>PI!AJ214</f>
        <v>0</v>
      </c>
      <c r="AH37" s="142">
        <f>PI!AK214</f>
        <v>0</v>
      </c>
      <c r="AI37" s="142">
        <f>PI!AL214</f>
        <v>0</v>
      </c>
      <c r="AJ37" s="142">
        <f>PI!AM214</f>
        <v>0</v>
      </c>
      <c r="AK37" s="142">
        <f>PI!AN214</f>
        <v>0</v>
      </c>
      <c r="AL37" s="142">
        <f>PI!AO214</f>
        <v>0</v>
      </c>
      <c r="AM37" s="142">
        <f>PI!AP214</f>
        <v>0</v>
      </c>
      <c r="AN37" s="142">
        <f>PI!AQ214</f>
        <v>0</v>
      </c>
      <c r="AO37" s="142">
        <f>PI!AR214</f>
        <v>0</v>
      </c>
      <c r="AP37" s="95">
        <f>PI!AS214</f>
        <v>0</v>
      </c>
      <c r="AR37"/>
      <c r="AS37" s="51"/>
      <c r="AT37" s="52" t="s">
        <v>315</v>
      </c>
      <c r="AU37" s="364" t="s">
        <v>276</v>
      </c>
      <c r="AV37" s="53" t="s">
        <v>133</v>
      </c>
      <c r="AW37" s="61" t="s">
        <v>424</v>
      </c>
      <c r="AX37" s="53"/>
      <c r="AY37" s="89">
        <f t="shared" si="3"/>
        <v>100</v>
      </c>
      <c r="AZ37" s="89">
        <f t="shared" si="4"/>
        <v>100</v>
      </c>
      <c r="BA37" s="95">
        <f>IFERROR(IF(AE37/I37*100&gt;110,110,AE37/I37*100),100)</f>
        <v>100</v>
      </c>
      <c r="BB37" s="95">
        <f t="shared" si="31"/>
        <v>100</v>
      </c>
      <c r="BC37" s="95">
        <f t="shared" si="31"/>
        <v>100</v>
      </c>
      <c r="BD37" s="95">
        <f t="shared" si="31"/>
        <v>100</v>
      </c>
      <c r="BE37" s="95">
        <f t="shared" si="31"/>
        <v>100</v>
      </c>
      <c r="BF37" s="95">
        <f t="shared" si="31"/>
        <v>100</v>
      </c>
      <c r="BG37" s="95">
        <f t="shared" si="31"/>
        <v>100</v>
      </c>
      <c r="BH37" s="95">
        <f t="shared" si="31"/>
        <v>100</v>
      </c>
      <c r="BI37" s="95">
        <f t="shared" si="31"/>
        <v>100</v>
      </c>
      <c r="BJ37" s="95">
        <f t="shared" si="31"/>
        <v>100</v>
      </c>
      <c r="BK37" s="95">
        <f t="shared" si="31"/>
        <v>100</v>
      </c>
      <c r="BL37" s="95">
        <f t="shared" si="31"/>
        <v>100</v>
      </c>
      <c r="BM37"/>
      <c r="BN37"/>
      <c r="BO37" s="51"/>
      <c r="BP37" s="52" t="s">
        <v>315</v>
      </c>
      <c r="BQ37" s="364" t="s">
        <v>276</v>
      </c>
      <c r="BR37" s="53" t="s">
        <v>133</v>
      </c>
      <c r="BS37" s="61" t="s">
        <v>424</v>
      </c>
      <c r="BT37" s="53">
        <v>2.5</v>
      </c>
      <c r="BU37" s="89">
        <f t="shared" si="32"/>
        <v>2.5</v>
      </c>
      <c r="BV37" s="89">
        <f t="shared" si="33"/>
        <v>2.5</v>
      </c>
      <c r="BW37" s="111" cm="1">
        <f t="array" ref="BW37:CH37">BT37*BA37:BL37/100</f>
        <v>2.5</v>
      </c>
      <c r="BX37" s="95">
        <v>2.5</v>
      </c>
      <c r="BY37" s="95">
        <v>2.5</v>
      </c>
      <c r="BZ37" s="95">
        <v>2.5</v>
      </c>
      <c r="CA37" s="95">
        <v>2.5</v>
      </c>
      <c r="CB37" s="95">
        <v>2.5</v>
      </c>
      <c r="CC37" s="95">
        <v>2.5</v>
      </c>
      <c r="CD37" s="95">
        <v>2.5</v>
      </c>
      <c r="CE37" s="95">
        <v>2.5</v>
      </c>
      <c r="CF37" s="95">
        <v>2.5</v>
      </c>
      <c r="CG37" s="95">
        <v>2.5</v>
      </c>
      <c r="CH37" s="95">
        <v>2.5</v>
      </c>
    </row>
    <row r="38" spans="1:86" ht="15.6" customHeight="1">
      <c r="A38" s="519">
        <v>9</v>
      </c>
      <c r="B38" s="267" t="s">
        <v>425</v>
      </c>
      <c r="C38" s="327"/>
      <c r="D38" s="273"/>
      <c r="E38" s="296"/>
      <c r="F38" s="295">
        <v>4</v>
      </c>
      <c r="G38" s="257"/>
      <c r="H38" s="257"/>
      <c r="I38" s="257"/>
      <c r="J38" s="257"/>
      <c r="K38" s="257"/>
      <c r="L38" s="257"/>
      <c r="M38" s="257"/>
      <c r="N38" s="257"/>
      <c r="O38" s="257"/>
      <c r="P38" s="257"/>
      <c r="Q38" s="257"/>
      <c r="R38" s="257"/>
      <c r="S38" s="257"/>
      <c r="T38" s="90"/>
      <c r="U38" s="36"/>
      <c r="V38" s="36"/>
      <c r="W38" s="51">
        <f ca="1">T.BANGKIR!W38</f>
        <v>9</v>
      </c>
      <c r="X38" s="267" t="str">
        <f ca="1">T.BANGKIR!X38</f>
        <v>Percepatan Penyambungan Pelanggan Lisdes</v>
      </c>
      <c r="Y38" s="364"/>
      <c r="Z38" s="53"/>
      <c r="AA38" s="61" t="e">
        <f>#REF!</f>
        <v>#REF!</v>
      </c>
      <c r="AB38" s="53">
        <v>4</v>
      </c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95"/>
      <c r="AR38"/>
      <c r="AS38" s="51">
        <v>9</v>
      </c>
      <c r="AT38" s="267" t="s">
        <v>425</v>
      </c>
      <c r="AU38" s="364"/>
      <c r="AV38" s="53"/>
      <c r="AW38" s="61"/>
      <c r="AX38" s="53">
        <v>4</v>
      </c>
      <c r="AY38" s="89"/>
      <c r="AZ38" s="89"/>
      <c r="BA38" s="95"/>
      <c r="BB38" s="95"/>
      <c r="BC38" s="95"/>
      <c r="BD38" s="95"/>
      <c r="BE38" s="95"/>
      <c r="BF38" s="95"/>
      <c r="BG38" s="95"/>
      <c r="BH38" s="95"/>
      <c r="BI38" s="95"/>
      <c r="BJ38" s="95"/>
      <c r="BK38" s="95"/>
      <c r="BL38" s="95"/>
      <c r="BM38"/>
      <c r="BN38"/>
      <c r="BO38" s="51">
        <v>9</v>
      </c>
      <c r="BP38" s="267" t="s">
        <v>425</v>
      </c>
      <c r="BQ38" s="364"/>
      <c r="BR38" s="53"/>
      <c r="BS38" s="61"/>
      <c r="BT38" s="513">
        <v>4</v>
      </c>
      <c r="BU38" s="89"/>
      <c r="BV38" s="89"/>
      <c r="BW38" s="95"/>
      <c r="BX38" s="95"/>
      <c r="BY38" s="95"/>
      <c r="BZ38" s="95"/>
      <c r="CA38" s="95"/>
      <c r="CB38" s="95"/>
      <c r="CC38" s="95"/>
      <c r="CD38" s="95"/>
      <c r="CE38" s="95"/>
      <c r="CF38" s="95"/>
      <c r="CG38" s="95"/>
      <c r="CH38" s="95"/>
    </row>
    <row r="39" spans="1:86" ht="15.6" customHeight="1">
      <c r="A39" s="519"/>
      <c r="B39" s="52" t="s">
        <v>426</v>
      </c>
      <c r="C39" s="327" t="s">
        <v>276</v>
      </c>
      <c r="D39" s="273" t="s">
        <v>133</v>
      </c>
      <c r="E39" s="296" t="s">
        <v>427</v>
      </c>
      <c r="F39" s="295"/>
      <c r="G39" s="257">
        <f>N39</f>
        <v>4</v>
      </c>
      <c r="H39" s="257">
        <f>T39</f>
        <v>128</v>
      </c>
      <c r="I39" s="257">
        <f>PI!D220</f>
        <v>0</v>
      </c>
      <c r="J39" s="257">
        <f>PI!E220</f>
        <v>1</v>
      </c>
      <c r="K39" s="257">
        <f>PI!F220</f>
        <v>1</v>
      </c>
      <c r="L39" s="257">
        <f>PI!G220</f>
        <v>1</v>
      </c>
      <c r="M39" s="257">
        <f>PI!H220</f>
        <v>2</v>
      </c>
      <c r="N39" s="257">
        <f>PI!I220</f>
        <v>4</v>
      </c>
      <c r="O39" s="257">
        <f>PI!J220</f>
        <v>11</v>
      </c>
      <c r="P39" s="257">
        <f>PI!K220</f>
        <v>18</v>
      </c>
      <c r="Q39" s="257">
        <f>PI!L220</f>
        <v>29</v>
      </c>
      <c r="R39" s="257">
        <f>PI!M220</f>
        <v>47</v>
      </c>
      <c r="S39" s="257">
        <f>PI!N220</f>
        <v>77</v>
      </c>
      <c r="T39" s="90">
        <f>PI!O220</f>
        <v>128</v>
      </c>
      <c r="U39" s="36"/>
      <c r="V39" s="36"/>
      <c r="W39" s="51"/>
      <c r="X39" s="52" t="str">
        <f ca="1">T.BANGKIR!X39</f>
        <v>a. Penambahan Jumlah Pelanggan Rumah Tangga Lisdes</v>
      </c>
      <c r="Y39" s="364" t="s">
        <v>276</v>
      </c>
      <c r="Z39" s="53" t="s">
        <v>133</v>
      </c>
      <c r="AA39" s="61"/>
      <c r="AB39" s="53"/>
      <c r="AC39" s="142">
        <f t="shared" si="1"/>
        <v>54</v>
      </c>
      <c r="AD39" s="142">
        <f t="shared" si="2"/>
        <v>0</v>
      </c>
      <c r="AE39" s="142">
        <f>PI!AH220</f>
        <v>35</v>
      </c>
      <c r="AF39" s="142">
        <f>PI!AI220</f>
        <v>44</v>
      </c>
      <c r="AG39" s="142">
        <f>PI!AJ220</f>
        <v>48</v>
      </c>
      <c r="AH39" s="142">
        <f>PI!AK220</f>
        <v>53</v>
      </c>
      <c r="AI39" s="142">
        <f>PI!AL220</f>
        <v>54</v>
      </c>
      <c r="AJ39" s="142">
        <f>PI!AM220</f>
        <v>54</v>
      </c>
      <c r="AK39" s="142">
        <f>PI!AN220</f>
        <v>54</v>
      </c>
      <c r="AL39" s="142">
        <f>PI!AO220</f>
        <v>54</v>
      </c>
      <c r="AM39" s="142">
        <f>PI!AP220</f>
        <v>54</v>
      </c>
      <c r="AN39" s="142">
        <f>PI!AQ220</f>
        <v>57</v>
      </c>
      <c r="AO39" s="142">
        <f>PI!AR220</f>
        <v>0</v>
      </c>
      <c r="AP39" s="95">
        <f>PI!AS220</f>
        <v>0</v>
      </c>
      <c r="AR39"/>
      <c r="AS39" s="51"/>
      <c r="AT39" s="52" t="s">
        <v>426</v>
      </c>
      <c r="AU39" s="364" t="s">
        <v>276</v>
      </c>
      <c r="AV39" s="53" t="s">
        <v>133</v>
      </c>
      <c r="AW39" s="61" t="s">
        <v>427</v>
      </c>
      <c r="AX39" s="53"/>
      <c r="AY39" s="89">
        <f t="shared" si="3"/>
        <v>110</v>
      </c>
      <c r="AZ39" s="89">
        <f t="shared" si="4"/>
        <v>0</v>
      </c>
      <c r="BA39" s="95">
        <f>IFERROR(IF(AE39/I39*100&gt;110,110,AE39/I39*100),100)</f>
        <v>100</v>
      </c>
      <c r="BB39" s="95">
        <f t="shared" ref="BB39:BL40" si="34">IFERROR(IF(AF39/J39*100&gt;110,110,AF39/J39*100),100)</f>
        <v>110</v>
      </c>
      <c r="BC39" s="95">
        <f t="shared" si="34"/>
        <v>110</v>
      </c>
      <c r="BD39" s="95">
        <f t="shared" si="34"/>
        <v>110</v>
      </c>
      <c r="BE39" s="95">
        <f t="shared" si="34"/>
        <v>110</v>
      </c>
      <c r="BF39" s="95">
        <f t="shared" si="34"/>
        <v>110</v>
      </c>
      <c r="BG39" s="95">
        <f t="shared" si="34"/>
        <v>110</v>
      </c>
      <c r="BH39" s="95">
        <f t="shared" si="34"/>
        <v>110</v>
      </c>
      <c r="BI39" s="95">
        <f t="shared" si="34"/>
        <v>110</v>
      </c>
      <c r="BJ39" s="95">
        <f t="shared" si="34"/>
        <v>110</v>
      </c>
      <c r="BK39" s="95">
        <f t="shared" si="34"/>
        <v>0</v>
      </c>
      <c r="BL39" s="95">
        <f t="shared" si="34"/>
        <v>0</v>
      </c>
      <c r="BM39"/>
      <c r="BN39"/>
      <c r="BO39" s="51"/>
      <c r="BP39" s="52" t="s">
        <v>426</v>
      </c>
      <c r="BQ39" s="364" t="s">
        <v>276</v>
      </c>
      <c r="BR39" s="53" t="s">
        <v>133</v>
      </c>
      <c r="BS39" s="61" t="s">
        <v>427</v>
      </c>
      <c r="BT39" s="53">
        <v>2</v>
      </c>
      <c r="BU39" s="89">
        <f t="shared" ref="BU39:BU40" si="35">CB39</f>
        <v>2.2000000000000002</v>
      </c>
      <c r="BV39" s="89">
        <f t="shared" ref="BV39:BV40" si="36">CH39</f>
        <v>0</v>
      </c>
      <c r="BW39" s="111" cm="1">
        <f t="array" ref="BW39:CH39">BT39*BA39:BL39/100</f>
        <v>2</v>
      </c>
      <c r="BX39" s="95">
        <v>2.2000000000000002</v>
      </c>
      <c r="BY39" s="95">
        <v>2.2000000000000002</v>
      </c>
      <c r="BZ39" s="95">
        <v>2.2000000000000002</v>
      </c>
      <c r="CA39" s="95">
        <v>2.2000000000000002</v>
      </c>
      <c r="CB39" s="95">
        <v>2.2000000000000002</v>
      </c>
      <c r="CC39" s="95">
        <v>2.2000000000000002</v>
      </c>
      <c r="CD39" s="95">
        <v>2.2000000000000002</v>
      </c>
      <c r="CE39" s="95">
        <v>2.2000000000000002</v>
      </c>
      <c r="CF39" s="95">
        <v>2.2000000000000002</v>
      </c>
      <c r="CG39" s="95">
        <v>0</v>
      </c>
      <c r="CH39" s="95">
        <v>0</v>
      </c>
    </row>
    <row r="40" spans="1:86" ht="15.6" customHeight="1">
      <c r="A40" s="519"/>
      <c r="B40" s="52" t="s">
        <v>428</v>
      </c>
      <c r="C40" s="327" t="s">
        <v>276</v>
      </c>
      <c r="D40" s="273" t="s">
        <v>429</v>
      </c>
      <c r="E40" s="296" t="s">
        <v>430</v>
      </c>
      <c r="F40" s="295"/>
      <c r="G40" s="257">
        <f>N40</f>
        <v>162</v>
      </c>
      <c r="H40" s="257">
        <f>T40</f>
        <v>17110.491000000002</v>
      </c>
      <c r="I40" s="257">
        <f>PI!D226</f>
        <v>0</v>
      </c>
      <c r="J40" s="257">
        <f>PI!E226</f>
        <v>40.5</v>
      </c>
      <c r="K40" s="257">
        <f>PI!F226</f>
        <v>40.5</v>
      </c>
      <c r="L40" s="257">
        <f>PI!G226</f>
        <v>40.5</v>
      </c>
      <c r="M40" s="257">
        <f>PI!H226</f>
        <v>81</v>
      </c>
      <c r="N40" s="257">
        <f>PI!I226</f>
        <v>162</v>
      </c>
      <c r="O40" s="257">
        <f>PI!J226</f>
        <v>1470.433</v>
      </c>
      <c r="P40" s="257">
        <f>PI!K226</f>
        <v>2406.163</v>
      </c>
      <c r="Q40" s="257">
        <f>PI!L226</f>
        <v>3876.596</v>
      </c>
      <c r="R40" s="257">
        <f>PI!M226</f>
        <v>6282.759</v>
      </c>
      <c r="S40" s="257">
        <f>PI!N226</f>
        <v>10293.030000000001</v>
      </c>
      <c r="T40" s="90">
        <f>PI!O226</f>
        <v>17110.491000000002</v>
      </c>
      <c r="U40" s="36"/>
      <c r="V40" s="36"/>
      <c r="W40" s="51"/>
      <c r="X40" s="52" t="str">
        <f ca="1">T.BANGKIR!X40</f>
        <v>b. Peningkatan kWh Penjualan dari Pelanggan Rumah Tangga Lisdes</v>
      </c>
      <c r="Y40" s="364" t="s">
        <v>276</v>
      </c>
      <c r="Z40" s="53" t="s">
        <v>429</v>
      </c>
      <c r="AA40" s="61" t="e">
        <f>#REF!</f>
        <v>#REF!</v>
      </c>
      <c r="AB40" s="53"/>
      <c r="AC40" s="142">
        <f t="shared" si="1"/>
        <v>18973.800000000003</v>
      </c>
      <c r="AD40" s="142">
        <f t="shared" si="2"/>
        <v>0</v>
      </c>
      <c r="AE40" s="142">
        <f>PI!AH226</f>
        <v>8530</v>
      </c>
      <c r="AF40" s="142">
        <f>PI!AI226</f>
        <v>14226.8</v>
      </c>
      <c r="AG40" s="142">
        <f>PI!AJ226</f>
        <v>14800.400000000001</v>
      </c>
      <c r="AH40" s="142">
        <f>PI!AK226</f>
        <v>15733.2</v>
      </c>
      <c r="AI40" s="142">
        <f>PI!AL226</f>
        <v>17680.300000000003</v>
      </c>
      <c r="AJ40" s="142">
        <f>PI!AM226</f>
        <v>18973.800000000003</v>
      </c>
      <c r="AK40" s="142">
        <f>PI!AN226</f>
        <v>20717.900000000001</v>
      </c>
      <c r="AL40" s="142">
        <f>PI!AO226</f>
        <v>22466.2</v>
      </c>
      <c r="AM40" s="142">
        <f>PI!AP226</f>
        <v>24409.8</v>
      </c>
      <c r="AN40" s="142">
        <f>PI!AQ226</f>
        <v>26906.6</v>
      </c>
      <c r="AO40" s="142">
        <f>PI!AR226</f>
        <v>0</v>
      </c>
      <c r="AP40" s="95">
        <f>PI!AS226</f>
        <v>0</v>
      </c>
      <c r="AR40"/>
      <c r="AS40" s="51"/>
      <c r="AT40" s="52" t="s">
        <v>428</v>
      </c>
      <c r="AU40" s="364" t="s">
        <v>276</v>
      </c>
      <c r="AV40" s="53" t="s">
        <v>429</v>
      </c>
      <c r="AW40" s="61" t="s">
        <v>430</v>
      </c>
      <c r="AX40" s="53"/>
      <c r="AY40" s="89">
        <f t="shared" si="3"/>
        <v>110</v>
      </c>
      <c r="AZ40" s="89">
        <f t="shared" si="4"/>
        <v>0</v>
      </c>
      <c r="BA40" s="95">
        <f>IFERROR(IF(AE40/I40*100&gt;110,110,AE40/I40*100),100)</f>
        <v>100</v>
      </c>
      <c r="BB40" s="95">
        <f t="shared" si="34"/>
        <v>110</v>
      </c>
      <c r="BC40" s="95">
        <f t="shared" si="34"/>
        <v>110</v>
      </c>
      <c r="BD40" s="95">
        <f t="shared" si="34"/>
        <v>110</v>
      </c>
      <c r="BE40" s="95">
        <f t="shared" si="34"/>
        <v>110</v>
      </c>
      <c r="BF40" s="95">
        <f t="shared" si="34"/>
        <v>110</v>
      </c>
      <c r="BG40" s="95">
        <f t="shared" si="34"/>
        <v>110</v>
      </c>
      <c r="BH40" s="95">
        <f t="shared" si="34"/>
        <v>110</v>
      </c>
      <c r="BI40" s="95">
        <f t="shared" si="34"/>
        <v>110</v>
      </c>
      <c r="BJ40" s="95">
        <f t="shared" si="34"/>
        <v>110</v>
      </c>
      <c r="BK40" s="95">
        <f t="shared" si="34"/>
        <v>0</v>
      </c>
      <c r="BL40" s="95">
        <f t="shared" si="34"/>
        <v>0</v>
      </c>
      <c r="BM40"/>
      <c r="BN40"/>
      <c r="BO40" s="51"/>
      <c r="BP40" s="52" t="s">
        <v>428</v>
      </c>
      <c r="BQ40" s="364" t="s">
        <v>276</v>
      </c>
      <c r="BR40" s="53" t="s">
        <v>429</v>
      </c>
      <c r="BS40" s="61" t="s">
        <v>430</v>
      </c>
      <c r="BT40" s="53">
        <v>2</v>
      </c>
      <c r="BU40" s="89">
        <f t="shared" si="35"/>
        <v>2.2000000000000002</v>
      </c>
      <c r="BV40" s="89">
        <f t="shared" si="36"/>
        <v>0</v>
      </c>
      <c r="BW40" s="111" cm="1">
        <f t="array" ref="BW40:CH40">BT40*BA40:BL40/100</f>
        <v>2</v>
      </c>
      <c r="BX40" s="95">
        <v>2.2000000000000002</v>
      </c>
      <c r="BY40" s="95">
        <v>2.2000000000000002</v>
      </c>
      <c r="BZ40" s="95">
        <v>2.2000000000000002</v>
      </c>
      <c r="CA40" s="95">
        <v>2.2000000000000002</v>
      </c>
      <c r="CB40" s="95">
        <v>2.2000000000000002</v>
      </c>
      <c r="CC40" s="95">
        <v>2.2000000000000002</v>
      </c>
      <c r="CD40" s="95">
        <v>2.2000000000000002</v>
      </c>
      <c r="CE40" s="95">
        <v>2.2000000000000002</v>
      </c>
      <c r="CF40" s="95">
        <v>2.2000000000000002</v>
      </c>
      <c r="CG40" s="95">
        <v>0</v>
      </c>
      <c r="CH40" s="95">
        <v>0</v>
      </c>
    </row>
    <row r="41" spans="1:86" ht="15.6" customHeight="1">
      <c r="A41" s="519">
        <v>10</v>
      </c>
      <c r="B41" s="267" t="s">
        <v>320</v>
      </c>
      <c r="C41" s="327"/>
      <c r="D41" s="273"/>
      <c r="E41" s="296"/>
      <c r="F41" s="295">
        <v>8</v>
      </c>
      <c r="G41" s="257"/>
      <c r="H41" s="257"/>
      <c r="I41" s="257"/>
      <c r="J41" s="257"/>
      <c r="K41" s="257"/>
      <c r="L41" s="257"/>
      <c r="M41" s="257"/>
      <c r="N41" s="257"/>
      <c r="O41" s="257"/>
      <c r="P41" s="257"/>
      <c r="Q41" s="257"/>
      <c r="R41" s="257"/>
      <c r="S41" s="257"/>
      <c r="T41" s="90"/>
      <c r="U41" s="36"/>
      <c r="V41" s="36"/>
      <c r="W41" s="51">
        <f ca="1">T.BANGKIR!W41</f>
        <v>10</v>
      </c>
      <c r="X41" s="267" t="str">
        <f ca="1">T.BANGKIR!X41</f>
        <v>Pengelolaan Pembacaan Meter</v>
      </c>
      <c r="Y41" s="364"/>
      <c r="Z41" s="53"/>
      <c r="AA41" s="61" t="e">
        <f>#REF!</f>
        <v>#REF!</v>
      </c>
      <c r="AB41" s="53">
        <v>8</v>
      </c>
      <c r="AC41" s="142"/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95"/>
      <c r="AR41"/>
      <c r="AS41" s="51">
        <v>10</v>
      </c>
      <c r="AT41" s="267" t="s">
        <v>320</v>
      </c>
      <c r="AU41" s="364"/>
      <c r="AV41" s="53"/>
      <c r="AW41" s="61"/>
      <c r="AX41" s="53">
        <v>8</v>
      </c>
      <c r="AY41" s="89"/>
      <c r="AZ41" s="89"/>
      <c r="BA41" s="95"/>
      <c r="BB41" s="95"/>
      <c r="BC41" s="95"/>
      <c r="BD41" s="95"/>
      <c r="BE41" s="95"/>
      <c r="BF41" s="95"/>
      <c r="BG41" s="95"/>
      <c r="BH41" s="95"/>
      <c r="BI41" s="95"/>
      <c r="BJ41" s="95"/>
      <c r="BK41" s="95"/>
      <c r="BL41" s="95"/>
      <c r="BM41"/>
      <c r="BN41"/>
      <c r="BO41" s="51">
        <v>10</v>
      </c>
      <c r="BP41" s="267" t="s">
        <v>320</v>
      </c>
      <c r="BQ41" s="364"/>
      <c r="BR41" s="53"/>
      <c r="BS41" s="61"/>
      <c r="BT41" s="513">
        <v>8</v>
      </c>
      <c r="BU41" s="89"/>
      <c r="BV41" s="89"/>
      <c r="BW41" s="95"/>
      <c r="BX41" s="95"/>
      <c r="BY41" s="95"/>
      <c r="BZ41" s="95"/>
      <c r="CA41" s="95"/>
      <c r="CB41" s="95"/>
      <c r="CC41" s="95"/>
      <c r="CD41" s="95"/>
      <c r="CE41" s="95"/>
      <c r="CF41" s="95"/>
      <c r="CG41" s="95"/>
      <c r="CH41" s="95"/>
    </row>
    <row r="42" spans="1:86" ht="15.6" customHeight="1">
      <c r="A42" s="517"/>
      <c r="B42" s="52" t="s">
        <v>321</v>
      </c>
      <c r="C42" s="327" t="s">
        <v>276</v>
      </c>
      <c r="D42" s="273" t="s">
        <v>133</v>
      </c>
      <c r="E42" s="296" t="s">
        <v>431</v>
      </c>
      <c r="F42" s="295"/>
      <c r="G42" s="257">
        <f>N42</f>
        <v>12</v>
      </c>
      <c r="H42" s="257">
        <f>T42</f>
        <v>12</v>
      </c>
      <c r="I42" s="257">
        <f>PI!D236</f>
        <v>12</v>
      </c>
      <c r="J42" s="257">
        <f>PI!E236</f>
        <v>12</v>
      </c>
      <c r="K42" s="257">
        <f>PI!F236</f>
        <v>12</v>
      </c>
      <c r="L42" s="257">
        <f>PI!G236</f>
        <v>12</v>
      </c>
      <c r="M42" s="257">
        <f>PI!H236</f>
        <v>12</v>
      </c>
      <c r="N42" s="257">
        <f>PI!I236</f>
        <v>12</v>
      </c>
      <c r="O42" s="257">
        <f>PI!J236</f>
        <v>12</v>
      </c>
      <c r="P42" s="257">
        <f>PI!K236</f>
        <v>12</v>
      </c>
      <c r="Q42" s="257">
        <f>PI!L236</f>
        <v>12</v>
      </c>
      <c r="R42" s="257">
        <f>PI!M236</f>
        <v>12</v>
      </c>
      <c r="S42" s="257">
        <f>PI!N236</f>
        <v>12</v>
      </c>
      <c r="T42" s="90">
        <f>PI!O236</f>
        <v>12</v>
      </c>
      <c r="U42" s="36"/>
      <c r="V42" s="36"/>
      <c r="W42" s="51"/>
      <c r="X42" s="52" t="str">
        <f ca="1">T.BANGKIR!X42</f>
        <v>a. Jumlah Pengguna Swa Cam</v>
      </c>
      <c r="Y42" s="364" t="s">
        <v>276</v>
      </c>
      <c r="Z42" s="53" t="s">
        <v>133</v>
      </c>
      <c r="AA42" s="61" t="e">
        <f>#REF!</f>
        <v>#REF!</v>
      </c>
      <c r="AB42" s="53"/>
      <c r="AC42" s="142">
        <f t="shared" si="1"/>
        <v>22.666666666666668</v>
      </c>
      <c r="AD42" s="142">
        <f t="shared" si="2"/>
        <v>39</v>
      </c>
      <c r="AE42" s="142">
        <f>PI!AH236</f>
        <v>21</v>
      </c>
      <c r="AF42" s="142">
        <f>PI!AI236</f>
        <v>22</v>
      </c>
      <c r="AG42" s="142">
        <f>PI!AJ236</f>
        <v>22.5</v>
      </c>
      <c r="AH42" s="142">
        <f>PI!AK236</f>
        <v>22</v>
      </c>
      <c r="AI42" s="142">
        <f>PI!AL236</f>
        <v>22</v>
      </c>
      <c r="AJ42" s="142">
        <f>PI!AM236</f>
        <v>22.666666666666668</v>
      </c>
      <c r="AK42" s="142">
        <f>PI!AN236</f>
        <v>26.285714285714285</v>
      </c>
      <c r="AL42" s="142">
        <f>PI!AO236</f>
        <v>32.25</v>
      </c>
      <c r="AM42" s="142">
        <f>PI!AP236</f>
        <v>37.222222222222221</v>
      </c>
      <c r="AN42" s="142">
        <f>PI!AQ236</f>
        <v>39</v>
      </c>
      <c r="AO42" s="142">
        <f>PI!AR236</f>
        <v>39</v>
      </c>
      <c r="AP42" s="95">
        <f>PI!AS236</f>
        <v>39</v>
      </c>
      <c r="AR42"/>
      <c r="AS42" s="51"/>
      <c r="AT42" s="52" t="s">
        <v>321</v>
      </c>
      <c r="AU42" s="364" t="s">
        <v>276</v>
      </c>
      <c r="AV42" s="53" t="s">
        <v>133</v>
      </c>
      <c r="AW42" s="61" t="s">
        <v>431</v>
      </c>
      <c r="AX42" s="53"/>
      <c r="AY42" s="89">
        <f t="shared" si="3"/>
        <v>110</v>
      </c>
      <c r="AZ42" s="89">
        <f t="shared" si="4"/>
        <v>110</v>
      </c>
      <c r="BA42" s="95">
        <f>IFERROR(IF(AE42/I42*100&gt;110,110,AE42/I42*100),100)</f>
        <v>110</v>
      </c>
      <c r="BB42" s="95">
        <f t="shared" ref="BB42:BL44" si="37">IFERROR(IF(AF42/J42*100&gt;110,110,AF42/J42*100),100)</f>
        <v>110</v>
      </c>
      <c r="BC42" s="95">
        <f t="shared" si="37"/>
        <v>110</v>
      </c>
      <c r="BD42" s="95">
        <f t="shared" si="37"/>
        <v>110</v>
      </c>
      <c r="BE42" s="95">
        <f t="shared" si="37"/>
        <v>110</v>
      </c>
      <c r="BF42" s="95">
        <f t="shared" si="37"/>
        <v>110</v>
      </c>
      <c r="BG42" s="95">
        <f t="shared" si="37"/>
        <v>110</v>
      </c>
      <c r="BH42" s="95">
        <f t="shared" si="37"/>
        <v>110</v>
      </c>
      <c r="BI42" s="95">
        <f t="shared" si="37"/>
        <v>110</v>
      </c>
      <c r="BJ42" s="95">
        <f t="shared" si="37"/>
        <v>110</v>
      </c>
      <c r="BK42" s="95">
        <f t="shared" si="37"/>
        <v>110</v>
      </c>
      <c r="BL42" s="95">
        <f t="shared" si="37"/>
        <v>110</v>
      </c>
      <c r="BM42"/>
      <c r="BN42"/>
      <c r="BO42" s="51"/>
      <c r="BP42" s="52" t="s">
        <v>321</v>
      </c>
      <c r="BQ42" s="364" t="s">
        <v>276</v>
      </c>
      <c r="BR42" s="53" t="s">
        <v>133</v>
      </c>
      <c r="BS42" s="61" t="s">
        <v>431</v>
      </c>
      <c r="BT42" s="53">
        <v>4</v>
      </c>
      <c r="BU42" s="89">
        <f t="shared" ref="BU42:BU44" si="38">CB42</f>
        <v>4.4000000000000004</v>
      </c>
      <c r="BV42" s="89">
        <f t="shared" ref="BV42:BV44" si="39">CH42</f>
        <v>4.4000000000000004</v>
      </c>
      <c r="BW42" s="111" cm="1">
        <f t="array" ref="BW42:CH42">BT42*BA42:BL42/100</f>
        <v>4.4000000000000004</v>
      </c>
      <c r="BX42" s="95">
        <v>4.4000000000000004</v>
      </c>
      <c r="BY42" s="95">
        <v>4.4000000000000004</v>
      </c>
      <c r="BZ42" s="95">
        <v>4.4000000000000004</v>
      </c>
      <c r="CA42" s="95">
        <v>4.4000000000000004</v>
      </c>
      <c r="CB42" s="95">
        <v>4.4000000000000004</v>
      </c>
      <c r="CC42" s="95">
        <v>4.4000000000000004</v>
      </c>
      <c r="CD42" s="95">
        <v>4.4000000000000004</v>
      </c>
      <c r="CE42" s="95">
        <v>4.4000000000000004</v>
      </c>
      <c r="CF42" s="95">
        <v>4.4000000000000004</v>
      </c>
      <c r="CG42" s="95">
        <v>4.4000000000000004</v>
      </c>
      <c r="CH42" s="95">
        <v>4.4000000000000004</v>
      </c>
    </row>
    <row r="43" spans="1:86" ht="15.6" customHeight="1">
      <c r="A43" s="519"/>
      <c r="B43" s="52" t="s">
        <v>323</v>
      </c>
      <c r="C43" s="327" t="s">
        <v>278</v>
      </c>
      <c r="D43" s="273" t="s">
        <v>133</v>
      </c>
      <c r="E43" s="296" t="s">
        <v>432</v>
      </c>
      <c r="F43" s="295"/>
      <c r="G43" s="257"/>
      <c r="H43" s="257"/>
      <c r="I43" s="257"/>
      <c r="J43" s="257"/>
      <c r="K43" s="257"/>
      <c r="L43" s="257"/>
      <c r="M43" s="257"/>
      <c r="N43" s="257"/>
      <c r="O43" s="257"/>
      <c r="P43" s="257"/>
      <c r="Q43" s="257"/>
      <c r="R43" s="257"/>
      <c r="S43" s="257"/>
      <c r="T43" s="90"/>
      <c r="U43" s="36"/>
      <c r="V43" s="36"/>
      <c r="W43" s="51"/>
      <c r="X43" s="52" t="str">
        <f ca="1">T.BANGKIR!X43</f>
        <v>b. Tindak Lanjut LBKB (Laporan Bulanan Kelainan Baca Meter)</v>
      </c>
      <c r="Y43" s="364" t="s">
        <v>278</v>
      </c>
      <c r="Z43" s="53" t="s">
        <v>133</v>
      </c>
      <c r="AA43" s="61" t="e">
        <f>#REF!</f>
        <v>#REF!</v>
      </c>
      <c r="AB43" s="53"/>
      <c r="AC43" s="142">
        <f t="shared" si="1"/>
        <v>0</v>
      </c>
      <c r="AD43" s="142">
        <f t="shared" si="2"/>
        <v>0</v>
      </c>
      <c r="AE43" s="142">
        <v>0</v>
      </c>
      <c r="AF43" s="142">
        <v>0</v>
      </c>
      <c r="AG43" s="142">
        <v>0</v>
      </c>
      <c r="AH43" s="142">
        <v>0</v>
      </c>
      <c r="AI43" s="142">
        <v>0</v>
      </c>
      <c r="AJ43" s="142">
        <v>0</v>
      </c>
      <c r="AK43" s="142">
        <v>0</v>
      </c>
      <c r="AL43" s="142">
        <v>0</v>
      </c>
      <c r="AM43" s="142">
        <v>0</v>
      </c>
      <c r="AN43" s="142">
        <v>0</v>
      </c>
      <c r="AO43" s="142">
        <v>0</v>
      </c>
      <c r="AP43" s="95">
        <v>0</v>
      </c>
      <c r="AR43"/>
      <c r="AS43" s="51"/>
      <c r="AT43" s="52" t="s">
        <v>323</v>
      </c>
      <c r="AU43" s="364" t="s">
        <v>278</v>
      </c>
      <c r="AV43" s="53" t="s">
        <v>133</v>
      </c>
      <c r="AW43" s="61" t="s">
        <v>432</v>
      </c>
      <c r="AX43" s="53"/>
      <c r="AY43" s="89">
        <f t="shared" si="3"/>
        <v>100</v>
      </c>
      <c r="AZ43" s="89">
        <f t="shared" si="4"/>
        <v>100</v>
      </c>
      <c r="BA43" s="95">
        <f>IFERROR(IF(AE43/I43*100&gt;110,110,AE43/I43*100),100)</f>
        <v>100</v>
      </c>
      <c r="BB43" s="95">
        <f t="shared" si="37"/>
        <v>100</v>
      </c>
      <c r="BC43" s="95">
        <f t="shared" si="37"/>
        <v>100</v>
      </c>
      <c r="BD43" s="95">
        <f t="shared" si="37"/>
        <v>100</v>
      </c>
      <c r="BE43" s="95">
        <f t="shared" si="37"/>
        <v>100</v>
      </c>
      <c r="BF43" s="95">
        <f t="shared" si="37"/>
        <v>100</v>
      </c>
      <c r="BG43" s="95">
        <f t="shared" si="37"/>
        <v>100</v>
      </c>
      <c r="BH43" s="95">
        <f t="shared" si="37"/>
        <v>100</v>
      </c>
      <c r="BI43" s="95">
        <f t="shared" si="37"/>
        <v>100</v>
      </c>
      <c r="BJ43" s="95">
        <f t="shared" si="37"/>
        <v>100</v>
      </c>
      <c r="BK43" s="95">
        <f t="shared" si="37"/>
        <v>100</v>
      </c>
      <c r="BL43" s="95">
        <f t="shared" si="37"/>
        <v>100</v>
      </c>
      <c r="BM43"/>
      <c r="BN43"/>
      <c r="BO43" s="51"/>
      <c r="BP43" s="52" t="s">
        <v>323</v>
      </c>
      <c r="BQ43" s="364" t="s">
        <v>278</v>
      </c>
      <c r="BR43" s="53" t="s">
        <v>133</v>
      </c>
      <c r="BS43" s="61" t="s">
        <v>432</v>
      </c>
      <c r="BT43" s="53">
        <v>4</v>
      </c>
      <c r="BU43" s="89">
        <f t="shared" si="38"/>
        <v>4</v>
      </c>
      <c r="BV43" s="89">
        <f t="shared" si="39"/>
        <v>4</v>
      </c>
      <c r="BW43" s="111" cm="1">
        <f t="array" ref="BW43:CH43">BT43*BA43:BL43/100</f>
        <v>4</v>
      </c>
      <c r="BX43" s="95">
        <v>4</v>
      </c>
      <c r="BY43" s="95">
        <v>4</v>
      </c>
      <c r="BZ43" s="95">
        <v>4</v>
      </c>
      <c r="CA43" s="95">
        <v>4</v>
      </c>
      <c r="CB43" s="95">
        <v>4</v>
      </c>
      <c r="CC43" s="95">
        <v>4</v>
      </c>
      <c r="CD43" s="95">
        <v>4</v>
      </c>
      <c r="CE43" s="95">
        <v>4</v>
      </c>
      <c r="CF43" s="95">
        <v>4</v>
      </c>
      <c r="CG43" s="95">
        <v>4</v>
      </c>
      <c r="CH43" s="95">
        <v>4</v>
      </c>
    </row>
    <row r="44" spans="1:86" ht="15.6" customHeight="1">
      <c r="A44" s="519">
        <v>11</v>
      </c>
      <c r="B44" s="267" t="s">
        <v>433</v>
      </c>
      <c r="C44" s="327" t="s">
        <v>276</v>
      </c>
      <c r="D44" s="273" t="s">
        <v>149</v>
      </c>
      <c r="E44" s="296" t="s">
        <v>434</v>
      </c>
      <c r="F44" s="295">
        <v>3</v>
      </c>
      <c r="G44" s="257">
        <f>N44</f>
        <v>100</v>
      </c>
      <c r="H44" s="257">
        <f>T44</f>
        <v>100</v>
      </c>
      <c r="I44" s="257">
        <f>PI!D252</f>
        <v>100</v>
      </c>
      <c r="J44" s="257">
        <f>PI!E252</f>
        <v>100</v>
      </c>
      <c r="K44" s="257">
        <f>PI!F252</f>
        <v>100</v>
      </c>
      <c r="L44" s="257">
        <f>PI!G252</f>
        <v>100</v>
      </c>
      <c r="M44" s="257">
        <f>PI!H252</f>
        <v>100</v>
      </c>
      <c r="N44" s="257">
        <f>PI!I252</f>
        <v>100</v>
      </c>
      <c r="O44" s="257">
        <f>PI!J252</f>
        <v>100</v>
      </c>
      <c r="P44" s="257">
        <f>PI!K252</f>
        <v>100</v>
      </c>
      <c r="Q44" s="257">
        <f>PI!L252</f>
        <v>100</v>
      </c>
      <c r="R44" s="257">
        <f>PI!M252</f>
        <v>100</v>
      </c>
      <c r="S44" s="257">
        <f>PI!N252</f>
        <v>100</v>
      </c>
      <c r="T44" s="90">
        <f>PI!O252</f>
        <v>100</v>
      </c>
      <c r="U44" s="36"/>
      <c r="V44" s="36"/>
      <c r="W44" s="51">
        <f ca="1">T.BANGKIR!W44</f>
        <v>11</v>
      </c>
      <c r="X44" s="267" t="str">
        <f ca="1">T.BANGKIR!X44</f>
        <v>Sisa Stand Bongkar Migrasi</v>
      </c>
      <c r="Y44" s="364" t="s">
        <v>276</v>
      </c>
      <c r="Z44" s="53"/>
      <c r="AA44" s="61"/>
      <c r="AB44" s="53">
        <v>3</v>
      </c>
      <c r="AC44" s="142">
        <f t="shared" si="1"/>
        <v>100</v>
      </c>
      <c r="AD44" s="142">
        <f t="shared" si="2"/>
        <v>100</v>
      </c>
      <c r="AE44" s="142">
        <f>PI!AH252</f>
        <v>100</v>
      </c>
      <c r="AF44" s="142">
        <f>PI!AI252</f>
        <v>100</v>
      </c>
      <c r="AG44" s="142">
        <f>PI!AJ252</f>
        <v>100</v>
      </c>
      <c r="AH44" s="142">
        <f>PI!AK252</f>
        <v>100</v>
      </c>
      <c r="AI44" s="142">
        <f>PI!AL252</f>
        <v>100</v>
      </c>
      <c r="AJ44" s="142">
        <f>PI!AM252</f>
        <v>100</v>
      </c>
      <c r="AK44" s="142">
        <f>PI!AN252</f>
        <v>100</v>
      </c>
      <c r="AL44" s="142">
        <f>PI!AO252</f>
        <v>100</v>
      </c>
      <c r="AM44" s="142">
        <f>PI!AP252</f>
        <v>100</v>
      </c>
      <c r="AN44" s="142">
        <f>PI!AQ252</f>
        <v>100</v>
      </c>
      <c r="AO44" s="142">
        <f>PI!AR252</f>
        <v>100</v>
      </c>
      <c r="AP44" s="95">
        <f>PI!AS252</f>
        <v>100</v>
      </c>
      <c r="AR44"/>
      <c r="AS44" s="51">
        <v>11</v>
      </c>
      <c r="AT44" s="267" t="s">
        <v>433</v>
      </c>
      <c r="AU44" s="364" t="s">
        <v>276</v>
      </c>
      <c r="AV44" s="53" t="s">
        <v>149</v>
      </c>
      <c r="AW44" s="61" t="s">
        <v>434</v>
      </c>
      <c r="AX44" s="53">
        <v>3</v>
      </c>
      <c r="AY44" s="89">
        <f t="shared" si="3"/>
        <v>100</v>
      </c>
      <c r="AZ44" s="89">
        <f t="shared" si="4"/>
        <v>100</v>
      </c>
      <c r="BA44" s="95">
        <f>IFERROR(IF(AE44/I44*100&gt;110,110,AE44/I44*100),100)</f>
        <v>100</v>
      </c>
      <c r="BB44" s="95">
        <f t="shared" si="37"/>
        <v>100</v>
      </c>
      <c r="BC44" s="95">
        <f t="shared" si="37"/>
        <v>100</v>
      </c>
      <c r="BD44" s="95">
        <f t="shared" si="37"/>
        <v>100</v>
      </c>
      <c r="BE44" s="95">
        <f t="shared" si="37"/>
        <v>100</v>
      </c>
      <c r="BF44" s="95">
        <f t="shared" si="37"/>
        <v>100</v>
      </c>
      <c r="BG44" s="95">
        <f t="shared" si="37"/>
        <v>100</v>
      </c>
      <c r="BH44" s="95">
        <f t="shared" si="37"/>
        <v>100</v>
      </c>
      <c r="BI44" s="95">
        <f t="shared" si="37"/>
        <v>100</v>
      </c>
      <c r="BJ44" s="95">
        <f t="shared" si="37"/>
        <v>100</v>
      </c>
      <c r="BK44" s="95">
        <f t="shared" si="37"/>
        <v>100</v>
      </c>
      <c r="BL44" s="95">
        <f t="shared" si="37"/>
        <v>100</v>
      </c>
      <c r="BM44"/>
      <c r="BN44"/>
      <c r="BO44" s="51">
        <v>11</v>
      </c>
      <c r="BP44" s="267" t="s">
        <v>433</v>
      </c>
      <c r="BQ44" s="364" t="s">
        <v>276</v>
      </c>
      <c r="BR44" s="53" t="s">
        <v>149</v>
      </c>
      <c r="BS44" s="61" t="s">
        <v>434</v>
      </c>
      <c r="BT44" s="513">
        <v>3</v>
      </c>
      <c r="BU44" s="89">
        <f t="shared" si="38"/>
        <v>3</v>
      </c>
      <c r="BV44" s="89">
        <f t="shared" si="39"/>
        <v>3</v>
      </c>
      <c r="BW44" s="111" cm="1">
        <f t="array" ref="BW44:CH44">BT44*BA44:BL44/100</f>
        <v>3</v>
      </c>
      <c r="BX44" s="95">
        <v>3</v>
      </c>
      <c r="BY44" s="95">
        <v>3</v>
      </c>
      <c r="BZ44" s="95">
        <v>3</v>
      </c>
      <c r="CA44" s="95">
        <v>3</v>
      </c>
      <c r="CB44" s="95">
        <v>3</v>
      </c>
      <c r="CC44" s="95">
        <v>3</v>
      </c>
      <c r="CD44" s="95">
        <v>3</v>
      </c>
      <c r="CE44" s="95">
        <v>3</v>
      </c>
      <c r="CF44" s="95">
        <v>3</v>
      </c>
      <c r="CG44" s="95">
        <v>3</v>
      </c>
      <c r="CH44" s="95">
        <v>3</v>
      </c>
    </row>
    <row r="45" spans="1:86" ht="15.6" customHeight="1">
      <c r="A45" s="519">
        <v>12</v>
      </c>
      <c r="B45" s="267" t="s">
        <v>324</v>
      </c>
      <c r="C45" s="327"/>
      <c r="D45" s="273" t="s">
        <v>149</v>
      </c>
      <c r="E45" s="296"/>
      <c r="F45" s="295">
        <v>9</v>
      </c>
      <c r="G45" s="257"/>
      <c r="H45" s="257"/>
      <c r="I45" s="257"/>
      <c r="J45" s="257"/>
      <c r="K45" s="257"/>
      <c r="L45" s="257"/>
      <c r="M45" s="257"/>
      <c r="N45" s="257"/>
      <c r="O45" s="257"/>
      <c r="P45" s="257"/>
      <c r="Q45" s="257"/>
      <c r="R45" s="257"/>
      <c r="S45" s="257"/>
      <c r="T45" s="90"/>
      <c r="U45" s="36"/>
      <c r="V45" s="36"/>
      <c r="W45" s="51">
        <f ca="1">T.BANGKIR!W45</f>
        <v>12</v>
      </c>
      <c r="X45" s="267" t="str">
        <f ca="1">T.BANGKIR!X45</f>
        <v>Percepatan Cash In</v>
      </c>
      <c r="Y45" s="364"/>
      <c r="Z45" s="53" t="s">
        <v>149</v>
      </c>
      <c r="AA45" s="61"/>
      <c r="AB45" s="53">
        <v>9</v>
      </c>
      <c r="AC45" s="142"/>
      <c r="AD45" s="142"/>
      <c r="AE45" s="142"/>
      <c r="AF45" s="142"/>
      <c r="AG45" s="142"/>
      <c r="AH45" s="142"/>
      <c r="AI45" s="142"/>
      <c r="AJ45" s="142"/>
      <c r="AK45" s="142"/>
      <c r="AL45" s="142"/>
      <c r="AM45" s="142"/>
      <c r="AN45" s="142"/>
      <c r="AO45" s="142"/>
      <c r="AP45" s="95"/>
      <c r="AR45"/>
      <c r="AS45" s="51">
        <v>12</v>
      </c>
      <c r="AT45" s="267" t="s">
        <v>324</v>
      </c>
      <c r="AU45" s="364"/>
      <c r="AV45" s="53"/>
      <c r="AW45" s="61"/>
      <c r="AX45" s="53">
        <v>9</v>
      </c>
      <c r="AY45" s="89"/>
      <c r="AZ45" s="89"/>
      <c r="BA45" s="95"/>
      <c r="BB45" s="95"/>
      <c r="BC45" s="95"/>
      <c r="BD45" s="95"/>
      <c r="BE45" s="95"/>
      <c r="BF45" s="95"/>
      <c r="BG45" s="95"/>
      <c r="BH45" s="95"/>
      <c r="BI45" s="95"/>
      <c r="BJ45" s="95"/>
      <c r="BK45" s="95"/>
      <c r="BL45" s="95"/>
      <c r="BM45"/>
      <c r="BN45"/>
      <c r="BO45" s="51">
        <v>12</v>
      </c>
      <c r="BP45" s="267" t="s">
        <v>324</v>
      </c>
      <c r="BQ45" s="364"/>
      <c r="BR45" s="53"/>
      <c r="BS45" s="61"/>
      <c r="BT45" s="513">
        <v>9</v>
      </c>
      <c r="BU45" s="89"/>
      <c r="BV45" s="89"/>
      <c r="BW45" s="95"/>
      <c r="BX45" s="95"/>
      <c r="BY45" s="95"/>
      <c r="BZ45" s="95"/>
      <c r="CA45" s="95"/>
      <c r="CB45" s="95"/>
      <c r="CC45" s="95"/>
      <c r="CD45" s="95"/>
      <c r="CE45" s="95"/>
      <c r="CF45" s="95"/>
      <c r="CG45" s="95"/>
      <c r="CH45" s="95"/>
    </row>
    <row r="46" spans="1:86" ht="15.6" customHeight="1">
      <c r="A46" s="519"/>
      <c r="B46" s="52" t="s">
        <v>435</v>
      </c>
      <c r="C46" s="327" t="s">
        <v>278</v>
      </c>
      <c r="D46" s="273" t="s">
        <v>326</v>
      </c>
      <c r="E46" s="296" t="s">
        <v>436</v>
      </c>
      <c r="F46" s="295"/>
      <c r="G46" s="257">
        <f>N46</f>
        <v>16</v>
      </c>
      <c r="H46" s="257">
        <f>T46</f>
        <v>16</v>
      </c>
      <c r="I46" s="257">
        <f>PI!D271</f>
        <v>16</v>
      </c>
      <c r="J46" s="257">
        <f>PI!E271</f>
        <v>16</v>
      </c>
      <c r="K46" s="257">
        <f>PI!F271</f>
        <v>16</v>
      </c>
      <c r="L46" s="257">
        <f>PI!G271</f>
        <v>16</v>
      </c>
      <c r="M46" s="257">
        <f>PI!H271</f>
        <v>16</v>
      </c>
      <c r="N46" s="257">
        <f>PI!I271</f>
        <v>16</v>
      </c>
      <c r="O46" s="257">
        <f>PI!J271</f>
        <v>16</v>
      </c>
      <c r="P46" s="257">
        <f>PI!K271</f>
        <v>16</v>
      </c>
      <c r="Q46" s="257">
        <f>PI!L271</f>
        <v>16</v>
      </c>
      <c r="R46" s="257">
        <f>PI!M271</f>
        <v>16</v>
      </c>
      <c r="S46" s="257">
        <f>PI!N271</f>
        <v>16</v>
      </c>
      <c r="T46" s="90">
        <f>PI!O271</f>
        <v>16</v>
      </c>
      <c r="U46" s="36"/>
      <c r="V46" s="36"/>
      <c r="W46" s="51"/>
      <c r="X46" s="52" t="str">
        <f ca="1">T.BANGKIR!X46</f>
        <v>a. Persentase Rata-Rata Saldo Tanggal 20 Non Kogol 1 dan Non Kogol 2</v>
      </c>
      <c r="Y46" s="364" t="s">
        <v>278</v>
      </c>
      <c r="Z46" s="53" t="s">
        <v>326</v>
      </c>
      <c r="AA46" s="61"/>
      <c r="AB46" s="53"/>
      <c r="AC46" s="142">
        <f t="shared" si="1"/>
        <v>0.6695808333333334</v>
      </c>
      <c r="AD46" s="142">
        <f t="shared" si="2"/>
        <v>0.40174850000000006</v>
      </c>
      <c r="AE46" s="142">
        <f>PI!AH270</f>
        <v>2.0411350000000001</v>
      </c>
      <c r="AF46" s="142">
        <f>PI!AI270</f>
        <v>1.3961895000000002</v>
      </c>
      <c r="AG46" s="142">
        <f>PI!AJ270</f>
        <v>1.3391616666666668</v>
      </c>
      <c r="AH46" s="142">
        <f>PI!AK270</f>
        <v>1.0043712500000002</v>
      </c>
      <c r="AI46" s="142">
        <f>PI!AL270</f>
        <v>0.80349700000000013</v>
      </c>
      <c r="AJ46" s="142">
        <f>PI!AM270</f>
        <v>0.6695808333333334</v>
      </c>
      <c r="AK46" s="142">
        <f>PI!AN270</f>
        <v>0.57392642857142862</v>
      </c>
      <c r="AL46" s="142">
        <f>PI!AO270</f>
        <v>0.50218562500000008</v>
      </c>
      <c r="AM46" s="142">
        <f>PI!AP270</f>
        <v>0.44638722222222227</v>
      </c>
      <c r="AN46" s="142">
        <f>PI!AQ270</f>
        <v>0.40174850000000006</v>
      </c>
      <c r="AO46" s="142">
        <f>PI!AR270</f>
        <v>0.40174850000000006</v>
      </c>
      <c r="AP46" s="95">
        <f>PI!AS270</f>
        <v>0.40174850000000006</v>
      </c>
      <c r="AR46"/>
      <c r="AS46" s="51"/>
      <c r="AT46" s="52" t="s">
        <v>435</v>
      </c>
      <c r="AU46" s="364" t="s">
        <v>278</v>
      </c>
      <c r="AV46" s="53" t="s">
        <v>326</v>
      </c>
      <c r="AW46" s="61" t="s">
        <v>436</v>
      </c>
      <c r="AX46" s="53"/>
      <c r="AY46" s="89">
        <f t="shared" si="3"/>
        <v>110</v>
      </c>
      <c r="AZ46" s="89">
        <f t="shared" si="4"/>
        <v>110</v>
      </c>
      <c r="BA46" s="95">
        <f>IFERROR(IF((2-(AE46/I46))*100&gt;110,110,(2-(AE46/I46))*100),100)</f>
        <v>110</v>
      </c>
      <c r="BB46" s="95">
        <f t="shared" ref="BB46:BL46" si="40">IFERROR(IF((2-(AF46/J46))*100&gt;110,110,(2-(AF46/J46))*100),100)</f>
        <v>110</v>
      </c>
      <c r="BC46" s="95">
        <f t="shared" si="40"/>
        <v>110</v>
      </c>
      <c r="BD46" s="95">
        <f t="shared" si="40"/>
        <v>110</v>
      </c>
      <c r="BE46" s="95">
        <f t="shared" si="40"/>
        <v>110</v>
      </c>
      <c r="BF46" s="95">
        <f t="shared" si="40"/>
        <v>110</v>
      </c>
      <c r="BG46" s="95">
        <f t="shared" si="40"/>
        <v>110</v>
      </c>
      <c r="BH46" s="95">
        <f t="shared" si="40"/>
        <v>110</v>
      </c>
      <c r="BI46" s="95">
        <f t="shared" si="40"/>
        <v>110</v>
      </c>
      <c r="BJ46" s="95">
        <f t="shared" si="40"/>
        <v>110</v>
      </c>
      <c r="BK46" s="95">
        <f t="shared" si="40"/>
        <v>110</v>
      </c>
      <c r="BL46" s="95">
        <f t="shared" si="40"/>
        <v>110</v>
      </c>
      <c r="BM46"/>
      <c r="BN46"/>
      <c r="BO46" s="51"/>
      <c r="BP46" s="52" t="s">
        <v>435</v>
      </c>
      <c r="BQ46" s="364" t="s">
        <v>278</v>
      </c>
      <c r="BR46" s="53" t="s">
        <v>326</v>
      </c>
      <c r="BS46" s="61" t="s">
        <v>436</v>
      </c>
      <c r="BT46" s="53">
        <v>3</v>
      </c>
      <c r="BU46" s="89">
        <f t="shared" ref="BU46:BU48" si="41">CB46</f>
        <v>3.3</v>
      </c>
      <c r="BV46" s="89">
        <f t="shared" ref="BV46:BV48" si="42">CH46</f>
        <v>3.3</v>
      </c>
      <c r="BW46" s="111" cm="1">
        <f t="array" ref="BW46:CH46">BT46*BA46:BL46/100</f>
        <v>3.3</v>
      </c>
      <c r="BX46" s="95">
        <v>3.3</v>
      </c>
      <c r="BY46" s="95">
        <v>3.3</v>
      </c>
      <c r="BZ46" s="95">
        <v>3.3</v>
      </c>
      <c r="CA46" s="95">
        <v>3.3</v>
      </c>
      <c r="CB46" s="95">
        <v>3.3</v>
      </c>
      <c r="CC46" s="95">
        <v>3.3</v>
      </c>
      <c r="CD46" s="95">
        <v>3.3</v>
      </c>
      <c r="CE46" s="95">
        <v>3.3</v>
      </c>
      <c r="CF46" s="95">
        <v>3.3</v>
      </c>
      <c r="CG46" s="95">
        <v>3.3</v>
      </c>
      <c r="CH46" s="95">
        <v>3.3</v>
      </c>
    </row>
    <row r="47" spans="1:86" ht="15.6" customHeight="1">
      <c r="A47" s="519"/>
      <c r="B47" s="52" t="s">
        <v>437</v>
      </c>
      <c r="C47" s="327" t="s">
        <v>278</v>
      </c>
      <c r="D47" s="273" t="s">
        <v>326</v>
      </c>
      <c r="E47" s="296" t="s">
        <v>438</v>
      </c>
      <c r="F47" s="295"/>
      <c r="G47" s="257">
        <f>N47</f>
        <v>2.72</v>
      </c>
      <c r="H47" s="257">
        <f>T47</f>
        <v>2.72</v>
      </c>
      <c r="I47" s="257">
        <f>PI!D293</f>
        <v>2.72</v>
      </c>
      <c r="J47" s="257">
        <f>PI!E293</f>
        <v>2.72</v>
      </c>
      <c r="K47" s="257">
        <f>PI!F293</f>
        <v>2.72</v>
      </c>
      <c r="L47" s="257">
        <f>PI!G293</f>
        <v>2.72</v>
      </c>
      <c r="M47" s="257">
        <f>PI!H293</f>
        <v>2.72</v>
      </c>
      <c r="N47" s="257">
        <f>PI!I293</f>
        <v>2.72</v>
      </c>
      <c r="O47" s="257">
        <f>PI!J293</f>
        <v>2.72</v>
      </c>
      <c r="P47" s="257">
        <f>PI!K293</f>
        <v>2.72</v>
      </c>
      <c r="Q47" s="257">
        <f>PI!L293</f>
        <v>2.72</v>
      </c>
      <c r="R47" s="257">
        <f>PI!M293</f>
        <v>2.72</v>
      </c>
      <c r="S47" s="257">
        <f>PI!N293</f>
        <v>2.72</v>
      </c>
      <c r="T47" s="90">
        <f>PI!O293</f>
        <v>2.72</v>
      </c>
      <c r="U47" s="36"/>
      <c r="V47" s="36"/>
      <c r="W47" s="51"/>
      <c r="X47" s="52" t="str">
        <f ca="1">T.BANGKIR!X47</f>
        <v>b. Pencapaian Saldo Rata-Rata Akhir Bulan Non Kogol 1 dan Non Kogol 2</v>
      </c>
      <c r="Y47" s="364" t="s">
        <v>278</v>
      </c>
      <c r="Z47" s="53" t="s">
        <v>326</v>
      </c>
      <c r="AA47" s="61"/>
      <c r="AB47" s="53"/>
      <c r="AC47" s="142">
        <f t="shared" si="1"/>
        <v>0.34018916666666671</v>
      </c>
      <c r="AD47" s="142">
        <f t="shared" si="2"/>
        <v>0.2041135</v>
      </c>
      <c r="AE47" s="142">
        <f>PI!AH292</f>
        <v>2.0411350000000001</v>
      </c>
      <c r="AF47" s="142">
        <f>PI!AI292</f>
        <v>1.0205675000000001</v>
      </c>
      <c r="AG47" s="142">
        <f>PI!AJ292</f>
        <v>0.68037833333333342</v>
      </c>
      <c r="AH47" s="142">
        <f>PI!AK292</f>
        <v>0.51028375000000004</v>
      </c>
      <c r="AI47" s="142">
        <f>PI!AL292</f>
        <v>0.40822700000000001</v>
      </c>
      <c r="AJ47" s="142">
        <f>PI!AM292</f>
        <v>0.34018916666666671</v>
      </c>
      <c r="AK47" s="142">
        <f>PI!AN292</f>
        <v>0.29159071428571431</v>
      </c>
      <c r="AL47" s="142">
        <f>PI!AO292</f>
        <v>0.25514187500000002</v>
      </c>
      <c r="AM47" s="142">
        <f>PI!AP292</f>
        <v>0.22679277777777779</v>
      </c>
      <c r="AN47" s="142">
        <f>PI!AQ292</f>
        <v>0.2041135</v>
      </c>
      <c r="AO47" s="142">
        <f>PI!AR292</f>
        <v>0.2041135</v>
      </c>
      <c r="AP47" s="95">
        <f>PI!AS292</f>
        <v>0.2041135</v>
      </c>
      <c r="AR47"/>
      <c r="AS47" s="51"/>
      <c r="AT47" s="52" t="s">
        <v>437</v>
      </c>
      <c r="AU47" s="364" t="s">
        <v>278</v>
      </c>
      <c r="AV47" s="53" t="s">
        <v>326</v>
      </c>
      <c r="AW47" s="61" t="s">
        <v>438</v>
      </c>
      <c r="AX47" s="53"/>
      <c r="AY47" s="89">
        <f t="shared" si="3"/>
        <v>110</v>
      </c>
      <c r="AZ47" s="89">
        <f t="shared" si="4"/>
        <v>110</v>
      </c>
      <c r="BA47" s="95">
        <f>IF((2-(AE47/I47))*100&gt;110,110,IF((2-(AE47/I47))*100&lt;0,0,(2-(AE47/I47))*100))</f>
        <v>110</v>
      </c>
      <c r="BB47" s="95">
        <f t="shared" ref="BB47:BL47" si="43">IF((2-(AF47/J47))*100&gt;110,110,IF((2-(AF47/J47))*100&lt;0,0,(2-(AF47/J47))*100))</f>
        <v>110</v>
      </c>
      <c r="BC47" s="95">
        <f t="shared" si="43"/>
        <v>110</v>
      </c>
      <c r="BD47" s="95">
        <f t="shared" si="43"/>
        <v>110</v>
      </c>
      <c r="BE47" s="95">
        <f t="shared" si="43"/>
        <v>110</v>
      </c>
      <c r="BF47" s="95">
        <f t="shared" si="43"/>
        <v>110</v>
      </c>
      <c r="BG47" s="95">
        <f t="shared" si="43"/>
        <v>110</v>
      </c>
      <c r="BH47" s="95">
        <f t="shared" si="43"/>
        <v>110</v>
      </c>
      <c r="BI47" s="95">
        <f t="shared" si="43"/>
        <v>110</v>
      </c>
      <c r="BJ47" s="95">
        <f t="shared" si="43"/>
        <v>110</v>
      </c>
      <c r="BK47" s="95">
        <f t="shared" si="43"/>
        <v>110</v>
      </c>
      <c r="BL47" s="95">
        <f t="shared" si="43"/>
        <v>110</v>
      </c>
      <c r="BM47"/>
      <c r="BN47"/>
      <c r="BO47" s="51"/>
      <c r="BP47" s="52" t="s">
        <v>437</v>
      </c>
      <c r="BQ47" s="364" t="s">
        <v>278</v>
      </c>
      <c r="BR47" s="53" t="s">
        <v>326</v>
      </c>
      <c r="BS47" s="61" t="s">
        <v>438</v>
      </c>
      <c r="BT47" s="53">
        <v>3</v>
      </c>
      <c r="BU47" s="89">
        <f t="shared" si="41"/>
        <v>3.3</v>
      </c>
      <c r="BV47" s="89">
        <f t="shared" si="42"/>
        <v>3.3</v>
      </c>
      <c r="BW47" s="111" cm="1">
        <f t="array" ref="BW47:CH47">BT47*BA47:BL47/100</f>
        <v>3.3</v>
      </c>
      <c r="BX47" s="95">
        <v>3.3</v>
      </c>
      <c r="BY47" s="95">
        <v>3.3</v>
      </c>
      <c r="BZ47" s="95">
        <v>3.3</v>
      </c>
      <c r="CA47" s="95">
        <v>3.3</v>
      </c>
      <c r="CB47" s="95">
        <v>3.3</v>
      </c>
      <c r="CC47" s="95">
        <v>3.3</v>
      </c>
      <c r="CD47" s="95">
        <v>3.3</v>
      </c>
      <c r="CE47" s="95">
        <v>3.3</v>
      </c>
      <c r="CF47" s="95">
        <v>3.3</v>
      </c>
      <c r="CG47" s="95">
        <v>3.3</v>
      </c>
      <c r="CH47" s="95">
        <v>3.3</v>
      </c>
    </row>
    <row r="48" spans="1:86" ht="15.6" customHeight="1">
      <c r="A48" s="519"/>
      <c r="B48" s="52" t="s">
        <v>330</v>
      </c>
      <c r="C48" s="327" t="s">
        <v>276</v>
      </c>
      <c r="D48" s="273" t="s">
        <v>326</v>
      </c>
      <c r="E48" s="296" t="s">
        <v>439</v>
      </c>
      <c r="F48" s="295"/>
      <c r="G48" s="257">
        <f>N48</f>
        <v>0</v>
      </c>
      <c r="H48" s="257">
        <f>T48</f>
        <v>0</v>
      </c>
      <c r="I48" s="257">
        <f>PI!D314</f>
        <v>0</v>
      </c>
      <c r="J48" s="257">
        <f>PI!E314</f>
        <v>0</v>
      </c>
      <c r="K48" s="257">
        <f>PI!F314</f>
        <v>0</v>
      </c>
      <c r="L48" s="257">
        <f>PI!G314</f>
        <v>0</v>
      </c>
      <c r="M48" s="257">
        <f>PI!H314</f>
        <v>0</v>
      </c>
      <c r="N48" s="257">
        <f>PI!I314</f>
        <v>0</v>
      </c>
      <c r="O48" s="257">
        <f>PI!J314</f>
        <v>0</v>
      </c>
      <c r="P48" s="257">
        <f>PI!K314</f>
        <v>0</v>
      </c>
      <c r="Q48" s="257">
        <f>PI!L314</f>
        <v>0</v>
      </c>
      <c r="R48" s="257">
        <f>PI!M314</f>
        <v>0</v>
      </c>
      <c r="S48" s="257">
        <f>PI!N314</f>
        <v>0</v>
      </c>
      <c r="T48" s="90">
        <f>PI!O314</f>
        <v>0</v>
      </c>
      <c r="U48" s="36"/>
      <c r="V48" s="36"/>
      <c r="W48" s="51"/>
      <c r="X48" s="52" t="str">
        <f ca="1">T.BANGKIR!X48</f>
        <v>c. Pencapaian Pelunasan PRR</v>
      </c>
      <c r="Y48" s="364" t="s">
        <v>276</v>
      </c>
      <c r="Z48" s="53" t="s">
        <v>326</v>
      </c>
      <c r="AA48" s="61"/>
      <c r="AB48" s="53"/>
      <c r="AC48" s="142">
        <f t="shared" si="1"/>
        <v>0</v>
      </c>
      <c r="AD48" s="142">
        <f t="shared" si="2"/>
        <v>0</v>
      </c>
      <c r="AE48" s="142">
        <f>PI!AH315</f>
        <v>0</v>
      </c>
      <c r="AF48" s="142">
        <f>PI!AI315</f>
        <v>0</v>
      </c>
      <c r="AG48" s="142">
        <f>PI!AJ315</f>
        <v>0</v>
      </c>
      <c r="AH48" s="142">
        <f>PI!AK315</f>
        <v>0</v>
      </c>
      <c r="AI48" s="142">
        <f>PI!AL315</f>
        <v>0</v>
      </c>
      <c r="AJ48" s="142">
        <f>PI!AM315</f>
        <v>0</v>
      </c>
      <c r="AK48" s="142">
        <f>PI!AN315</f>
        <v>0</v>
      </c>
      <c r="AL48" s="142">
        <f>PI!AO315</f>
        <v>0</v>
      </c>
      <c r="AM48" s="142">
        <f>PI!AP315</f>
        <v>0</v>
      </c>
      <c r="AN48" s="142">
        <f>PI!AQ315</f>
        <v>0</v>
      </c>
      <c r="AO48" s="142">
        <f>PI!AR315</f>
        <v>0</v>
      </c>
      <c r="AP48" s="95">
        <f>PI!AS315</f>
        <v>0</v>
      </c>
      <c r="AR48"/>
      <c r="AS48" s="51"/>
      <c r="AT48" s="52" t="s">
        <v>330</v>
      </c>
      <c r="AU48" s="364" t="s">
        <v>276</v>
      </c>
      <c r="AV48" s="53" t="s">
        <v>326</v>
      </c>
      <c r="AW48" s="61" t="s">
        <v>439</v>
      </c>
      <c r="AX48" s="53"/>
      <c r="AY48" s="89">
        <f t="shared" si="3"/>
        <v>100</v>
      </c>
      <c r="AZ48" s="89">
        <f t="shared" si="4"/>
        <v>100</v>
      </c>
      <c r="BA48" s="95">
        <f>IFERROR(IF(AE48/I48*100&gt;110,110,AE48/I48*100),100)</f>
        <v>100</v>
      </c>
      <c r="BB48" s="95">
        <f t="shared" ref="BB48:BL48" si="44">IFERROR(IF(AF48/J48*100&gt;110,110,AF48/J48*100),100)</f>
        <v>100</v>
      </c>
      <c r="BC48" s="95">
        <f t="shared" si="44"/>
        <v>100</v>
      </c>
      <c r="BD48" s="95">
        <f t="shared" si="44"/>
        <v>100</v>
      </c>
      <c r="BE48" s="95">
        <f t="shared" si="44"/>
        <v>100</v>
      </c>
      <c r="BF48" s="95">
        <f t="shared" si="44"/>
        <v>100</v>
      </c>
      <c r="BG48" s="95">
        <f t="shared" si="44"/>
        <v>100</v>
      </c>
      <c r="BH48" s="95">
        <f t="shared" si="44"/>
        <v>100</v>
      </c>
      <c r="BI48" s="95">
        <f t="shared" si="44"/>
        <v>100</v>
      </c>
      <c r="BJ48" s="95">
        <f t="shared" si="44"/>
        <v>100</v>
      </c>
      <c r="BK48" s="95">
        <f t="shared" si="44"/>
        <v>100</v>
      </c>
      <c r="BL48" s="95">
        <f t="shared" si="44"/>
        <v>100</v>
      </c>
      <c r="BM48"/>
      <c r="BN48"/>
      <c r="BO48" s="51"/>
      <c r="BP48" s="52" t="s">
        <v>330</v>
      </c>
      <c r="BQ48" s="364" t="s">
        <v>276</v>
      </c>
      <c r="BR48" s="53" t="s">
        <v>326</v>
      </c>
      <c r="BS48" s="61" t="s">
        <v>439</v>
      </c>
      <c r="BT48" s="53">
        <v>3</v>
      </c>
      <c r="BU48" s="89">
        <f t="shared" si="41"/>
        <v>3</v>
      </c>
      <c r="BV48" s="89">
        <f t="shared" si="42"/>
        <v>3</v>
      </c>
      <c r="BW48" s="111" cm="1">
        <f t="array" ref="BW48:CH48">BT48*BA48:BL48/100</f>
        <v>3</v>
      </c>
      <c r="BX48" s="95">
        <v>3</v>
      </c>
      <c r="BY48" s="95">
        <v>3</v>
      </c>
      <c r="BZ48" s="95">
        <v>3</v>
      </c>
      <c r="CA48" s="95">
        <v>3</v>
      </c>
      <c r="CB48" s="95">
        <v>3</v>
      </c>
      <c r="CC48" s="95">
        <v>3</v>
      </c>
      <c r="CD48" s="95">
        <v>3</v>
      </c>
      <c r="CE48" s="95">
        <v>3</v>
      </c>
      <c r="CF48" s="95">
        <v>3</v>
      </c>
      <c r="CG48" s="95">
        <v>3</v>
      </c>
      <c r="CH48" s="95">
        <v>3</v>
      </c>
    </row>
    <row r="49" spans="1:86" ht="15.6" customHeight="1">
      <c r="A49" s="520">
        <v>13</v>
      </c>
      <c r="B49" s="267" t="s">
        <v>355</v>
      </c>
      <c r="C49" s="327"/>
      <c r="D49" s="273"/>
      <c r="E49" s="296"/>
      <c r="F49" s="295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90"/>
      <c r="U49" s="36"/>
      <c r="V49" s="36"/>
      <c r="W49" s="51">
        <f ca="1">T.BANGKIR!W49</f>
        <v>13</v>
      </c>
      <c r="X49" s="267" t="str">
        <f ca="1">T.BANGKIR!X49</f>
        <v>Kepatuhan :</v>
      </c>
      <c r="Y49" s="364"/>
      <c r="Z49" s="53"/>
      <c r="AA49" s="61" t="e">
        <f>#REF!</f>
        <v>#REF!</v>
      </c>
      <c r="AB49" s="53"/>
      <c r="AC49" s="89"/>
      <c r="AD49" s="89"/>
      <c r="AE49" s="89"/>
      <c r="AF49" s="89"/>
      <c r="AG49" s="89"/>
      <c r="AH49" s="89"/>
      <c r="AI49" s="89"/>
      <c r="AJ49" s="89"/>
      <c r="AK49" s="89"/>
      <c r="AL49" s="89"/>
      <c r="AM49" s="89"/>
      <c r="AN49" s="89"/>
      <c r="AO49" s="89"/>
      <c r="AP49" s="111"/>
      <c r="AS49" s="51">
        <v>13</v>
      </c>
      <c r="AT49" s="267" t="s">
        <v>355</v>
      </c>
      <c r="AU49" s="364"/>
      <c r="AV49" s="53"/>
      <c r="AW49" s="61"/>
      <c r="AX49" s="53"/>
      <c r="AY49" s="89"/>
      <c r="AZ49" s="89"/>
      <c r="BA49" s="111"/>
      <c r="BB49" s="111"/>
      <c r="BC49" s="111"/>
      <c r="BD49" s="111"/>
      <c r="BE49" s="111"/>
      <c r="BF49" s="111"/>
      <c r="BG49" s="111"/>
      <c r="BH49" s="111"/>
      <c r="BI49" s="111"/>
      <c r="BJ49" s="111"/>
      <c r="BK49" s="111"/>
      <c r="BL49" s="111"/>
      <c r="BO49" s="51">
        <v>13</v>
      </c>
      <c r="BP49" s="267" t="s">
        <v>355</v>
      </c>
      <c r="BQ49" s="364"/>
      <c r="BR49" s="53"/>
      <c r="BS49" s="61"/>
      <c r="BT49" s="53"/>
      <c r="BU49" s="89"/>
      <c r="BV49" s="89"/>
      <c r="BW49" s="111"/>
      <c r="BX49" s="111"/>
      <c r="BY49" s="111"/>
      <c r="BZ49" s="111"/>
      <c r="CA49" s="111"/>
      <c r="CB49" s="111"/>
      <c r="CC49" s="111"/>
      <c r="CD49" s="111"/>
      <c r="CE49" s="111"/>
      <c r="CF49" s="111"/>
      <c r="CG49" s="111"/>
      <c r="CH49" s="111"/>
    </row>
    <row r="50" spans="1:86" ht="15.6" customHeight="1">
      <c r="A50" s="517"/>
      <c r="B50" s="52" t="s">
        <v>356</v>
      </c>
      <c r="C50" s="301"/>
      <c r="D50" s="273"/>
      <c r="E50" s="523" t="s">
        <v>396</v>
      </c>
      <c r="F50" s="61" t="s">
        <v>357</v>
      </c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90"/>
      <c r="U50" s="36"/>
      <c r="V50" s="36"/>
      <c r="W50" s="51"/>
      <c r="X50" s="52" t="str">
        <f ca="1">T.BANGKIR!X50</f>
        <v>a. Pengelolaan K3, Keamanan dan Lingkungan Hidup</v>
      </c>
      <c r="Y50" s="364"/>
      <c r="Z50" s="53"/>
      <c r="AA50" s="61" t="e">
        <f>#REF!</f>
        <v>#REF!</v>
      </c>
      <c r="AB50" s="53" t="s">
        <v>357</v>
      </c>
      <c r="AC50" s="89"/>
      <c r="AD50" s="89"/>
      <c r="AE50" s="89"/>
      <c r="AF50" s="89"/>
      <c r="AG50" s="89"/>
      <c r="AH50" s="89"/>
      <c r="AI50" s="89"/>
      <c r="AJ50" s="89"/>
      <c r="AK50" s="89"/>
      <c r="AL50" s="89"/>
      <c r="AM50" s="89"/>
      <c r="AN50" s="89"/>
      <c r="AO50" s="89"/>
      <c r="AP50" s="111"/>
      <c r="AS50" s="51"/>
      <c r="AT50" s="52" t="s">
        <v>356</v>
      </c>
      <c r="AU50" s="364"/>
      <c r="AV50" s="53"/>
      <c r="AW50" s="61" t="s">
        <v>396</v>
      </c>
      <c r="AX50" s="53" t="s">
        <v>357</v>
      </c>
      <c r="AY50" s="89"/>
      <c r="AZ50" s="89"/>
      <c r="BA50" s="111"/>
      <c r="BB50" s="111"/>
      <c r="BC50" s="111"/>
      <c r="BD50" s="111"/>
      <c r="BE50" s="111"/>
      <c r="BF50" s="111"/>
      <c r="BG50" s="111"/>
      <c r="BH50" s="111"/>
      <c r="BI50" s="111"/>
      <c r="BJ50" s="111"/>
      <c r="BK50" s="111"/>
      <c r="BL50" s="111"/>
      <c r="BO50" s="51"/>
      <c r="BP50" s="52" t="s">
        <v>356</v>
      </c>
      <c r="BQ50" s="364"/>
      <c r="BR50" s="53"/>
      <c r="BS50" s="61" t="s">
        <v>396</v>
      </c>
      <c r="BT50" s="53" t="s">
        <v>357</v>
      </c>
      <c r="BU50" s="89"/>
      <c r="BV50" s="89"/>
      <c r="BW50" s="111"/>
      <c r="BX50" s="111"/>
      <c r="BY50" s="111"/>
      <c r="BZ50" s="111"/>
      <c r="CA50" s="111"/>
      <c r="CB50" s="111"/>
      <c r="CC50" s="111"/>
      <c r="CD50" s="111"/>
      <c r="CE50" s="111"/>
      <c r="CF50" s="111"/>
      <c r="CG50" s="111"/>
      <c r="CH50" s="111"/>
    </row>
    <row r="51" spans="1:86" ht="15.6" customHeight="1">
      <c r="A51" s="519"/>
      <c r="B51" s="52" t="s">
        <v>358</v>
      </c>
      <c r="C51" s="301"/>
      <c r="D51" s="273"/>
      <c r="E51" s="523" t="s">
        <v>440</v>
      </c>
      <c r="F51" s="61" t="s">
        <v>359</v>
      </c>
      <c r="G51" s="257"/>
      <c r="H51" s="257"/>
      <c r="I51" s="257"/>
      <c r="J51" s="257"/>
      <c r="K51" s="257"/>
      <c r="L51" s="257"/>
      <c r="M51" s="257"/>
      <c r="N51" s="257"/>
      <c r="O51" s="257"/>
      <c r="P51" s="257"/>
      <c r="Q51" s="257"/>
      <c r="R51" s="257"/>
      <c r="S51" s="257"/>
      <c r="T51" s="90"/>
      <c r="U51" s="36"/>
      <c r="V51" s="36"/>
      <c r="W51" s="51"/>
      <c r="X51" s="52" t="str">
        <f ca="1">T.BANGKIR!X51</f>
        <v>b. Maturity Level Implementasi Sistem Manajemen Anti Penyuapan (SMAP)</v>
      </c>
      <c r="Y51" s="364"/>
      <c r="Z51" s="53"/>
      <c r="AA51" s="61" t="e">
        <f>#REF!</f>
        <v>#REF!</v>
      </c>
      <c r="AB51" s="53" t="s">
        <v>359</v>
      </c>
      <c r="AC51" s="89"/>
      <c r="AD51" s="89"/>
      <c r="AE51" s="89"/>
      <c r="AF51" s="89"/>
      <c r="AG51" s="89"/>
      <c r="AH51" s="89"/>
      <c r="AI51" s="89"/>
      <c r="AJ51" s="89"/>
      <c r="AK51" s="89"/>
      <c r="AL51" s="89"/>
      <c r="AM51" s="89"/>
      <c r="AN51" s="89"/>
      <c r="AO51" s="89"/>
      <c r="AP51" s="111"/>
      <c r="AS51" s="51"/>
      <c r="AT51" s="52" t="s">
        <v>358</v>
      </c>
      <c r="AU51" s="364"/>
      <c r="AV51" s="53"/>
      <c r="AW51" s="61" t="s">
        <v>440</v>
      </c>
      <c r="AX51" s="53" t="s">
        <v>359</v>
      </c>
      <c r="AY51" s="89"/>
      <c r="AZ51" s="89"/>
      <c r="BA51" s="111"/>
      <c r="BB51" s="111"/>
      <c r="BC51" s="111"/>
      <c r="BD51" s="111"/>
      <c r="BE51" s="111"/>
      <c r="BF51" s="111"/>
      <c r="BG51" s="111"/>
      <c r="BH51" s="111"/>
      <c r="BI51" s="111"/>
      <c r="BJ51" s="111"/>
      <c r="BK51" s="111"/>
      <c r="BL51" s="111"/>
      <c r="BO51" s="51"/>
      <c r="BP51" s="52" t="s">
        <v>358</v>
      </c>
      <c r="BQ51" s="364"/>
      <c r="BR51" s="53"/>
      <c r="BS51" s="61" t="s">
        <v>440</v>
      </c>
      <c r="BT51" s="53" t="s">
        <v>359</v>
      </c>
      <c r="BU51" s="89"/>
      <c r="BV51" s="89"/>
      <c r="BW51" s="111"/>
      <c r="BX51" s="111"/>
      <c r="BY51" s="111"/>
      <c r="BZ51" s="111"/>
      <c r="CA51" s="111"/>
      <c r="CB51" s="111"/>
      <c r="CC51" s="111"/>
      <c r="CD51" s="111"/>
      <c r="CE51" s="111"/>
      <c r="CF51" s="111"/>
      <c r="CG51" s="111"/>
      <c r="CH51" s="111"/>
    </row>
    <row r="52" spans="1:86" ht="15.6" customHeight="1">
      <c r="A52" s="519"/>
      <c r="B52" s="52" t="s">
        <v>360</v>
      </c>
      <c r="C52" s="301"/>
      <c r="D52" s="273"/>
      <c r="E52" s="296" t="s">
        <v>398</v>
      </c>
      <c r="F52" s="286" t="s">
        <v>362</v>
      </c>
      <c r="G52" s="257"/>
      <c r="H52" s="257"/>
      <c r="I52" s="257"/>
      <c r="J52" s="257"/>
      <c r="K52" s="257"/>
      <c r="L52" s="257"/>
      <c r="M52" s="257"/>
      <c r="N52" s="257"/>
      <c r="O52" s="257"/>
      <c r="P52" s="257"/>
      <c r="Q52" s="257"/>
      <c r="R52" s="257"/>
      <c r="S52" s="257"/>
      <c r="T52" s="90"/>
      <c r="U52" s="36"/>
      <c r="V52" s="36"/>
      <c r="W52" s="51"/>
      <c r="X52" s="52" t="str">
        <f ca="1">T.BANGKIR!X52</f>
        <v>c. Ketepatan penyampaian pelaporan dan
Akurasi Data Kinerja</v>
      </c>
      <c r="Y52" s="364"/>
      <c r="Z52" s="53"/>
      <c r="AA52" s="61" t="e">
        <f>#REF!</f>
        <v>#REF!</v>
      </c>
      <c r="AB52" s="53" t="s">
        <v>362</v>
      </c>
      <c r="AC52" s="89"/>
      <c r="AD52" s="89"/>
      <c r="AE52" s="89"/>
      <c r="AF52" s="89"/>
      <c r="AG52" s="89"/>
      <c r="AH52" s="89"/>
      <c r="AI52" s="89"/>
      <c r="AJ52" s="89"/>
      <c r="AK52" s="89"/>
      <c r="AL52" s="89"/>
      <c r="AM52" s="89"/>
      <c r="AN52" s="89"/>
      <c r="AO52" s="89"/>
      <c r="AP52" s="111"/>
      <c r="AS52" s="51"/>
      <c r="AT52" s="52" t="s">
        <v>360</v>
      </c>
      <c r="AU52" s="364"/>
      <c r="AV52" s="53"/>
      <c r="AW52" s="61" t="s">
        <v>398</v>
      </c>
      <c r="AX52" s="53" t="s">
        <v>362</v>
      </c>
      <c r="AY52" s="89"/>
      <c r="AZ52" s="89"/>
      <c r="BA52" s="111"/>
      <c r="BB52" s="111"/>
      <c r="BC52" s="111"/>
      <c r="BD52" s="111"/>
      <c r="BE52" s="111"/>
      <c r="BF52" s="111"/>
      <c r="BG52" s="111"/>
      <c r="BH52" s="111"/>
      <c r="BI52" s="111"/>
      <c r="BJ52" s="111"/>
      <c r="BK52" s="111"/>
      <c r="BL52" s="111"/>
      <c r="BO52" s="51"/>
      <c r="BP52" s="52" t="s">
        <v>360</v>
      </c>
      <c r="BQ52" s="364"/>
      <c r="BR52" s="53"/>
      <c r="BS52" s="61" t="s">
        <v>398</v>
      </c>
      <c r="BT52" s="53" t="s">
        <v>362</v>
      </c>
      <c r="BU52" s="89"/>
      <c r="BV52" s="89"/>
      <c r="BW52" s="111"/>
      <c r="BX52" s="111"/>
      <c r="BY52" s="111"/>
      <c r="BZ52" s="111"/>
      <c r="CA52" s="111"/>
      <c r="CB52" s="111"/>
      <c r="CC52" s="111"/>
      <c r="CD52" s="111"/>
      <c r="CE52" s="111"/>
      <c r="CF52" s="111"/>
      <c r="CG52" s="111"/>
      <c r="CH52" s="111"/>
    </row>
    <row r="53" spans="1:86" ht="15.6" customHeight="1">
      <c r="A53" s="519"/>
      <c r="B53" s="52" t="s">
        <v>363</v>
      </c>
      <c r="C53" s="301"/>
      <c r="D53" s="273"/>
      <c r="E53" s="296" t="s">
        <v>399</v>
      </c>
      <c r="F53" s="461" t="s">
        <v>365</v>
      </c>
      <c r="G53" s="274"/>
      <c r="H53" s="274"/>
      <c r="I53" s="274"/>
      <c r="J53" s="274"/>
      <c r="K53" s="274"/>
      <c r="L53" s="274"/>
      <c r="M53" s="274"/>
      <c r="N53" s="274"/>
      <c r="O53" s="274"/>
      <c r="P53" s="274"/>
      <c r="Q53" s="274"/>
      <c r="R53" s="274"/>
      <c r="S53" s="274"/>
      <c r="T53" s="91"/>
      <c r="U53" s="36"/>
      <c r="V53" s="36"/>
      <c r="W53" s="51"/>
      <c r="X53" s="52" t="str">
        <f ca="1">T.BANGKIR!X53</f>
        <v>d. Tindak Lanjut Temuan Auditor</v>
      </c>
      <c r="Y53" s="364"/>
      <c r="Z53" s="53"/>
      <c r="AA53" s="61"/>
      <c r="AB53" s="53" t="s">
        <v>365</v>
      </c>
      <c r="AC53" s="89"/>
      <c r="AD53" s="89"/>
      <c r="AE53" s="89"/>
      <c r="AF53" s="89"/>
      <c r="AG53" s="89"/>
      <c r="AH53" s="89"/>
      <c r="AI53" s="89"/>
      <c r="AJ53" s="89"/>
      <c r="AK53" s="89"/>
      <c r="AL53" s="89"/>
      <c r="AM53" s="89"/>
      <c r="AN53" s="89"/>
      <c r="AO53" s="89"/>
      <c r="AP53" s="111"/>
      <c r="AS53" s="51"/>
      <c r="AT53" s="52" t="s">
        <v>363</v>
      </c>
      <c r="AU53" s="364"/>
      <c r="AV53" s="53"/>
      <c r="AW53" s="61" t="s">
        <v>399</v>
      </c>
      <c r="AX53" s="53" t="s">
        <v>365</v>
      </c>
      <c r="AY53" s="89"/>
      <c r="AZ53" s="89"/>
      <c r="BA53" s="111"/>
      <c r="BB53" s="111"/>
      <c r="BC53" s="111"/>
      <c r="BD53" s="111"/>
      <c r="BE53" s="111"/>
      <c r="BF53" s="111"/>
      <c r="BG53" s="111"/>
      <c r="BH53" s="111"/>
      <c r="BI53" s="111"/>
      <c r="BJ53" s="111"/>
      <c r="BK53" s="111"/>
      <c r="BL53" s="111"/>
      <c r="BO53" s="51"/>
      <c r="BP53" s="52" t="s">
        <v>363</v>
      </c>
      <c r="BQ53" s="364"/>
      <c r="BR53" s="53"/>
      <c r="BS53" s="61" t="s">
        <v>399</v>
      </c>
      <c r="BT53" s="53" t="s">
        <v>365</v>
      </c>
      <c r="BU53" s="89"/>
      <c r="BV53" s="89"/>
      <c r="BW53" s="111"/>
      <c r="BX53" s="111"/>
      <c r="BY53" s="111"/>
      <c r="BZ53" s="111"/>
      <c r="CA53" s="111"/>
      <c r="CB53" s="111"/>
      <c r="CC53" s="111"/>
      <c r="CD53" s="111"/>
      <c r="CE53" s="111"/>
      <c r="CF53" s="111"/>
      <c r="CG53" s="111"/>
      <c r="CH53" s="111"/>
    </row>
    <row r="54" spans="1:86" ht="30.2" customHeight="1">
      <c r="A54" s="520"/>
      <c r="B54" s="52" t="s">
        <v>366</v>
      </c>
      <c r="C54" s="301"/>
      <c r="D54" s="273"/>
      <c r="E54" s="296" t="s">
        <v>441</v>
      </c>
      <c r="F54" s="295" t="s">
        <v>367</v>
      </c>
      <c r="G54" s="257"/>
      <c r="H54" s="257"/>
      <c r="I54" s="257"/>
      <c r="J54" s="257"/>
      <c r="K54" s="257"/>
      <c r="L54" s="257"/>
      <c r="M54" s="257"/>
      <c r="N54" s="257"/>
      <c r="O54" s="257"/>
      <c r="P54" s="257"/>
      <c r="Q54" s="257"/>
      <c r="R54" s="257"/>
      <c r="S54" s="257"/>
      <c r="T54" s="90"/>
      <c r="U54" s="36"/>
      <c r="V54" s="36"/>
      <c r="W54" s="51"/>
      <c r="X54" s="52" t="str">
        <f ca="1">T.BANGKIR!X54</f>
        <v>e. Pencapaian Beyond RKAP</v>
      </c>
      <c r="Y54" s="364"/>
      <c r="Z54" s="53"/>
      <c r="AA54" s="61" t="e">
        <f>#REF!</f>
        <v>#REF!</v>
      </c>
      <c r="AB54" s="53" t="s">
        <v>367</v>
      </c>
      <c r="AC54" s="89"/>
      <c r="AD54" s="89"/>
      <c r="AE54" s="89"/>
      <c r="AF54" s="89"/>
      <c r="AG54" s="89"/>
      <c r="AH54" s="89"/>
      <c r="AI54" s="89"/>
      <c r="AJ54" s="89"/>
      <c r="AK54" s="89"/>
      <c r="AL54" s="89"/>
      <c r="AM54" s="89"/>
      <c r="AN54" s="89"/>
      <c r="AO54" s="89"/>
      <c r="AP54" s="111"/>
      <c r="AS54" s="51"/>
      <c r="AT54" s="52" t="s">
        <v>366</v>
      </c>
      <c r="AU54" s="364"/>
      <c r="AV54" s="53"/>
      <c r="AW54" s="61" t="s">
        <v>441</v>
      </c>
      <c r="AX54" s="53" t="s">
        <v>367</v>
      </c>
      <c r="AY54" s="89"/>
      <c r="AZ54" s="89"/>
      <c r="BA54" s="111"/>
      <c r="BB54" s="111"/>
      <c r="BC54" s="111"/>
      <c r="BD54" s="111"/>
      <c r="BE54" s="111"/>
      <c r="BF54" s="111"/>
      <c r="BG54" s="111"/>
      <c r="BH54" s="111"/>
      <c r="BI54" s="111"/>
      <c r="BJ54" s="111"/>
      <c r="BK54" s="111"/>
      <c r="BL54" s="111"/>
      <c r="BO54" s="51"/>
      <c r="BP54" s="52" t="s">
        <v>366</v>
      </c>
      <c r="BQ54" s="364"/>
      <c r="BR54" s="53"/>
      <c r="BS54" s="61" t="s">
        <v>441</v>
      </c>
      <c r="BT54" s="53" t="s">
        <v>367</v>
      </c>
      <c r="BU54" s="89"/>
      <c r="BV54" s="89"/>
      <c r="BW54" s="111"/>
      <c r="BX54" s="111"/>
      <c r="BY54" s="111"/>
      <c r="BZ54" s="111"/>
      <c r="CA54" s="111"/>
      <c r="CB54" s="111"/>
      <c r="CC54" s="111"/>
      <c r="CD54" s="111"/>
      <c r="CE54" s="111"/>
      <c r="CF54" s="111"/>
      <c r="CG54" s="111"/>
      <c r="CH54" s="111"/>
    </row>
    <row r="55" spans="1:86" ht="16.5">
      <c r="A55" s="58"/>
      <c r="B55" s="59" t="s">
        <v>104</v>
      </c>
      <c r="C55" s="530"/>
      <c r="D55" s="278"/>
      <c r="E55" s="60"/>
      <c r="F55" s="279">
        <f>F7+F17</f>
        <v>100</v>
      </c>
      <c r="G55" s="279"/>
      <c r="H55" s="279"/>
      <c r="I55" s="279"/>
      <c r="J55" s="279"/>
      <c r="K55" s="279"/>
      <c r="L55" s="279"/>
      <c r="M55" s="279"/>
      <c r="N55" s="279"/>
      <c r="O55" s="279"/>
      <c r="P55" s="279"/>
      <c r="Q55" s="279"/>
      <c r="R55" s="279"/>
      <c r="S55" s="279"/>
      <c r="T55" s="58"/>
      <c r="W55" s="54"/>
      <c r="X55" s="55" t="str">
        <f ca="1">T.TOLIS!X55</f>
        <v>TOTAL BOBOT</v>
      </c>
      <c r="Y55" s="365"/>
      <c r="Z55" s="129"/>
      <c r="AA55" s="55"/>
      <c r="AB55" s="139">
        <f>AB7+AB17</f>
        <v>100</v>
      </c>
      <c r="AC55" s="139"/>
      <c r="AD55" s="139"/>
      <c r="AE55" s="139"/>
      <c r="AF55" s="139"/>
      <c r="AG55" s="139"/>
      <c r="AH55" s="139"/>
      <c r="AI55" s="139"/>
      <c r="AJ55" s="139"/>
      <c r="AK55" s="139"/>
      <c r="AL55" s="139"/>
      <c r="AM55" s="139"/>
      <c r="AN55" s="139"/>
      <c r="AO55" s="139"/>
      <c r="AP55" s="168"/>
      <c r="AS55" s="54"/>
      <c r="AT55" s="55" t="str">
        <f ca="1">T.TOLIS!AT55</f>
        <v>TOTAL BOBOT</v>
      </c>
      <c r="AU55" s="365"/>
      <c r="AV55" s="129"/>
      <c r="AW55" s="55"/>
      <c r="AX55" s="139">
        <f>AX7+AX17</f>
        <v>100</v>
      </c>
      <c r="AY55" s="139"/>
      <c r="AZ55" s="139"/>
      <c r="BA55" s="168"/>
      <c r="BB55" s="168"/>
      <c r="BC55" s="168"/>
      <c r="BD55" s="168"/>
      <c r="BE55" s="168"/>
      <c r="BF55" s="168"/>
      <c r="BG55" s="168"/>
      <c r="BH55" s="168"/>
      <c r="BI55" s="168"/>
      <c r="BJ55" s="168"/>
      <c r="BK55" s="168"/>
      <c r="BL55" s="168"/>
      <c r="BO55" s="54"/>
      <c r="BP55" s="55" t="str">
        <f ca="1">T.TOLIS!BP55</f>
        <v>TOTAL BOBOT</v>
      </c>
      <c r="BQ55" s="365"/>
      <c r="BR55" s="129"/>
      <c r="BS55" s="55"/>
      <c r="BT55" s="139">
        <f>BT7+BT17</f>
        <v>100</v>
      </c>
      <c r="BU55" s="139"/>
      <c r="BV55" s="139"/>
      <c r="BW55" s="514">
        <f>SUM(BW8:BW54)</f>
        <v>96.069167577955852</v>
      </c>
      <c r="BX55" s="514">
        <f t="shared" ref="BX55:CH55" si="45">SUM(BX8:BX54)</f>
        <v>97.086429540210844</v>
      </c>
      <c r="BY55" s="514">
        <f t="shared" si="45"/>
        <v>106.75572826109968</v>
      </c>
      <c r="BZ55" s="514">
        <f t="shared" si="45"/>
        <v>106.78910272969948</v>
      </c>
      <c r="CA55" s="514">
        <f t="shared" si="45"/>
        <v>105.84229215939231</v>
      </c>
      <c r="CB55" s="514">
        <f t="shared" si="45"/>
        <v>106.10606824220346</v>
      </c>
      <c r="CC55" s="514">
        <f t="shared" si="45"/>
        <v>105.23326299550875</v>
      </c>
      <c r="CD55" s="514">
        <f t="shared" si="45"/>
        <v>105.27009084210825</v>
      </c>
      <c r="CE55" s="514">
        <f t="shared" si="45"/>
        <v>105.11493459103463</v>
      </c>
      <c r="CF55" s="514">
        <f t="shared" si="45"/>
        <v>104.54011171349008</v>
      </c>
      <c r="CG55" s="514">
        <f t="shared" si="45"/>
        <v>71.155044136191677</v>
      </c>
      <c r="CH55" s="514">
        <f t="shared" si="45"/>
        <v>71.155044136191677</v>
      </c>
    </row>
    <row r="56" spans="1:86" customFormat="1">
      <c r="B56" s="352"/>
      <c r="C56" s="366"/>
      <c r="E56" s="343"/>
    </row>
    <row r="57" spans="1:86" customFormat="1">
      <c r="A57" s="114"/>
      <c r="B57" s="353" t="s">
        <v>368</v>
      </c>
      <c r="C57" s="375"/>
      <c r="D57" s="4">
        <f>COUNTA(D8:D54)</f>
        <v>31</v>
      </c>
      <c r="E57" s="344"/>
      <c r="F57" s="4"/>
      <c r="G57" s="116"/>
      <c r="H57" s="116"/>
      <c r="I57" s="116"/>
      <c r="J57" s="116"/>
      <c r="K57" s="116"/>
      <c r="L57" s="116"/>
      <c r="M57" s="116"/>
      <c r="N57" s="116"/>
      <c r="O57" s="116"/>
      <c r="P57" s="116"/>
      <c r="Q57" s="116"/>
      <c r="R57" s="116"/>
      <c r="S57" s="116"/>
      <c r="T57" s="116"/>
    </row>
    <row r="58" spans="1:86" customFormat="1">
      <c r="B58" s="352"/>
      <c r="C58" s="366"/>
      <c r="E58" s="343"/>
    </row>
    <row r="59" spans="1:86" customFormat="1">
      <c r="A59" s="117" t="s">
        <v>369</v>
      </c>
      <c r="B59" s="354"/>
      <c r="C59" s="376"/>
      <c r="D59" s="119"/>
      <c r="E59" s="345"/>
      <c r="F59" s="119"/>
      <c r="G59" s="119"/>
      <c r="H59" s="119"/>
      <c r="I59" s="119"/>
      <c r="J59" s="119"/>
      <c r="K59" s="119"/>
      <c r="L59" s="119"/>
      <c r="M59" s="119"/>
      <c r="Q59" s="119"/>
      <c r="S59" s="119"/>
    </row>
    <row r="60" spans="1:86" customFormat="1" ht="30">
      <c r="A60" s="119">
        <v>3</v>
      </c>
      <c r="B60" s="355" t="s">
        <v>370</v>
      </c>
      <c r="C60" s="376"/>
      <c r="D60" s="119"/>
      <c r="E60" s="345"/>
      <c r="F60" s="119"/>
      <c r="G60" s="119"/>
      <c r="H60" s="119"/>
      <c r="I60" s="119"/>
      <c r="J60" s="119"/>
      <c r="K60" s="119"/>
      <c r="L60" s="119"/>
      <c r="M60" s="119"/>
      <c r="Q60" s="119"/>
      <c r="S60" s="119"/>
    </row>
    <row r="61" spans="1:86" customFormat="1" ht="30">
      <c r="A61" s="119">
        <v>1</v>
      </c>
      <c r="B61" s="355" t="s">
        <v>371</v>
      </c>
      <c r="C61" s="376"/>
      <c r="D61" s="119"/>
      <c r="E61" s="345"/>
      <c r="F61" s="119"/>
      <c r="G61" s="119"/>
      <c r="H61" s="119"/>
      <c r="I61" s="119"/>
      <c r="J61" s="119"/>
      <c r="K61" s="119"/>
      <c r="L61" s="119"/>
      <c r="M61" s="119"/>
      <c r="Q61" s="119"/>
      <c r="S61" s="119"/>
    </row>
    <row r="62" spans="1:86" customFormat="1">
      <c r="A62" s="119"/>
      <c r="B62" s="354"/>
      <c r="C62" s="376"/>
      <c r="D62" s="119"/>
      <c r="E62" s="345"/>
      <c r="F62" s="119"/>
      <c r="G62" s="119"/>
      <c r="H62" s="119"/>
      <c r="I62" s="119"/>
      <c r="J62" s="119"/>
      <c r="K62" s="119"/>
      <c r="L62" s="119"/>
      <c r="M62" s="119"/>
      <c r="Q62" s="119"/>
      <c r="S62" s="119"/>
    </row>
    <row r="63" spans="1:86" customFormat="1">
      <c r="A63" s="119"/>
      <c r="B63" s="354"/>
      <c r="C63" s="376"/>
      <c r="D63" s="119"/>
      <c r="E63" s="345"/>
      <c r="F63" s="119"/>
      <c r="G63" s="119"/>
      <c r="H63" s="119"/>
      <c r="I63" s="119"/>
      <c r="J63" s="119"/>
      <c r="K63" s="119"/>
      <c r="L63" s="119"/>
      <c r="M63" s="119"/>
      <c r="Q63" s="119"/>
      <c r="S63" s="119"/>
    </row>
    <row r="64" spans="1:86" customFormat="1">
      <c r="A64" s="121"/>
      <c r="B64" s="356"/>
      <c r="C64" s="376"/>
      <c r="D64" s="121"/>
      <c r="E64" s="346"/>
      <c r="F64" s="121"/>
      <c r="G64" s="121"/>
      <c r="H64" s="121"/>
      <c r="I64" s="121"/>
      <c r="J64" s="121"/>
      <c r="K64" s="121"/>
      <c r="L64" s="121"/>
      <c r="M64" s="121"/>
    </row>
    <row r="65" spans="1:30" customFormat="1">
      <c r="B65" s="352"/>
      <c r="C65" s="366"/>
      <c r="E65" s="343"/>
      <c r="Q65" s="121"/>
      <c r="S65" s="121"/>
    </row>
    <row r="66" spans="1:30" s="31" customFormat="1">
      <c r="A66" s="28"/>
      <c r="B66" s="357"/>
      <c r="C66" s="377"/>
      <c r="D66" s="28"/>
      <c r="E66" s="347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W66" s="30"/>
      <c r="X66" s="30"/>
      <c r="Y66" s="30"/>
      <c r="Z66" s="30"/>
      <c r="AA66" s="30"/>
      <c r="AB66" s="30"/>
      <c r="AC66" s="30"/>
      <c r="AD66" s="30"/>
    </row>
  </sheetData>
  <mergeCells count="34">
    <mergeCell ref="I4:T4"/>
    <mergeCell ref="A4:A5"/>
    <mergeCell ref="B4:C5"/>
    <mergeCell ref="D4:D5"/>
    <mergeCell ref="E4:E5"/>
    <mergeCell ref="F4:F5"/>
    <mergeCell ref="G4:H4"/>
    <mergeCell ref="W4:W5"/>
    <mergeCell ref="X4:Y5"/>
    <mergeCell ref="Z4:Z5"/>
    <mergeCell ref="AA4:AA5"/>
    <mergeCell ref="AB4:AB5"/>
    <mergeCell ref="AC4:AC5"/>
    <mergeCell ref="AD4:AD5"/>
    <mergeCell ref="AE4:AP4"/>
    <mergeCell ref="X6:Y6"/>
    <mergeCell ref="AS4:AS5"/>
    <mergeCell ref="AZ4:AZ5"/>
    <mergeCell ref="BA4:BL4"/>
    <mergeCell ref="AT6:AU6"/>
    <mergeCell ref="BO4:BO5"/>
    <mergeCell ref="BP4:BQ5"/>
    <mergeCell ref="AT4:AU5"/>
    <mergeCell ref="AV4:AV5"/>
    <mergeCell ref="AW4:AW5"/>
    <mergeCell ref="AX4:AX5"/>
    <mergeCell ref="AY4:AY5"/>
    <mergeCell ref="BW4:CH4"/>
    <mergeCell ref="BP6:BQ6"/>
    <mergeCell ref="BR4:BR5"/>
    <mergeCell ref="BS4:BS5"/>
    <mergeCell ref="BT4:BT5"/>
    <mergeCell ref="BU4:BU5"/>
    <mergeCell ref="BV4:BV5"/>
  </mergeCells>
  <conditionalFormatting sqref="A60">
    <cfRule type="iconSet" priority="39">
      <iconSet iconSet="3ArrowsGray" showValue="0">
        <cfvo type="percent" val="0"/>
        <cfvo type="num" val="2"/>
        <cfvo type="num" val="3"/>
      </iconSet>
    </cfRule>
  </conditionalFormatting>
  <conditionalFormatting sqref="A61">
    <cfRule type="iconSet" priority="38">
      <iconSet iconSet="3ArrowsGray" showValue="0">
        <cfvo type="percent" val="0"/>
        <cfvo type="num" val="2"/>
        <cfvo type="num" val="3"/>
      </iconSet>
    </cfRule>
  </conditionalFormatting>
  <conditionalFormatting sqref="C8">
    <cfRule type="iconSet" priority="53">
      <iconSet iconSet="3ArrowsGray" showValue="0">
        <cfvo type="percent" val="0"/>
        <cfvo type="num" val="2"/>
        <cfvo type="num" val="3"/>
      </iconSet>
    </cfRule>
    <cfRule type="iconSet" priority="49">
      <iconSet iconSet="3ArrowsGray" showValue="0">
        <cfvo type="percent" val="0"/>
        <cfvo type="num" val="2"/>
        <cfvo type="num" val="3"/>
      </iconSet>
    </cfRule>
  </conditionalFormatting>
  <conditionalFormatting sqref="C9">
    <cfRule type="iconSet" priority="48">
      <iconSet iconSet="3ArrowsGray" showValue="0">
        <cfvo type="percent" val="0"/>
        <cfvo type="num" val="2"/>
        <cfvo type="num" val="3"/>
      </iconSet>
    </cfRule>
  </conditionalFormatting>
  <conditionalFormatting sqref="C10:C16">
    <cfRule type="iconSet" priority="48426">
      <iconSet iconSet="3ArrowsGray" showValue="0">
        <cfvo type="percent" val="0"/>
        <cfvo type="num" val="2"/>
        <cfvo type="num" val="3"/>
      </iconSet>
    </cfRule>
    <cfRule type="iconSet" priority="48425">
      <iconSet iconSet="3ArrowsGray" showValue="0">
        <cfvo type="percent" val="0"/>
        <cfvo type="num" val="2"/>
        <cfvo type="num" val="3"/>
      </iconSet>
    </cfRule>
  </conditionalFormatting>
  <conditionalFormatting sqref="C18">
    <cfRule type="iconSet" priority="12">
      <iconSet iconSet="3ArrowsGray" showValue="0">
        <cfvo type="percent" val="0"/>
        <cfvo type="num" val="2"/>
        <cfvo type="num" val="3"/>
      </iconSet>
    </cfRule>
    <cfRule type="iconSet" priority="13">
      <iconSet iconSet="3ArrowsGray" showValue="0">
        <cfvo type="percent" val="0"/>
        <cfvo type="num" val="2"/>
        <cfvo type="num" val="3"/>
      </iconSet>
    </cfRule>
  </conditionalFormatting>
  <conditionalFormatting sqref="C19:C34 C36:C49">
    <cfRule type="iconSet" priority="47677">
      <iconSet iconSet="3ArrowsGray" showValue="0">
        <cfvo type="percent" val="0"/>
        <cfvo type="num" val="2"/>
        <cfvo type="num" val="3"/>
      </iconSet>
    </cfRule>
    <cfRule type="iconSet" priority="47678">
      <iconSet iconSet="3ArrowsGray" showValue="0">
        <cfvo type="percent" val="0"/>
        <cfvo type="num" val="2"/>
        <cfvo type="num" val="3"/>
      </iconSet>
    </cfRule>
  </conditionalFormatting>
  <conditionalFormatting sqref="C35">
    <cfRule type="iconSet" priority="10">
      <iconSet iconSet="3ArrowsGray" showValue="0">
        <cfvo type="percent" val="0"/>
        <cfvo type="num" val="2"/>
        <cfvo type="num" val="3"/>
      </iconSet>
    </cfRule>
    <cfRule type="iconSet" priority="11">
      <iconSet iconSet="3ArrowsGray" showValue="0">
        <cfvo type="percent" val="0"/>
        <cfvo type="num" val="2"/>
        <cfvo type="num" val="3"/>
      </iconSet>
    </cfRule>
  </conditionalFormatting>
  <conditionalFormatting sqref="C50">
    <cfRule type="iconSet" priority="47679">
      <iconSet iconSet="3ArrowsGray" showValue="0">
        <cfvo type="percent" val="0"/>
        <cfvo type="num" val="2"/>
        <cfvo type="num" val="3"/>
      </iconSet>
    </cfRule>
  </conditionalFormatting>
  <conditionalFormatting sqref="C50:C54">
    <cfRule type="iconSet" priority="47680">
      <iconSet iconSet="3ArrowsGray" showValue="0">
        <cfvo type="percent" val="0"/>
        <cfvo type="num" val="2"/>
        <cfvo type="num" val="3"/>
      </iconSet>
    </cfRule>
  </conditionalFormatting>
  <conditionalFormatting sqref="C56">
    <cfRule type="iconSet" priority="41">
      <iconSet iconSet="3ArrowsGray" showValue="0">
        <cfvo type="percent" val="0"/>
        <cfvo type="num" val="2"/>
        <cfvo type="num" val="3"/>
      </iconSet>
    </cfRule>
  </conditionalFormatting>
  <conditionalFormatting sqref="C57">
    <cfRule type="iconSet" priority="44">
      <iconSet iconSet="3ArrowsGray" showValue="0">
        <cfvo type="percent" val="0"/>
        <cfvo type="num" val="2"/>
        <cfvo type="num" val="3"/>
      </iconSet>
    </cfRule>
  </conditionalFormatting>
  <conditionalFormatting sqref="D56">
    <cfRule type="iconSet" priority="43">
      <iconSet iconSet="3ArrowsGray" showValue="0">
        <cfvo type="percent" val="0"/>
        <cfvo type="num" val="2"/>
        <cfvo type="num" val="3"/>
      </iconSet>
    </cfRule>
    <cfRule type="iconSet" priority="34">
      <iconSet iconSet="3ArrowsGray" showValue="0">
        <cfvo type="percent" val="0"/>
        <cfvo type="num" val="2"/>
        <cfvo type="num" val="3"/>
      </iconSet>
    </cfRule>
  </conditionalFormatting>
  <conditionalFormatting sqref="E56">
    <cfRule type="iconSet" priority="42">
      <iconSet iconSet="3ArrowsGray" showValue="0">
        <cfvo type="percent" val="0"/>
        <cfvo type="num" val="2"/>
        <cfvo type="num" val="3"/>
      </iconSet>
    </cfRule>
  </conditionalFormatting>
  <conditionalFormatting sqref="G56:H56">
    <cfRule type="iconSet" priority="51">
      <iconSet iconSet="3ArrowsGray" showValue="0">
        <cfvo type="percent" val="0"/>
        <cfvo type="num" val="2"/>
        <cfvo type="num" val="3"/>
      </iconSet>
    </cfRule>
  </conditionalFormatting>
  <conditionalFormatting sqref="G57:H57">
    <cfRule type="iconSet" priority="50">
      <iconSet iconSet="3ArrowsGray" showValue="0">
        <cfvo type="percent" val="0"/>
        <cfvo type="num" val="2"/>
        <cfvo type="num" val="3"/>
      </iconSet>
    </cfRule>
  </conditionalFormatting>
  <conditionalFormatting sqref="I56:T56">
    <cfRule type="iconSet" priority="40">
      <iconSet iconSet="3ArrowsGray" showValue="0">
        <cfvo type="percent" val="0"/>
        <cfvo type="num" val="2"/>
        <cfvo type="num" val="3"/>
      </iconSet>
    </cfRule>
  </conditionalFormatting>
  <conditionalFormatting sqref="I57:T57">
    <cfRule type="iconSet" priority="36">
      <iconSet iconSet="3ArrowsGray" showValue="0">
        <cfvo type="percent" val="0"/>
        <cfvo type="num" val="2"/>
        <cfvo type="num" val="3"/>
      </iconSet>
    </cfRule>
    <cfRule type="iconSet" priority="35">
      <iconSet iconSet="3ArrowsGray" showValue="0">
        <cfvo type="percent" val="0"/>
        <cfvo type="num" val="2"/>
        <cfvo type="num" val="3"/>
      </iconSet>
    </cfRule>
  </conditionalFormatting>
  <conditionalFormatting sqref="Y8:Y16">
    <cfRule type="iconSet" priority="8">
      <iconSet iconSet="3ArrowsGray" showValue="0">
        <cfvo type="percent" val="0"/>
        <cfvo type="num" val="2"/>
        <cfvo type="num" val="3"/>
      </iconSet>
    </cfRule>
    <cfRule type="iconSet" priority="9">
      <iconSet iconSet="3ArrowsGray" showValue="0">
        <cfvo type="percent" val="0"/>
        <cfvo type="num" val="2"/>
        <cfvo type="num" val="3"/>
      </iconSet>
    </cfRule>
  </conditionalFormatting>
  <conditionalFormatting sqref="Y18:Y54">
    <cfRule type="iconSet" priority="7">
      <iconSet iconSet="3ArrowsGray" showValue="0">
        <cfvo type="percent" val="0"/>
        <cfvo type="num" val="2"/>
        <cfvo type="num" val="3"/>
      </iconSet>
    </cfRule>
  </conditionalFormatting>
  <conditionalFormatting sqref="AU8:AU16">
    <cfRule type="iconSet" priority="5">
      <iconSet iconSet="3ArrowsGray" showValue="0">
        <cfvo type="percent" val="0"/>
        <cfvo type="num" val="2"/>
        <cfvo type="num" val="3"/>
      </iconSet>
    </cfRule>
    <cfRule type="iconSet" priority="6">
      <iconSet iconSet="3ArrowsGray" showValue="0">
        <cfvo type="percent" val="0"/>
        <cfvo type="num" val="2"/>
        <cfvo type="num" val="3"/>
      </iconSet>
    </cfRule>
  </conditionalFormatting>
  <conditionalFormatting sqref="AU18:AU54">
    <cfRule type="iconSet" priority="4">
      <iconSet iconSet="3ArrowsGray" showValue="0">
        <cfvo type="percent" val="0"/>
        <cfvo type="num" val="2"/>
        <cfvo type="num" val="3"/>
      </iconSet>
    </cfRule>
  </conditionalFormatting>
  <conditionalFormatting sqref="BQ8:BQ16">
    <cfRule type="iconSet" priority="2">
      <iconSet iconSet="3ArrowsGray" showValue="0">
        <cfvo type="percent" val="0"/>
        <cfvo type="num" val="2"/>
        <cfvo type="num" val="3"/>
      </iconSet>
    </cfRule>
    <cfRule type="iconSet" priority="3">
      <iconSet iconSet="3ArrowsGray" showValue="0">
        <cfvo type="percent" val="0"/>
        <cfvo type="num" val="2"/>
        <cfvo type="num" val="3"/>
      </iconSet>
    </cfRule>
  </conditionalFormatting>
  <conditionalFormatting sqref="BQ18:BQ54">
    <cfRule type="iconSet" priority="1">
      <iconSet iconSet="3ArrowsGray" showValue="0">
        <cfvo type="percent" val="0"/>
        <cfvo type="num" val="2"/>
        <cfvo type="num" val="3"/>
      </iconSet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52" fitToHeight="0" orientation="landscape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51212-F43F-4772-A840-DE70405AEDED}">
  <sheetPr>
    <tabColor rgb="FFFF0000"/>
    <pageSetUpPr fitToPage="1"/>
  </sheetPr>
  <dimension ref="A1:CH66"/>
  <sheetViews>
    <sheetView topLeftCell="BD33" workbookViewId="0"/>
  </sheetViews>
  <sheetFormatPr defaultColWidth="8.85546875" defaultRowHeight="15"/>
  <cols>
    <col min="1" max="1" width="5.7109375" style="28" customWidth="1"/>
    <col min="2" max="2" width="60" style="357" customWidth="1"/>
    <col min="3" max="3" width="2.85546875" style="377" customWidth="1"/>
    <col min="4" max="4" width="14.42578125" style="336" customWidth="1"/>
    <col min="5" max="5" width="106.7109375" style="28" hidden="1" customWidth="1"/>
    <col min="6" max="6" width="10.140625" style="30" customWidth="1"/>
    <col min="7" max="20" width="11.28515625" style="30" customWidth="1"/>
    <col min="21" max="21" width="17.7109375" style="31" bestFit="1" customWidth="1"/>
    <col min="22" max="22" width="16" style="31" bestFit="1" customWidth="1"/>
    <col min="23" max="23" width="5.5703125" style="30" customWidth="1"/>
    <col min="24" max="24" width="60" style="30" customWidth="1"/>
    <col min="25" max="25" width="4.140625" style="30" customWidth="1"/>
    <col min="26" max="26" width="12.42578125" style="30" customWidth="1"/>
    <col min="27" max="27" width="0" style="30" hidden="1" customWidth="1"/>
    <col min="28" max="28" width="7.7109375" style="30" bestFit="1" customWidth="1"/>
    <col min="29" max="29" width="11" style="30" customWidth="1"/>
    <col min="30" max="30" width="11.140625" style="30" customWidth="1"/>
    <col min="31" max="42" width="12.140625" style="30" customWidth="1"/>
    <col min="43" max="44" width="8.85546875" style="30"/>
    <col min="45" max="45" width="5.7109375" style="30" customWidth="1"/>
    <col min="46" max="46" width="60" style="30" customWidth="1"/>
    <col min="47" max="47" width="4.140625" style="30" customWidth="1"/>
    <col min="48" max="48" width="11.7109375" style="30" bestFit="1" customWidth="1"/>
    <col min="49" max="49" width="0" style="30" hidden="1" customWidth="1"/>
    <col min="50" max="50" width="7.28515625" style="30" bestFit="1" customWidth="1"/>
    <col min="51" max="51" width="14.28515625" style="30" customWidth="1"/>
    <col min="52" max="52" width="12.42578125" style="30" bestFit="1" customWidth="1"/>
    <col min="53" max="64" width="11.28515625" style="30" customWidth="1"/>
    <col min="65" max="66" width="8.85546875" style="30"/>
    <col min="67" max="67" width="5.7109375" style="30" customWidth="1"/>
    <col min="68" max="68" width="60" style="30" customWidth="1"/>
    <col min="69" max="69" width="4.140625" style="30" customWidth="1"/>
    <col min="70" max="70" width="11.7109375" style="30" bestFit="1" customWidth="1"/>
    <col min="71" max="71" width="0" style="30" hidden="1" customWidth="1"/>
    <col min="72" max="72" width="10.5703125" style="30" bestFit="1" customWidth="1"/>
    <col min="73" max="73" width="14.28515625" style="30" customWidth="1"/>
    <col min="74" max="74" width="12.42578125" style="30" bestFit="1" customWidth="1"/>
    <col min="75" max="86" width="11.28515625" style="30" customWidth="1"/>
    <col min="87" max="16384" width="8.85546875" style="30"/>
  </cols>
  <sheetData>
    <row r="1" spans="1:86" ht="15.75">
      <c r="B1" s="348" t="s">
        <v>251</v>
      </c>
      <c r="C1" s="362"/>
      <c r="I1" s="22"/>
      <c r="W1" s="28"/>
      <c r="X1" s="348" t="s">
        <v>251</v>
      </c>
      <c r="AS1" s="28"/>
      <c r="AT1" s="348" t="s">
        <v>251</v>
      </c>
      <c r="BO1" s="28"/>
      <c r="BP1" s="348" t="s">
        <v>251</v>
      </c>
    </row>
    <row r="2" spans="1:86" ht="15.75">
      <c r="B2" s="348" t="s">
        <v>123</v>
      </c>
      <c r="C2" s="362"/>
      <c r="W2" s="28"/>
      <c r="X2" s="348" t="s">
        <v>123</v>
      </c>
      <c r="AS2" s="28"/>
      <c r="AT2" s="348" t="s">
        <v>123</v>
      </c>
      <c r="BO2" s="28"/>
      <c r="BP2" s="348" t="s">
        <v>123</v>
      </c>
    </row>
    <row r="3" spans="1:86" ht="15.75">
      <c r="B3" s="348" t="s">
        <v>379</v>
      </c>
      <c r="C3" s="362"/>
      <c r="W3" s="28"/>
      <c r="X3" s="348" t="s">
        <v>379</v>
      </c>
      <c r="AS3" s="28"/>
      <c r="AT3" s="348" t="s">
        <v>379</v>
      </c>
      <c r="BO3" s="28"/>
      <c r="BP3" s="348" t="s">
        <v>379</v>
      </c>
    </row>
    <row r="4" spans="1:86" s="33" customFormat="1" ht="15" customHeight="1">
      <c r="A4" s="818" t="s">
        <v>8</v>
      </c>
      <c r="B4" s="820" t="s">
        <v>9</v>
      </c>
      <c r="C4" s="821"/>
      <c r="D4" s="818" t="s">
        <v>93</v>
      </c>
      <c r="E4" s="818" t="s">
        <v>271</v>
      </c>
      <c r="F4" s="818" t="s">
        <v>99</v>
      </c>
      <c r="G4" s="824" t="s">
        <v>100</v>
      </c>
      <c r="H4" s="825"/>
      <c r="I4" s="807" t="s">
        <v>381</v>
      </c>
      <c r="J4" s="808"/>
      <c r="K4" s="808"/>
      <c r="L4" s="808"/>
      <c r="M4" s="808"/>
      <c r="N4" s="808"/>
      <c r="O4" s="808"/>
      <c r="P4" s="808"/>
      <c r="Q4" s="808"/>
      <c r="R4" s="808"/>
      <c r="S4" s="808"/>
      <c r="T4" s="809"/>
      <c r="U4" s="32"/>
      <c r="V4" s="32"/>
      <c r="W4" s="812" t="s">
        <v>8</v>
      </c>
      <c r="X4" s="814" t="s">
        <v>9</v>
      </c>
      <c r="Y4" s="815"/>
      <c r="Z4" s="790" t="s">
        <v>93</v>
      </c>
      <c r="AA4" s="795" t="s">
        <v>271</v>
      </c>
      <c r="AB4" s="790" t="s">
        <v>99</v>
      </c>
      <c r="AC4" s="790" t="s">
        <v>373</v>
      </c>
      <c r="AD4" s="790" t="s">
        <v>374</v>
      </c>
      <c r="AE4" s="807" t="s">
        <v>496</v>
      </c>
      <c r="AF4" s="808"/>
      <c r="AG4" s="808"/>
      <c r="AH4" s="808"/>
      <c r="AI4" s="808"/>
      <c r="AJ4" s="808"/>
      <c r="AK4" s="808"/>
      <c r="AL4" s="808"/>
      <c r="AM4" s="808"/>
      <c r="AN4" s="808"/>
      <c r="AO4" s="808"/>
      <c r="AP4" s="809"/>
      <c r="AS4" s="812" t="s">
        <v>8</v>
      </c>
      <c r="AT4" s="814" t="s">
        <v>451</v>
      </c>
      <c r="AU4" s="815"/>
      <c r="AV4" s="790" t="s">
        <v>93</v>
      </c>
      <c r="AW4" s="795" t="s">
        <v>271</v>
      </c>
      <c r="AX4" s="790" t="s">
        <v>99</v>
      </c>
      <c r="AY4" s="790" t="s">
        <v>485</v>
      </c>
      <c r="AZ4" s="790" t="s">
        <v>484</v>
      </c>
      <c r="BA4" s="807" t="s">
        <v>483</v>
      </c>
      <c r="BB4" s="808"/>
      <c r="BC4" s="808"/>
      <c r="BD4" s="808"/>
      <c r="BE4" s="808"/>
      <c r="BF4" s="808"/>
      <c r="BG4" s="808"/>
      <c r="BH4" s="808"/>
      <c r="BI4" s="808"/>
      <c r="BJ4" s="808"/>
      <c r="BK4" s="808"/>
      <c r="BL4" s="809"/>
      <c r="BO4" s="812" t="s">
        <v>8</v>
      </c>
      <c r="BP4" s="814" t="s">
        <v>451</v>
      </c>
      <c r="BQ4" s="815"/>
      <c r="BR4" s="790" t="s">
        <v>93</v>
      </c>
      <c r="BS4" s="795" t="s">
        <v>271</v>
      </c>
      <c r="BT4" s="790" t="s">
        <v>99</v>
      </c>
      <c r="BU4" s="790" t="s">
        <v>485</v>
      </c>
      <c r="BV4" s="790" t="s">
        <v>484</v>
      </c>
      <c r="BW4" s="807" t="s">
        <v>483</v>
      </c>
      <c r="BX4" s="808"/>
      <c r="BY4" s="808"/>
      <c r="BZ4" s="808"/>
      <c r="CA4" s="808"/>
      <c r="CB4" s="808"/>
      <c r="CC4" s="808"/>
      <c r="CD4" s="808"/>
      <c r="CE4" s="808"/>
      <c r="CF4" s="808"/>
      <c r="CG4" s="808"/>
      <c r="CH4" s="809"/>
    </row>
    <row r="5" spans="1:86" s="33" customFormat="1" ht="15" customHeight="1">
      <c r="A5" s="819"/>
      <c r="B5" s="822"/>
      <c r="C5" s="823"/>
      <c r="D5" s="819"/>
      <c r="E5" s="819"/>
      <c r="F5" s="819"/>
      <c r="G5" s="428" t="s">
        <v>273</v>
      </c>
      <c r="H5" s="428" t="s">
        <v>274</v>
      </c>
      <c r="I5" s="113" t="s">
        <v>94</v>
      </c>
      <c r="J5" s="113" t="s">
        <v>95</v>
      </c>
      <c r="K5" s="113" t="s">
        <v>96</v>
      </c>
      <c r="L5" s="113" t="s">
        <v>97</v>
      </c>
      <c r="M5" s="113" t="s">
        <v>98</v>
      </c>
      <c r="N5" s="113" t="s">
        <v>153</v>
      </c>
      <c r="O5" s="113" t="s">
        <v>163</v>
      </c>
      <c r="P5" s="113" t="s">
        <v>165</v>
      </c>
      <c r="Q5" s="113" t="s">
        <v>167</v>
      </c>
      <c r="R5" s="113" t="s">
        <v>169</v>
      </c>
      <c r="S5" s="113" t="s">
        <v>171</v>
      </c>
      <c r="T5" s="429" t="s">
        <v>174</v>
      </c>
      <c r="U5" s="32"/>
      <c r="V5" s="32"/>
      <c r="W5" s="813"/>
      <c r="X5" s="816"/>
      <c r="Y5" s="817"/>
      <c r="Z5" s="791"/>
      <c r="AA5" s="796"/>
      <c r="AB5" s="791"/>
      <c r="AC5" s="791"/>
      <c r="AD5" s="791"/>
      <c r="AE5" s="424" t="s">
        <v>94</v>
      </c>
      <c r="AF5" s="424" t="s">
        <v>95</v>
      </c>
      <c r="AG5" s="424" t="s">
        <v>96</v>
      </c>
      <c r="AH5" s="424" t="s">
        <v>488</v>
      </c>
      <c r="AI5" s="424" t="s">
        <v>489</v>
      </c>
      <c r="AJ5" s="424" t="s">
        <v>490</v>
      </c>
      <c r="AK5" s="424" t="s">
        <v>491</v>
      </c>
      <c r="AL5" s="424" t="s">
        <v>165</v>
      </c>
      <c r="AM5" s="424" t="s">
        <v>167</v>
      </c>
      <c r="AN5" s="424" t="s">
        <v>492</v>
      </c>
      <c r="AO5" s="424" t="s">
        <v>171</v>
      </c>
      <c r="AP5" s="424" t="s">
        <v>493</v>
      </c>
      <c r="AS5" s="813"/>
      <c r="AT5" s="816"/>
      <c r="AU5" s="817"/>
      <c r="AV5" s="791"/>
      <c r="AW5" s="796"/>
      <c r="AX5" s="791"/>
      <c r="AY5" s="791"/>
      <c r="AZ5" s="791"/>
      <c r="BA5" s="424" t="s">
        <v>94</v>
      </c>
      <c r="BB5" s="424" t="s">
        <v>95</v>
      </c>
      <c r="BC5" s="424" t="s">
        <v>96</v>
      </c>
      <c r="BD5" s="424" t="s">
        <v>488</v>
      </c>
      <c r="BE5" s="424" t="s">
        <v>489</v>
      </c>
      <c r="BF5" s="424" t="s">
        <v>490</v>
      </c>
      <c r="BG5" s="424" t="s">
        <v>491</v>
      </c>
      <c r="BH5" s="424" t="s">
        <v>165</v>
      </c>
      <c r="BI5" s="424" t="s">
        <v>167</v>
      </c>
      <c r="BJ5" s="424" t="s">
        <v>492</v>
      </c>
      <c r="BK5" s="424" t="s">
        <v>171</v>
      </c>
      <c r="BL5" s="424" t="s">
        <v>493</v>
      </c>
      <c r="BO5" s="813"/>
      <c r="BP5" s="816"/>
      <c r="BQ5" s="817"/>
      <c r="BR5" s="791"/>
      <c r="BS5" s="796"/>
      <c r="BT5" s="791"/>
      <c r="BU5" s="791"/>
      <c r="BV5" s="791"/>
      <c r="BW5" s="424" t="s">
        <v>94</v>
      </c>
      <c r="BX5" s="424" t="s">
        <v>95</v>
      </c>
      <c r="BY5" s="424" t="s">
        <v>96</v>
      </c>
      <c r="BZ5" s="424" t="s">
        <v>488</v>
      </c>
      <c r="CA5" s="424" t="s">
        <v>489</v>
      </c>
      <c r="CB5" s="424" t="s">
        <v>490</v>
      </c>
      <c r="CC5" s="424" t="s">
        <v>491</v>
      </c>
      <c r="CD5" s="424" t="s">
        <v>165</v>
      </c>
      <c r="CE5" s="424" t="s">
        <v>167</v>
      </c>
      <c r="CF5" s="424" t="s">
        <v>492</v>
      </c>
      <c r="CG5" s="424" t="s">
        <v>171</v>
      </c>
      <c r="CH5" s="424" t="s">
        <v>493</v>
      </c>
    </row>
    <row r="6" spans="1:86" s="33" customFormat="1" ht="15" customHeight="1">
      <c r="A6" s="428">
        <v>1</v>
      </c>
      <c r="B6" s="456">
        <v>2</v>
      </c>
      <c r="C6" s="400"/>
      <c r="D6" s="428">
        <v>3</v>
      </c>
      <c r="E6" s="428">
        <v>4</v>
      </c>
      <c r="F6" s="428">
        <v>5</v>
      </c>
      <c r="G6" s="428">
        <v>6</v>
      </c>
      <c r="H6" s="428">
        <v>7</v>
      </c>
      <c r="I6" s="428">
        <v>8</v>
      </c>
      <c r="J6" s="428">
        <v>9</v>
      </c>
      <c r="K6" s="428">
        <v>10</v>
      </c>
      <c r="L6" s="428">
        <v>11</v>
      </c>
      <c r="M6" s="428">
        <v>12</v>
      </c>
      <c r="N6" s="428">
        <v>13</v>
      </c>
      <c r="O6" s="428">
        <v>14</v>
      </c>
      <c r="P6" s="428">
        <v>15</v>
      </c>
      <c r="Q6" s="428">
        <v>16</v>
      </c>
      <c r="R6" s="428">
        <v>17</v>
      </c>
      <c r="S6" s="428">
        <v>18</v>
      </c>
      <c r="T6" s="428">
        <v>19</v>
      </c>
      <c r="U6" s="32"/>
      <c r="V6" s="32"/>
      <c r="W6" s="427">
        <v>1</v>
      </c>
      <c r="X6" s="810">
        <v>2</v>
      </c>
      <c r="Y6" s="811"/>
      <c r="Z6" s="455">
        <v>3</v>
      </c>
      <c r="AA6" s="425">
        <v>4</v>
      </c>
      <c r="AB6" s="455">
        <v>4</v>
      </c>
      <c r="AC6" s="455">
        <v>5</v>
      </c>
      <c r="AD6" s="424">
        <v>6</v>
      </c>
      <c r="AE6" s="427">
        <v>7</v>
      </c>
      <c r="AF6" s="424">
        <v>8</v>
      </c>
      <c r="AG6" s="455">
        <v>9</v>
      </c>
      <c r="AH6" s="424">
        <v>10</v>
      </c>
      <c r="AI6" s="455">
        <v>11</v>
      </c>
      <c r="AJ6" s="424">
        <v>12</v>
      </c>
      <c r="AK6" s="455">
        <v>13</v>
      </c>
      <c r="AL6" s="424">
        <v>14</v>
      </c>
      <c r="AM6" s="455">
        <v>15</v>
      </c>
      <c r="AN6" s="424">
        <v>16</v>
      </c>
      <c r="AO6" s="455">
        <v>17</v>
      </c>
      <c r="AP6" s="424">
        <v>18</v>
      </c>
      <c r="AS6" s="427">
        <v>1</v>
      </c>
      <c r="AT6" s="810">
        <v>2</v>
      </c>
      <c r="AU6" s="811"/>
      <c r="AV6" s="455">
        <v>3</v>
      </c>
      <c r="AW6" s="425">
        <v>4</v>
      </c>
      <c r="AX6" s="455">
        <v>4</v>
      </c>
      <c r="AY6" s="455">
        <v>5</v>
      </c>
      <c r="AZ6" s="424">
        <v>6</v>
      </c>
      <c r="BA6" s="427">
        <v>7</v>
      </c>
      <c r="BB6" s="424">
        <v>8</v>
      </c>
      <c r="BC6" s="427">
        <v>9</v>
      </c>
      <c r="BD6" s="424">
        <v>10</v>
      </c>
      <c r="BE6" s="427">
        <v>11</v>
      </c>
      <c r="BF6" s="424">
        <v>12</v>
      </c>
      <c r="BG6" s="427">
        <v>13</v>
      </c>
      <c r="BH6" s="424">
        <v>14</v>
      </c>
      <c r="BI6" s="427">
        <v>15</v>
      </c>
      <c r="BJ6" s="424">
        <v>16</v>
      </c>
      <c r="BK6" s="427">
        <v>17</v>
      </c>
      <c r="BL6" s="424">
        <v>18</v>
      </c>
      <c r="BO6" s="427">
        <v>1</v>
      </c>
      <c r="BP6" s="810">
        <v>2</v>
      </c>
      <c r="BQ6" s="811"/>
      <c r="BR6" s="455">
        <v>3</v>
      </c>
      <c r="BS6" s="425">
        <v>4</v>
      </c>
      <c r="BT6" s="455">
        <v>4</v>
      </c>
      <c r="BU6" s="455">
        <v>5</v>
      </c>
      <c r="BV6" s="424">
        <v>6</v>
      </c>
      <c r="BW6" s="427">
        <v>7</v>
      </c>
      <c r="BX6" s="424">
        <v>8</v>
      </c>
      <c r="BY6" s="427">
        <v>9</v>
      </c>
      <c r="BZ6" s="424">
        <v>10</v>
      </c>
      <c r="CA6" s="427">
        <v>11</v>
      </c>
      <c r="CB6" s="424">
        <v>12</v>
      </c>
      <c r="CC6" s="427">
        <v>13</v>
      </c>
      <c r="CD6" s="424">
        <v>14</v>
      </c>
      <c r="CE6" s="427">
        <v>15</v>
      </c>
      <c r="CF6" s="424">
        <v>16</v>
      </c>
      <c r="CG6" s="427">
        <v>17</v>
      </c>
      <c r="CH6" s="424">
        <v>18</v>
      </c>
    </row>
    <row r="7" spans="1:86" s="35" customFormat="1" ht="15.6" customHeight="1">
      <c r="A7" s="47" t="s">
        <v>267</v>
      </c>
      <c r="B7" s="535" t="s">
        <v>15</v>
      </c>
      <c r="C7" s="363"/>
      <c r="D7" s="358"/>
      <c r="E7" s="270"/>
      <c r="F7" s="62">
        <f>SUM(F8:F16)</f>
        <v>40</v>
      </c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260"/>
      <c r="U7" s="34"/>
      <c r="V7" s="34"/>
      <c r="W7" s="47" t="s">
        <v>267</v>
      </c>
      <c r="X7" s="48" t="s">
        <v>15</v>
      </c>
      <c r="Y7" s="363"/>
      <c r="Z7" s="50"/>
      <c r="AA7" s="48"/>
      <c r="AB7" s="62">
        <v>40</v>
      </c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260"/>
      <c r="AS7" s="47" t="s">
        <v>267</v>
      </c>
      <c r="AT7" s="48" t="s">
        <v>15</v>
      </c>
      <c r="AU7" s="363"/>
      <c r="AV7" s="50"/>
      <c r="AW7" s="48"/>
      <c r="AX7" s="62">
        <v>40</v>
      </c>
      <c r="AY7" s="62"/>
      <c r="AZ7" s="62"/>
      <c r="BA7" s="260"/>
      <c r="BB7" s="260"/>
      <c r="BC7" s="260"/>
      <c r="BD7" s="260"/>
      <c r="BE7" s="260"/>
      <c r="BF7" s="260"/>
      <c r="BG7" s="260"/>
      <c r="BH7" s="260"/>
      <c r="BI7" s="260"/>
      <c r="BJ7" s="260"/>
      <c r="BK7" s="260"/>
      <c r="BL7" s="260"/>
      <c r="BO7" s="47" t="s">
        <v>267</v>
      </c>
      <c r="BP7" s="48" t="s">
        <v>15</v>
      </c>
      <c r="BQ7" s="363"/>
      <c r="BR7" s="50"/>
      <c r="BS7" s="48"/>
      <c r="BT7" s="62">
        <v>40</v>
      </c>
      <c r="BU7" s="62"/>
      <c r="BV7" s="62"/>
      <c r="BW7" s="260"/>
      <c r="BX7" s="260"/>
      <c r="BY7" s="260"/>
      <c r="BZ7" s="260"/>
      <c r="CA7" s="260"/>
      <c r="CB7" s="260"/>
      <c r="CC7" s="260"/>
      <c r="CD7" s="260"/>
      <c r="CE7" s="260"/>
      <c r="CF7" s="260"/>
      <c r="CG7" s="260"/>
      <c r="CH7" s="260"/>
    </row>
    <row r="8" spans="1:86" ht="15.6" customHeight="1">
      <c r="A8" s="516">
        <v>1</v>
      </c>
      <c r="B8" s="267" t="s">
        <v>382</v>
      </c>
      <c r="C8" s="301" t="s">
        <v>276</v>
      </c>
      <c r="D8" s="524" t="s">
        <v>383</v>
      </c>
      <c r="E8" s="61" t="s">
        <v>400</v>
      </c>
      <c r="F8" s="61">
        <v>14</v>
      </c>
      <c r="G8" s="257">
        <f>N8</f>
        <v>17.11</v>
      </c>
      <c r="H8" s="257">
        <f>T8</f>
        <v>34.83</v>
      </c>
      <c r="I8" s="257">
        <f>KPI!D17</f>
        <v>2.82</v>
      </c>
      <c r="J8" s="257">
        <f>KPI!E17</f>
        <v>5.5</v>
      </c>
      <c r="K8" s="257">
        <f>KPI!F17</f>
        <v>8.49</v>
      </c>
      <c r="L8" s="257">
        <f>KPI!G17</f>
        <v>11.37</v>
      </c>
      <c r="M8" s="257">
        <f>KPI!H17</f>
        <v>14.33</v>
      </c>
      <c r="N8" s="257">
        <f>KPI!I17</f>
        <v>17.11</v>
      </c>
      <c r="O8" s="257">
        <f>KPI!J17</f>
        <v>19.940000000000001</v>
      </c>
      <c r="P8" s="257">
        <f>KPI!K17</f>
        <v>22.83</v>
      </c>
      <c r="Q8" s="257">
        <f>KPI!L17</f>
        <v>25.75</v>
      </c>
      <c r="R8" s="257">
        <f>KPI!M17</f>
        <v>28.8</v>
      </c>
      <c r="S8" s="257">
        <f>KPI!N17</f>
        <v>31.8</v>
      </c>
      <c r="T8" s="90">
        <f>KPI!O17</f>
        <v>34.83</v>
      </c>
      <c r="U8" s="36"/>
      <c r="V8" s="36"/>
      <c r="W8" s="51">
        <f ca="1">T.MOUTONG!W8</f>
        <v>1</v>
      </c>
      <c r="X8" s="267" t="s">
        <v>382</v>
      </c>
      <c r="Y8" s="364" t="s">
        <v>276</v>
      </c>
      <c r="Z8" s="53" t="s">
        <v>383</v>
      </c>
      <c r="AA8" s="61" t="e">
        <v>#REF!</v>
      </c>
      <c r="AB8" s="53">
        <v>14</v>
      </c>
      <c r="AC8" s="89">
        <f>AJ8</f>
        <v>16.607850453000001</v>
      </c>
      <c r="AD8" s="89">
        <f>AP8</f>
        <v>0</v>
      </c>
      <c r="AE8" s="89">
        <f>KPI!AH17</f>
        <v>3.2428241830000002</v>
      </c>
      <c r="AF8" s="89">
        <f>KPI!AI17</f>
        <v>5.7889627060000004</v>
      </c>
      <c r="AG8" s="89">
        <f>KPI!AJ17</f>
        <v>8.5049774920000001</v>
      </c>
      <c r="AH8" s="89">
        <f>KPI!AK17</f>
        <v>10.994418871000001</v>
      </c>
      <c r="AI8" s="89">
        <f>KPI!AL17</f>
        <v>13.792614825000001</v>
      </c>
      <c r="AJ8" s="89">
        <f>KPI!AM17</f>
        <v>16.607850453000001</v>
      </c>
      <c r="AK8" s="89">
        <f>KPI!AN17</f>
        <v>19.324304726000001</v>
      </c>
      <c r="AL8" s="89">
        <f>KPI!AO17</f>
        <v>21.942900960000003</v>
      </c>
      <c r="AM8" s="89">
        <f>KPI!AP17</f>
        <v>24.667147634000003</v>
      </c>
      <c r="AN8" s="89">
        <f>KPI!AQ17</f>
        <v>27.439910184000002</v>
      </c>
      <c r="AO8" s="89">
        <f>KPI!AR17</f>
        <v>0</v>
      </c>
      <c r="AP8" s="111">
        <f>KPI!AS17</f>
        <v>0</v>
      </c>
      <c r="AS8" s="51">
        <v>1</v>
      </c>
      <c r="AT8" s="267" t="s">
        <v>382</v>
      </c>
      <c r="AU8" s="364" t="s">
        <v>276</v>
      </c>
      <c r="AV8" s="53" t="s">
        <v>383</v>
      </c>
      <c r="AW8" s="61" t="s">
        <v>400</v>
      </c>
      <c r="AX8" s="53">
        <v>14</v>
      </c>
      <c r="AY8" s="89">
        <f>BF8</f>
        <v>97.065169216832274</v>
      </c>
      <c r="AZ8" s="89">
        <f>BL8</f>
        <v>0</v>
      </c>
      <c r="BA8" s="111">
        <f>IF(AE8/I8*100&gt;110,110,AE8/I8*100)</f>
        <v>110</v>
      </c>
      <c r="BB8" s="111">
        <f t="shared" ref="BB8:BL8" si="0">IF(AF8/J8*100&gt;110,110,AF8/J8*100)</f>
        <v>105.2538673818182</v>
      </c>
      <c r="BC8" s="111">
        <f t="shared" si="0"/>
        <v>100.17641333333333</v>
      </c>
      <c r="BD8" s="111">
        <f t="shared" si="0"/>
        <v>96.696735892700104</v>
      </c>
      <c r="BE8" s="111">
        <f t="shared" si="0"/>
        <v>96.249928995115155</v>
      </c>
      <c r="BF8" s="111">
        <f t="shared" si="0"/>
        <v>97.065169216832274</v>
      </c>
      <c r="BG8" s="111">
        <f t="shared" si="0"/>
        <v>96.912260411233703</v>
      </c>
      <c r="BH8" s="111">
        <f t="shared" si="0"/>
        <v>96.114327463863361</v>
      </c>
      <c r="BI8" s="111">
        <f t="shared" si="0"/>
        <v>95.794748093203893</v>
      </c>
      <c r="BJ8" s="111">
        <f t="shared" si="0"/>
        <v>95.277465916666671</v>
      </c>
      <c r="BK8" s="111">
        <f t="shared" si="0"/>
        <v>0</v>
      </c>
      <c r="BL8" s="111">
        <f t="shared" si="0"/>
        <v>0</v>
      </c>
      <c r="BM8"/>
      <c r="BN8"/>
      <c r="BO8" s="51">
        <v>1</v>
      </c>
      <c r="BP8" s="267" t="s">
        <v>382</v>
      </c>
      <c r="BQ8" s="364" t="s">
        <v>276</v>
      </c>
      <c r="BR8" s="53" t="s">
        <v>383</v>
      </c>
      <c r="BS8" s="61" t="s">
        <v>400</v>
      </c>
      <c r="BT8" s="513">
        <v>14</v>
      </c>
      <c r="BU8" s="89">
        <f>CB8</f>
        <v>13.589123690356519</v>
      </c>
      <c r="BV8" s="89">
        <f>CH8</f>
        <v>0</v>
      </c>
      <c r="BW8" s="111" cm="1">
        <f t="array" ref="BW8:CH8">BT8*BA8:BL8/100</f>
        <v>15.4</v>
      </c>
      <c r="BX8" s="111">
        <v>14.735541433454548</v>
      </c>
      <c r="BY8" s="111">
        <v>14.024697866666665</v>
      </c>
      <c r="BZ8" s="111">
        <v>13.537543024978016</v>
      </c>
      <c r="CA8" s="111">
        <v>13.474990059316122</v>
      </c>
      <c r="CB8" s="111">
        <v>13.589123690356519</v>
      </c>
      <c r="CC8" s="111">
        <v>13.56771645757272</v>
      </c>
      <c r="CD8" s="111">
        <v>13.45600584494087</v>
      </c>
      <c r="CE8" s="111">
        <v>13.411264733048545</v>
      </c>
      <c r="CF8" s="111">
        <v>13.338845228333334</v>
      </c>
      <c r="CG8" s="111">
        <v>0</v>
      </c>
      <c r="CH8" s="111">
        <v>0</v>
      </c>
    </row>
    <row r="9" spans="1:86" ht="15.6" customHeight="1">
      <c r="A9" s="517">
        <v>2</v>
      </c>
      <c r="B9" s="267" t="s">
        <v>384</v>
      </c>
      <c r="C9" s="518"/>
      <c r="D9" s="524"/>
      <c r="E9" s="61"/>
      <c r="F9" s="61">
        <v>14</v>
      </c>
      <c r="G9" s="257"/>
      <c r="H9" s="257"/>
      <c r="I9" s="257"/>
      <c r="J9" s="257"/>
      <c r="K9" s="257"/>
      <c r="L9" s="257"/>
      <c r="M9" s="257"/>
      <c r="N9" s="257"/>
      <c r="O9" s="257"/>
      <c r="P9" s="257"/>
      <c r="Q9" s="257"/>
      <c r="R9" s="257"/>
      <c r="S9" s="257"/>
      <c r="T9" s="90"/>
      <c r="U9" s="36"/>
      <c r="V9" s="36"/>
      <c r="W9" s="51">
        <f ca="1">T.MOUTONG!W9</f>
        <v>2</v>
      </c>
      <c r="X9" s="267" t="s">
        <v>384</v>
      </c>
      <c r="Y9" s="364"/>
      <c r="Z9" s="53">
        <v>0</v>
      </c>
      <c r="AA9" s="61"/>
      <c r="AB9" s="53">
        <v>14</v>
      </c>
      <c r="AC9" s="89"/>
      <c r="AD9" s="89"/>
      <c r="AE9" s="111"/>
      <c r="AF9" s="89"/>
      <c r="AG9" s="89"/>
      <c r="AH9" s="89"/>
      <c r="AI9" s="89"/>
      <c r="AJ9" s="89"/>
      <c r="AK9" s="89"/>
      <c r="AL9" s="89"/>
      <c r="AM9" s="89"/>
      <c r="AN9" s="111"/>
      <c r="AO9" s="89"/>
      <c r="AP9" s="111"/>
      <c r="AS9" s="51">
        <v>2</v>
      </c>
      <c r="AT9" s="267" t="s">
        <v>384</v>
      </c>
      <c r="AU9" s="364"/>
      <c r="AV9" s="53"/>
      <c r="AW9" s="61"/>
      <c r="AX9" s="53">
        <v>14</v>
      </c>
      <c r="AY9" s="89"/>
      <c r="AZ9" s="89"/>
      <c r="BA9" s="512"/>
      <c r="BB9" s="512"/>
      <c r="BC9" s="512"/>
      <c r="BD9" s="512"/>
      <c r="BE9" s="512"/>
      <c r="BF9" s="512"/>
      <c r="BG9" s="512"/>
      <c r="BH9" s="512"/>
      <c r="BI9" s="512"/>
      <c r="BJ9" s="512"/>
      <c r="BK9" s="512"/>
      <c r="BL9" s="512"/>
      <c r="BM9"/>
      <c r="BN9"/>
      <c r="BO9" s="51">
        <v>2</v>
      </c>
      <c r="BP9" s="267" t="s">
        <v>384</v>
      </c>
      <c r="BQ9" s="364"/>
      <c r="BR9" s="53"/>
      <c r="BS9" s="61"/>
      <c r="BT9" s="513">
        <v>14</v>
      </c>
      <c r="BU9" s="89"/>
      <c r="BV9" s="89"/>
      <c r="BW9" s="512"/>
      <c r="BX9" s="512"/>
      <c r="BY9" s="512"/>
      <c r="BZ9" s="512"/>
      <c r="CA9" s="512"/>
      <c r="CB9" s="512"/>
      <c r="CC9" s="512"/>
      <c r="CD9" s="512"/>
      <c r="CE9" s="512"/>
      <c r="CF9" s="512"/>
      <c r="CG9" s="512"/>
      <c r="CH9" s="512"/>
    </row>
    <row r="10" spans="1:86" ht="15.6" customHeight="1">
      <c r="A10" s="519"/>
      <c r="B10" s="52" t="s">
        <v>401</v>
      </c>
      <c r="C10" s="301" t="s">
        <v>278</v>
      </c>
      <c r="D10" s="524" t="s">
        <v>442</v>
      </c>
      <c r="E10" s="61" t="s">
        <v>279</v>
      </c>
      <c r="F10" s="61"/>
      <c r="G10" s="257">
        <f>N10</f>
        <v>103.85</v>
      </c>
      <c r="H10" s="257">
        <f>T10</f>
        <v>207.7</v>
      </c>
      <c r="I10" s="257">
        <v>17.309999999999999</v>
      </c>
      <c r="J10" s="257">
        <v>34.619999999999997</v>
      </c>
      <c r="K10" s="257">
        <v>51.92</v>
      </c>
      <c r="L10" s="257">
        <v>69.23</v>
      </c>
      <c r="M10" s="257">
        <v>86.54</v>
      </c>
      <c r="N10" s="257">
        <v>103.85</v>
      </c>
      <c r="O10" s="257">
        <v>121.16</v>
      </c>
      <c r="P10" s="257">
        <v>138.47</v>
      </c>
      <c r="Q10" s="257">
        <v>155.77000000000001</v>
      </c>
      <c r="R10" s="257">
        <v>173.08</v>
      </c>
      <c r="S10" s="257">
        <v>190.39</v>
      </c>
      <c r="T10" s="90">
        <v>207.7</v>
      </c>
      <c r="U10" s="36"/>
      <c r="V10" s="36"/>
      <c r="W10" s="51"/>
      <c r="X10" s="52" t="s">
        <v>401</v>
      </c>
      <c r="Y10" s="364" t="s">
        <v>278</v>
      </c>
      <c r="Z10" s="53" t="s">
        <v>442</v>
      </c>
      <c r="AA10" s="61" t="e">
        <v>#REF!</v>
      </c>
      <c r="AB10" s="53"/>
      <c r="AC10" s="89">
        <f t="shared" ref="AC10:AC48" si="1">AJ10</f>
        <v>73.554834782608694</v>
      </c>
      <c r="AD10" s="89">
        <f t="shared" ref="AD10:AD12" si="2">AP10</f>
        <v>0</v>
      </c>
      <c r="AE10" s="89">
        <f>KPI!AH41</f>
        <v>0.92438209165273988</v>
      </c>
      <c r="AF10" s="89">
        <f>KPI!AI41</f>
        <v>1.3442828353631824</v>
      </c>
      <c r="AG10" s="89">
        <f>KPI!AJ41</f>
        <v>2.4056408238226421</v>
      </c>
      <c r="AH10" s="89">
        <f>KPI!AK41</f>
        <v>15.731639601885805</v>
      </c>
      <c r="AI10" s="89">
        <f>KPI!AL41</f>
        <v>55.858462611120792</v>
      </c>
      <c r="AJ10" s="89">
        <f>KPI!AM41</f>
        <v>73.554834782608694</v>
      </c>
      <c r="AK10" s="89">
        <f>KPI!AN41</f>
        <v>90.279628585065311</v>
      </c>
      <c r="AL10" s="89">
        <f>KPI!AO41</f>
        <v>90.410040317336467</v>
      </c>
      <c r="AM10" s="89">
        <f>KPI!AP41</f>
        <v>94.163549824758789</v>
      </c>
      <c r="AN10" s="89">
        <f>KPI!AQ41</f>
        <v>105.67082560896746</v>
      </c>
      <c r="AO10" s="89">
        <f>KPI!AR41</f>
        <v>0</v>
      </c>
      <c r="AP10" s="111">
        <f>KPI!AS41</f>
        <v>0</v>
      </c>
      <c r="AS10" s="51"/>
      <c r="AT10" s="52" t="s">
        <v>401</v>
      </c>
      <c r="AU10" s="364" t="s">
        <v>278</v>
      </c>
      <c r="AV10" s="53" t="s">
        <v>402</v>
      </c>
      <c r="AW10" s="61" t="s">
        <v>279</v>
      </c>
      <c r="AX10" s="53"/>
      <c r="AY10" s="89">
        <f t="shared" ref="AY10:AY48" si="3">BF10</f>
        <v>110</v>
      </c>
      <c r="AZ10" s="89">
        <f t="shared" ref="AZ10:AZ48" si="4">BL10</f>
        <v>110</v>
      </c>
      <c r="BA10" s="111">
        <f>IF((2-(AE10/I10))*100&gt;110,110,(2-(AE10/I10))*100)</f>
        <v>110</v>
      </c>
      <c r="BB10" s="111">
        <f t="shared" ref="BB10:BL11" si="5">IF((2-(AF10/J10))*100&gt;110,110,(2-(AF10/J10))*100)</f>
        <v>110</v>
      </c>
      <c r="BC10" s="111">
        <f t="shared" si="5"/>
        <v>110</v>
      </c>
      <c r="BD10" s="111">
        <f t="shared" si="5"/>
        <v>110</v>
      </c>
      <c r="BE10" s="111">
        <f t="shared" si="5"/>
        <v>110</v>
      </c>
      <c r="BF10" s="111">
        <f t="shared" si="5"/>
        <v>110</v>
      </c>
      <c r="BG10" s="111">
        <f t="shared" si="5"/>
        <v>110</v>
      </c>
      <c r="BH10" s="111">
        <f t="shared" si="5"/>
        <v>110</v>
      </c>
      <c r="BI10" s="111">
        <f t="shared" si="5"/>
        <v>110</v>
      </c>
      <c r="BJ10" s="111">
        <f t="shared" si="5"/>
        <v>110</v>
      </c>
      <c r="BK10" s="111">
        <f t="shared" si="5"/>
        <v>110</v>
      </c>
      <c r="BL10" s="111">
        <f t="shared" si="5"/>
        <v>110</v>
      </c>
      <c r="BM10"/>
      <c r="BN10"/>
      <c r="BO10" s="51"/>
      <c r="BP10" s="52" t="s">
        <v>401</v>
      </c>
      <c r="BQ10" s="364" t="s">
        <v>278</v>
      </c>
      <c r="BR10" s="53" t="s">
        <v>402</v>
      </c>
      <c r="BS10" s="61" t="s">
        <v>279</v>
      </c>
      <c r="BT10" s="142">
        <v>4.666666666666667</v>
      </c>
      <c r="BU10" s="89">
        <f t="shared" ref="BU10:BU12" si="6">CB10</f>
        <v>5.1333333333333337</v>
      </c>
      <c r="BV10" s="89">
        <f t="shared" ref="BV10:BV12" si="7">CH10</f>
        <v>5.1333333333333337</v>
      </c>
      <c r="BW10" s="111" cm="1">
        <f t="array" ref="BW10:CH10">BT10*BA10:BL10/100</f>
        <v>5.1333333333333337</v>
      </c>
      <c r="BX10" s="111">
        <v>5.1333333333333337</v>
      </c>
      <c r="BY10" s="111">
        <v>5.1333333333333337</v>
      </c>
      <c r="BZ10" s="111">
        <v>5.1333333333333337</v>
      </c>
      <c r="CA10" s="111">
        <v>5.1333333333333337</v>
      </c>
      <c r="CB10" s="111">
        <v>5.1333333333333337</v>
      </c>
      <c r="CC10" s="111">
        <v>5.1333333333333337</v>
      </c>
      <c r="CD10" s="111">
        <v>5.1333333333333337</v>
      </c>
      <c r="CE10" s="111">
        <v>5.1333333333333337</v>
      </c>
      <c r="CF10" s="111">
        <v>5.1333333333333337</v>
      </c>
      <c r="CG10" s="111">
        <v>5.1333333333333337</v>
      </c>
      <c r="CH10" s="111">
        <v>5.1333333333333337</v>
      </c>
    </row>
    <row r="11" spans="1:86" ht="15.6" customHeight="1">
      <c r="A11" s="519"/>
      <c r="B11" s="52" t="s">
        <v>403</v>
      </c>
      <c r="C11" s="301" t="s">
        <v>278</v>
      </c>
      <c r="D11" s="524" t="s">
        <v>443</v>
      </c>
      <c r="E11" s="61" t="s">
        <v>280</v>
      </c>
      <c r="F11" s="61"/>
      <c r="G11" s="257">
        <f>N11</f>
        <v>1.02</v>
      </c>
      <c r="H11" s="257">
        <f>T11</f>
        <v>2.0499999999999998</v>
      </c>
      <c r="I11" s="257">
        <v>0.17</v>
      </c>
      <c r="J11" s="257">
        <v>0.34</v>
      </c>
      <c r="K11" s="257">
        <v>0.51</v>
      </c>
      <c r="L11" s="257">
        <v>0.68</v>
      </c>
      <c r="M11" s="257">
        <v>0.85</v>
      </c>
      <c r="N11" s="257">
        <v>1.02</v>
      </c>
      <c r="O11" s="257">
        <v>1.19</v>
      </c>
      <c r="P11" s="257">
        <v>1.37</v>
      </c>
      <c r="Q11" s="257">
        <v>1.54</v>
      </c>
      <c r="R11" s="257">
        <v>1.71</v>
      </c>
      <c r="S11" s="257">
        <v>1.88</v>
      </c>
      <c r="T11" s="90">
        <v>2.0499999999999998</v>
      </c>
      <c r="U11" s="36"/>
      <c r="V11" s="36"/>
      <c r="W11" s="51"/>
      <c r="X11" s="52" t="s">
        <v>403</v>
      </c>
      <c r="Y11" s="364" t="s">
        <v>278</v>
      </c>
      <c r="Z11" s="53" t="s">
        <v>443</v>
      </c>
      <c r="AA11" s="61" t="e">
        <v>#REF!</v>
      </c>
      <c r="AB11" s="53"/>
      <c r="AC11" s="89">
        <f t="shared" si="1"/>
        <v>0.7974347826086956</v>
      </c>
      <c r="AD11" s="89">
        <f t="shared" si="2"/>
        <v>0</v>
      </c>
      <c r="AE11" s="89">
        <f>KPI!AH63</f>
        <v>1.8647198522297476E-2</v>
      </c>
      <c r="AF11" s="89">
        <f>KPI!AI63</f>
        <v>5.9712608428984494E-2</v>
      </c>
      <c r="AG11" s="89">
        <f>KPI!AJ63</f>
        <v>0.16476452840089204</v>
      </c>
      <c r="AH11" s="89">
        <f>KPI!AK63</f>
        <v>0.3115505500261917</v>
      </c>
      <c r="AI11" s="89">
        <f>KPI!AL63</f>
        <v>0.59399511940038352</v>
      </c>
      <c r="AJ11" s="89">
        <f>KPI!AM63</f>
        <v>0.7974347826086956</v>
      </c>
      <c r="AK11" s="89">
        <f>KPI!AN63</f>
        <v>1.0018223629973533</v>
      </c>
      <c r="AL11" s="89">
        <f>KPI!AO63</f>
        <v>1.0083669311137122</v>
      </c>
      <c r="AM11" s="89">
        <f>KPI!AP63</f>
        <v>1.0747263207996192</v>
      </c>
      <c r="AN11" s="89">
        <f>KPI!AQ63</f>
        <v>1.3467988790687648</v>
      </c>
      <c r="AO11" s="89">
        <f>KPI!AR63</f>
        <v>0</v>
      </c>
      <c r="AP11" s="111">
        <f>KPI!AS63</f>
        <v>0</v>
      </c>
      <c r="AS11" s="51"/>
      <c r="AT11" s="52" t="s">
        <v>403</v>
      </c>
      <c r="AU11" s="364" t="s">
        <v>278</v>
      </c>
      <c r="AV11" s="53" t="s">
        <v>404</v>
      </c>
      <c r="AW11" s="61" t="s">
        <v>280</v>
      </c>
      <c r="AX11" s="53"/>
      <c r="AY11" s="89">
        <f t="shared" si="3"/>
        <v>110</v>
      </c>
      <c r="AZ11" s="89">
        <f t="shared" si="4"/>
        <v>110</v>
      </c>
      <c r="BA11" s="111">
        <f>IF((2-(AE11/I11))*100&gt;110,110,(2-(AE11/I11))*100)</f>
        <v>110</v>
      </c>
      <c r="BB11" s="111">
        <f t="shared" si="5"/>
        <v>110</v>
      </c>
      <c r="BC11" s="111">
        <f t="shared" si="5"/>
        <v>110</v>
      </c>
      <c r="BD11" s="111">
        <f t="shared" si="5"/>
        <v>110</v>
      </c>
      <c r="BE11" s="111">
        <f t="shared" si="5"/>
        <v>110</v>
      </c>
      <c r="BF11" s="111">
        <f t="shared" si="5"/>
        <v>110</v>
      </c>
      <c r="BG11" s="111">
        <f t="shared" si="5"/>
        <v>110</v>
      </c>
      <c r="BH11" s="111">
        <f t="shared" si="5"/>
        <v>110</v>
      </c>
      <c r="BI11" s="111">
        <f t="shared" si="5"/>
        <v>110</v>
      </c>
      <c r="BJ11" s="111">
        <f t="shared" si="5"/>
        <v>110</v>
      </c>
      <c r="BK11" s="111">
        <f t="shared" si="5"/>
        <v>110</v>
      </c>
      <c r="BL11" s="111">
        <f t="shared" si="5"/>
        <v>110</v>
      </c>
      <c r="BM11"/>
      <c r="BN11"/>
      <c r="BO11" s="51"/>
      <c r="BP11" s="52" t="s">
        <v>403</v>
      </c>
      <c r="BQ11" s="364" t="s">
        <v>278</v>
      </c>
      <c r="BR11" s="53" t="s">
        <v>404</v>
      </c>
      <c r="BS11" s="61" t="s">
        <v>280</v>
      </c>
      <c r="BT11" s="142">
        <v>4.666666666666667</v>
      </c>
      <c r="BU11" s="89">
        <f t="shared" si="6"/>
        <v>5.1333333333333337</v>
      </c>
      <c r="BV11" s="89">
        <f t="shared" si="7"/>
        <v>5.1333333333333337</v>
      </c>
      <c r="BW11" s="111" cm="1">
        <f t="array" ref="BW11:CH11">BT11*BA11:BL11/100</f>
        <v>5.1333333333333337</v>
      </c>
      <c r="BX11" s="111">
        <v>5.1333333333333337</v>
      </c>
      <c r="BY11" s="111">
        <v>5.1333333333333337</v>
      </c>
      <c r="BZ11" s="111">
        <v>5.1333333333333337</v>
      </c>
      <c r="CA11" s="111">
        <v>5.1333333333333337</v>
      </c>
      <c r="CB11" s="111">
        <v>5.1333333333333337</v>
      </c>
      <c r="CC11" s="111">
        <v>5.1333333333333337</v>
      </c>
      <c r="CD11" s="111">
        <v>5.1333333333333337</v>
      </c>
      <c r="CE11" s="111">
        <v>5.1333333333333337</v>
      </c>
      <c r="CF11" s="111">
        <v>5.1333333333333337</v>
      </c>
      <c r="CG11" s="111">
        <v>5.1333333333333337</v>
      </c>
      <c r="CH11" s="111">
        <v>5.1333333333333337</v>
      </c>
    </row>
    <row r="12" spans="1:86" ht="15.6" customHeight="1">
      <c r="A12" s="520"/>
      <c r="B12" s="52" t="s">
        <v>405</v>
      </c>
      <c r="C12" s="301" t="s">
        <v>278</v>
      </c>
      <c r="D12" s="524" t="s">
        <v>140</v>
      </c>
      <c r="E12" s="61" t="s">
        <v>406</v>
      </c>
      <c r="F12" s="61"/>
      <c r="G12" s="257">
        <f>N12</f>
        <v>5.17</v>
      </c>
      <c r="H12" s="257">
        <f>T12</f>
        <v>10.34</v>
      </c>
      <c r="I12" s="257">
        <f>KPI!D77</f>
        <v>0.86</v>
      </c>
      <c r="J12" s="257">
        <f>KPI!E77</f>
        <v>1.72</v>
      </c>
      <c r="K12" s="257">
        <f>KPI!F77</f>
        <v>2.58</v>
      </c>
      <c r="L12" s="257">
        <f>KPI!G77</f>
        <v>3.45</v>
      </c>
      <c r="M12" s="257">
        <f>KPI!H77</f>
        <v>4.3099999999999996</v>
      </c>
      <c r="N12" s="257">
        <f>KPI!I77</f>
        <v>5.17</v>
      </c>
      <c r="O12" s="257">
        <f>KPI!J77</f>
        <v>6.03</v>
      </c>
      <c r="P12" s="257">
        <f>KPI!K77</f>
        <v>6.89</v>
      </c>
      <c r="Q12" s="257">
        <f>KPI!L77</f>
        <v>7.75</v>
      </c>
      <c r="R12" s="257">
        <f>KPI!M77</f>
        <v>8.61</v>
      </c>
      <c r="S12" s="257">
        <f>KPI!N77</f>
        <v>9.4700000000000006</v>
      </c>
      <c r="T12" s="90">
        <f>KPI!O77</f>
        <v>10.34</v>
      </c>
      <c r="U12" s="36"/>
      <c r="V12" s="36"/>
      <c r="W12" s="51"/>
      <c r="X12" s="52" t="s">
        <v>405</v>
      </c>
      <c r="Y12" s="364" t="s">
        <v>278</v>
      </c>
      <c r="Z12" s="53" t="s">
        <v>140</v>
      </c>
      <c r="AA12" s="61" t="e">
        <v>#REF!</v>
      </c>
      <c r="AB12" s="53"/>
      <c r="AC12" s="89">
        <f t="shared" si="1"/>
        <v>4.1280000000000001</v>
      </c>
      <c r="AD12" s="89">
        <f t="shared" si="2"/>
        <v>0</v>
      </c>
      <c r="AE12" s="89">
        <f>KPI!AH77</f>
        <v>0.154</v>
      </c>
      <c r="AF12" s="89">
        <f>KPI!AI77</f>
        <v>0.17499999999999999</v>
      </c>
      <c r="AG12" s="89">
        <f>KPI!AJ77</f>
        <v>0.24199999999999999</v>
      </c>
      <c r="AH12" s="89">
        <f>KPI!AK77</f>
        <v>0.88700000000000001</v>
      </c>
      <c r="AI12" s="89">
        <f>KPI!AL77</f>
        <v>3.0979999999999999</v>
      </c>
      <c r="AJ12" s="89">
        <f>KPI!AM77</f>
        <v>4.1280000000000001</v>
      </c>
      <c r="AK12" s="89">
        <f>KPI!AN77</f>
        <v>4.9930000000000003</v>
      </c>
      <c r="AL12" s="89">
        <f>KPI!AO77</f>
        <v>5.0020000000000007</v>
      </c>
      <c r="AM12" s="89">
        <f>KPI!AP77</f>
        <v>5.2640000000000011</v>
      </c>
      <c r="AN12" s="89">
        <f>KPI!AQ77</f>
        <v>5.8870000000000013</v>
      </c>
      <c r="AO12" s="89">
        <f>KPI!AR77</f>
        <v>0</v>
      </c>
      <c r="AP12" s="111">
        <f>KPI!AS77</f>
        <v>0</v>
      </c>
      <c r="AS12" s="51"/>
      <c r="AT12" s="52" t="s">
        <v>405</v>
      </c>
      <c r="AU12" s="364" t="s">
        <v>278</v>
      </c>
      <c r="AV12" s="53" t="s">
        <v>140</v>
      </c>
      <c r="AW12" s="61" t="s">
        <v>406</v>
      </c>
      <c r="AX12" s="53"/>
      <c r="AY12" s="89">
        <f t="shared" si="3"/>
        <v>110</v>
      </c>
      <c r="AZ12" s="89">
        <f t="shared" si="4"/>
        <v>110</v>
      </c>
      <c r="BA12" s="111">
        <f>IF(((I12-(AE12-I12))/I12)*100&gt;110,110,((I12-(AE12-I12))/I12)*100)</f>
        <v>110</v>
      </c>
      <c r="BB12" s="111">
        <f t="shared" ref="BB12:BL12" si="8">IF(((J12-(AF12-J12))/J12)*100&gt;110,110,((J12-(AF12-J12))/J12)*100)</f>
        <v>110</v>
      </c>
      <c r="BC12" s="111">
        <f t="shared" si="8"/>
        <v>110</v>
      </c>
      <c r="BD12" s="111">
        <f t="shared" si="8"/>
        <v>110</v>
      </c>
      <c r="BE12" s="111">
        <f t="shared" si="8"/>
        <v>110</v>
      </c>
      <c r="BF12" s="111">
        <f t="shared" si="8"/>
        <v>110</v>
      </c>
      <c r="BG12" s="111">
        <f t="shared" si="8"/>
        <v>110</v>
      </c>
      <c r="BH12" s="111">
        <f t="shared" si="8"/>
        <v>110</v>
      </c>
      <c r="BI12" s="111">
        <f t="shared" si="8"/>
        <v>110</v>
      </c>
      <c r="BJ12" s="111">
        <f t="shared" si="8"/>
        <v>110</v>
      </c>
      <c r="BK12" s="111">
        <f t="shared" si="8"/>
        <v>110</v>
      </c>
      <c r="BL12" s="111">
        <f t="shared" si="8"/>
        <v>110</v>
      </c>
      <c r="BM12"/>
      <c r="BN12"/>
      <c r="BO12" s="51"/>
      <c r="BP12" s="52" t="s">
        <v>405</v>
      </c>
      <c r="BQ12" s="364" t="s">
        <v>278</v>
      </c>
      <c r="BR12" s="53" t="s">
        <v>140</v>
      </c>
      <c r="BS12" s="61" t="s">
        <v>406</v>
      </c>
      <c r="BT12" s="142">
        <v>4.666666666666667</v>
      </c>
      <c r="BU12" s="89">
        <f t="shared" si="6"/>
        <v>5.1333333333333337</v>
      </c>
      <c r="BV12" s="89">
        <f t="shared" si="7"/>
        <v>5.1333333333333337</v>
      </c>
      <c r="BW12" s="111" cm="1">
        <f t="array" ref="BW12:CH12">BT12*BA12:BL12/100</f>
        <v>5.1333333333333337</v>
      </c>
      <c r="BX12" s="111">
        <v>5.1333333333333337</v>
      </c>
      <c r="BY12" s="111">
        <v>5.1333333333333337</v>
      </c>
      <c r="BZ12" s="111">
        <v>5.1333333333333337</v>
      </c>
      <c r="CA12" s="111">
        <v>5.1333333333333337</v>
      </c>
      <c r="CB12" s="111">
        <v>5.1333333333333337</v>
      </c>
      <c r="CC12" s="111">
        <v>5.1333333333333337</v>
      </c>
      <c r="CD12" s="111">
        <v>5.1333333333333337</v>
      </c>
      <c r="CE12" s="111">
        <v>5.1333333333333337</v>
      </c>
      <c r="CF12" s="111">
        <v>5.1333333333333337</v>
      </c>
      <c r="CG12" s="111">
        <v>5.1333333333333337</v>
      </c>
      <c r="CH12" s="111">
        <v>5.1333333333333337</v>
      </c>
    </row>
    <row r="13" spans="1:86" ht="15.6" customHeight="1">
      <c r="A13" s="519">
        <v>3</v>
      </c>
      <c r="B13" s="267" t="s">
        <v>390</v>
      </c>
      <c r="C13" s="301"/>
      <c r="D13" s="524"/>
      <c r="E13" s="61"/>
      <c r="F13" s="61">
        <v>12</v>
      </c>
      <c r="G13" s="257"/>
      <c r="H13" s="257"/>
      <c r="I13" s="257"/>
      <c r="J13" s="257"/>
      <c r="K13" s="257"/>
      <c r="L13" s="257"/>
      <c r="M13" s="257"/>
      <c r="N13" s="257"/>
      <c r="O13" s="257"/>
      <c r="P13" s="257"/>
      <c r="Q13" s="257"/>
      <c r="R13" s="257"/>
      <c r="S13" s="257"/>
      <c r="T13" s="90"/>
      <c r="U13" s="36"/>
      <c r="V13" s="36"/>
      <c r="W13" s="51">
        <f ca="1">T.MOUTONG!W13</f>
        <v>3</v>
      </c>
      <c r="X13" s="267" t="s">
        <v>390</v>
      </c>
      <c r="Y13" s="364"/>
      <c r="Z13" s="53">
        <v>0</v>
      </c>
      <c r="AA13" s="61"/>
      <c r="AB13" s="53">
        <v>12</v>
      </c>
      <c r="AC13" s="89"/>
      <c r="AD13" s="89"/>
      <c r="AE13" s="111"/>
      <c r="AF13" s="89"/>
      <c r="AG13" s="89"/>
      <c r="AH13" s="89"/>
      <c r="AI13" s="89"/>
      <c r="AJ13" s="89"/>
      <c r="AK13" s="89"/>
      <c r="AL13" s="89"/>
      <c r="AM13" s="89"/>
      <c r="AN13" s="111"/>
      <c r="AO13" s="89"/>
      <c r="AP13" s="111"/>
      <c r="AS13" s="51">
        <v>3</v>
      </c>
      <c r="AT13" s="267" t="s">
        <v>390</v>
      </c>
      <c r="AU13" s="364"/>
      <c r="AV13" s="53"/>
      <c r="AW13" s="61"/>
      <c r="AX13" s="53">
        <v>12</v>
      </c>
      <c r="AY13" s="89"/>
      <c r="AZ13" s="89"/>
      <c r="BA13" s="111"/>
      <c r="BB13" s="111"/>
      <c r="BC13" s="111"/>
      <c r="BD13" s="111"/>
      <c r="BE13" s="111"/>
      <c r="BF13" s="111"/>
      <c r="BG13" s="111"/>
      <c r="BH13" s="111"/>
      <c r="BI13" s="111"/>
      <c r="BJ13" s="111"/>
      <c r="BK13" s="111"/>
      <c r="BL13" s="111"/>
      <c r="BM13"/>
      <c r="BN13"/>
      <c r="BO13" s="51">
        <v>3</v>
      </c>
      <c r="BP13" s="267" t="s">
        <v>390</v>
      </c>
      <c r="BQ13" s="364"/>
      <c r="BR13" s="53"/>
      <c r="BS13" s="61"/>
      <c r="BT13" s="513">
        <v>12</v>
      </c>
      <c r="BU13" s="89"/>
      <c r="BV13" s="89"/>
      <c r="BW13" s="111"/>
      <c r="BX13" s="111"/>
      <c r="BY13" s="111"/>
      <c r="BZ13" s="111"/>
      <c r="CA13" s="111"/>
      <c r="CB13" s="111"/>
      <c r="CC13" s="111"/>
      <c r="CD13" s="111"/>
      <c r="CE13" s="111"/>
      <c r="CF13" s="111"/>
      <c r="CG13" s="111"/>
      <c r="CH13" s="111"/>
    </row>
    <row r="14" spans="1:86" ht="15.6" customHeight="1">
      <c r="A14" s="519"/>
      <c r="B14" s="52" t="s">
        <v>391</v>
      </c>
      <c r="C14" s="301" t="s">
        <v>278</v>
      </c>
      <c r="D14" s="524" t="s">
        <v>149</v>
      </c>
      <c r="E14" s="61" t="s">
        <v>407</v>
      </c>
      <c r="F14" s="61"/>
      <c r="G14" s="257">
        <f>N14</f>
        <v>10.039999999999999</v>
      </c>
      <c r="H14" s="257">
        <f>T14</f>
        <v>9.6</v>
      </c>
      <c r="I14" s="257">
        <f>KPI!D101</f>
        <v>10.62</v>
      </c>
      <c r="J14" s="257">
        <f>KPI!E101</f>
        <v>10.62</v>
      </c>
      <c r="K14" s="257">
        <f>KPI!F101</f>
        <v>10.62</v>
      </c>
      <c r="L14" s="257">
        <f>KPI!G101</f>
        <v>10.42</v>
      </c>
      <c r="M14" s="257">
        <f>KPI!H101</f>
        <v>10.23</v>
      </c>
      <c r="N14" s="257">
        <f>KPI!I101</f>
        <v>10.039999999999999</v>
      </c>
      <c r="O14" s="257">
        <f>KPI!J101</f>
        <v>9.9600000000000009</v>
      </c>
      <c r="P14" s="257">
        <f>KPI!K101</f>
        <v>9.89</v>
      </c>
      <c r="Q14" s="257">
        <f>KPI!L101</f>
        <v>9.82</v>
      </c>
      <c r="R14" s="257">
        <f>KPI!M101</f>
        <v>9.75</v>
      </c>
      <c r="S14" s="257">
        <f>KPI!N101</f>
        <v>9.67</v>
      </c>
      <c r="T14" s="90">
        <f>KPI!O101</f>
        <v>9.6</v>
      </c>
      <c r="U14" s="36"/>
      <c r="V14" s="36"/>
      <c r="W14" s="51"/>
      <c r="X14" s="52" t="s">
        <v>391</v>
      </c>
      <c r="Y14" s="364" t="s">
        <v>278</v>
      </c>
      <c r="Z14" s="53" t="s">
        <v>149</v>
      </c>
      <c r="AA14" s="61"/>
      <c r="AB14" s="53"/>
      <c r="AC14" s="89">
        <f t="shared" si="1"/>
        <v>9.4679601842999137</v>
      </c>
      <c r="AD14" s="89">
        <f t="shared" ref="AD14:AD16" si="9">AP14</f>
        <v>0</v>
      </c>
      <c r="AE14" s="89">
        <f>KPI!AH101</f>
        <v>-12.631806947440765</v>
      </c>
      <c r="AF14" s="89">
        <f>KPI!AI101</f>
        <v>-4.8323047376231782</v>
      </c>
      <c r="AG14" s="89">
        <f>KPI!AJ101</f>
        <v>2.4670830796497727</v>
      </c>
      <c r="AH14" s="89">
        <f>KPI!AK101</f>
        <v>7.3814707844409595</v>
      </c>
      <c r="AI14" s="89">
        <f>KPI!AL101</f>
        <v>9.2717188915289448</v>
      </c>
      <c r="AJ14" s="89">
        <f>KPI!AM101</f>
        <v>9.4679601842999137</v>
      </c>
      <c r="AK14" s="89">
        <f>KPI!AN101</f>
        <v>9.4971667817519112</v>
      </c>
      <c r="AL14" s="89">
        <f>KPI!AO101</f>
        <v>9.7770328229887475</v>
      </c>
      <c r="AM14" s="89">
        <f>KPI!AP101</f>
        <v>9.9033668486832145</v>
      </c>
      <c r="AN14" s="89">
        <f>KPI!AQ101</f>
        <v>10.094916190258923</v>
      </c>
      <c r="AO14" s="89">
        <f>KPI!AR101</f>
        <v>0</v>
      </c>
      <c r="AP14" s="111">
        <f>KPI!AS101</f>
        <v>0</v>
      </c>
      <c r="AS14" s="51"/>
      <c r="AT14" s="52" t="s">
        <v>391</v>
      </c>
      <c r="AU14" s="364" t="s">
        <v>278</v>
      </c>
      <c r="AV14" s="53" t="s">
        <v>149</v>
      </c>
      <c r="AW14" s="61" t="s">
        <v>407</v>
      </c>
      <c r="AX14" s="53"/>
      <c r="AY14" s="89">
        <f t="shared" si="3"/>
        <v>105.69760772609646</v>
      </c>
      <c r="AZ14" s="89">
        <f t="shared" si="4"/>
        <v>110</v>
      </c>
      <c r="BA14" s="111">
        <f>IF((2-(AE14/I14))*100&gt;110,110,(2-(AE14/I14))*100)</f>
        <v>110</v>
      </c>
      <c r="BB14" s="111">
        <f t="shared" ref="BB14:BL14" si="10">IF((2-(AF14/J14))*100&gt;110,110,(2-(AF14/J14))*100)</f>
        <v>110</v>
      </c>
      <c r="BC14" s="111">
        <f t="shared" si="10"/>
        <v>110</v>
      </c>
      <c r="BD14" s="111">
        <f t="shared" si="10"/>
        <v>110</v>
      </c>
      <c r="BE14" s="111">
        <f t="shared" si="10"/>
        <v>109.36736176413544</v>
      </c>
      <c r="BF14" s="111">
        <f t="shared" si="10"/>
        <v>105.69760772609646</v>
      </c>
      <c r="BG14" s="111">
        <f t="shared" si="10"/>
        <v>104.64691986192859</v>
      </c>
      <c r="BH14" s="111">
        <f t="shared" si="10"/>
        <v>101.14223637018456</v>
      </c>
      <c r="BI14" s="111">
        <f t="shared" si="10"/>
        <v>99.1510504207412</v>
      </c>
      <c r="BJ14" s="111">
        <f t="shared" si="10"/>
        <v>96.46239804862644</v>
      </c>
      <c r="BK14" s="111">
        <f t="shared" si="10"/>
        <v>110</v>
      </c>
      <c r="BL14" s="111">
        <f t="shared" si="10"/>
        <v>110</v>
      </c>
      <c r="BM14"/>
      <c r="BN14"/>
      <c r="BO14" s="51"/>
      <c r="BP14" s="52" t="s">
        <v>391</v>
      </c>
      <c r="BQ14" s="364" t="s">
        <v>278</v>
      </c>
      <c r="BR14" s="53" t="s">
        <v>149</v>
      </c>
      <c r="BS14" s="61" t="s">
        <v>407</v>
      </c>
      <c r="BT14" s="53">
        <v>4</v>
      </c>
      <c r="BU14" s="89">
        <f t="shared" ref="BU14:BU16" si="11">CB14</f>
        <v>4.2279043090438586</v>
      </c>
      <c r="BV14" s="89">
        <f t="shared" ref="BV14:BV16" si="12">CH14</f>
        <v>4.4000000000000004</v>
      </c>
      <c r="BW14" s="111" cm="1">
        <f t="array" ref="BW14:CH14">BT14*BA14:BL14/100</f>
        <v>4.4000000000000004</v>
      </c>
      <c r="BX14" s="111">
        <v>4.4000000000000004</v>
      </c>
      <c r="BY14" s="111">
        <v>4.4000000000000004</v>
      </c>
      <c r="BZ14" s="111">
        <v>4.4000000000000004</v>
      </c>
      <c r="CA14" s="111">
        <v>4.3746944705654176</v>
      </c>
      <c r="CB14" s="111">
        <v>4.2279043090438586</v>
      </c>
      <c r="CC14" s="111">
        <v>4.185876794477144</v>
      </c>
      <c r="CD14" s="111">
        <v>4.0456894548073823</v>
      </c>
      <c r="CE14" s="111">
        <v>3.9660420168296482</v>
      </c>
      <c r="CF14" s="111">
        <v>3.8584959219450576</v>
      </c>
      <c r="CG14" s="111">
        <v>4.4000000000000004</v>
      </c>
      <c r="CH14" s="111">
        <v>4.4000000000000004</v>
      </c>
    </row>
    <row r="15" spans="1:86" ht="15.6" customHeight="1">
      <c r="A15" s="519"/>
      <c r="B15" s="52" t="s">
        <v>392</v>
      </c>
      <c r="C15" s="301" t="s">
        <v>276</v>
      </c>
      <c r="D15" s="524" t="s">
        <v>149</v>
      </c>
      <c r="E15" s="61" t="s">
        <v>408</v>
      </c>
      <c r="F15" s="61"/>
      <c r="G15" s="257">
        <f>N15</f>
        <v>25.000000000000007</v>
      </c>
      <c r="H15" s="257">
        <f>T15</f>
        <v>100</v>
      </c>
      <c r="I15" s="257">
        <f>KPI!D121</f>
        <v>4.166666666666667</v>
      </c>
      <c r="J15" s="257">
        <f>KPI!E121</f>
        <v>8.3333333333333339</v>
      </c>
      <c r="K15" s="257">
        <f>KPI!F121</f>
        <v>12.5</v>
      </c>
      <c r="L15" s="257">
        <f>KPI!G121</f>
        <v>16.666666666666668</v>
      </c>
      <c r="M15" s="257">
        <f>KPI!H121</f>
        <v>20.833333333333336</v>
      </c>
      <c r="N15" s="257">
        <f>KPI!I121</f>
        <v>25.000000000000007</v>
      </c>
      <c r="O15" s="257">
        <f>KPI!J121</f>
        <v>37.5</v>
      </c>
      <c r="P15" s="257">
        <f>KPI!K121</f>
        <v>50</v>
      </c>
      <c r="Q15" s="257">
        <f>KPI!L121</f>
        <v>62.5</v>
      </c>
      <c r="R15" s="257">
        <f>KPI!M121</f>
        <v>75</v>
      </c>
      <c r="S15" s="257">
        <f>KPI!N121</f>
        <v>87.5</v>
      </c>
      <c r="T15" s="257">
        <f>KPI!O121</f>
        <v>100</v>
      </c>
      <c r="U15" s="36"/>
      <c r="V15" s="36"/>
      <c r="W15" s="51"/>
      <c r="X15" s="52" t="s">
        <v>392</v>
      </c>
      <c r="Y15" s="364" t="s">
        <v>276</v>
      </c>
      <c r="Z15" s="53" t="s">
        <v>149</v>
      </c>
      <c r="AA15" s="61"/>
      <c r="AB15" s="53"/>
      <c r="AC15" s="89">
        <f t="shared" si="1"/>
        <v>25.887499999999999</v>
      </c>
      <c r="AD15" s="89">
        <f t="shared" si="9"/>
        <v>89.040999999999997</v>
      </c>
      <c r="AE15" s="89">
        <f>KPI!AH121</f>
        <v>0</v>
      </c>
      <c r="AF15" s="89">
        <f>KPI!AI121</f>
        <v>0</v>
      </c>
      <c r="AG15" s="89">
        <f>KPI!AJ121</f>
        <v>1.2395</v>
      </c>
      <c r="AH15" s="89">
        <f>KPI!AK121</f>
        <v>1.2395</v>
      </c>
      <c r="AI15" s="89">
        <f>KPI!AL121</f>
        <v>9.9145000000000003</v>
      </c>
      <c r="AJ15" s="89">
        <f>KPI!AM121</f>
        <v>25.887499999999999</v>
      </c>
      <c r="AK15" s="89">
        <f>KPI!AN121</f>
        <v>87.801500000000004</v>
      </c>
      <c r="AL15" s="89">
        <f>KPI!AO121</f>
        <v>87.801500000000004</v>
      </c>
      <c r="AM15" s="89">
        <f>KPI!AP121</f>
        <v>89.040999999999997</v>
      </c>
      <c r="AN15" s="89">
        <f>KPI!AQ121</f>
        <v>89.040999999999997</v>
      </c>
      <c r="AO15" s="89">
        <f>KPI!AR121</f>
        <v>89.040999999999997</v>
      </c>
      <c r="AP15" s="111">
        <f>KPI!AS121</f>
        <v>89.040999999999997</v>
      </c>
      <c r="AS15" s="51"/>
      <c r="AT15" s="52" t="s">
        <v>392</v>
      </c>
      <c r="AU15" s="364" t="s">
        <v>276</v>
      </c>
      <c r="AV15" s="53" t="s">
        <v>149</v>
      </c>
      <c r="AW15" s="61" t="s">
        <v>408</v>
      </c>
      <c r="AX15" s="53"/>
      <c r="AY15" s="89">
        <f t="shared" si="3"/>
        <v>103.54999999999997</v>
      </c>
      <c r="AZ15" s="89">
        <f t="shared" si="4"/>
        <v>89.040999999999997</v>
      </c>
      <c r="BA15" s="111">
        <f>IF(AE15/I15*100&gt;110,110,AE15/I15*100)</f>
        <v>0</v>
      </c>
      <c r="BB15" s="111">
        <f t="shared" ref="BB15:BL16" si="13">IF(AF15/J15*100&gt;110,110,AF15/J15*100)</f>
        <v>0</v>
      </c>
      <c r="BC15" s="111">
        <f t="shared" si="13"/>
        <v>9.9160000000000004</v>
      </c>
      <c r="BD15" s="111">
        <f t="shared" si="13"/>
        <v>7.4369999999999994</v>
      </c>
      <c r="BE15" s="111">
        <f t="shared" si="13"/>
        <v>47.589599999999997</v>
      </c>
      <c r="BF15" s="111">
        <f t="shared" si="13"/>
        <v>103.54999999999997</v>
      </c>
      <c r="BG15" s="111">
        <f t="shared" si="13"/>
        <v>110</v>
      </c>
      <c r="BH15" s="111">
        <f t="shared" si="13"/>
        <v>110</v>
      </c>
      <c r="BI15" s="111">
        <f t="shared" si="13"/>
        <v>110</v>
      </c>
      <c r="BJ15" s="111">
        <f t="shared" si="13"/>
        <v>110</v>
      </c>
      <c r="BK15" s="111">
        <f t="shared" si="13"/>
        <v>101.76114285714286</v>
      </c>
      <c r="BL15" s="111">
        <f t="shared" si="13"/>
        <v>89.040999999999997</v>
      </c>
      <c r="BM15"/>
      <c r="BN15"/>
      <c r="BO15" s="51"/>
      <c r="BP15" s="52" t="s">
        <v>392</v>
      </c>
      <c r="BQ15" s="364" t="s">
        <v>276</v>
      </c>
      <c r="BR15" s="53" t="s">
        <v>149</v>
      </c>
      <c r="BS15" s="61" t="s">
        <v>408</v>
      </c>
      <c r="BT15" s="53">
        <v>4</v>
      </c>
      <c r="BU15" s="89">
        <f t="shared" si="11"/>
        <v>4.1419999999999986</v>
      </c>
      <c r="BV15" s="89">
        <f t="shared" si="12"/>
        <v>3.5616399999999997</v>
      </c>
      <c r="BW15" s="111" cm="1">
        <f t="array" ref="BW15:CH15">BT15*BA15:BL15/100</f>
        <v>0</v>
      </c>
      <c r="BX15" s="111">
        <v>0</v>
      </c>
      <c r="BY15" s="111">
        <v>0.39663999999999999</v>
      </c>
      <c r="BZ15" s="111">
        <v>0.29747999999999997</v>
      </c>
      <c r="CA15" s="111">
        <v>1.9035839999999999</v>
      </c>
      <c r="CB15" s="111">
        <v>4.1419999999999986</v>
      </c>
      <c r="CC15" s="111">
        <v>4.4000000000000004</v>
      </c>
      <c r="CD15" s="111">
        <v>4.4000000000000004</v>
      </c>
      <c r="CE15" s="111">
        <v>4.4000000000000004</v>
      </c>
      <c r="CF15" s="111">
        <v>4.4000000000000004</v>
      </c>
      <c r="CG15" s="111">
        <v>4.0704457142857144</v>
      </c>
      <c r="CH15" s="111">
        <v>3.5616399999999997</v>
      </c>
    </row>
    <row r="16" spans="1:86" ht="15.6" customHeight="1">
      <c r="A16" s="519"/>
      <c r="B16" s="52" t="s">
        <v>393</v>
      </c>
      <c r="C16" s="301" t="s">
        <v>276</v>
      </c>
      <c r="D16" s="524" t="s">
        <v>72</v>
      </c>
      <c r="E16" s="61" t="s">
        <v>409</v>
      </c>
      <c r="F16" s="61"/>
      <c r="G16" s="257">
        <f>N16</f>
        <v>244</v>
      </c>
      <c r="H16" s="257">
        <f>T16</f>
        <v>698</v>
      </c>
      <c r="I16" s="257">
        <f>KPI!D133</f>
        <v>43</v>
      </c>
      <c r="J16" s="257">
        <f>KPI!E133</f>
        <v>85</v>
      </c>
      <c r="K16" s="257">
        <f>KPI!F133</f>
        <v>127</v>
      </c>
      <c r="L16" s="257">
        <f>KPI!G133</f>
        <v>170</v>
      </c>
      <c r="M16" s="257">
        <f>KPI!H133</f>
        <v>208</v>
      </c>
      <c r="N16" s="257">
        <f>KPI!I133</f>
        <v>244</v>
      </c>
      <c r="O16" s="257">
        <f>KPI!J133</f>
        <v>357</v>
      </c>
      <c r="P16" s="257">
        <f>KPI!K133</f>
        <v>470</v>
      </c>
      <c r="Q16" s="257">
        <f>KPI!L133</f>
        <v>583</v>
      </c>
      <c r="R16" s="257">
        <f>KPI!M133</f>
        <v>698</v>
      </c>
      <c r="S16" s="257">
        <f>KPI!N133</f>
        <v>698</v>
      </c>
      <c r="T16" s="90">
        <f>KPI!O133</f>
        <v>698</v>
      </c>
      <c r="U16" s="36"/>
      <c r="V16" s="36"/>
      <c r="W16" s="51"/>
      <c r="X16" s="52" t="s">
        <v>393</v>
      </c>
      <c r="Y16" s="364" t="s">
        <v>276</v>
      </c>
      <c r="Z16" s="53" t="s">
        <v>72</v>
      </c>
      <c r="AA16" s="61" t="e">
        <v>#REF!</v>
      </c>
      <c r="AB16" s="53"/>
      <c r="AC16" s="89">
        <f t="shared" si="1"/>
        <v>369</v>
      </c>
      <c r="AD16" s="89">
        <f t="shared" si="9"/>
        <v>690</v>
      </c>
      <c r="AE16" s="89">
        <f>KPI!AH133</f>
        <v>0</v>
      </c>
      <c r="AF16" s="89">
        <f>KPI!AI133</f>
        <v>73</v>
      </c>
      <c r="AG16" s="89">
        <f>KPI!AJ133</f>
        <v>243</v>
      </c>
      <c r="AH16" s="89">
        <f>KPI!AK133</f>
        <v>292</v>
      </c>
      <c r="AI16" s="89">
        <f>KPI!AL133</f>
        <v>345</v>
      </c>
      <c r="AJ16" s="89">
        <f>KPI!AM133</f>
        <v>369</v>
      </c>
      <c r="AK16" s="89">
        <f>KPI!AN133</f>
        <v>420</v>
      </c>
      <c r="AL16" s="89">
        <f>KPI!AO133</f>
        <v>510</v>
      </c>
      <c r="AM16" s="89">
        <f>KPI!AP133</f>
        <v>641</v>
      </c>
      <c r="AN16" s="89">
        <f>KPI!AQ133</f>
        <v>690</v>
      </c>
      <c r="AO16" s="89">
        <f>KPI!AR133</f>
        <v>690</v>
      </c>
      <c r="AP16" s="111">
        <f>KPI!AS133</f>
        <v>690</v>
      </c>
      <c r="AS16" s="51"/>
      <c r="AT16" s="52" t="s">
        <v>393</v>
      </c>
      <c r="AU16" s="364" t="s">
        <v>276</v>
      </c>
      <c r="AV16" s="53" t="s">
        <v>72</v>
      </c>
      <c r="AW16" s="61" t="s">
        <v>409</v>
      </c>
      <c r="AX16" s="53">
        <v>0</v>
      </c>
      <c r="AY16" s="89">
        <f t="shared" si="3"/>
        <v>110</v>
      </c>
      <c r="AZ16" s="89">
        <f t="shared" si="4"/>
        <v>98.853868194842406</v>
      </c>
      <c r="BA16" s="111">
        <f>IF(AE16/I16*100&gt;110,110,AE16/I16*100)</f>
        <v>0</v>
      </c>
      <c r="BB16" s="111">
        <f t="shared" si="13"/>
        <v>85.882352941176464</v>
      </c>
      <c r="BC16" s="111">
        <f t="shared" si="13"/>
        <v>110</v>
      </c>
      <c r="BD16" s="111">
        <f t="shared" si="13"/>
        <v>110</v>
      </c>
      <c r="BE16" s="111">
        <f t="shared" si="13"/>
        <v>110</v>
      </c>
      <c r="BF16" s="111">
        <f t="shared" si="13"/>
        <v>110</v>
      </c>
      <c r="BG16" s="111">
        <f t="shared" si="13"/>
        <v>110</v>
      </c>
      <c r="BH16" s="111">
        <f t="shared" si="13"/>
        <v>108.51063829787233</v>
      </c>
      <c r="BI16" s="111">
        <f t="shared" si="13"/>
        <v>109.94854202401372</v>
      </c>
      <c r="BJ16" s="111">
        <f t="shared" si="13"/>
        <v>98.853868194842406</v>
      </c>
      <c r="BK16" s="111">
        <f t="shared" si="13"/>
        <v>98.853868194842406</v>
      </c>
      <c r="BL16" s="111">
        <f t="shared" si="13"/>
        <v>98.853868194842406</v>
      </c>
      <c r="BM16"/>
      <c r="BN16"/>
      <c r="BO16" s="51"/>
      <c r="BP16" s="52" t="s">
        <v>393</v>
      </c>
      <c r="BQ16" s="364" t="s">
        <v>276</v>
      </c>
      <c r="BR16" s="53" t="s">
        <v>72</v>
      </c>
      <c r="BS16" s="61" t="s">
        <v>409</v>
      </c>
      <c r="BT16" s="53">
        <v>4</v>
      </c>
      <c r="BU16" s="89">
        <f t="shared" si="11"/>
        <v>4.4000000000000004</v>
      </c>
      <c r="BV16" s="89">
        <f t="shared" si="12"/>
        <v>3.9541547277936964</v>
      </c>
      <c r="BW16" s="111" cm="1">
        <f t="array" ref="BW16:CH16">BT16*BA16:BL16/100</f>
        <v>0</v>
      </c>
      <c r="BX16" s="111">
        <v>3.4352941176470586</v>
      </c>
      <c r="BY16" s="111">
        <v>4.4000000000000004</v>
      </c>
      <c r="BZ16" s="111">
        <v>4.4000000000000004</v>
      </c>
      <c r="CA16" s="111">
        <v>4.4000000000000004</v>
      </c>
      <c r="CB16" s="111">
        <v>4.4000000000000004</v>
      </c>
      <c r="CC16" s="111">
        <v>4.4000000000000004</v>
      </c>
      <c r="CD16" s="111">
        <v>4.3404255319148932</v>
      </c>
      <c r="CE16" s="111">
        <v>4.3979416809605487</v>
      </c>
      <c r="CF16" s="111">
        <v>3.9541547277936964</v>
      </c>
      <c r="CG16" s="111">
        <v>3.9541547277936964</v>
      </c>
      <c r="CH16" s="111">
        <v>3.9541547277936964</v>
      </c>
    </row>
    <row r="17" spans="1:86" s="35" customFormat="1" ht="15.6" customHeight="1">
      <c r="A17" s="521" t="s">
        <v>283</v>
      </c>
      <c r="B17" s="538" t="s">
        <v>284</v>
      </c>
      <c r="C17" s="365"/>
      <c r="D17" s="359"/>
      <c r="E17" s="139"/>
      <c r="F17" s="139">
        <f>SUM(F18:F54)</f>
        <v>60</v>
      </c>
      <c r="G17" s="139"/>
      <c r="H17" s="139"/>
      <c r="I17" s="139"/>
      <c r="J17" s="139"/>
      <c r="K17" s="139"/>
      <c r="L17" s="139"/>
      <c r="M17" s="139"/>
      <c r="N17" s="139"/>
      <c r="O17" s="139"/>
      <c r="P17" s="139"/>
      <c r="Q17" s="139"/>
      <c r="R17" s="139"/>
      <c r="S17" s="139"/>
      <c r="T17" s="168"/>
      <c r="U17" s="34"/>
      <c r="V17" s="34"/>
      <c r="W17" s="47" t="str">
        <f ca="1">T.MOUTONG!W17</f>
        <v>II</v>
      </c>
      <c r="X17" s="269" t="s">
        <v>284</v>
      </c>
      <c r="Y17" s="365"/>
      <c r="Z17" s="50"/>
      <c r="AA17" s="48"/>
      <c r="AB17" s="139">
        <v>60</v>
      </c>
      <c r="AC17" s="139"/>
      <c r="AD17" s="139"/>
      <c r="AE17" s="168"/>
      <c r="AF17" s="139"/>
      <c r="AG17" s="139"/>
      <c r="AH17" s="139"/>
      <c r="AI17" s="139"/>
      <c r="AJ17" s="139"/>
      <c r="AK17" s="139"/>
      <c r="AL17" s="139"/>
      <c r="AM17" s="139"/>
      <c r="AN17" s="168"/>
      <c r="AO17" s="139"/>
      <c r="AP17" s="168"/>
      <c r="AS17" s="47" t="s">
        <v>283</v>
      </c>
      <c r="AT17" s="48" t="s">
        <v>284</v>
      </c>
      <c r="AU17" s="363"/>
      <c r="AV17" s="50"/>
      <c r="AW17" s="48"/>
      <c r="AX17" s="139">
        <v>60</v>
      </c>
      <c r="AY17" s="139"/>
      <c r="AZ17" s="139"/>
      <c r="BA17" s="168"/>
      <c r="BB17" s="168"/>
      <c r="BC17" s="168"/>
      <c r="BD17" s="168"/>
      <c r="BE17" s="168"/>
      <c r="BF17" s="168"/>
      <c r="BG17" s="168"/>
      <c r="BH17" s="168"/>
      <c r="BI17" s="168"/>
      <c r="BJ17" s="168"/>
      <c r="BK17" s="168"/>
      <c r="BL17" s="168"/>
      <c r="BM17"/>
      <c r="BN17"/>
      <c r="BO17" s="47" t="s">
        <v>283</v>
      </c>
      <c r="BP17" s="48" t="s">
        <v>284</v>
      </c>
      <c r="BQ17" s="363"/>
      <c r="BR17" s="50"/>
      <c r="BS17" s="48"/>
      <c r="BT17" s="139">
        <v>60</v>
      </c>
      <c r="BU17" s="139"/>
      <c r="BV17" s="139"/>
      <c r="BW17" s="168"/>
      <c r="BX17" s="168"/>
      <c r="BY17" s="168"/>
      <c r="BZ17" s="168"/>
      <c r="CA17" s="168"/>
      <c r="CB17" s="168"/>
      <c r="CC17" s="168"/>
      <c r="CD17" s="168"/>
      <c r="CE17" s="168"/>
      <c r="CF17" s="168"/>
      <c r="CG17" s="168"/>
      <c r="CH17" s="168"/>
    </row>
    <row r="18" spans="1:86" ht="15.6" customHeight="1">
      <c r="A18" s="517">
        <v>4</v>
      </c>
      <c r="B18" s="267" t="s">
        <v>285</v>
      </c>
      <c r="C18" s="301"/>
      <c r="D18" s="524"/>
      <c r="E18" s="292"/>
      <c r="F18" s="61">
        <v>9</v>
      </c>
      <c r="G18" s="257"/>
      <c r="H18" s="257"/>
      <c r="I18" s="257"/>
      <c r="J18" s="257"/>
      <c r="K18" s="257"/>
      <c r="L18" s="257"/>
      <c r="M18" s="257"/>
      <c r="N18" s="257"/>
      <c r="O18" s="257"/>
      <c r="P18" s="257"/>
      <c r="Q18" s="257"/>
      <c r="R18" s="257"/>
      <c r="S18" s="257"/>
      <c r="T18" s="90"/>
      <c r="U18" s="36"/>
      <c r="V18" s="36"/>
      <c r="W18" s="51">
        <f ca="1">T.MOUTONG!W18</f>
        <v>4</v>
      </c>
      <c r="X18" s="267" t="s">
        <v>285</v>
      </c>
      <c r="Y18" s="364"/>
      <c r="Z18" s="53"/>
      <c r="AA18" s="61"/>
      <c r="AB18" s="53">
        <v>9</v>
      </c>
      <c r="AC18" s="89"/>
      <c r="AD18" s="89"/>
      <c r="AE18" s="95"/>
      <c r="AF18" s="142"/>
      <c r="AG18" s="142"/>
      <c r="AH18" s="142"/>
      <c r="AI18" s="142"/>
      <c r="AJ18" s="142"/>
      <c r="AK18" s="142"/>
      <c r="AL18" s="142"/>
      <c r="AM18" s="142"/>
      <c r="AN18" s="95"/>
      <c r="AO18" s="142"/>
      <c r="AP18" s="95"/>
      <c r="AS18" s="51">
        <v>4</v>
      </c>
      <c r="AT18" s="267" t="s">
        <v>285</v>
      </c>
      <c r="AU18" s="364"/>
      <c r="AV18" s="53"/>
      <c r="AW18" s="61"/>
      <c r="AX18" s="53">
        <v>9</v>
      </c>
      <c r="AY18" s="89"/>
      <c r="AZ18" s="89"/>
      <c r="BA18" s="95"/>
      <c r="BB18" s="95"/>
      <c r="BC18" s="95"/>
      <c r="BD18" s="95"/>
      <c r="BE18" s="95"/>
      <c r="BF18" s="95"/>
      <c r="BG18" s="95"/>
      <c r="BH18" s="95"/>
      <c r="BI18" s="95"/>
      <c r="BJ18" s="95"/>
      <c r="BK18" s="95"/>
      <c r="BL18" s="95"/>
      <c r="BM18"/>
      <c r="BN18"/>
      <c r="BO18" s="51">
        <v>4</v>
      </c>
      <c r="BP18" s="267" t="s">
        <v>285</v>
      </c>
      <c r="BQ18" s="364"/>
      <c r="BR18" s="53"/>
      <c r="BS18" s="61"/>
      <c r="BT18" s="513">
        <v>9</v>
      </c>
      <c r="BU18" s="89"/>
      <c r="BV18" s="89"/>
      <c r="BW18" s="95"/>
      <c r="BX18" s="95"/>
      <c r="BY18" s="95"/>
      <c r="BZ18" s="95"/>
      <c r="CA18" s="95"/>
      <c r="CB18" s="95"/>
      <c r="CC18" s="95"/>
      <c r="CD18" s="95"/>
      <c r="CE18" s="95"/>
      <c r="CF18" s="95"/>
      <c r="CG18" s="95"/>
      <c r="CH18" s="95"/>
    </row>
    <row r="19" spans="1:86" ht="15.6" customHeight="1">
      <c r="A19" s="519"/>
      <c r="B19" s="52" t="s">
        <v>287</v>
      </c>
      <c r="C19" s="301" t="s">
        <v>278</v>
      </c>
      <c r="D19" s="524" t="s">
        <v>136</v>
      </c>
      <c r="E19" s="292" t="s">
        <v>410</v>
      </c>
      <c r="F19" s="61"/>
      <c r="G19" s="257">
        <f>N19</f>
        <v>6</v>
      </c>
      <c r="H19" s="257">
        <f>T19</f>
        <v>12</v>
      </c>
      <c r="I19" s="257">
        <f>PI!D17</f>
        <v>1</v>
      </c>
      <c r="J19" s="257">
        <f>PI!E17</f>
        <v>2</v>
      </c>
      <c r="K19" s="257">
        <f>PI!F17</f>
        <v>3</v>
      </c>
      <c r="L19" s="257">
        <f>PI!G17</f>
        <v>4</v>
      </c>
      <c r="M19" s="257">
        <f>PI!H17</f>
        <v>5</v>
      </c>
      <c r="N19" s="257">
        <f>PI!I17</f>
        <v>6</v>
      </c>
      <c r="O19" s="257">
        <f>PI!J17</f>
        <v>7</v>
      </c>
      <c r="P19" s="257">
        <f>PI!K17</f>
        <v>9</v>
      </c>
      <c r="Q19" s="257">
        <f>PI!L17</f>
        <v>10</v>
      </c>
      <c r="R19" s="257">
        <f>PI!M17</f>
        <v>11</v>
      </c>
      <c r="S19" s="257">
        <f>PI!N17</f>
        <v>12</v>
      </c>
      <c r="T19" s="90">
        <f>PI!O17</f>
        <v>12</v>
      </c>
      <c r="U19" s="36"/>
      <c r="V19" s="36"/>
      <c r="W19" s="51"/>
      <c r="X19" s="52" t="s">
        <v>287</v>
      </c>
      <c r="Y19" s="364" t="s">
        <v>278</v>
      </c>
      <c r="Z19" s="53" t="s">
        <v>136</v>
      </c>
      <c r="AA19" s="61" t="e">
        <v>#REF!</v>
      </c>
      <c r="AB19" s="53"/>
      <c r="AC19" s="89">
        <f t="shared" si="1"/>
        <v>5</v>
      </c>
      <c r="AD19" s="89">
        <f t="shared" ref="AD19:AD21" si="14">AP19</f>
        <v>9</v>
      </c>
      <c r="AE19" s="142">
        <f>PI!AH17</f>
        <v>0</v>
      </c>
      <c r="AF19" s="142">
        <f>PI!AI17</f>
        <v>1</v>
      </c>
      <c r="AG19" s="142">
        <f>PI!AJ17</f>
        <v>2</v>
      </c>
      <c r="AH19" s="142">
        <f>PI!AK17</f>
        <v>3</v>
      </c>
      <c r="AI19" s="142">
        <f>PI!AL17</f>
        <v>4</v>
      </c>
      <c r="AJ19" s="142">
        <f>PI!AM17</f>
        <v>5</v>
      </c>
      <c r="AK19" s="142">
        <f>PI!AN17</f>
        <v>7</v>
      </c>
      <c r="AL19" s="142">
        <f>PI!AO17</f>
        <v>7</v>
      </c>
      <c r="AM19" s="142">
        <f>PI!AP17</f>
        <v>7</v>
      </c>
      <c r="AN19" s="142">
        <f>PI!AQ17</f>
        <v>9</v>
      </c>
      <c r="AO19" s="142">
        <f>PI!AR17</f>
        <v>9</v>
      </c>
      <c r="AP19" s="95">
        <f>PI!AS17</f>
        <v>9</v>
      </c>
      <c r="AS19" s="51"/>
      <c r="AT19" s="52" t="s">
        <v>287</v>
      </c>
      <c r="AU19" s="364" t="s">
        <v>278</v>
      </c>
      <c r="AV19" s="53" t="s">
        <v>136</v>
      </c>
      <c r="AW19" s="61" t="s">
        <v>410</v>
      </c>
      <c r="AX19" s="53"/>
      <c r="AY19" s="89">
        <f t="shared" si="3"/>
        <v>110</v>
      </c>
      <c r="AZ19" s="89">
        <f t="shared" si="4"/>
        <v>110</v>
      </c>
      <c r="BA19" s="95">
        <f>IF(((I19-(AE19-I19))/I19)*100&gt;110,110,((I19-(AE19-I19))/I19)*100)</f>
        <v>110</v>
      </c>
      <c r="BB19" s="95">
        <f t="shared" ref="BB19:BL19" si="15">IF(((J19-(AF19-J19))/J19)*100&gt;110,110,((J19-(AF19-J19))/J19)*100)</f>
        <v>110</v>
      </c>
      <c r="BC19" s="95">
        <f t="shared" si="15"/>
        <v>110</v>
      </c>
      <c r="BD19" s="95">
        <f t="shared" si="15"/>
        <v>110</v>
      </c>
      <c r="BE19" s="95">
        <f t="shared" si="15"/>
        <v>110</v>
      </c>
      <c r="BF19" s="95">
        <f t="shared" si="15"/>
        <v>110</v>
      </c>
      <c r="BG19" s="95">
        <f t="shared" si="15"/>
        <v>100</v>
      </c>
      <c r="BH19" s="95">
        <f t="shared" si="15"/>
        <v>110</v>
      </c>
      <c r="BI19" s="95">
        <f t="shared" si="15"/>
        <v>110</v>
      </c>
      <c r="BJ19" s="95">
        <f t="shared" si="15"/>
        <v>110</v>
      </c>
      <c r="BK19" s="95">
        <f t="shared" si="15"/>
        <v>110</v>
      </c>
      <c r="BL19" s="95">
        <f t="shared" si="15"/>
        <v>110</v>
      </c>
      <c r="BM19"/>
      <c r="BN19"/>
      <c r="BO19" s="51"/>
      <c r="BP19" s="52" t="s">
        <v>287</v>
      </c>
      <c r="BQ19" s="364" t="s">
        <v>278</v>
      </c>
      <c r="BR19" s="53" t="s">
        <v>136</v>
      </c>
      <c r="BS19" s="61" t="s">
        <v>410</v>
      </c>
      <c r="BT19" s="53">
        <v>3</v>
      </c>
      <c r="BU19" s="89">
        <f t="shared" ref="BU19:BU21" si="16">CB19</f>
        <v>3.3</v>
      </c>
      <c r="BV19" s="89">
        <f t="shared" ref="BV19:BV21" si="17">CH19</f>
        <v>3.3</v>
      </c>
      <c r="BW19" s="111" cm="1">
        <f t="array" ref="BW19:CH19">BT19*BA19:BL19/100</f>
        <v>3.3</v>
      </c>
      <c r="BX19" s="95">
        <v>3.3</v>
      </c>
      <c r="BY19" s="95">
        <v>3.3</v>
      </c>
      <c r="BZ19" s="95">
        <v>3.3</v>
      </c>
      <c r="CA19" s="95">
        <v>3.3</v>
      </c>
      <c r="CB19" s="95">
        <v>3.3</v>
      </c>
      <c r="CC19" s="95">
        <v>3</v>
      </c>
      <c r="CD19" s="95">
        <v>3.3</v>
      </c>
      <c r="CE19" s="95">
        <v>3.3</v>
      </c>
      <c r="CF19" s="95">
        <v>3.3</v>
      </c>
      <c r="CG19" s="95">
        <v>3.3</v>
      </c>
      <c r="CH19" s="95">
        <v>3.3</v>
      </c>
    </row>
    <row r="20" spans="1:86" ht="15.6" customHeight="1">
      <c r="A20" s="519"/>
      <c r="B20" s="52" t="s">
        <v>289</v>
      </c>
      <c r="C20" s="301" t="s">
        <v>278</v>
      </c>
      <c r="D20" s="524" t="s">
        <v>136</v>
      </c>
      <c r="E20" s="292" t="s">
        <v>411</v>
      </c>
      <c r="F20" s="61"/>
      <c r="G20" s="257">
        <f>N20</f>
        <v>10</v>
      </c>
      <c r="H20" s="257">
        <f>T20</f>
        <v>20</v>
      </c>
      <c r="I20" s="257">
        <f>PI!D18</f>
        <v>2</v>
      </c>
      <c r="J20" s="257">
        <f>PI!E18</f>
        <v>3</v>
      </c>
      <c r="K20" s="257">
        <f>PI!F18</f>
        <v>5</v>
      </c>
      <c r="L20" s="257">
        <f>PI!G18</f>
        <v>7</v>
      </c>
      <c r="M20" s="257">
        <f>PI!H18</f>
        <v>8</v>
      </c>
      <c r="N20" s="257">
        <f>PI!I18</f>
        <v>10</v>
      </c>
      <c r="O20" s="257">
        <f>PI!J18</f>
        <v>12</v>
      </c>
      <c r="P20" s="257">
        <f>PI!K18</f>
        <v>14</v>
      </c>
      <c r="Q20" s="257">
        <f>PI!L18</f>
        <v>15</v>
      </c>
      <c r="R20" s="257">
        <f>PI!M18</f>
        <v>17</v>
      </c>
      <c r="S20" s="257">
        <f>PI!N18</f>
        <v>19</v>
      </c>
      <c r="T20" s="90">
        <f>PI!O18</f>
        <v>20</v>
      </c>
      <c r="U20" s="36"/>
      <c r="V20" s="36"/>
      <c r="W20" s="51"/>
      <c r="X20" s="52" t="s">
        <v>289</v>
      </c>
      <c r="Y20" s="364" t="s">
        <v>278</v>
      </c>
      <c r="Z20" s="53" t="s">
        <v>136</v>
      </c>
      <c r="AA20" s="61" t="e">
        <v>#REF!</v>
      </c>
      <c r="AB20" s="53"/>
      <c r="AC20" s="89">
        <f t="shared" si="1"/>
        <v>0</v>
      </c>
      <c r="AD20" s="89">
        <f t="shared" si="14"/>
        <v>0</v>
      </c>
      <c r="AE20" s="142">
        <f>PI!AH86</f>
        <v>0</v>
      </c>
      <c r="AF20" s="142">
        <f>PI!AI86</f>
        <v>0</v>
      </c>
      <c r="AG20" s="142">
        <f>PI!AJ86</f>
        <v>0</v>
      </c>
      <c r="AH20" s="142">
        <f>PI!AK86</f>
        <v>0</v>
      </c>
      <c r="AI20" s="142">
        <f>PI!AL86</f>
        <v>0</v>
      </c>
      <c r="AJ20" s="142">
        <f>PI!AM86</f>
        <v>0</v>
      </c>
      <c r="AK20" s="142">
        <f>PI!AN86</f>
        <v>0</v>
      </c>
      <c r="AL20" s="142">
        <f>PI!AO86</f>
        <v>0</v>
      </c>
      <c r="AM20" s="142">
        <f>PI!AP86</f>
        <v>0</v>
      </c>
      <c r="AN20" s="142">
        <f>PI!AQ86</f>
        <v>0</v>
      </c>
      <c r="AO20" s="142">
        <f>PI!AR18</f>
        <v>14</v>
      </c>
      <c r="AP20" s="95">
        <f>PI!AS86</f>
        <v>0</v>
      </c>
      <c r="AS20" s="51"/>
      <c r="AT20" s="52" t="s">
        <v>289</v>
      </c>
      <c r="AU20" s="364" t="s">
        <v>278</v>
      </c>
      <c r="AV20" s="53" t="s">
        <v>136</v>
      </c>
      <c r="AW20" s="61" t="s">
        <v>411</v>
      </c>
      <c r="AX20" s="53"/>
      <c r="AY20" s="89">
        <f t="shared" si="3"/>
        <v>110</v>
      </c>
      <c r="AZ20" s="89">
        <f t="shared" si="4"/>
        <v>110</v>
      </c>
      <c r="BA20" s="95">
        <f>IF((2-(AE20/I20))*100&gt;110,110,(2-(AE20/I20))*100)</f>
        <v>110</v>
      </c>
      <c r="BB20" s="95">
        <f t="shared" ref="BB20:BL20" si="18">IF((2-(AF20/J20))*100&gt;110,110,(2-(AF20/J20))*100)</f>
        <v>110</v>
      </c>
      <c r="BC20" s="95">
        <f t="shared" si="18"/>
        <v>110</v>
      </c>
      <c r="BD20" s="95">
        <f t="shared" si="18"/>
        <v>110</v>
      </c>
      <c r="BE20" s="95">
        <f t="shared" si="18"/>
        <v>110</v>
      </c>
      <c r="BF20" s="95">
        <f t="shared" si="18"/>
        <v>110</v>
      </c>
      <c r="BG20" s="95">
        <f t="shared" si="18"/>
        <v>110</v>
      </c>
      <c r="BH20" s="95">
        <f t="shared" si="18"/>
        <v>110</v>
      </c>
      <c r="BI20" s="95">
        <f t="shared" si="18"/>
        <v>110</v>
      </c>
      <c r="BJ20" s="95">
        <f t="shared" si="18"/>
        <v>110</v>
      </c>
      <c r="BK20" s="95">
        <f t="shared" si="18"/>
        <v>110</v>
      </c>
      <c r="BL20" s="95">
        <f t="shared" si="18"/>
        <v>110</v>
      </c>
      <c r="BM20"/>
      <c r="BN20"/>
      <c r="BO20" s="51"/>
      <c r="BP20" s="52" t="s">
        <v>289</v>
      </c>
      <c r="BQ20" s="364" t="s">
        <v>278</v>
      </c>
      <c r="BR20" s="53" t="s">
        <v>136</v>
      </c>
      <c r="BS20" s="61" t="s">
        <v>411</v>
      </c>
      <c r="BT20" s="53">
        <v>3</v>
      </c>
      <c r="BU20" s="89">
        <f t="shared" si="16"/>
        <v>3.3</v>
      </c>
      <c r="BV20" s="89">
        <f t="shared" si="17"/>
        <v>3.3</v>
      </c>
      <c r="BW20" s="111" cm="1">
        <f t="array" ref="BW20:CH20">BT20*BA20:BL20/100</f>
        <v>3.3</v>
      </c>
      <c r="BX20" s="95">
        <v>3.3</v>
      </c>
      <c r="BY20" s="95">
        <v>3.3</v>
      </c>
      <c r="BZ20" s="95">
        <v>3.3</v>
      </c>
      <c r="CA20" s="95">
        <v>3.3</v>
      </c>
      <c r="CB20" s="95">
        <v>3.3</v>
      </c>
      <c r="CC20" s="95">
        <v>3.3</v>
      </c>
      <c r="CD20" s="95">
        <v>3.3</v>
      </c>
      <c r="CE20" s="95">
        <v>3.3</v>
      </c>
      <c r="CF20" s="95">
        <v>3.3</v>
      </c>
      <c r="CG20" s="95">
        <v>3.3</v>
      </c>
      <c r="CH20" s="95">
        <v>3.3</v>
      </c>
    </row>
    <row r="21" spans="1:86" ht="15.6" customHeight="1">
      <c r="A21" s="519"/>
      <c r="B21" s="52" t="s">
        <v>291</v>
      </c>
      <c r="C21" s="327" t="s">
        <v>278</v>
      </c>
      <c r="D21" s="524" t="s">
        <v>72</v>
      </c>
      <c r="E21" s="292" t="s">
        <v>412</v>
      </c>
      <c r="F21" s="61"/>
      <c r="G21" s="257">
        <f>N21</f>
        <v>1</v>
      </c>
      <c r="H21" s="257">
        <f>T21</f>
        <v>1</v>
      </c>
      <c r="I21" s="257">
        <f>PI!D45</f>
        <v>0</v>
      </c>
      <c r="J21" s="257">
        <f>PI!E45</f>
        <v>0</v>
      </c>
      <c r="K21" s="257">
        <f>PI!F45</f>
        <v>1</v>
      </c>
      <c r="L21" s="257">
        <f>PI!G45</f>
        <v>1</v>
      </c>
      <c r="M21" s="257">
        <f>PI!H45</f>
        <v>1</v>
      </c>
      <c r="N21" s="257">
        <f>PI!I45</f>
        <v>1</v>
      </c>
      <c r="O21" s="257">
        <f>PI!J45</f>
        <v>1</v>
      </c>
      <c r="P21" s="257">
        <f>PI!K45</f>
        <v>1</v>
      </c>
      <c r="Q21" s="257">
        <f>PI!L45</f>
        <v>1</v>
      </c>
      <c r="R21" s="257">
        <f>PI!M45</f>
        <v>1</v>
      </c>
      <c r="S21" s="257">
        <f>PI!N45</f>
        <v>1</v>
      </c>
      <c r="T21" s="90">
        <f>PI!O45</f>
        <v>1</v>
      </c>
      <c r="U21" s="36"/>
      <c r="V21" s="36"/>
      <c r="W21" s="51"/>
      <c r="X21" s="52" t="s">
        <v>291</v>
      </c>
      <c r="Y21" s="364" t="s">
        <v>278</v>
      </c>
      <c r="Z21" s="53" t="s">
        <v>72</v>
      </c>
      <c r="AA21" s="61" t="e">
        <v>#REF!</v>
      </c>
      <c r="AB21" s="53"/>
      <c r="AC21" s="89">
        <f t="shared" si="1"/>
        <v>0</v>
      </c>
      <c r="AD21" s="89">
        <f t="shared" si="14"/>
        <v>0</v>
      </c>
      <c r="AE21" s="142">
        <f>PI!AH42</f>
        <v>0</v>
      </c>
      <c r="AF21" s="142">
        <f>PI!AI42</f>
        <v>0</v>
      </c>
      <c r="AG21" s="142">
        <f>PI!AJ42</f>
        <v>0</v>
      </c>
      <c r="AH21" s="142">
        <f>PI!AK42</f>
        <v>0</v>
      </c>
      <c r="AI21" s="142">
        <f>PI!AL42</f>
        <v>0</v>
      </c>
      <c r="AJ21" s="142">
        <f>PI!AM42</f>
        <v>0</v>
      </c>
      <c r="AK21" s="142">
        <f>PI!AN42</f>
        <v>0</v>
      </c>
      <c r="AL21" s="142">
        <f>PI!AO42</f>
        <v>0</v>
      </c>
      <c r="AM21" s="142">
        <f>PI!AP42</f>
        <v>0</v>
      </c>
      <c r="AN21" s="142">
        <f>PI!AQ42</f>
        <v>0</v>
      </c>
      <c r="AO21" s="142">
        <f>PI!AR42</f>
        <v>0</v>
      </c>
      <c r="AP21" s="95">
        <f>PI!AS42</f>
        <v>0</v>
      </c>
      <c r="AS21" s="51"/>
      <c r="AT21" s="52" t="s">
        <v>291</v>
      </c>
      <c r="AU21" s="364" t="s">
        <v>278</v>
      </c>
      <c r="AV21" s="53" t="s">
        <v>72</v>
      </c>
      <c r="AW21" s="61" t="s">
        <v>412</v>
      </c>
      <c r="AX21" s="53"/>
      <c r="AY21" s="89">
        <f t="shared" si="3"/>
        <v>110</v>
      </c>
      <c r="AZ21" s="89">
        <f t="shared" si="4"/>
        <v>110</v>
      </c>
      <c r="BA21" s="95">
        <f>IFERROR(IF((2-(AE21/I21))*100&gt;110,110,(2-(AE21/I21))*100),100)</f>
        <v>100</v>
      </c>
      <c r="BB21" s="95">
        <f t="shared" ref="BB21:BL21" si="19">IFERROR(IF((2-(AF21/J21))*100&gt;110,110,(2-(AF21/J21))*100),100)</f>
        <v>100</v>
      </c>
      <c r="BC21" s="95">
        <f t="shared" si="19"/>
        <v>110</v>
      </c>
      <c r="BD21" s="95">
        <f t="shared" si="19"/>
        <v>110</v>
      </c>
      <c r="BE21" s="95">
        <f t="shared" si="19"/>
        <v>110</v>
      </c>
      <c r="BF21" s="95">
        <f t="shared" si="19"/>
        <v>110</v>
      </c>
      <c r="BG21" s="95">
        <f t="shared" si="19"/>
        <v>110</v>
      </c>
      <c r="BH21" s="95">
        <f t="shared" si="19"/>
        <v>110</v>
      </c>
      <c r="BI21" s="95">
        <f t="shared" si="19"/>
        <v>110</v>
      </c>
      <c r="BJ21" s="95">
        <f t="shared" si="19"/>
        <v>110</v>
      </c>
      <c r="BK21" s="95">
        <f t="shared" si="19"/>
        <v>110</v>
      </c>
      <c r="BL21" s="95">
        <f t="shared" si="19"/>
        <v>110</v>
      </c>
      <c r="BM21"/>
      <c r="BN21"/>
      <c r="BO21" s="51"/>
      <c r="BP21" s="52" t="s">
        <v>291</v>
      </c>
      <c r="BQ21" s="364" t="s">
        <v>278</v>
      </c>
      <c r="BR21" s="53" t="s">
        <v>72</v>
      </c>
      <c r="BS21" s="61" t="s">
        <v>412</v>
      </c>
      <c r="BT21" s="53">
        <v>3</v>
      </c>
      <c r="BU21" s="89">
        <f t="shared" si="16"/>
        <v>3.3</v>
      </c>
      <c r="BV21" s="89">
        <f t="shared" si="17"/>
        <v>3.3</v>
      </c>
      <c r="BW21" s="111" cm="1">
        <f t="array" ref="BW21:CH21">BT21*BA21:BL21/100</f>
        <v>3</v>
      </c>
      <c r="BX21" s="95">
        <v>3</v>
      </c>
      <c r="BY21" s="95">
        <v>3.3</v>
      </c>
      <c r="BZ21" s="95">
        <v>3.3</v>
      </c>
      <c r="CA21" s="95">
        <v>3.3</v>
      </c>
      <c r="CB21" s="95">
        <v>3.3</v>
      </c>
      <c r="CC21" s="95">
        <v>3.3</v>
      </c>
      <c r="CD21" s="95">
        <v>3.3</v>
      </c>
      <c r="CE21" s="95">
        <v>3.3</v>
      </c>
      <c r="CF21" s="95">
        <v>3.3</v>
      </c>
      <c r="CG21" s="95">
        <v>3.3</v>
      </c>
      <c r="CH21" s="95">
        <v>3.3</v>
      </c>
    </row>
    <row r="22" spans="1:86" ht="15.6" customHeight="1">
      <c r="A22" s="520">
        <v>5</v>
      </c>
      <c r="B22" s="267" t="s">
        <v>293</v>
      </c>
      <c r="C22" s="327"/>
      <c r="D22" s="524"/>
      <c r="E22" s="294"/>
      <c r="F22" s="295">
        <v>8</v>
      </c>
      <c r="G22" s="257"/>
      <c r="H22" s="257"/>
      <c r="I22" s="274"/>
      <c r="J22" s="274"/>
      <c r="K22" s="274"/>
      <c r="L22" s="274"/>
      <c r="M22" s="274"/>
      <c r="N22" s="274"/>
      <c r="O22" s="274"/>
      <c r="P22" s="274"/>
      <c r="Q22" s="274"/>
      <c r="R22" s="274"/>
      <c r="S22" s="274"/>
      <c r="T22" s="91"/>
      <c r="U22" s="36"/>
      <c r="V22" s="36"/>
      <c r="W22" s="51">
        <f ca="1">T.MOUTONG!W22</f>
        <v>5</v>
      </c>
      <c r="X22" s="267" t="s">
        <v>293</v>
      </c>
      <c r="Y22" s="364"/>
      <c r="Z22" s="53"/>
      <c r="AA22" s="61" t="e">
        <v>#REF!</v>
      </c>
      <c r="AB22" s="53">
        <v>8</v>
      </c>
      <c r="AC22" s="89"/>
      <c r="AD22" s="89"/>
      <c r="AE22" s="226"/>
      <c r="AF22" s="226"/>
      <c r="AG22" s="226"/>
      <c r="AH22" s="226"/>
      <c r="AI22" s="226"/>
      <c r="AJ22" s="226"/>
      <c r="AK22" s="226"/>
      <c r="AL22" s="226"/>
      <c r="AM22" s="226"/>
      <c r="AN22" s="226"/>
      <c r="AO22" s="226"/>
      <c r="AP22" s="227"/>
      <c r="AS22" s="51">
        <v>5</v>
      </c>
      <c r="AT22" s="267" t="s">
        <v>293</v>
      </c>
      <c r="AU22" s="364"/>
      <c r="AV22" s="53"/>
      <c r="AW22" s="61"/>
      <c r="AX22" s="53">
        <v>8</v>
      </c>
      <c r="AY22" s="89"/>
      <c r="AZ22" s="89"/>
      <c r="BA22" s="227"/>
      <c r="BB22" s="227"/>
      <c r="BC22" s="227"/>
      <c r="BD22" s="227"/>
      <c r="BE22" s="227"/>
      <c r="BF22" s="227"/>
      <c r="BG22" s="227"/>
      <c r="BH22" s="227"/>
      <c r="BI22" s="227"/>
      <c r="BJ22" s="227"/>
      <c r="BK22" s="227"/>
      <c r="BL22" s="227"/>
      <c r="BM22"/>
      <c r="BN22"/>
      <c r="BO22" s="51">
        <v>5</v>
      </c>
      <c r="BP22" s="267" t="s">
        <v>293</v>
      </c>
      <c r="BQ22" s="364"/>
      <c r="BR22" s="53"/>
      <c r="BS22" s="61"/>
      <c r="BT22" s="513">
        <v>8</v>
      </c>
      <c r="BU22" s="89"/>
      <c r="BV22" s="89"/>
      <c r="BW22" s="227"/>
      <c r="BX22" s="227"/>
      <c r="BY22" s="227"/>
      <c r="BZ22" s="227"/>
      <c r="CA22" s="227"/>
      <c r="CB22" s="227"/>
      <c r="CC22" s="227"/>
      <c r="CD22" s="227"/>
      <c r="CE22" s="227"/>
      <c r="CF22" s="227"/>
      <c r="CG22" s="227"/>
      <c r="CH22" s="227"/>
    </row>
    <row r="23" spans="1:86" ht="15.6" customHeight="1">
      <c r="A23" s="519"/>
      <c r="B23" s="52" t="s">
        <v>294</v>
      </c>
      <c r="C23" s="327" t="s">
        <v>278</v>
      </c>
      <c r="D23" s="524" t="s">
        <v>149</v>
      </c>
      <c r="E23" s="294" t="s">
        <v>413</v>
      </c>
      <c r="F23" s="295"/>
      <c r="G23" s="257">
        <v>0.09</v>
      </c>
      <c r="H23" s="257">
        <v>0.09</v>
      </c>
      <c r="I23" s="525">
        <v>0.09</v>
      </c>
      <c r="J23" s="525">
        <v>0.09</v>
      </c>
      <c r="K23" s="525">
        <v>0.09</v>
      </c>
      <c r="L23" s="525">
        <v>0.09</v>
      </c>
      <c r="M23" s="525">
        <v>0.09</v>
      </c>
      <c r="N23" s="525">
        <v>0.09</v>
      </c>
      <c r="O23" s="525">
        <v>0.09</v>
      </c>
      <c r="P23" s="525">
        <v>0.09</v>
      </c>
      <c r="Q23" s="525">
        <v>0.09</v>
      </c>
      <c r="R23" s="525">
        <v>0.09</v>
      </c>
      <c r="S23" s="525">
        <f>PI!N64</f>
        <v>0.09</v>
      </c>
      <c r="T23" s="526">
        <f>PI!O64</f>
        <v>0.09</v>
      </c>
      <c r="U23" s="36"/>
      <c r="V23" s="36"/>
      <c r="W23" s="51"/>
      <c r="X23" s="52" t="s">
        <v>294</v>
      </c>
      <c r="Y23" s="364" t="s">
        <v>278</v>
      </c>
      <c r="Z23" s="53" t="s">
        <v>149</v>
      </c>
      <c r="AA23" s="61"/>
      <c r="AB23" s="53"/>
      <c r="AC23" s="89">
        <f t="shared" si="1"/>
        <v>0</v>
      </c>
      <c r="AD23" s="89">
        <f t="shared" ref="AD23:AD26" si="20">AP23</f>
        <v>0</v>
      </c>
      <c r="AE23" s="226">
        <f>PI!AH64</f>
        <v>0</v>
      </c>
      <c r="AF23" s="226">
        <f>PI!AI64</f>
        <v>0</v>
      </c>
      <c r="AG23" s="226">
        <f>PI!AJ64</f>
        <v>0</v>
      </c>
      <c r="AH23" s="226">
        <f>PI!AK64</f>
        <v>0</v>
      </c>
      <c r="AI23" s="226">
        <f>PI!AL64</f>
        <v>0</v>
      </c>
      <c r="AJ23" s="226">
        <f>PI!AM64</f>
        <v>0</v>
      </c>
      <c r="AK23" s="226">
        <f>PI!AN64</f>
        <v>0</v>
      </c>
      <c r="AL23" s="226">
        <f>PI!AO64</f>
        <v>0</v>
      </c>
      <c r="AM23" s="226">
        <f>PI!AP64</f>
        <v>0</v>
      </c>
      <c r="AN23" s="226">
        <f>PI!AQ64</f>
        <v>0</v>
      </c>
      <c r="AO23" s="226">
        <f>PI!AR64</f>
        <v>0</v>
      </c>
      <c r="AP23" s="227">
        <f>PI!AS64</f>
        <v>0</v>
      </c>
      <c r="AS23" s="51"/>
      <c r="AT23" s="52" t="s">
        <v>294</v>
      </c>
      <c r="AU23" s="364" t="s">
        <v>278</v>
      </c>
      <c r="AV23" s="53" t="s">
        <v>149</v>
      </c>
      <c r="AW23" s="61" t="s">
        <v>413</v>
      </c>
      <c r="AX23" s="53"/>
      <c r="AY23" s="89">
        <f t="shared" si="3"/>
        <v>110</v>
      </c>
      <c r="AZ23" s="89">
        <f t="shared" si="4"/>
        <v>110</v>
      </c>
      <c r="BA23" s="227">
        <f>IFERROR(IF((2-(AE23/I23))*100&gt;110,110,(2-(AE23/I23))*100),100)</f>
        <v>110</v>
      </c>
      <c r="BB23" s="227">
        <f t="shared" ref="BB23:BL24" si="21">IFERROR(IF((2-(AF23/J23))*100&gt;110,110,(2-(AF23/J23))*100),100)</f>
        <v>110</v>
      </c>
      <c r="BC23" s="227">
        <f t="shared" si="21"/>
        <v>110</v>
      </c>
      <c r="BD23" s="227">
        <f t="shared" si="21"/>
        <v>110</v>
      </c>
      <c r="BE23" s="227">
        <f t="shared" si="21"/>
        <v>110</v>
      </c>
      <c r="BF23" s="227">
        <f t="shared" si="21"/>
        <v>110</v>
      </c>
      <c r="BG23" s="227">
        <f t="shared" si="21"/>
        <v>110</v>
      </c>
      <c r="BH23" s="227">
        <f t="shared" si="21"/>
        <v>110</v>
      </c>
      <c r="BI23" s="227">
        <f t="shared" si="21"/>
        <v>110</v>
      </c>
      <c r="BJ23" s="227">
        <f t="shared" si="21"/>
        <v>110</v>
      </c>
      <c r="BK23" s="227">
        <f t="shared" si="21"/>
        <v>110</v>
      </c>
      <c r="BL23" s="227">
        <f t="shared" si="21"/>
        <v>110</v>
      </c>
      <c r="BM23"/>
      <c r="BN23"/>
      <c r="BO23" s="51"/>
      <c r="BP23" s="52" t="s">
        <v>294</v>
      </c>
      <c r="BQ23" s="364" t="s">
        <v>278</v>
      </c>
      <c r="BR23" s="53" t="s">
        <v>149</v>
      </c>
      <c r="BS23" s="61" t="s">
        <v>413</v>
      </c>
      <c r="BT23" s="53">
        <v>2</v>
      </c>
      <c r="BU23" s="89">
        <f t="shared" ref="BU23:BU26" si="22">CB23</f>
        <v>2.2000000000000002</v>
      </c>
      <c r="BV23" s="89">
        <f t="shared" ref="BV23:BV26" si="23">CH23</f>
        <v>2.2000000000000002</v>
      </c>
      <c r="BW23" s="111" cm="1">
        <f t="array" ref="BW23:CH23">BT23*BA23:BL23/100</f>
        <v>2.2000000000000002</v>
      </c>
      <c r="BX23" s="227">
        <v>2.2000000000000002</v>
      </c>
      <c r="BY23" s="227">
        <v>2.2000000000000002</v>
      </c>
      <c r="BZ23" s="227">
        <v>2.2000000000000002</v>
      </c>
      <c r="CA23" s="227">
        <v>2.2000000000000002</v>
      </c>
      <c r="CB23" s="227">
        <v>2.2000000000000002</v>
      </c>
      <c r="CC23" s="227">
        <v>2.2000000000000002</v>
      </c>
      <c r="CD23" s="227">
        <v>2.2000000000000002</v>
      </c>
      <c r="CE23" s="227">
        <v>2.2000000000000002</v>
      </c>
      <c r="CF23" s="227">
        <v>2.2000000000000002</v>
      </c>
      <c r="CG23" s="227">
        <v>2.2000000000000002</v>
      </c>
      <c r="CH23" s="227">
        <v>2.2000000000000002</v>
      </c>
    </row>
    <row r="24" spans="1:86" ht="15.6" customHeight="1">
      <c r="A24" s="517"/>
      <c r="B24" s="52" t="s">
        <v>295</v>
      </c>
      <c r="C24" s="327" t="s">
        <v>278</v>
      </c>
      <c r="D24" s="524" t="s">
        <v>149</v>
      </c>
      <c r="E24" s="294" t="s">
        <v>414</v>
      </c>
      <c r="F24" s="295"/>
      <c r="G24" s="257">
        <f>N24</f>
        <v>0.04</v>
      </c>
      <c r="H24" s="257">
        <f>T24</f>
        <v>0.04</v>
      </c>
      <c r="I24" s="527">
        <f>PI!D86</f>
        <v>0.04</v>
      </c>
      <c r="J24" s="527">
        <f>PI!E86</f>
        <v>0.04</v>
      </c>
      <c r="K24" s="527">
        <f>PI!F86</f>
        <v>0.04</v>
      </c>
      <c r="L24" s="527">
        <f>PI!G86</f>
        <v>0.04</v>
      </c>
      <c r="M24" s="527">
        <f>PI!H86</f>
        <v>0.04</v>
      </c>
      <c r="N24" s="527">
        <f>PI!I86</f>
        <v>0.04</v>
      </c>
      <c r="O24" s="527">
        <f>PI!J86</f>
        <v>0.04</v>
      </c>
      <c r="P24" s="527">
        <f>PI!K86</f>
        <v>0.04</v>
      </c>
      <c r="Q24" s="527">
        <f>PI!L86</f>
        <v>0.04</v>
      </c>
      <c r="R24" s="527">
        <f>PI!M86</f>
        <v>0.04</v>
      </c>
      <c r="S24" s="527">
        <f>PI!N86</f>
        <v>0.04</v>
      </c>
      <c r="T24" s="528">
        <f>PI!O86</f>
        <v>0.04</v>
      </c>
      <c r="U24" s="36"/>
      <c r="V24" s="36"/>
      <c r="W24" s="51"/>
      <c r="X24" s="52" t="s">
        <v>295</v>
      </c>
      <c r="Y24" s="364" t="s">
        <v>278</v>
      </c>
      <c r="Z24" s="53" t="s">
        <v>149</v>
      </c>
      <c r="AA24" s="61"/>
      <c r="AB24" s="53"/>
      <c r="AC24" s="89">
        <f t="shared" si="1"/>
        <v>0</v>
      </c>
      <c r="AD24" s="89">
        <f t="shared" si="20"/>
        <v>0</v>
      </c>
      <c r="AE24" s="226">
        <f>PI!AH86</f>
        <v>0</v>
      </c>
      <c r="AF24" s="226">
        <f>PI!AI86</f>
        <v>0</v>
      </c>
      <c r="AG24" s="226">
        <f>PI!AJ86</f>
        <v>0</v>
      </c>
      <c r="AH24" s="226">
        <f>PI!AK86</f>
        <v>0</v>
      </c>
      <c r="AI24" s="226">
        <f>PI!AL86</f>
        <v>0</v>
      </c>
      <c r="AJ24" s="226">
        <f>PI!AM86</f>
        <v>0</v>
      </c>
      <c r="AK24" s="226">
        <f>PI!AN86</f>
        <v>0</v>
      </c>
      <c r="AL24" s="226">
        <f>PI!AO86</f>
        <v>0</v>
      </c>
      <c r="AM24" s="226">
        <f>PI!AP86</f>
        <v>0</v>
      </c>
      <c r="AN24" s="226">
        <f>PI!AQ86</f>
        <v>0</v>
      </c>
      <c r="AO24" s="226">
        <f>PI!AR86</f>
        <v>0</v>
      </c>
      <c r="AP24" s="227">
        <f>PI!AS86</f>
        <v>0</v>
      </c>
      <c r="AS24" s="51"/>
      <c r="AT24" s="52" t="s">
        <v>295</v>
      </c>
      <c r="AU24" s="364" t="s">
        <v>278</v>
      </c>
      <c r="AV24" s="53" t="s">
        <v>149</v>
      </c>
      <c r="AW24" s="61" t="s">
        <v>414</v>
      </c>
      <c r="AX24" s="53"/>
      <c r="AY24" s="89">
        <f t="shared" si="3"/>
        <v>110</v>
      </c>
      <c r="AZ24" s="89">
        <f t="shared" si="4"/>
        <v>110</v>
      </c>
      <c r="BA24" s="227">
        <f>IFERROR(IF((2-(AE24/I24))*100&gt;110,110,(2-(AE24/I24))*100),100)</f>
        <v>110</v>
      </c>
      <c r="BB24" s="227">
        <f t="shared" si="21"/>
        <v>110</v>
      </c>
      <c r="BC24" s="227">
        <f t="shared" si="21"/>
        <v>110</v>
      </c>
      <c r="BD24" s="227">
        <f t="shared" si="21"/>
        <v>110</v>
      </c>
      <c r="BE24" s="227">
        <f t="shared" si="21"/>
        <v>110</v>
      </c>
      <c r="BF24" s="227">
        <f t="shared" si="21"/>
        <v>110</v>
      </c>
      <c r="BG24" s="227">
        <f t="shared" si="21"/>
        <v>110</v>
      </c>
      <c r="BH24" s="227">
        <f t="shared" si="21"/>
        <v>110</v>
      </c>
      <c r="BI24" s="227">
        <f t="shared" si="21"/>
        <v>110</v>
      </c>
      <c r="BJ24" s="227">
        <f t="shared" si="21"/>
        <v>110</v>
      </c>
      <c r="BK24" s="227">
        <f t="shared" si="21"/>
        <v>110</v>
      </c>
      <c r="BL24" s="227">
        <f t="shared" si="21"/>
        <v>110</v>
      </c>
      <c r="BM24"/>
      <c r="BN24"/>
      <c r="BO24" s="51"/>
      <c r="BP24" s="52" t="s">
        <v>295</v>
      </c>
      <c r="BQ24" s="364" t="s">
        <v>278</v>
      </c>
      <c r="BR24" s="53" t="s">
        <v>149</v>
      </c>
      <c r="BS24" s="61" t="s">
        <v>414</v>
      </c>
      <c r="BT24" s="53">
        <v>2</v>
      </c>
      <c r="BU24" s="89">
        <f t="shared" si="22"/>
        <v>2.2000000000000002</v>
      </c>
      <c r="BV24" s="89">
        <f t="shared" si="23"/>
        <v>2.2000000000000002</v>
      </c>
      <c r="BW24" s="111" cm="1">
        <f t="array" ref="BW24:CH24">BT24*BA24:BL24/100</f>
        <v>2.2000000000000002</v>
      </c>
      <c r="BX24" s="227">
        <v>2.2000000000000002</v>
      </c>
      <c r="BY24" s="227">
        <v>2.2000000000000002</v>
      </c>
      <c r="BZ24" s="227">
        <v>2.2000000000000002</v>
      </c>
      <c r="CA24" s="227">
        <v>2.2000000000000002</v>
      </c>
      <c r="CB24" s="227">
        <v>2.2000000000000002</v>
      </c>
      <c r="CC24" s="227">
        <v>2.2000000000000002</v>
      </c>
      <c r="CD24" s="227">
        <v>2.2000000000000002</v>
      </c>
      <c r="CE24" s="227">
        <v>2.2000000000000002</v>
      </c>
      <c r="CF24" s="227">
        <v>2.2000000000000002</v>
      </c>
      <c r="CG24" s="227">
        <v>2.2000000000000002</v>
      </c>
      <c r="CH24" s="227">
        <v>2.2000000000000002</v>
      </c>
    </row>
    <row r="25" spans="1:86" ht="15.6" customHeight="1">
      <c r="A25" s="519"/>
      <c r="B25" s="52" t="s">
        <v>297</v>
      </c>
      <c r="C25" s="327" t="s">
        <v>276</v>
      </c>
      <c r="D25" s="524" t="s">
        <v>193</v>
      </c>
      <c r="E25" s="294" t="s">
        <v>415</v>
      </c>
      <c r="F25" s="295"/>
      <c r="G25" s="257">
        <f>N25</f>
        <v>4.9000000000000004</v>
      </c>
      <c r="H25" s="257">
        <f>T25</f>
        <v>4.9000000000000004</v>
      </c>
      <c r="I25" s="257">
        <f>PI!D97</f>
        <v>4.9000000000000004</v>
      </c>
      <c r="J25" s="257">
        <f>PI!E97</f>
        <v>4.9000000000000004</v>
      </c>
      <c r="K25" s="257">
        <f>PI!F97</f>
        <v>4.9000000000000004</v>
      </c>
      <c r="L25" s="257">
        <f>PI!G97</f>
        <v>4.9000000000000004</v>
      </c>
      <c r="M25" s="257">
        <f>PI!H97</f>
        <v>4.9000000000000004</v>
      </c>
      <c r="N25" s="257">
        <f>PI!I97</f>
        <v>4.9000000000000004</v>
      </c>
      <c r="O25" s="257">
        <f>PI!J97</f>
        <v>4.9000000000000004</v>
      </c>
      <c r="P25" s="257">
        <f>PI!K97</f>
        <v>4.9000000000000004</v>
      </c>
      <c r="Q25" s="257">
        <f>PI!L97</f>
        <v>4.9000000000000004</v>
      </c>
      <c r="R25" s="257">
        <f>PI!M97</f>
        <v>4.9000000000000004</v>
      </c>
      <c r="S25" s="257">
        <f>PI!N97</f>
        <v>4.9000000000000004</v>
      </c>
      <c r="T25" s="90">
        <f>PI!O97</f>
        <v>4.9000000000000004</v>
      </c>
      <c r="U25" s="36"/>
      <c r="V25" s="36"/>
      <c r="W25" s="51"/>
      <c r="X25" s="52" t="s">
        <v>297</v>
      </c>
      <c r="Y25" s="364" t="s">
        <v>276</v>
      </c>
      <c r="Z25" s="53" t="s">
        <v>193</v>
      </c>
      <c r="AA25" s="61" t="e">
        <v>#REF!</v>
      </c>
      <c r="AB25" s="53"/>
      <c r="AC25" s="89">
        <f t="shared" si="1"/>
        <v>4.9000000000000004</v>
      </c>
      <c r="AD25" s="89">
        <f t="shared" si="20"/>
        <v>4.9000000000000004</v>
      </c>
      <c r="AE25" s="142">
        <f>PI!AH97</f>
        <v>4.91</v>
      </c>
      <c r="AF25" s="142">
        <f>PI!AI97</f>
        <v>4.91</v>
      </c>
      <c r="AG25" s="142">
        <f>PI!AJ97</f>
        <v>4.91</v>
      </c>
      <c r="AH25" s="142">
        <f>PI!AK97</f>
        <v>4.91</v>
      </c>
      <c r="AI25" s="142">
        <f>PI!AL97</f>
        <v>4.9000000000000004</v>
      </c>
      <c r="AJ25" s="142">
        <f>PI!AM97</f>
        <v>4.9000000000000004</v>
      </c>
      <c r="AK25" s="142">
        <f>PI!AN97</f>
        <v>4.9000000000000004</v>
      </c>
      <c r="AL25" s="142">
        <f>PI!AO97</f>
        <v>4.9000000000000004</v>
      </c>
      <c r="AM25" s="142">
        <f>PI!AP97</f>
        <v>4.9000000000000004</v>
      </c>
      <c r="AN25" s="142">
        <f>PI!AQ97</f>
        <v>4.9000000000000004</v>
      </c>
      <c r="AO25" s="142">
        <f>PI!AR97</f>
        <v>4.9000000000000004</v>
      </c>
      <c r="AP25" s="95">
        <f>PI!AS97</f>
        <v>4.9000000000000004</v>
      </c>
      <c r="AS25" s="51"/>
      <c r="AT25" s="52" t="s">
        <v>297</v>
      </c>
      <c r="AU25" s="364" t="s">
        <v>276</v>
      </c>
      <c r="AV25" s="53" t="s">
        <v>193</v>
      </c>
      <c r="AW25" s="61" t="s">
        <v>415</v>
      </c>
      <c r="AX25" s="53"/>
      <c r="AY25" s="89">
        <f t="shared" si="3"/>
        <v>100</v>
      </c>
      <c r="AZ25" s="89">
        <f t="shared" si="4"/>
        <v>100</v>
      </c>
      <c r="BA25" s="95">
        <f>IF(AE25/I25*100&gt;110,110,AE25/I25*100)</f>
        <v>100.20408163265306</v>
      </c>
      <c r="BB25" s="95">
        <f t="shared" ref="BB25:BL26" si="24">IF(AF25/J25*100&gt;110,110,AF25/J25*100)</f>
        <v>100.20408163265306</v>
      </c>
      <c r="BC25" s="95">
        <f t="shared" si="24"/>
        <v>100.20408163265306</v>
      </c>
      <c r="BD25" s="95">
        <f t="shared" si="24"/>
        <v>100.20408163265306</v>
      </c>
      <c r="BE25" s="95">
        <f t="shared" si="24"/>
        <v>100</v>
      </c>
      <c r="BF25" s="95">
        <f t="shared" si="24"/>
        <v>100</v>
      </c>
      <c r="BG25" s="95">
        <f t="shared" si="24"/>
        <v>100</v>
      </c>
      <c r="BH25" s="95">
        <f t="shared" si="24"/>
        <v>100</v>
      </c>
      <c r="BI25" s="95">
        <f t="shared" si="24"/>
        <v>100</v>
      </c>
      <c r="BJ25" s="95">
        <f t="shared" si="24"/>
        <v>100</v>
      </c>
      <c r="BK25" s="95">
        <f t="shared" si="24"/>
        <v>100</v>
      </c>
      <c r="BL25" s="95">
        <f t="shared" si="24"/>
        <v>100</v>
      </c>
      <c r="BM25"/>
      <c r="BN25"/>
      <c r="BO25" s="51"/>
      <c r="BP25" s="52" t="s">
        <v>297</v>
      </c>
      <c r="BQ25" s="364" t="s">
        <v>276</v>
      </c>
      <c r="BR25" s="53" t="s">
        <v>193</v>
      </c>
      <c r="BS25" s="61" t="s">
        <v>415</v>
      </c>
      <c r="BT25" s="53">
        <v>2</v>
      </c>
      <c r="BU25" s="89">
        <f t="shared" si="22"/>
        <v>2</v>
      </c>
      <c r="BV25" s="89">
        <f t="shared" si="23"/>
        <v>2</v>
      </c>
      <c r="BW25" s="111" cm="1">
        <f t="array" ref="BW25:CH25">BT25*BA25:BL25/100</f>
        <v>2.0040816326530613</v>
      </c>
      <c r="BX25" s="95">
        <v>2.0040816326530613</v>
      </c>
      <c r="BY25" s="95">
        <v>2.0040816326530613</v>
      </c>
      <c r="BZ25" s="95">
        <v>2.0040816326530613</v>
      </c>
      <c r="CA25" s="95">
        <v>2</v>
      </c>
      <c r="CB25" s="95">
        <v>2</v>
      </c>
      <c r="CC25" s="95">
        <v>2</v>
      </c>
      <c r="CD25" s="95">
        <v>2</v>
      </c>
      <c r="CE25" s="95">
        <v>2</v>
      </c>
      <c r="CF25" s="95">
        <v>2</v>
      </c>
      <c r="CG25" s="95">
        <v>2</v>
      </c>
      <c r="CH25" s="95">
        <v>2</v>
      </c>
    </row>
    <row r="26" spans="1:86" ht="15.6" customHeight="1">
      <c r="A26" s="519"/>
      <c r="B26" s="52" t="s">
        <v>299</v>
      </c>
      <c r="C26" s="327" t="s">
        <v>276</v>
      </c>
      <c r="D26" s="524" t="s">
        <v>300</v>
      </c>
      <c r="E26" s="294" t="s">
        <v>416</v>
      </c>
      <c r="F26" s="295"/>
      <c r="G26" s="257">
        <f>N26</f>
        <v>5762</v>
      </c>
      <c r="H26" s="257">
        <f>T26</f>
        <v>9603</v>
      </c>
      <c r="I26" s="257">
        <f>PI!D105</f>
        <v>987</v>
      </c>
      <c r="J26" s="257">
        <f>PI!E105</f>
        <v>1878</v>
      </c>
      <c r="K26" s="257">
        <f>PI!F105</f>
        <v>2865</v>
      </c>
      <c r="L26" s="257">
        <f>PI!G105</f>
        <v>3820</v>
      </c>
      <c r="M26" s="257">
        <f>PI!H105</f>
        <v>4807</v>
      </c>
      <c r="N26" s="257">
        <f>PI!I105</f>
        <v>5762</v>
      </c>
      <c r="O26" s="257">
        <f>PI!J105</f>
        <v>6409</v>
      </c>
      <c r="P26" s="257">
        <f>PI!K105</f>
        <v>7056</v>
      </c>
      <c r="Q26" s="257">
        <f>PI!L105</f>
        <v>7683</v>
      </c>
      <c r="R26" s="257">
        <f>PI!M105</f>
        <v>8330</v>
      </c>
      <c r="S26" s="257">
        <f>PI!N105</f>
        <v>8956</v>
      </c>
      <c r="T26" s="90">
        <f>PI!O105</f>
        <v>9603</v>
      </c>
      <c r="U26" s="36"/>
      <c r="V26" s="36"/>
      <c r="W26" s="51"/>
      <c r="X26" s="52" t="s">
        <v>299</v>
      </c>
      <c r="Y26" s="364" t="s">
        <v>276</v>
      </c>
      <c r="Z26" s="53" t="s">
        <v>300</v>
      </c>
      <c r="AA26" s="61" t="e">
        <v>#REF!</v>
      </c>
      <c r="AB26" s="53"/>
      <c r="AC26" s="89">
        <f t="shared" si="1"/>
        <v>8671</v>
      </c>
      <c r="AD26" s="89">
        <f t="shared" si="20"/>
        <v>0</v>
      </c>
      <c r="AE26" s="142">
        <f>PI!AH105</f>
        <v>239</v>
      </c>
      <c r="AF26" s="142">
        <f>PI!AI105</f>
        <v>627</v>
      </c>
      <c r="AG26" s="142">
        <f>PI!AJ105</f>
        <v>2370</v>
      </c>
      <c r="AH26" s="142">
        <f>PI!AK105</f>
        <v>4148</v>
      </c>
      <c r="AI26" s="142">
        <f>PI!AL105</f>
        <v>6272</v>
      </c>
      <c r="AJ26" s="142">
        <f>PI!AM105</f>
        <v>8671</v>
      </c>
      <c r="AK26" s="142">
        <f>PI!AN105</f>
        <v>10672</v>
      </c>
      <c r="AL26" s="142">
        <f>PI!AO105</f>
        <v>12244</v>
      </c>
      <c r="AM26" s="142">
        <f>PI!AP105</f>
        <v>13302</v>
      </c>
      <c r="AN26" s="142">
        <f>PI!AQ105</f>
        <v>14361</v>
      </c>
      <c r="AO26" s="142">
        <f>PI!AR105</f>
        <v>0</v>
      </c>
      <c r="AP26" s="95">
        <f>PI!AS105</f>
        <v>0</v>
      </c>
      <c r="AS26" s="51"/>
      <c r="AT26" s="52" t="s">
        <v>299</v>
      </c>
      <c r="AU26" s="364" t="s">
        <v>276</v>
      </c>
      <c r="AV26" s="53" t="s">
        <v>300</v>
      </c>
      <c r="AW26" s="61" t="s">
        <v>416</v>
      </c>
      <c r="AX26" s="53"/>
      <c r="AY26" s="89">
        <f t="shared" si="3"/>
        <v>110</v>
      </c>
      <c r="AZ26" s="89">
        <f t="shared" si="4"/>
        <v>0</v>
      </c>
      <c r="BA26" s="95">
        <f>IF(AE26/I26*100&gt;110,110,AE26/I26*100)</f>
        <v>24.214792299898683</v>
      </c>
      <c r="BB26" s="95">
        <f t="shared" si="24"/>
        <v>33.386581469648561</v>
      </c>
      <c r="BC26" s="95">
        <f t="shared" si="24"/>
        <v>82.722513089005233</v>
      </c>
      <c r="BD26" s="95">
        <f t="shared" si="24"/>
        <v>108.58638743455498</v>
      </c>
      <c r="BE26" s="95">
        <f t="shared" si="24"/>
        <v>110</v>
      </c>
      <c r="BF26" s="95">
        <f t="shared" si="24"/>
        <v>110</v>
      </c>
      <c r="BG26" s="95">
        <f t="shared" si="24"/>
        <v>110</v>
      </c>
      <c r="BH26" s="95">
        <f t="shared" si="24"/>
        <v>110</v>
      </c>
      <c r="BI26" s="95">
        <f t="shared" si="24"/>
        <v>110</v>
      </c>
      <c r="BJ26" s="95">
        <f t="shared" si="24"/>
        <v>110</v>
      </c>
      <c r="BK26" s="95">
        <f t="shared" si="24"/>
        <v>0</v>
      </c>
      <c r="BL26" s="95">
        <f t="shared" si="24"/>
        <v>0</v>
      </c>
      <c r="BM26"/>
      <c r="BN26"/>
      <c r="BO26" s="51"/>
      <c r="BP26" s="52" t="s">
        <v>299</v>
      </c>
      <c r="BQ26" s="364" t="s">
        <v>276</v>
      </c>
      <c r="BR26" s="53" t="s">
        <v>300</v>
      </c>
      <c r="BS26" s="61" t="s">
        <v>416</v>
      </c>
      <c r="BT26" s="53">
        <v>2</v>
      </c>
      <c r="BU26" s="89">
        <f t="shared" si="22"/>
        <v>2.2000000000000002</v>
      </c>
      <c r="BV26" s="89">
        <f t="shared" si="23"/>
        <v>0</v>
      </c>
      <c r="BW26" s="111" cm="1">
        <f t="array" ref="BW26:CH26">BT26*BA26:BL26/100</f>
        <v>0.48429584599797365</v>
      </c>
      <c r="BX26" s="95">
        <v>0.66773162939297126</v>
      </c>
      <c r="BY26" s="95">
        <v>1.6544502617801047</v>
      </c>
      <c r="BZ26" s="95">
        <v>2.1717277486910995</v>
      </c>
      <c r="CA26" s="95">
        <v>2.2000000000000002</v>
      </c>
      <c r="CB26" s="95">
        <v>2.2000000000000002</v>
      </c>
      <c r="CC26" s="95">
        <v>2.2000000000000002</v>
      </c>
      <c r="CD26" s="95">
        <v>2.2000000000000002</v>
      </c>
      <c r="CE26" s="95">
        <v>2.2000000000000002</v>
      </c>
      <c r="CF26" s="95">
        <v>2.2000000000000002</v>
      </c>
      <c r="CG26" s="95">
        <v>0</v>
      </c>
      <c r="CH26" s="95">
        <v>0</v>
      </c>
    </row>
    <row r="27" spans="1:86" ht="15.6" customHeight="1">
      <c r="A27" s="519">
        <v>6</v>
      </c>
      <c r="B27" s="267" t="s">
        <v>302</v>
      </c>
      <c r="C27" s="327"/>
      <c r="D27" s="524"/>
      <c r="E27" s="294"/>
      <c r="F27" s="295">
        <v>3</v>
      </c>
      <c r="G27" s="257"/>
      <c r="H27" s="257"/>
      <c r="I27" s="257"/>
      <c r="J27" s="257"/>
      <c r="K27" s="257"/>
      <c r="L27" s="257"/>
      <c r="M27" s="257"/>
      <c r="N27" s="257"/>
      <c r="O27" s="257"/>
      <c r="P27" s="257"/>
      <c r="Q27" s="257"/>
      <c r="R27" s="257"/>
      <c r="S27" s="257"/>
      <c r="T27" s="90"/>
      <c r="U27" s="36"/>
      <c r="V27" s="36"/>
      <c r="W27" s="51">
        <f ca="1">T.MOUTONG!W27</f>
        <v>6</v>
      </c>
      <c r="X27" s="267" t="s">
        <v>302</v>
      </c>
      <c r="Y27" s="364"/>
      <c r="Z27" s="53"/>
      <c r="AA27" s="61"/>
      <c r="AB27" s="53">
        <v>3</v>
      </c>
      <c r="AC27" s="89"/>
      <c r="AD27" s="89"/>
      <c r="AE27" s="142"/>
      <c r="AF27" s="142"/>
      <c r="AG27" s="142"/>
      <c r="AH27" s="142"/>
      <c r="AI27" s="142"/>
      <c r="AJ27" s="142"/>
      <c r="AK27" s="142"/>
      <c r="AL27" s="142"/>
      <c r="AM27" s="142"/>
      <c r="AN27" s="142"/>
      <c r="AO27" s="142"/>
      <c r="AP27" s="95"/>
      <c r="AS27" s="51">
        <v>6</v>
      </c>
      <c r="AT27" s="267" t="s">
        <v>302</v>
      </c>
      <c r="AU27" s="364"/>
      <c r="AV27" s="53"/>
      <c r="AW27" s="61"/>
      <c r="AX27" s="53">
        <v>3</v>
      </c>
      <c r="AY27" s="89"/>
      <c r="AZ27" s="89"/>
      <c r="BA27" s="95"/>
      <c r="BB27" s="95"/>
      <c r="BC27" s="95"/>
      <c r="BD27" s="95"/>
      <c r="BE27" s="95"/>
      <c r="BF27" s="95"/>
      <c r="BG27" s="95"/>
      <c r="BH27" s="95"/>
      <c r="BI27" s="95"/>
      <c r="BJ27" s="95"/>
      <c r="BK27" s="95"/>
      <c r="BL27" s="95"/>
      <c r="BM27"/>
      <c r="BN27"/>
      <c r="BO27" s="51">
        <v>6</v>
      </c>
      <c r="BP27" s="267" t="s">
        <v>302</v>
      </c>
      <c r="BQ27" s="364"/>
      <c r="BR27" s="53"/>
      <c r="BS27" s="61"/>
      <c r="BT27" s="513">
        <v>3</v>
      </c>
      <c r="BU27" s="89"/>
      <c r="BV27" s="89"/>
      <c r="BW27" s="95"/>
      <c r="BX27" s="95"/>
      <c r="BY27" s="95"/>
      <c r="BZ27" s="95"/>
      <c r="CA27" s="95"/>
      <c r="CB27" s="95"/>
      <c r="CC27" s="95"/>
      <c r="CD27" s="95"/>
      <c r="CE27" s="95"/>
      <c r="CF27" s="95"/>
      <c r="CG27" s="95"/>
      <c r="CH27" s="95"/>
    </row>
    <row r="28" spans="1:86" ht="15.6" customHeight="1">
      <c r="A28" s="519"/>
      <c r="B28" s="52" t="s">
        <v>303</v>
      </c>
      <c r="C28" s="327" t="s">
        <v>278</v>
      </c>
      <c r="D28" s="524" t="s">
        <v>132</v>
      </c>
      <c r="E28" s="294" t="s">
        <v>417</v>
      </c>
      <c r="F28" s="295"/>
      <c r="G28" s="257">
        <f>N28</f>
        <v>30</v>
      </c>
      <c r="H28" s="257">
        <f>T28</f>
        <v>30</v>
      </c>
      <c r="I28" s="257">
        <f>PI!D119</f>
        <v>30</v>
      </c>
      <c r="J28" s="257">
        <f>PI!E119</f>
        <v>30</v>
      </c>
      <c r="K28" s="257">
        <f>PI!F119</f>
        <v>30</v>
      </c>
      <c r="L28" s="257">
        <f>PI!G119</f>
        <v>30</v>
      </c>
      <c r="M28" s="257">
        <f>PI!H119</f>
        <v>30</v>
      </c>
      <c r="N28" s="257">
        <f>PI!I119</f>
        <v>30</v>
      </c>
      <c r="O28" s="257">
        <f>PI!J119</f>
        <v>30</v>
      </c>
      <c r="P28" s="257">
        <f>PI!K119</f>
        <v>30</v>
      </c>
      <c r="Q28" s="257">
        <f>PI!L119</f>
        <v>30</v>
      </c>
      <c r="R28" s="257">
        <f>PI!M119</f>
        <v>30</v>
      </c>
      <c r="S28" s="257">
        <f>PI!N119</f>
        <v>30</v>
      </c>
      <c r="T28" s="90">
        <f>PI!O119</f>
        <v>30</v>
      </c>
      <c r="U28" s="36"/>
      <c r="V28" s="36"/>
      <c r="W28" s="51"/>
      <c r="X28" s="52" t="s">
        <v>303</v>
      </c>
      <c r="Y28" s="364" t="s">
        <v>278</v>
      </c>
      <c r="Z28" s="53" t="s">
        <v>132</v>
      </c>
      <c r="AA28" s="61"/>
      <c r="AB28" s="53"/>
      <c r="AC28" s="89">
        <f t="shared" si="1"/>
        <v>9.1038201985687532</v>
      </c>
      <c r="AD28" s="89">
        <f t="shared" ref="AD28:AD29" si="25">AP28</f>
        <v>9.5630914886605147</v>
      </c>
      <c r="AE28" s="142">
        <f>PI!AH119</f>
        <v>8.5426282051281994</v>
      </c>
      <c r="AF28" s="142">
        <f>PI!AI119</f>
        <v>8.1045451864086786</v>
      </c>
      <c r="AG28" s="142">
        <f>PI!AJ119</f>
        <v>7.9316219028642303</v>
      </c>
      <c r="AH28" s="142">
        <f>PI!AK119</f>
        <v>7.9007510275380373</v>
      </c>
      <c r="AI28" s="142">
        <f>PI!AL119</f>
        <v>9.1246008220304304</v>
      </c>
      <c r="AJ28" s="142">
        <f>PI!AM119</f>
        <v>9.1038201985687532</v>
      </c>
      <c r="AK28" s="142">
        <f>PI!AN119</f>
        <v>9.0889768960961259</v>
      </c>
      <c r="AL28" s="142">
        <f>PI!AO119</f>
        <v>9.1740044587045002</v>
      </c>
      <c r="AM28" s="142">
        <f>PI!AP119</f>
        <v>9.260615768181351</v>
      </c>
      <c r="AN28" s="142">
        <f>PI!AQ119</f>
        <v>9.5630914886605147</v>
      </c>
      <c r="AO28" s="142">
        <f>PI!AR119</f>
        <v>9.5630914886605147</v>
      </c>
      <c r="AP28" s="95">
        <f>PI!AS119</f>
        <v>9.5630914886605147</v>
      </c>
      <c r="AS28" s="51"/>
      <c r="AT28" s="52" t="s">
        <v>303</v>
      </c>
      <c r="AU28" s="364" t="s">
        <v>278</v>
      </c>
      <c r="AV28" s="53" t="s">
        <v>132</v>
      </c>
      <c r="AW28" s="61" t="s">
        <v>417</v>
      </c>
      <c r="AX28" s="53"/>
      <c r="AY28" s="89">
        <f t="shared" si="3"/>
        <v>110</v>
      </c>
      <c r="AZ28" s="89">
        <f t="shared" si="4"/>
        <v>110</v>
      </c>
      <c r="BA28" s="95">
        <f>IFERROR(IF((2-(AE28/I28))*100&gt;110,110,(2-(AE28/I28))*100),100)</f>
        <v>110</v>
      </c>
      <c r="BB28" s="95">
        <f t="shared" ref="BB28:BL28" si="26">IFERROR(IF((2-(AF28/J28))*100&gt;110,110,(2-(AF28/J28))*100),100)</f>
        <v>110</v>
      </c>
      <c r="BC28" s="95">
        <f t="shared" si="26"/>
        <v>110</v>
      </c>
      <c r="BD28" s="95">
        <f t="shared" si="26"/>
        <v>110</v>
      </c>
      <c r="BE28" s="95">
        <f t="shared" si="26"/>
        <v>110</v>
      </c>
      <c r="BF28" s="95">
        <f t="shared" si="26"/>
        <v>110</v>
      </c>
      <c r="BG28" s="95">
        <f t="shared" si="26"/>
        <v>110</v>
      </c>
      <c r="BH28" s="95">
        <f t="shared" si="26"/>
        <v>110</v>
      </c>
      <c r="BI28" s="95">
        <f t="shared" si="26"/>
        <v>110</v>
      </c>
      <c r="BJ28" s="95">
        <f t="shared" si="26"/>
        <v>110</v>
      </c>
      <c r="BK28" s="95">
        <f t="shared" si="26"/>
        <v>110</v>
      </c>
      <c r="BL28" s="95">
        <f t="shared" si="26"/>
        <v>110</v>
      </c>
      <c r="BM28"/>
      <c r="BN28"/>
      <c r="BO28" s="51"/>
      <c r="BP28" s="52" t="s">
        <v>303</v>
      </c>
      <c r="BQ28" s="364" t="s">
        <v>278</v>
      </c>
      <c r="BR28" s="53" t="s">
        <v>132</v>
      </c>
      <c r="BS28" s="61" t="s">
        <v>417</v>
      </c>
      <c r="BT28" s="53">
        <v>1.5</v>
      </c>
      <c r="BU28" s="89">
        <f t="shared" ref="BU28:BU29" si="27">CB28</f>
        <v>1.65</v>
      </c>
      <c r="BV28" s="89">
        <f t="shared" ref="BV28:BV29" si="28">CH28</f>
        <v>1.65</v>
      </c>
      <c r="BW28" s="111" cm="1">
        <f t="array" ref="BW28:CH28">BT28*BA28:BL28/100</f>
        <v>1.65</v>
      </c>
      <c r="BX28" s="95">
        <v>1.65</v>
      </c>
      <c r="BY28" s="95">
        <v>1.65</v>
      </c>
      <c r="BZ28" s="95">
        <v>1.65</v>
      </c>
      <c r="CA28" s="95">
        <v>1.65</v>
      </c>
      <c r="CB28" s="95">
        <v>1.65</v>
      </c>
      <c r="CC28" s="95">
        <v>1.65</v>
      </c>
      <c r="CD28" s="95">
        <v>1.65</v>
      </c>
      <c r="CE28" s="95">
        <v>1.65</v>
      </c>
      <c r="CF28" s="95">
        <v>1.65</v>
      </c>
      <c r="CG28" s="95">
        <v>1.65</v>
      </c>
      <c r="CH28" s="95">
        <v>1.65</v>
      </c>
    </row>
    <row r="29" spans="1:86" ht="15.6" customHeight="1">
      <c r="A29" s="519"/>
      <c r="B29" s="52" t="s">
        <v>304</v>
      </c>
      <c r="C29" s="327" t="s">
        <v>276</v>
      </c>
      <c r="D29" s="524" t="s">
        <v>149</v>
      </c>
      <c r="E29" s="294" t="s">
        <v>418</v>
      </c>
      <c r="F29" s="295"/>
      <c r="G29" s="257">
        <f>N29</f>
        <v>0</v>
      </c>
      <c r="H29" s="257">
        <f>T29</f>
        <v>0</v>
      </c>
      <c r="I29" s="257">
        <f>PI!D135</f>
        <v>0</v>
      </c>
      <c r="J29" s="257">
        <f>PI!E135</f>
        <v>0</v>
      </c>
      <c r="K29" s="257">
        <f>PI!F135</f>
        <v>0</v>
      </c>
      <c r="L29" s="257">
        <f>PI!G135</f>
        <v>0</v>
      </c>
      <c r="M29" s="257">
        <f>PI!H135</f>
        <v>0</v>
      </c>
      <c r="N29" s="257">
        <f>PI!I135</f>
        <v>0</v>
      </c>
      <c r="O29" s="257">
        <f>PI!J135</f>
        <v>0</v>
      </c>
      <c r="P29" s="257">
        <f>PI!K135</f>
        <v>0</v>
      </c>
      <c r="Q29" s="257">
        <f>PI!L135</f>
        <v>0</v>
      </c>
      <c r="R29" s="257">
        <f>PI!M135</f>
        <v>0</v>
      </c>
      <c r="S29" s="257">
        <f>PI!N135</f>
        <v>0</v>
      </c>
      <c r="T29" s="90">
        <f>PI!O135</f>
        <v>0</v>
      </c>
      <c r="U29" s="36"/>
      <c r="V29" s="36"/>
      <c r="W29" s="51"/>
      <c r="X29" s="52" t="s">
        <v>304</v>
      </c>
      <c r="Y29" s="364" t="s">
        <v>276</v>
      </c>
      <c r="Z29" s="53" t="s">
        <v>149</v>
      </c>
      <c r="AA29" s="61"/>
      <c r="AB29" s="53"/>
      <c r="AC29" s="89">
        <f t="shared" si="1"/>
        <v>0</v>
      </c>
      <c r="AD29" s="89">
        <f t="shared" si="25"/>
        <v>0</v>
      </c>
      <c r="AE29" s="142">
        <f>PI!AH135</f>
        <v>0</v>
      </c>
      <c r="AF29" s="142">
        <f>PI!AI135</f>
        <v>0</v>
      </c>
      <c r="AG29" s="142">
        <f>PI!AJ135</f>
        <v>0</v>
      </c>
      <c r="AH29" s="142">
        <f>PI!AK135</f>
        <v>0</v>
      </c>
      <c r="AI29" s="142">
        <f>PI!AL135</f>
        <v>0</v>
      </c>
      <c r="AJ29" s="142">
        <f>PI!AM135</f>
        <v>0</v>
      </c>
      <c r="AK29" s="142">
        <f>PI!AN135</f>
        <v>0</v>
      </c>
      <c r="AL29" s="142">
        <f>PI!AO135</f>
        <v>0</v>
      </c>
      <c r="AM29" s="142">
        <f>PI!AP135</f>
        <v>0</v>
      </c>
      <c r="AN29" s="142">
        <f>PI!AQ135</f>
        <v>0</v>
      </c>
      <c r="AO29" s="142">
        <f>PI!AR135</f>
        <v>0</v>
      </c>
      <c r="AP29" s="95">
        <f>PI!AS135</f>
        <v>0</v>
      </c>
      <c r="AS29" s="51"/>
      <c r="AT29" s="52" t="s">
        <v>304</v>
      </c>
      <c r="AU29" s="364" t="s">
        <v>276</v>
      </c>
      <c r="AV29" s="53" t="s">
        <v>149</v>
      </c>
      <c r="AW29" s="61" t="s">
        <v>418</v>
      </c>
      <c r="AX29" s="53"/>
      <c r="AY29" s="89">
        <f t="shared" si="3"/>
        <v>100</v>
      </c>
      <c r="AZ29" s="89">
        <f t="shared" si="4"/>
        <v>100</v>
      </c>
      <c r="BA29" s="95">
        <f>IFERROR(IF(AE29/I29*100&gt;110,110,AE29/I29*100),100)</f>
        <v>100</v>
      </c>
      <c r="BB29" s="95">
        <f t="shared" ref="BB29:BL29" si="29">IFERROR(IF(AF29/J29*100&gt;110,110,AF29/J29*100),100)</f>
        <v>100</v>
      </c>
      <c r="BC29" s="95">
        <f t="shared" si="29"/>
        <v>100</v>
      </c>
      <c r="BD29" s="95">
        <f t="shared" si="29"/>
        <v>100</v>
      </c>
      <c r="BE29" s="95">
        <f t="shared" si="29"/>
        <v>100</v>
      </c>
      <c r="BF29" s="95">
        <f t="shared" si="29"/>
        <v>100</v>
      </c>
      <c r="BG29" s="95">
        <f t="shared" si="29"/>
        <v>100</v>
      </c>
      <c r="BH29" s="95">
        <f t="shared" si="29"/>
        <v>100</v>
      </c>
      <c r="BI29" s="95">
        <f t="shared" si="29"/>
        <v>100</v>
      </c>
      <c r="BJ29" s="95">
        <f t="shared" si="29"/>
        <v>100</v>
      </c>
      <c r="BK29" s="95">
        <f t="shared" si="29"/>
        <v>100</v>
      </c>
      <c r="BL29" s="95">
        <f t="shared" si="29"/>
        <v>100</v>
      </c>
      <c r="BM29"/>
      <c r="BN29"/>
      <c r="BO29" s="51"/>
      <c r="BP29" s="52" t="s">
        <v>304</v>
      </c>
      <c r="BQ29" s="364" t="s">
        <v>276</v>
      </c>
      <c r="BR29" s="53" t="s">
        <v>149</v>
      </c>
      <c r="BS29" s="61" t="s">
        <v>418</v>
      </c>
      <c r="BT29" s="53">
        <v>1.5</v>
      </c>
      <c r="BU29" s="89">
        <f t="shared" si="27"/>
        <v>1.5</v>
      </c>
      <c r="BV29" s="89">
        <f t="shared" si="28"/>
        <v>1.5</v>
      </c>
      <c r="BW29" s="111" cm="1">
        <f t="array" ref="BW29:CH29">BT29*BA29:BL29/100</f>
        <v>1.5</v>
      </c>
      <c r="BX29" s="95">
        <v>1.5</v>
      </c>
      <c r="BY29" s="95">
        <v>1.5</v>
      </c>
      <c r="BZ29" s="95">
        <v>1.5</v>
      </c>
      <c r="CA29" s="95">
        <v>1.5</v>
      </c>
      <c r="CB29" s="95">
        <v>1.5</v>
      </c>
      <c r="CC29" s="95">
        <v>1.5</v>
      </c>
      <c r="CD29" s="95">
        <v>1.5</v>
      </c>
      <c r="CE29" s="95">
        <v>1.5</v>
      </c>
      <c r="CF29" s="95">
        <v>1.5</v>
      </c>
      <c r="CG29" s="95">
        <v>1.5</v>
      </c>
      <c r="CH29" s="95">
        <v>1.5</v>
      </c>
    </row>
    <row r="30" spans="1:86" ht="15.6" customHeight="1">
      <c r="A30" s="519">
        <v>7</v>
      </c>
      <c r="B30" s="267" t="s">
        <v>305</v>
      </c>
      <c r="C30" s="327"/>
      <c r="D30" s="524"/>
      <c r="E30" s="294"/>
      <c r="F30" s="295">
        <v>6</v>
      </c>
      <c r="G30" s="257"/>
      <c r="H30" s="257"/>
      <c r="I30" s="257"/>
      <c r="J30" s="257"/>
      <c r="K30" s="257"/>
      <c r="L30" s="257"/>
      <c r="M30" s="257"/>
      <c r="N30" s="257"/>
      <c r="O30" s="257"/>
      <c r="P30" s="257"/>
      <c r="Q30" s="257"/>
      <c r="R30" s="257"/>
      <c r="S30" s="257"/>
      <c r="T30" s="90"/>
      <c r="U30" s="36"/>
      <c r="V30" s="36"/>
      <c r="W30" s="51">
        <f ca="1">T.MOUTONG!W30</f>
        <v>7</v>
      </c>
      <c r="X30" s="267" t="s">
        <v>305</v>
      </c>
      <c r="Y30" s="364"/>
      <c r="Z30" s="53"/>
      <c r="AA30" s="61"/>
      <c r="AB30" s="53">
        <v>6</v>
      </c>
      <c r="AC30" s="89"/>
      <c r="AD30" s="89"/>
      <c r="AE30" s="142"/>
      <c r="AF30" s="142"/>
      <c r="AG30" s="142"/>
      <c r="AH30" s="142"/>
      <c r="AI30" s="142"/>
      <c r="AJ30" s="142"/>
      <c r="AK30" s="142"/>
      <c r="AL30" s="142"/>
      <c r="AM30" s="142"/>
      <c r="AN30" s="142"/>
      <c r="AO30" s="142"/>
      <c r="AP30" s="95"/>
      <c r="AS30" s="51">
        <v>7</v>
      </c>
      <c r="AT30" s="267" t="s">
        <v>305</v>
      </c>
      <c r="AU30" s="364"/>
      <c r="AV30" s="53"/>
      <c r="AW30" s="61"/>
      <c r="AX30" s="53">
        <v>6</v>
      </c>
      <c r="AY30" s="89"/>
      <c r="AZ30" s="89"/>
      <c r="BA30" s="95"/>
      <c r="BB30" s="95"/>
      <c r="BC30" s="95"/>
      <c r="BD30" s="95"/>
      <c r="BE30" s="95"/>
      <c r="BF30" s="95"/>
      <c r="BG30" s="95"/>
      <c r="BH30" s="95"/>
      <c r="BI30" s="95"/>
      <c r="BJ30" s="95"/>
      <c r="BK30" s="95"/>
      <c r="BL30" s="95"/>
      <c r="BM30"/>
      <c r="BN30"/>
      <c r="BO30" s="51">
        <v>7</v>
      </c>
      <c r="BP30" s="267" t="s">
        <v>305</v>
      </c>
      <c r="BQ30" s="364"/>
      <c r="BR30" s="53"/>
      <c r="BS30" s="61"/>
      <c r="BT30" s="513">
        <v>6</v>
      </c>
      <c r="BU30" s="89"/>
      <c r="BV30" s="89"/>
      <c r="BW30" s="95"/>
      <c r="BX30" s="95"/>
      <c r="BY30" s="95"/>
      <c r="BZ30" s="95"/>
      <c r="CA30" s="95"/>
      <c r="CB30" s="95"/>
      <c r="CC30" s="95"/>
      <c r="CD30" s="95"/>
      <c r="CE30" s="95"/>
      <c r="CF30" s="95"/>
      <c r="CG30" s="95"/>
      <c r="CH30" s="95"/>
    </row>
    <row r="31" spans="1:86" ht="15.6" customHeight="1">
      <c r="A31" s="519"/>
      <c r="B31" s="52" t="s">
        <v>307</v>
      </c>
      <c r="C31" s="327" t="s">
        <v>276</v>
      </c>
      <c r="D31" s="524" t="s">
        <v>149</v>
      </c>
      <c r="E31" s="294" t="s">
        <v>419</v>
      </c>
      <c r="F31" s="295"/>
      <c r="G31" s="257">
        <f>N31</f>
        <v>100</v>
      </c>
      <c r="H31" s="257">
        <f>T31</f>
        <v>100</v>
      </c>
      <c r="I31" s="257">
        <f>PI!D154</f>
        <v>100</v>
      </c>
      <c r="J31" s="257">
        <f>PI!E154</f>
        <v>100</v>
      </c>
      <c r="K31" s="257">
        <f>PI!F154</f>
        <v>100</v>
      </c>
      <c r="L31" s="257">
        <f>PI!G154</f>
        <v>100</v>
      </c>
      <c r="M31" s="257">
        <f>PI!H154</f>
        <v>100</v>
      </c>
      <c r="N31" s="257">
        <f>PI!I154</f>
        <v>100</v>
      </c>
      <c r="O31" s="257">
        <f>PI!J154</f>
        <v>100</v>
      </c>
      <c r="P31" s="257">
        <f>PI!K154</f>
        <v>100</v>
      </c>
      <c r="Q31" s="257">
        <f>PI!L154</f>
        <v>100</v>
      </c>
      <c r="R31" s="257">
        <f>PI!M154</f>
        <v>100</v>
      </c>
      <c r="S31" s="257">
        <f>PI!N154</f>
        <v>100</v>
      </c>
      <c r="T31" s="90">
        <f>PI!O154</f>
        <v>100</v>
      </c>
      <c r="U31" s="36"/>
      <c r="V31" s="36"/>
      <c r="W31" s="51"/>
      <c r="X31" s="52" t="s">
        <v>307</v>
      </c>
      <c r="Y31" s="364" t="s">
        <v>276</v>
      </c>
      <c r="Z31" s="53" t="s">
        <v>149</v>
      </c>
      <c r="AA31" s="61" t="e">
        <v>#REF!</v>
      </c>
      <c r="AB31" s="53"/>
      <c r="AC31" s="89">
        <f t="shared" si="1"/>
        <v>110</v>
      </c>
      <c r="AD31" s="89">
        <f t="shared" ref="AD31:AD32" si="30">AP31</f>
        <v>0</v>
      </c>
      <c r="AE31" s="142">
        <f>PI!AH154</f>
        <v>110</v>
      </c>
      <c r="AF31" s="142">
        <f>PI!AI154</f>
        <v>110</v>
      </c>
      <c r="AG31" s="142">
        <f>PI!AJ154</f>
        <v>110</v>
      </c>
      <c r="AH31" s="142">
        <f>PI!AK154</f>
        <v>110</v>
      </c>
      <c r="AI31" s="142">
        <f>PI!AL154</f>
        <v>110</v>
      </c>
      <c r="AJ31" s="142">
        <f>PI!AM154</f>
        <v>110</v>
      </c>
      <c r="AK31" s="142">
        <f>PI!AN154</f>
        <v>110</v>
      </c>
      <c r="AL31" s="142">
        <f>PI!AO154</f>
        <v>110</v>
      </c>
      <c r="AM31" s="142">
        <f>PI!AP154</f>
        <v>110</v>
      </c>
      <c r="AN31" s="142">
        <f>PI!AQ154</f>
        <v>110</v>
      </c>
      <c r="AO31" s="142">
        <f>PI!AR154</f>
        <v>0</v>
      </c>
      <c r="AP31" s="95">
        <f>PI!AS154</f>
        <v>0</v>
      </c>
      <c r="AS31" s="51"/>
      <c r="AT31" s="52" t="s">
        <v>307</v>
      </c>
      <c r="AU31" s="364" t="s">
        <v>276</v>
      </c>
      <c r="AV31" s="53" t="s">
        <v>149</v>
      </c>
      <c r="AW31" s="61" t="s">
        <v>419</v>
      </c>
      <c r="AX31" s="53"/>
      <c r="AY31" s="89">
        <f t="shared" si="3"/>
        <v>110.00000000000001</v>
      </c>
      <c r="AZ31" s="89">
        <f t="shared" si="4"/>
        <v>0</v>
      </c>
      <c r="BA31" s="95">
        <f>IFERROR(IF(AE31/I31*100&gt;110,110,AE31/I31*100),100)</f>
        <v>110.00000000000001</v>
      </c>
      <c r="BB31" s="95">
        <f t="shared" ref="BB31:BL32" si="31">IFERROR(IF(AF31/J31*100&gt;110,110,AF31/J31*100),100)</f>
        <v>110.00000000000001</v>
      </c>
      <c r="BC31" s="95">
        <f t="shared" si="31"/>
        <v>110.00000000000001</v>
      </c>
      <c r="BD31" s="95">
        <f t="shared" si="31"/>
        <v>110.00000000000001</v>
      </c>
      <c r="BE31" s="95">
        <f t="shared" si="31"/>
        <v>110.00000000000001</v>
      </c>
      <c r="BF31" s="95">
        <f t="shared" si="31"/>
        <v>110.00000000000001</v>
      </c>
      <c r="BG31" s="95">
        <f t="shared" si="31"/>
        <v>110.00000000000001</v>
      </c>
      <c r="BH31" s="95">
        <f t="shared" si="31"/>
        <v>110.00000000000001</v>
      </c>
      <c r="BI31" s="95">
        <f t="shared" si="31"/>
        <v>110.00000000000001</v>
      </c>
      <c r="BJ31" s="95">
        <f t="shared" si="31"/>
        <v>110.00000000000001</v>
      </c>
      <c r="BK31" s="95">
        <f t="shared" si="31"/>
        <v>0</v>
      </c>
      <c r="BL31" s="95">
        <f t="shared" si="31"/>
        <v>0</v>
      </c>
      <c r="BM31"/>
      <c r="BN31"/>
      <c r="BO31" s="51"/>
      <c r="BP31" s="52" t="s">
        <v>307</v>
      </c>
      <c r="BQ31" s="364" t="s">
        <v>276</v>
      </c>
      <c r="BR31" s="53" t="s">
        <v>149</v>
      </c>
      <c r="BS31" s="61" t="s">
        <v>419</v>
      </c>
      <c r="BT31" s="53">
        <v>3</v>
      </c>
      <c r="BU31" s="89">
        <f t="shared" ref="BU31:BU32" si="32">CB31</f>
        <v>3.3000000000000007</v>
      </c>
      <c r="BV31" s="89">
        <f t="shared" ref="BV31:BV32" si="33">CH31</f>
        <v>0</v>
      </c>
      <c r="BW31" s="111" cm="1">
        <f t="array" ref="BW31:CH31">BT31*BA31:BL31/100</f>
        <v>3.3000000000000007</v>
      </c>
      <c r="BX31" s="95">
        <v>3.3000000000000007</v>
      </c>
      <c r="BY31" s="95">
        <v>3.3000000000000007</v>
      </c>
      <c r="BZ31" s="95">
        <v>3.3000000000000007</v>
      </c>
      <c r="CA31" s="95">
        <v>3.3000000000000007</v>
      </c>
      <c r="CB31" s="95">
        <v>3.3000000000000007</v>
      </c>
      <c r="CC31" s="95">
        <v>3.3000000000000007</v>
      </c>
      <c r="CD31" s="95">
        <v>3.3000000000000007</v>
      </c>
      <c r="CE31" s="95">
        <v>3.3000000000000007</v>
      </c>
      <c r="CF31" s="95">
        <v>3.3000000000000007</v>
      </c>
      <c r="CG31" s="95">
        <v>0</v>
      </c>
      <c r="CH31" s="95">
        <v>0</v>
      </c>
    </row>
    <row r="32" spans="1:86" ht="15.6" customHeight="1">
      <c r="A32" s="519"/>
      <c r="B32" s="52" t="s">
        <v>308</v>
      </c>
      <c r="C32" s="327" t="s">
        <v>276</v>
      </c>
      <c r="D32" s="524" t="s">
        <v>149</v>
      </c>
      <c r="E32" s="294" t="s">
        <v>420</v>
      </c>
      <c r="F32" s="295"/>
      <c r="G32" s="257">
        <f>N32</f>
        <v>100</v>
      </c>
      <c r="H32" s="257">
        <f>T32</f>
        <v>100</v>
      </c>
      <c r="I32" s="257">
        <f>PI!D176</f>
        <v>100</v>
      </c>
      <c r="J32" s="257">
        <f>PI!E176</f>
        <v>100</v>
      </c>
      <c r="K32" s="257">
        <f>PI!F176</f>
        <v>100</v>
      </c>
      <c r="L32" s="257">
        <f>PI!G176</f>
        <v>100</v>
      </c>
      <c r="M32" s="257">
        <f>PI!H176</f>
        <v>100</v>
      </c>
      <c r="N32" s="257">
        <f>PI!I176</f>
        <v>100</v>
      </c>
      <c r="O32" s="257">
        <f>PI!J176</f>
        <v>100</v>
      </c>
      <c r="P32" s="257">
        <f>PI!K176</f>
        <v>100</v>
      </c>
      <c r="Q32" s="257">
        <f>PI!L176</f>
        <v>100</v>
      </c>
      <c r="R32" s="257">
        <f>PI!M176</f>
        <v>100</v>
      </c>
      <c r="S32" s="257">
        <f>PI!N176</f>
        <v>100</v>
      </c>
      <c r="T32" s="90">
        <f>PI!O176</f>
        <v>100</v>
      </c>
      <c r="U32" s="36"/>
      <c r="V32" s="36"/>
      <c r="W32" s="51"/>
      <c r="X32" s="52" t="s">
        <v>308</v>
      </c>
      <c r="Y32" s="364" t="s">
        <v>276</v>
      </c>
      <c r="Z32" s="53" t="s">
        <v>149</v>
      </c>
      <c r="AA32" s="61"/>
      <c r="AB32" s="53"/>
      <c r="AC32" s="89">
        <f t="shared" si="1"/>
        <v>110</v>
      </c>
      <c r="AD32" s="89">
        <f t="shared" si="30"/>
        <v>0</v>
      </c>
      <c r="AE32" s="142">
        <f>PI!AH176</f>
        <v>110</v>
      </c>
      <c r="AF32" s="142">
        <f>PI!AI176</f>
        <v>110</v>
      </c>
      <c r="AG32" s="142">
        <f>PI!AJ176</f>
        <v>110</v>
      </c>
      <c r="AH32" s="142">
        <f>PI!AK176</f>
        <v>110</v>
      </c>
      <c r="AI32" s="142">
        <f>PI!AL176</f>
        <v>110</v>
      </c>
      <c r="AJ32" s="142">
        <f>PI!AM176</f>
        <v>110</v>
      </c>
      <c r="AK32" s="142">
        <f>PI!AN176</f>
        <v>110</v>
      </c>
      <c r="AL32" s="142">
        <f>PI!AO176</f>
        <v>110</v>
      </c>
      <c r="AM32" s="142">
        <f>PI!AP176</f>
        <v>110</v>
      </c>
      <c r="AN32" s="142">
        <f>PI!AQ176</f>
        <v>110</v>
      </c>
      <c r="AO32" s="142">
        <f>PI!AR176</f>
        <v>0</v>
      </c>
      <c r="AP32" s="95">
        <f>PI!AS176</f>
        <v>0</v>
      </c>
      <c r="AS32" s="51"/>
      <c r="AT32" s="52" t="s">
        <v>308</v>
      </c>
      <c r="AU32" s="364" t="s">
        <v>276</v>
      </c>
      <c r="AV32" s="53" t="s">
        <v>149</v>
      </c>
      <c r="AW32" s="61" t="s">
        <v>420</v>
      </c>
      <c r="AX32" s="53"/>
      <c r="AY32" s="89">
        <f t="shared" si="3"/>
        <v>110.00000000000001</v>
      </c>
      <c r="AZ32" s="89">
        <f t="shared" si="4"/>
        <v>0</v>
      </c>
      <c r="BA32" s="95">
        <f>IFERROR(IF(AE32/I32*100&gt;110,110,AE32/I32*100),100)</f>
        <v>110.00000000000001</v>
      </c>
      <c r="BB32" s="95">
        <f t="shared" si="31"/>
        <v>110.00000000000001</v>
      </c>
      <c r="BC32" s="95">
        <f t="shared" si="31"/>
        <v>110.00000000000001</v>
      </c>
      <c r="BD32" s="95">
        <f t="shared" si="31"/>
        <v>110.00000000000001</v>
      </c>
      <c r="BE32" s="95">
        <f t="shared" si="31"/>
        <v>110.00000000000001</v>
      </c>
      <c r="BF32" s="95">
        <f t="shared" si="31"/>
        <v>110.00000000000001</v>
      </c>
      <c r="BG32" s="95">
        <f t="shared" si="31"/>
        <v>110.00000000000001</v>
      </c>
      <c r="BH32" s="95">
        <f t="shared" si="31"/>
        <v>110.00000000000001</v>
      </c>
      <c r="BI32" s="95">
        <f t="shared" si="31"/>
        <v>110.00000000000001</v>
      </c>
      <c r="BJ32" s="95">
        <f t="shared" si="31"/>
        <v>110.00000000000001</v>
      </c>
      <c r="BK32" s="95">
        <f t="shared" si="31"/>
        <v>0</v>
      </c>
      <c r="BL32" s="95">
        <f t="shared" si="31"/>
        <v>0</v>
      </c>
      <c r="BM32"/>
      <c r="BN32"/>
      <c r="BO32" s="51"/>
      <c r="BP32" s="52" t="s">
        <v>308</v>
      </c>
      <c r="BQ32" s="364" t="s">
        <v>276</v>
      </c>
      <c r="BR32" s="53" t="s">
        <v>149</v>
      </c>
      <c r="BS32" s="61" t="s">
        <v>420</v>
      </c>
      <c r="BT32" s="53">
        <v>3</v>
      </c>
      <c r="BU32" s="89">
        <f t="shared" si="32"/>
        <v>3.3000000000000007</v>
      </c>
      <c r="BV32" s="89">
        <f t="shared" si="33"/>
        <v>0</v>
      </c>
      <c r="BW32" s="111" cm="1">
        <f t="array" ref="BW32:CH32">BT32*BA32:BL32/100</f>
        <v>3.3000000000000007</v>
      </c>
      <c r="BX32" s="95">
        <v>3.3000000000000007</v>
      </c>
      <c r="BY32" s="95">
        <v>3.3000000000000007</v>
      </c>
      <c r="BZ32" s="95">
        <v>3.3000000000000007</v>
      </c>
      <c r="CA32" s="95">
        <v>3.3000000000000007</v>
      </c>
      <c r="CB32" s="95">
        <v>3.3000000000000007</v>
      </c>
      <c r="CC32" s="95">
        <v>3.3000000000000007</v>
      </c>
      <c r="CD32" s="95">
        <v>3.3000000000000007</v>
      </c>
      <c r="CE32" s="95">
        <v>3.3000000000000007</v>
      </c>
      <c r="CF32" s="95">
        <v>3.3000000000000007</v>
      </c>
      <c r="CG32" s="95">
        <v>0</v>
      </c>
      <c r="CH32" s="95">
        <v>0</v>
      </c>
    </row>
    <row r="33" spans="1:86" ht="15.6" customHeight="1">
      <c r="A33" s="519">
        <v>8</v>
      </c>
      <c r="B33" s="267" t="s">
        <v>31</v>
      </c>
      <c r="C33" s="327"/>
      <c r="D33" s="524"/>
      <c r="E33" s="294"/>
      <c r="F33" s="295">
        <v>10</v>
      </c>
      <c r="G33" s="257"/>
      <c r="H33" s="257"/>
      <c r="I33" s="257"/>
      <c r="J33" s="257"/>
      <c r="K33" s="257"/>
      <c r="L33" s="257"/>
      <c r="M33" s="257"/>
      <c r="N33" s="257"/>
      <c r="O33" s="257"/>
      <c r="P33" s="257"/>
      <c r="Q33" s="257"/>
      <c r="R33" s="257"/>
      <c r="S33" s="257"/>
      <c r="T33" s="90"/>
      <c r="U33" s="36"/>
      <c r="V33" s="36"/>
      <c r="W33" s="51">
        <f ca="1">T.MOUTONG!W33</f>
        <v>8</v>
      </c>
      <c r="X33" s="267" t="s">
        <v>31</v>
      </c>
      <c r="Y33" s="364"/>
      <c r="Z33" s="53"/>
      <c r="AA33" s="61" t="e">
        <v>#REF!</v>
      </c>
      <c r="AB33" s="53">
        <v>10</v>
      </c>
      <c r="AC33" s="89"/>
      <c r="AD33" s="89"/>
      <c r="AE33" s="142"/>
      <c r="AF33" s="142"/>
      <c r="AG33" s="142"/>
      <c r="AH33" s="142"/>
      <c r="AI33" s="142"/>
      <c r="AJ33" s="142"/>
      <c r="AK33" s="142"/>
      <c r="AL33" s="142"/>
      <c r="AM33" s="142"/>
      <c r="AN33" s="142"/>
      <c r="AO33" s="142"/>
      <c r="AP33" s="95"/>
      <c r="AS33" s="51">
        <v>8</v>
      </c>
      <c r="AT33" s="267" t="s">
        <v>31</v>
      </c>
      <c r="AU33" s="364"/>
      <c r="AV33" s="53"/>
      <c r="AW33" s="61"/>
      <c r="AX33" s="53">
        <v>10</v>
      </c>
      <c r="AY33" s="89"/>
      <c r="AZ33" s="89"/>
      <c r="BA33" s="95"/>
      <c r="BB33" s="95"/>
      <c r="BC33" s="95"/>
      <c r="BD33" s="95"/>
      <c r="BE33" s="95"/>
      <c r="BF33" s="95"/>
      <c r="BG33" s="95"/>
      <c r="BH33" s="95"/>
      <c r="BI33" s="95"/>
      <c r="BJ33" s="95"/>
      <c r="BK33" s="95"/>
      <c r="BL33" s="95"/>
      <c r="BM33"/>
      <c r="BN33"/>
      <c r="BO33" s="51">
        <v>8</v>
      </c>
      <c r="BP33" s="267" t="s">
        <v>31</v>
      </c>
      <c r="BQ33" s="364"/>
      <c r="BR33" s="53"/>
      <c r="BS33" s="61"/>
      <c r="BT33" s="513">
        <v>10</v>
      </c>
      <c r="BU33" s="89"/>
      <c r="BV33" s="89"/>
      <c r="BW33" s="95"/>
      <c r="BX33" s="95"/>
      <c r="BY33" s="95"/>
      <c r="BZ33" s="95"/>
      <c r="CA33" s="95"/>
      <c r="CB33" s="95"/>
      <c r="CC33" s="95"/>
      <c r="CD33" s="95"/>
      <c r="CE33" s="95"/>
      <c r="CF33" s="95"/>
      <c r="CG33" s="95"/>
      <c r="CH33" s="95"/>
    </row>
    <row r="34" spans="1:86" ht="15.6" customHeight="1">
      <c r="A34" s="519"/>
      <c r="B34" s="52" t="s">
        <v>311</v>
      </c>
      <c r="C34" s="327" t="s">
        <v>276</v>
      </c>
      <c r="D34" s="524" t="s">
        <v>312</v>
      </c>
      <c r="E34" s="294" t="s">
        <v>421</v>
      </c>
      <c r="F34" s="295"/>
      <c r="G34" s="257">
        <f>N34</f>
        <v>0.5</v>
      </c>
      <c r="H34" s="257">
        <f>T34</f>
        <v>1.26</v>
      </c>
      <c r="I34" s="257">
        <f>PI!D197</f>
        <v>7.0000000000000007E-2</v>
      </c>
      <c r="J34" s="257">
        <f>PI!E197</f>
        <v>0.14000000000000001</v>
      </c>
      <c r="K34" s="257">
        <f>PI!F197</f>
        <v>0.21</v>
      </c>
      <c r="L34" s="257">
        <f>PI!G197</f>
        <v>0.28000000000000003</v>
      </c>
      <c r="M34" s="257">
        <f>PI!H197</f>
        <v>0.39</v>
      </c>
      <c r="N34" s="257">
        <f>PI!I197</f>
        <v>0.5</v>
      </c>
      <c r="O34" s="257">
        <f>PI!J197</f>
        <v>0.61</v>
      </c>
      <c r="P34" s="257">
        <f>PI!K197</f>
        <v>0.72</v>
      </c>
      <c r="Q34" s="257">
        <f>PI!L197</f>
        <v>0.82</v>
      </c>
      <c r="R34" s="257">
        <f>PI!M197</f>
        <v>0.93</v>
      </c>
      <c r="S34" s="257">
        <f>PI!N197</f>
        <v>1.04</v>
      </c>
      <c r="T34" s="90">
        <f>PI!O197</f>
        <v>1.26</v>
      </c>
      <c r="U34" s="36"/>
      <c r="V34" s="36"/>
      <c r="W34" s="51"/>
      <c r="X34" s="52" t="s">
        <v>311</v>
      </c>
      <c r="Y34" s="364" t="s">
        <v>276</v>
      </c>
      <c r="Z34" s="53" t="s">
        <v>312</v>
      </c>
      <c r="AA34" s="61"/>
      <c r="AB34" s="53"/>
      <c r="AC34" s="89">
        <f t="shared" si="1"/>
        <v>0.3518</v>
      </c>
      <c r="AD34" s="89">
        <f t="shared" ref="AD34:AD37" si="34">AP34</f>
        <v>0</v>
      </c>
      <c r="AE34" s="142">
        <f>PI!AH197</f>
        <v>5.4449999999999998E-2</v>
      </c>
      <c r="AF34" s="142">
        <f>PI!AI197</f>
        <v>0.13190000000000002</v>
      </c>
      <c r="AG34" s="142">
        <f>PI!AJ197</f>
        <v>0.18990000000000001</v>
      </c>
      <c r="AH34" s="142">
        <f>PI!AK197</f>
        <v>0.25319999999999998</v>
      </c>
      <c r="AI34" s="142">
        <f>PI!AL197</f>
        <v>0.29535</v>
      </c>
      <c r="AJ34" s="142">
        <f>PI!AM197</f>
        <v>0.3518</v>
      </c>
      <c r="AK34" s="142">
        <f>PI!AN197</f>
        <v>0.39565</v>
      </c>
      <c r="AL34" s="142">
        <f>PI!AO197</f>
        <v>0.4476</v>
      </c>
      <c r="AM34" s="142">
        <f>PI!AP197</f>
        <v>0.53025</v>
      </c>
      <c r="AN34" s="142">
        <f>PI!AQ197</f>
        <v>0.80374999999999996</v>
      </c>
      <c r="AO34" s="142">
        <f>PI!AR197</f>
        <v>0</v>
      </c>
      <c r="AP34" s="95">
        <f>PI!AS197</f>
        <v>0</v>
      </c>
      <c r="AS34" s="51"/>
      <c r="AT34" s="52" t="s">
        <v>311</v>
      </c>
      <c r="AU34" s="364" t="s">
        <v>276</v>
      </c>
      <c r="AV34" s="53" t="s">
        <v>312</v>
      </c>
      <c r="AW34" s="61" t="s">
        <v>421</v>
      </c>
      <c r="AX34" s="53"/>
      <c r="AY34" s="89">
        <f t="shared" si="3"/>
        <v>70.36</v>
      </c>
      <c r="AZ34" s="89">
        <f t="shared" si="4"/>
        <v>0</v>
      </c>
      <c r="BA34" s="95">
        <f>IFERROR(IF(AE34/I34*100&gt;110,110,AE34/I34*100),100)</f>
        <v>77.785714285714278</v>
      </c>
      <c r="BB34" s="95">
        <f t="shared" ref="BB34:BL37" si="35">IFERROR(IF(AF34/J34*100&gt;110,110,AF34/J34*100),100)</f>
        <v>94.214285714285722</v>
      </c>
      <c r="BC34" s="95">
        <f t="shared" si="35"/>
        <v>90.428571428571431</v>
      </c>
      <c r="BD34" s="95">
        <f t="shared" si="35"/>
        <v>90.428571428571416</v>
      </c>
      <c r="BE34" s="95">
        <f t="shared" si="35"/>
        <v>75.730769230769226</v>
      </c>
      <c r="BF34" s="95">
        <f t="shared" si="35"/>
        <v>70.36</v>
      </c>
      <c r="BG34" s="95">
        <f t="shared" si="35"/>
        <v>64.860655737704917</v>
      </c>
      <c r="BH34" s="95">
        <f t="shared" si="35"/>
        <v>62.166666666666671</v>
      </c>
      <c r="BI34" s="95">
        <f t="shared" si="35"/>
        <v>64.66463414634147</v>
      </c>
      <c r="BJ34" s="95">
        <f t="shared" si="35"/>
        <v>86.424731182795682</v>
      </c>
      <c r="BK34" s="95">
        <f t="shared" si="35"/>
        <v>0</v>
      </c>
      <c r="BL34" s="95">
        <f t="shared" si="35"/>
        <v>0</v>
      </c>
      <c r="BM34"/>
      <c r="BN34"/>
      <c r="BO34" s="51"/>
      <c r="BP34" s="52" t="s">
        <v>311</v>
      </c>
      <c r="BQ34" s="364" t="s">
        <v>276</v>
      </c>
      <c r="BR34" s="53" t="s">
        <v>312</v>
      </c>
      <c r="BS34" s="61" t="s">
        <v>421</v>
      </c>
      <c r="BT34" s="53">
        <v>2.5</v>
      </c>
      <c r="BU34" s="89">
        <f t="shared" ref="BU34:BU37" si="36">CB34</f>
        <v>1.7590000000000001</v>
      </c>
      <c r="BV34" s="89">
        <f t="shared" ref="BV34:BV37" si="37">CH34</f>
        <v>0</v>
      </c>
      <c r="BW34" s="111" cm="1">
        <f t="array" ref="BW34:CH34">BT34*BA34:BL34/100</f>
        <v>1.9446428571428569</v>
      </c>
      <c r="BX34" s="95">
        <v>2.3553571428571431</v>
      </c>
      <c r="BY34" s="95">
        <v>2.2607142857142857</v>
      </c>
      <c r="BZ34" s="95">
        <v>2.2607142857142857</v>
      </c>
      <c r="CA34" s="95">
        <v>1.8932692307692307</v>
      </c>
      <c r="CB34" s="95">
        <v>1.7590000000000001</v>
      </c>
      <c r="CC34" s="95">
        <v>1.6215163934426229</v>
      </c>
      <c r="CD34" s="95">
        <v>1.5541666666666669</v>
      </c>
      <c r="CE34" s="95">
        <v>1.6166158536585369</v>
      </c>
      <c r="CF34" s="95">
        <v>2.1606182795698921</v>
      </c>
      <c r="CG34" s="95">
        <v>0</v>
      </c>
      <c r="CH34" s="95">
        <v>0</v>
      </c>
    </row>
    <row r="35" spans="1:86" ht="15.6" customHeight="1">
      <c r="A35" s="520"/>
      <c r="B35" s="52" t="s">
        <v>313</v>
      </c>
      <c r="C35" s="301" t="s">
        <v>276</v>
      </c>
      <c r="D35" s="524" t="s">
        <v>133</v>
      </c>
      <c r="E35" s="61" t="s">
        <v>422</v>
      </c>
      <c r="F35" s="61"/>
      <c r="G35" s="274">
        <f>N35</f>
        <v>748</v>
      </c>
      <c r="H35" s="274">
        <f>T35</f>
        <v>1721</v>
      </c>
      <c r="I35" s="274">
        <f>PI!D203</f>
        <v>102</v>
      </c>
      <c r="J35" s="274">
        <f>PI!E203</f>
        <v>208</v>
      </c>
      <c r="K35" s="274">
        <f>PI!F203</f>
        <v>319</v>
      </c>
      <c r="L35" s="274">
        <f>PI!G203</f>
        <v>425</v>
      </c>
      <c r="M35" s="274">
        <f>PI!H203</f>
        <v>589</v>
      </c>
      <c r="N35" s="274">
        <f>PI!I203</f>
        <v>748</v>
      </c>
      <c r="O35" s="274">
        <f>PI!J203</f>
        <v>912</v>
      </c>
      <c r="P35" s="274">
        <f>PI!K203</f>
        <v>1076</v>
      </c>
      <c r="Q35" s="274">
        <f>PI!L203</f>
        <v>1234</v>
      </c>
      <c r="R35" s="274">
        <f>PI!M203</f>
        <v>1398</v>
      </c>
      <c r="S35" s="274">
        <f>PI!N203</f>
        <v>1557</v>
      </c>
      <c r="T35" s="91">
        <f>PI!O203</f>
        <v>1721</v>
      </c>
      <c r="U35" s="36"/>
      <c r="V35" s="36"/>
      <c r="W35" s="51"/>
      <c r="X35" s="52" t="s">
        <v>313</v>
      </c>
      <c r="Y35" s="364" t="s">
        <v>276</v>
      </c>
      <c r="Z35" s="53" t="s">
        <v>133</v>
      </c>
      <c r="AA35" s="61"/>
      <c r="AB35" s="53"/>
      <c r="AC35" s="89">
        <f t="shared" si="1"/>
        <v>346</v>
      </c>
      <c r="AD35" s="89">
        <f t="shared" si="34"/>
        <v>0</v>
      </c>
      <c r="AE35" s="142">
        <f>PI!AH203</f>
        <v>84</v>
      </c>
      <c r="AF35" s="142">
        <f>PI!AI203</f>
        <v>172</v>
      </c>
      <c r="AG35" s="142">
        <f>PI!AJ203</f>
        <v>215</v>
      </c>
      <c r="AH35" s="142">
        <f>PI!AK203</f>
        <v>254</v>
      </c>
      <c r="AI35" s="142">
        <f>PI!AL203</f>
        <v>294</v>
      </c>
      <c r="AJ35" s="142">
        <f>PI!AM203</f>
        <v>346</v>
      </c>
      <c r="AK35" s="142">
        <f>PI!AN203</f>
        <v>393</v>
      </c>
      <c r="AL35" s="142">
        <f>PI!AO203</f>
        <v>413</v>
      </c>
      <c r="AM35" s="142">
        <f>PI!AP203</f>
        <v>457</v>
      </c>
      <c r="AN35" s="142">
        <f>PI!AQ203</f>
        <v>541</v>
      </c>
      <c r="AO35" s="142">
        <f>PI!AR203</f>
        <v>0</v>
      </c>
      <c r="AP35" s="95">
        <f>PI!AS203</f>
        <v>0</v>
      </c>
      <c r="AS35" s="51"/>
      <c r="AT35" s="52" t="s">
        <v>313</v>
      </c>
      <c r="AU35" s="364" t="s">
        <v>276</v>
      </c>
      <c r="AV35" s="53" t="s">
        <v>133</v>
      </c>
      <c r="AW35" s="61" t="s">
        <v>422</v>
      </c>
      <c r="AX35" s="53"/>
      <c r="AY35" s="89">
        <f t="shared" si="3"/>
        <v>46.256684491978611</v>
      </c>
      <c r="AZ35" s="89">
        <f t="shared" si="4"/>
        <v>0</v>
      </c>
      <c r="BA35" s="95">
        <f>IFERROR(IF(AE35/I35*100&gt;110,110,AE35/I35*100),100)</f>
        <v>82.35294117647058</v>
      </c>
      <c r="BB35" s="95">
        <f t="shared" si="35"/>
        <v>82.692307692307693</v>
      </c>
      <c r="BC35" s="95">
        <f t="shared" si="35"/>
        <v>67.398119122257043</v>
      </c>
      <c r="BD35" s="95">
        <f t="shared" si="35"/>
        <v>59.764705882352942</v>
      </c>
      <c r="BE35" s="95">
        <f t="shared" si="35"/>
        <v>49.915110356536502</v>
      </c>
      <c r="BF35" s="95">
        <f t="shared" si="35"/>
        <v>46.256684491978611</v>
      </c>
      <c r="BG35" s="95">
        <f t="shared" si="35"/>
        <v>43.09210526315789</v>
      </c>
      <c r="BH35" s="95">
        <f t="shared" si="35"/>
        <v>38.382899628252787</v>
      </c>
      <c r="BI35" s="95">
        <f t="shared" si="35"/>
        <v>37.03403565640194</v>
      </c>
      <c r="BJ35" s="95">
        <f t="shared" si="35"/>
        <v>38.698140200286126</v>
      </c>
      <c r="BK35" s="95">
        <f t="shared" si="35"/>
        <v>0</v>
      </c>
      <c r="BL35" s="95">
        <f t="shared" si="35"/>
        <v>0</v>
      </c>
      <c r="BM35"/>
      <c r="BN35"/>
      <c r="BO35" s="51"/>
      <c r="BP35" s="52" t="s">
        <v>313</v>
      </c>
      <c r="BQ35" s="364" t="s">
        <v>276</v>
      </c>
      <c r="BR35" s="53" t="s">
        <v>133</v>
      </c>
      <c r="BS35" s="61" t="s">
        <v>422</v>
      </c>
      <c r="BT35" s="53">
        <v>2.5</v>
      </c>
      <c r="BU35" s="89">
        <f t="shared" si="36"/>
        <v>1.1564171122994653</v>
      </c>
      <c r="BV35" s="89">
        <f t="shared" si="37"/>
        <v>0</v>
      </c>
      <c r="BW35" s="111" cm="1">
        <f t="array" ref="BW35:CH35">BT35*BA35:BL35/100</f>
        <v>2.0588235294117645</v>
      </c>
      <c r="BX35" s="95">
        <v>2.0673076923076921</v>
      </c>
      <c r="BY35" s="95">
        <v>1.6849529780564263</v>
      </c>
      <c r="BZ35" s="95">
        <v>1.4941176470588236</v>
      </c>
      <c r="CA35" s="95">
        <v>1.2478777589134125</v>
      </c>
      <c r="CB35" s="95">
        <v>1.1564171122994653</v>
      </c>
      <c r="CC35" s="95">
        <v>1.0773026315789473</v>
      </c>
      <c r="CD35" s="95">
        <v>0.95957249070631978</v>
      </c>
      <c r="CE35" s="95">
        <v>0.92585089141004862</v>
      </c>
      <c r="CF35" s="95">
        <v>0.96745350500715321</v>
      </c>
      <c r="CG35" s="95">
        <v>0</v>
      </c>
      <c r="CH35" s="95">
        <v>0</v>
      </c>
    </row>
    <row r="36" spans="1:86" ht="15.6" customHeight="1">
      <c r="A36" s="519"/>
      <c r="B36" s="52" t="s">
        <v>314</v>
      </c>
      <c r="C36" s="327" t="s">
        <v>276</v>
      </c>
      <c r="D36" s="524" t="s">
        <v>133</v>
      </c>
      <c r="E36" s="294" t="s">
        <v>423</v>
      </c>
      <c r="F36" s="295"/>
      <c r="G36" s="257">
        <f>N36</f>
        <v>90</v>
      </c>
      <c r="H36" s="257">
        <f>T36</f>
        <v>150</v>
      </c>
      <c r="I36" s="257">
        <f>PI!D209</f>
        <v>15</v>
      </c>
      <c r="J36" s="257">
        <f>PI!E209</f>
        <v>30</v>
      </c>
      <c r="K36" s="257">
        <f>PI!F209</f>
        <v>45</v>
      </c>
      <c r="L36" s="257">
        <f>PI!G209</f>
        <v>60</v>
      </c>
      <c r="M36" s="257">
        <f>PI!H209</f>
        <v>75</v>
      </c>
      <c r="N36" s="257">
        <f>PI!I209</f>
        <v>90</v>
      </c>
      <c r="O36" s="257">
        <f>PI!J209</f>
        <v>100</v>
      </c>
      <c r="P36" s="257">
        <f>PI!K209</f>
        <v>110</v>
      </c>
      <c r="Q36" s="257">
        <f>PI!L209</f>
        <v>120</v>
      </c>
      <c r="R36" s="257">
        <f>PI!M209</f>
        <v>130</v>
      </c>
      <c r="S36" s="257">
        <f>PI!N209</f>
        <v>140</v>
      </c>
      <c r="T36" s="90">
        <f>PI!O209</f>
        <v>150</v>
      </c>
      <c r="U36" s="36"/>
      <c r="V36" s="36"/>
      <c r="W36" s="51"/>
      <c r="X36" s="52" t="s">
        <v>314</v>
      </c>
      <c r="Y36" s="364" t="s">
        <v>276</v>
      </c>
      <c r="Z36" s="53" t="s">
        <v>133</v>
      </c>
      <c r="AA36" s="61"/>
      <c r="AB36" s="53"/>
      <c r="AC36" s="89">
        <f t="shared" si="1"/>
        <v>42</v>
      </c>
      <c r="AD36" s="89">
        <f t="shared" si="34"/>
        <v>0</v>
      </c>
      <c r="AE36" s="142">
        <f>PI!AH209</f>
        <v>8</v>
      </c>
      <c r="AF36" s="142">
        <f>PI!AI209</f>
        <v>12</v>
      </c>
      <c r="AG36" s="142">
        <f>PI!AJ209</f>
        <v>33</v>
      </c>
      <c r="AH36" s="142">
        <f>PI!AK209</f>
        <v>33</v>
      </c>
      <c r="AI36" s="142">
        <f>PI!AL209</f>
        <v>42</v>
      </c>
      <c r="AJ36" s="142">
        <f>PI!AM209</f>
        <v>42</v>
      </c>
      <c r="AK36" s="142">
        <f>PI!AN209</f>
        <v>42</v>
      </c>
      <c r="AL36" s="142">
        <f>PI!AO209</f>
        <v>68</v>
      </c>
      <c r="AM36" s="142">
        <f>PI!AP209</f>
        <v>78</v>
      </c>
      <c r="AN36" s="142">
        <f>PI!AQ209</f>
        <v>82</v>
      </c>
      <c r="AO36" s="142">
        <f>PI!AR209</f>
        <v>0</v>
      </c>
      <c r="AP36" s="95">
        <f>PI!AS209</f>
        <v>0</v>
      </c>
      <c r="AS36" s="51"/>
      <c r="AT36" s="52" t="s">
        <v>314</v>
      </c>
      <c r="AU36" s="364" t="s">
        <v>276</v>
      </c>
      <c r="AV36" s="53" t="s">
        <v>133</v>
      </c>
      <c r="AW36" s="61" t="s">
        <v>423</v>
      </c>
      <c r="AX36" s="53"/>
      <c r="AY36" s="89">
        <f t="shared" si="3"/>
        <v>46.666666666666664</v>
      </c>
      <c r="AZ36" s="89">
        <f t="shared" si="4"/>
        <v>0</v>
      </c>
      <c r="BA36" s="95">
        <f>IFERROR(IF(AE36/I36*100&gt;110,110,AE36/I36*100),100)</f>
        <v>53.333333333333336</v>
      </c>
      <c r="BB36" s="95">
        <f t="shared" si="35"/>
        <v>40</v>
      </c>
      <c r="BC36" s="95">
        <f t="shared" si="35"/>
        <v>73.333333333333329</v>
      </c>
      <c r="BD36" s="95">
        <f t="shared" si="35"/>
        <v>55.000000000000007</v>
      </c>
      <c r="BE36" s="95">
        <f t="shared" si="35"/>
        <v>56.000000000000007</v>
      </c>
      <c r="BF36" s="95">
        <f t="shared" si="35"/>
        <v>46.666666666666664</v>
      </c>
      <c r="BG36" s="95">
        <f t="shared" si="35"/>
        <v>42</v>
      </c>
      <c r="BH36" s="95">
        <f t="shared" si="35"/>
        <v>61.818181818181813</v>
      </c>
      <c r="BI36" s="95">
        <f t="shared" si="35"/>
        <v>65</v>
      </c>
      <c r="BJ36" s="95">
        <f t="shared" si="35"/>
        <v>63.076923076923073</v>
      </c>
      <c r="BK36" s="95">
        <f t="shared" si="35"/>
        <v>0</v>
      </c>
      <c r="BL36" s="95">
        <f t="shared" si="35"/>
        <v>0</v>
      </c>
      <c r="BM36"/>
      <c r="BN36"/>
      <c r="BO36" s="51"/>
      <c r="BP36" s="52" t="s">
        <v>314</v>
      </c>
      <c r="BQ36" s="364" t="s">
        <v>276</v>
      </c>
      <c r="BR36" s="53" t="s">
        <v>133</v>
      </c>
      <c r="BS36" s="61" t="s">
        <v>423</v>
      </c>
      <c r="BT36" s="53">
        <v>2.5</v>
      </c>
      <c r="BU36" s="89">
        <f t="shared" si="36"/>
        <v>1.1666666666666665</v>
      </c>
      <c r="BV36" s="89">
        <f t="shared" si="37"/>
        <v>0</v>
      </c>
      <c r="BW36" s="111" cm="1">
        <f t="array" ref="BW36:CH36">BT36*BA36:BL36/100</f>
        <v>1.3333333333333335</v>
      </c>
      <c r="BX36" s="95">
        <v>1</v>
      </c>
      <c r="BY36" s="95">
        <v>1.833333333333333</v>
      </c>
      <c r="BZ36" s="95">
        <v>1.3750000000000002</v>
      </c>
      <c r="CA36" s="95">
        <v>1.4000000000000004</v>
      </c>
      <c r="CB36" s="95">
        <v>1.1666666666666665</v>
      </c>
      <c r="CC36" s="95">
        <v>1.05</v>
      </c>
      <c r="CD36" s="95">
        <v>1.5454545454545454</v>
      </c>
      <c r="CE36" s="95">
        <v>1.625</v>
      </c>
      <c r="CF36" s="95">
        <v>1.5769230769230769</v>
      </c>
      <c r="CG36" s="95">
        <v>0</v>
      </c>
      <c r="CH36" s="95">
        <v>0</v>
      </c>
    </row>
    <row r="37" spans="1:86" ht="15.6" customHeight="1">
      <c r="A37" s="529"/>
      <c r="B37" s="52" t="s">
        <v>315</v>
      </c>
      <c r="C37" s="327" t="s">
        <v>276</v>
      </c>
      <c r="D37" s="524" t="s">
        <v>133</v>
      </c>
      <c r="E37" s="294" t="s">
        <v>424</v>
      </c>
      <c r="F37" s="295"/>
      <c r="G37" s="257">
        <f>N37</f>
        <v>2</v>
      </c>
      <c r="H37" s="257">
        <f>T37</f>
        <v>2</v>
      </c>
      <c r="I37" s="257">
        <f>PI!D215</f>
        <v>0</v>
      </c>
      <c r="J37" s="257">
        <f>PI!E215</f>
        <v>0</v>
      </c>
      <c r="K37" s="257">
        <f>PI!F215</f>
        <v>0</v>
      </c>
      <c r="L37" s="257">
        <f>PI!G215</f>
        <v>2</v>
      </c>
      <c r="M37" s="257">
        <f>PI!H215</f>
        <v>2</v>
      </c>
      <c r="N37" s="257">
        <f>PI!I215</f>
        <v>2</v>
      </c>
      <c r="O37" s="257">
        <f>PI!J215</f>
        <v>2</v>
      </c>
      <c r="P37" s="257">
        <f>PI!K215</f>
        <v>2</v>
      </c>
      <c r="Q37" s="257">
        <f>PI!L215</f>
        <v>2</v>
      </c>
      <c r="R37" s="257">
        <f>PI!M215</f>
        <v>2</v>
      </c>
      <c r="S37" s="257">
        <f>PI!N215</f>
        <v>2</v>
      </c>
      <c r="T37" s="90">
        <f>PI!O215</f>
        <v>2</v>
      </c>
      <c r="U37" s="36"/>
      <c r="V37" s="36"/>
      <c r="W37" s="51"/>
      <c r="X37" s="52" t="s">
        <v>315</v>
      </c>
      <c r="Y37" s="364" t="s">
        <v>276</v>
      </c>
      <c r="Z37" s="53" t="s">
        <v>133</v>
      </c>
      <c r="AA37" s="61"/>
      <c r="AB37" s="53"/>
      <c r="AC37" s="89">
        <f t="shared" si="1"/>
        <v>2</v>
      </c>
      <c r="AD37" s="89">
        <f t="shared" si="34"/>
        <v>0</v>
      </c>
      <c r="AE37" s="142">
        <f>PI!AH215</f>
        <v>0</v>
      </c>
      <c r="AF37" s="142">
        <f>PI!AI215</f>
        <v>0</v>
      </c>
      <c r="AG37" s="142">
        <f>PI!AJ215</f>
        <v>0</v>
      </c>
      <c r="AH37" s="142">
        <f>PI!AK215</f>
        <v>2</v>
      </c>
      <c r="AI37" s="142">
        <f>PI!AL215</f>
        <v>2</v>
      </c>
      <c r="AJ37" s="142">
        <f>PI!AM215</f>
        <v>2</v>
      </c>
      <c r="AK37" s="142">
        <f>PI!AN215</f>
        <v>2</v>
      </c>
      <c r="AL37" s="142">
        <f>PI!AO215</f>
        <v>2</v>
      </c>
      <c r="AM37" s="142">
        <f>PI!AP215</f>
        <v>2</v>
      </c>
      <c r="AN37" s="142">
        <f>PI!AQ215</f>
        <v>2</v>
      </c>
      <c r="AO37" s="142">
        <f>PI!AR215</f>
        <v>0</v>
      </c>
      <c r="AP37" s="95">
        <f>PI!AS215</f>
        <v>0</v>
      </c>
      <c r="AS37" s="51"/>
      <c r="AT37" s="52" t="s">
        <v>315</v>
      </c>
      <c r="AU37" s="364" t="s">
        <v>276</v>
      </c>
      <c r="AV37" s="53" t="s">
        <v>133</v>
      </c>
      <c r="AW37" s="61" t="s">
        <v>424</v>
      </c>
      <c r="AX37" s="53"/>
      <c r="AY37" s="89">
        <f t="shared" si="3"/>
        <v>100</v>
      </c>
      <c r="AZ37" s="89">
        <f t="shared" si="4"/>
        <v>0</v>
      </c>
      <c r="BA37" s="95">
        <f>IFERROR(IF(AE37/I37*100&gt;110,110,AE37/I37*100),100)</f>
        <v>100</v>
      </c>
      <c r="BB37" s="95">
        <f t="shared" si="35"/>
        <v>100</v>
      </c>
      <c r="BC37" s="95">
        <f t="shared" si="35"/>
        <v>100</v>
      </c>
      <c r="BD37" s="95">
        <f t="shared" si="35"/>
        <v>100</v>
      </c>
      <c r="BE37" s="95">
        <f t="shared" si="35"/>
        <v>100</v>
      </c>
      <c r="BF37" s="95">
        <f t="shared" si="35"/>
        <v>100</v>
      </c>
      <c r="BG37" s="95">
        <f t="shared" si="35"/>
        <v>100</v>
      </c>
      <c r="BH37" s="95">
        <f t="shared" si="35"/>
        <v>100</v>
      </c>
      <c r="BI37" s="95">
        <f t="shared" si="35"/>
        <v>100</v>
      </c>
      <c r="BJ37" s="95">
        <f t="shared" si="35"/>
        <v>100</v>
      </c>
      <c r="BK37" s="95">
        <f t="shared" si="35"/>
        <v>0</v>
      </c>
      <c r="BL37" s="95">
        <f t="shared" si="35"/>
        <v>0</v>
      </c>
      <c r="BM37"/>
      <c r="BN37"/>
      <c r="BO37" s="51"/>
      <c r="BP37" s="52" t="s">
        <v>315</v>
      </c>
      <c r="BQ37" s="364" t="s">
        <v>276</v>
      </c>
      <c r="BR37" s="53" t="s">
        <v>133</v>
      </c>
      <c r="BS37" s="61" t="s">
        <v>424</v>
      </c>
      <c r="BT37" s="53">
        <v>2.5</v>
      </c>
      <c r="BU37" s="89">
        <f t="shared" si="36"/>
        <v>2.5</v>
      </c>
      <c r="BV37" s="89">
        <f t="shared" si="37"/>
        <v>0</v>
      </c>
      <c r="BW37" s="111" cm="1">
        <f t="array" ref="BW37:CH37">BT37*BA37:BL37/100</f>
        <v>2.5</v>
      </c>
      <c r="BX37" s="95">
        <v>2.5</v>
      </c>
      <c r="BY37" s="95">
        <v>2.5</v>
      </c>
      <c r="BZ37" s="95">
        <v>2.5</v>
      </c>
      <c r="CA37" s="95">
        <v>2.5</v>
      </c>
      <c r="CB37" s="95">
        <v>2.5</v>
      </c>
      <c r="CC37" s="95">
        <v>2.5</v>
      </c>
      <c r="CD37" s="95">
        <v>2.5</v>
      </c>
      <c r="CE37" s="95">
        <v>2.5</v>
      </c>
      <c r="CF37" s="95">
        <v>2.5</v>
      </c>
      <c r="CG37" s="95">
        <v>0</v>
      </c>
      <c r="CH37" s="95">
        <v>0</v>
      </c>
    </row>
    <row r="38" spans="1:86" ht="15.6" customHeight="1">
      <c r="A38" s="519">
        <v>9</v>
      </c>
      <c r="B38" s="267" t="s">
        <v>425</v>
      </c>
      <c r="C38" s="327"/>
      <c r="D38" s="524"/>
      <c r="E38" s="294"/>
      <c r="F38" s="295">
        <v>4</v>
      </c>
      <c r="G38" s="257"/>
      <c r="H38" s="257"/>
      <c r="I38" s="257"/>
      <c r="J38" s="257"/>
      <c r="K38" s="257"/>
      <c r="L38" s="257"/>
      <c r="M38" s="257"/>
      <c r="N38" s="257"/>
      <c r="O38" s="257"/>
      <c r="P38" s="257"/>
      <c r="Q38" s="257"/>
      <c r="R38" s="257"/>
      <c r="S38" s="257"/>
      <c r="T38" s="90"/>
      <c r="U38" s="36"/>
      <c r="V38" s="36"/>
      <c r="W38" s="51">
        <f ca="1">T.MOUTONG!W38</f>
        <v>9</v>
      </c>
      <c r="X38" s="267" t="s">
        <v>425</v>
      </c>
      <c r="Y38" s="364"/>
      <c r="Z38" s="53"/>
      <c r="AA38" s="61"/>
      <c r="AB38" s="53">
        <v>4</v>
      </c>
      <c r="AC38" s="89"/>
      <c r="AD38" s="89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95"/>
      <c r="AS38" s="51">
        <v>9</v>
      </c>
      <c r="AT38" s="267" t="s">
        <v>425</v>
      </c>
      <c r="AU38" s="364"/>
      <c r="AV38" s="53"/>
      <c r="AW38" s="61"/>
      <c r="AX38" s="53">
        <v>4</v>
      </c>
      <c r="AY38" s="89"/>
      <c r="AZ38" s="89"/>
      <c r="BA38" s="95"/>
      <c r="BB38" s="95"/>
      <c r="BC38" s="95"/>
      <c r="BD38" s="95"/>
      <c r="BE38" s="95"/>
      <c r="BF38" s="95"/>
      <c r="BG38" s="95"/>
      <c r="BH38" s="95"/>
      <c r="BI38" s="95"/>
      <c r="BJ38" s="95"/>
      <c r="BK38" s="95"/>
      <c r="BL38" s="95"/>
      <c r="BM38"/>
      <c r="BN38"/>
      <c r="BO38" s="51">
        <v>9</v>
      </c>
      <c r="BP38" s="267" t="s">
        <v>425</v>
      </c>
      <c r="BQ38" s="364"/>
      <c r="BR38" s="53"/>
      <c r="BS38" s="61"/>
      <c r="BT38" s="513">
        <v>4</v>
      </c>
      <c r="BU38" s="89"/>
      <c r="BV38" s="89"/>
      <c r="BW38" s="95"/>
      <c r="BX38" s="95"/>
      <c r="BY38" s="95"/>
      <c r="BZ38" s="95"/>
      <c r="CA38" s="95"/>
      <c r="CB38" s="95"/>
      <c r="CC38" s="95"/>
      <c r="CD38" s="95"/>
      <c r="CE38" s="95"/>
      <c r="CF38" s="95"/>
      <c r="CG38" s="95"/>
      <c r="CH38" s="95"/>
    </row>
    <row r="39" spans="1:86" ht="15.6" customHeight="1">
      <c r="A39" s="519"/>
      <c r="B39" s="52" t="s">
        <v>426</v>
      </c>
      <c r="C39" s="327" t="s">
        <v>276</v>
      </c>
      <c r="D39" s="524" t="s">
        <v>133</v>
      </c>
      <c r="E39" s="294" t="s">
        <v>427</v>
      </c>
      <c r="F39" s="295"/>
      <c r="G39" s="257">
        <f>N39</f>
        <v>0</v>
      </c>
      <c r="H39" s="257">
        <f>T39</f>
        <v>0</v>
      </c>
      <c r="I39" s="257">
        <f>PI!D221</f>
        <v>0</v>
      </c>
      <c r="J39" s="257">
        <f>PI!E221</f>
        <v>0</v>
      </c>
      <c r="K39" s="257">
        <f>PI!F221</f>
        <v>0</v>
      </c>
      <c r="L39" s="257">
        <f>PI!G221</f>
        <v>0</v>
      </c>
      <c r="M39" s="257">
        <f>PI!H221</f>
        <v>0</v>
      </c>
      <c r="N39" s="257">
        <f>PI!I221</f>
        <v>0</v>
      </c>
      <c r="O39" s="257">
        <f>PI!J221</f>
        <v>0</v>
      </c>
      <c r="P39" s="257">
        <f>PI!K221</f>
        <v>0</v>
      </c>
      <c r="Q39" s="257">
        <f>PI!L221</f>
        <v>0</v>
      </c>
      <c r="R39" s="257">
        <f>PI!M221</f>
        <v>0</v>
      </c>
      <c r="S39" s="257">
        <f>PI!N221</f>
        <v>0</v>
      </c>
      <c r="T39" s="90">
        <f>PI!O221</f>
        <v>0</v>
      </c>
      <c r="U39" s="36"/>
      <c r="V39" s="36"/>
      <c r="W39" s="51"/>
      <c r="X39" s="52" t="s">
        <v>426</v>
      </c>
      <c r="Y39" s="364" t="s">
        <v>276</v>
      </c>
      <c r="Z39" s="53" t="s">
        <v>133</v>
      </c>
      <c r="AA39" s="61"/>
      <c r="AB39" s="53"/>
      <c r="AC39" s="89">
        <f t="shared" si="1"/>
        <v>3</v>
      </c>
      <c r="AD39" s="89">
        <f t="shared" ref="AD39:AD40" si="38">AP39</f>
        <v>0</v>
      </c>
      <c r="AE39" s="142">
        <f>PI!AH221</f>
        <v>1</v>
      </c>
      <c r="AF39" s="142">
        <f>PI!AI221</f>
        <v>2</v>
      </c>
      <c r="AG39" s="142">
        <f>PI!AJ221</f>
        <v>3</v>
      </c>
      <c r="AH39" s="142">
        <f>PI!AK221</f>
        <v>3</v>
      </c>
      <c r="AI39" s="142">
        <f>PI!AL221</f>
        <v>3</v>
      </c>
      <c r="AJ39" s="142">
        <f>PI!AM221</f>
        <v>3</v>
      </c>
      <c r="AK39" s="142">
        <f>PI!AN221</f>
        <v>5</v>
      </c>
      <c r="AL39" s="142">
        <f>PI!AO221</f>
        <v>5</v>
      </c>
      <c r="AM39" s="142">
        <f>PI!AP221</f>
        <v>6</v>
      </c>
      <c r="AN39" s="142">
        <f>PI!AQ221</f>
        <v>8</v>
      </c>
      <c r="AO39" s="142">
        <f>PI!AR221</f>
        <v>0</v>
      </c>
      <c r="AP39" s="95">
        <f>PI!AS221</f>
        <v>0</v>
      </c>
      <c r="AS39" s="51"/>
      <c r="AT39" s="52" t="s">
        <v>426</v>
      </c>
      <c r="AU39" s="364" t="s">
        <v>276</v>
      </c>
      <c r="AV39" s="53" t="s">
        <v>133</v>
      </c>
      <c r="AW39" s="61" t="s">
        <v>427</v>
      </c>
      <c r="AX39" s="53"/>
      <c r="AY39" s="89">
        <f t="shared" si="3"/>
        <v>100</v>
      </c>
      <c r="AZ39" s="89">
        <f t="shared" si="4"/>
        <v>100</v>
      </c>
      <c r="BA39" s="95">
        <f>IFERROR(IF(AE39/I39*100&gt;110,110,AE39/I39*100),100)</f>
        <v>100</v>
      </c>
      <c r="BB39" s="95">
        <f t="shared" ref="BB39:BL40" si="39">IFERROR(IF(AF39/J39*100&gt;110,110,AF39/J39*100),100)</f>
        <v>100</v>
      </c>
      <c r="BC39" s="95">
        <f t="shared" si="39"/>
        <v>100</v>
      </c>
      <c r="BD39" s="95">
        <f t="shared" si="39"/>
        <v>100</v>
      </c>
      <c r="BE39" s="95">
        <f t="shared" si="39"/>
        <v>100</v>
      </c>
      <c r="BF39" s="95">
        <f t="shared" si="39"/>
        <v>100</v>
      </c>
      <c r="BG39" s="95">
        <f t="shared" si="39"/>
        <v>100</v>
      </c>
      <c r="BH39" s="95">
        <f t="shared" si="39"/>
        <v>100</v>
      </c>
      <c r="BI39" s="95">
        <f t="shared" si="39"/>
        <v>100</v>
      </c>
      <c r="BJ39" s="95">
        <f t="shared" si="39"/>
        <v>100</v>
      </c>
      <c r="BK39" s="95">
        <f t="shared" si="39"/>
        <v>100</v>
      </c>
      <c r="BL39" s="95">
        <f t="shared" si="39"/>
        <v>100</v>
      </c>
      <c r="BM39"/>
      <c r="BN39"/>
      <c r="BO39" s="51"/>
      <c r="BP39" s="52" t="s">
        <v>426</v>
      </c>
      <c r="BQ39" s="364" t="s">
        <v>276</v>
      </c>
      <c r="BR39" s="53" t="s">
        <v>133</v>
      </c>
      <c r="BS39" s="61" t="s">
        <v>427</v>
      </c>
      <c r="BT39" s="53">
        <v>2</v>
      </c>
      <c r="BU39" s="89">
        <f t="shared" ref="BU39:BU40" si="40">CB39</f>
        <v>2</v>
      </c>
      <c r="BV39" s="89">
        <f t="shared" ref="BV39:BV40" si="41">CH39</f>
        <v>2</v>
      </c>
      <c r="BW39" s="111" cm="1">
        <f t="array" ref="BW39:CH39">BT39*BA39:BL39/100</f>
        <v>2</v>
      </c>
      <c r="BX39" s="95">
        <v>2</v>
      </c>
      <c r="BY39" s="95">
        <v>2</v>
      </c>
      <c r="BZ39" s="95">
        <v>2</v>
      </c>
      <c r="CA39" s="95">
        <v>2</v>
      </c>
      <c r="CB39" s="95">
        <v>2</v>
      </c>
      <c r="CC39" s="95">
        <v>2</v>
      </c>
      <c r="CD39" s="95">
        <v>2</v>
      </c>
      <c r="CE39" s="95">
        <v>2</v>
      </c>
      <c r="CF39" s="95">
        <v>2</v>
      </c>
      <c r="CG39" s="95">
        <v>2</v>
      </c>
      <c r="CH39" s="95">
        <v>2</v>
      </c>
    </row>
    <row r="40" spans="1:86" ht="15.6" customHeight="1">
      <c r="A40" s="519"/>
      <c r="B40" s="52" t="s">
        <v>428</v>
      </c>
      <c r="C40" s="327" t="s">
        <v>276</v>
      </c>
      <c r="D40" s="524" t="s">
        <v>429</v>
      </c>
      <c r="E40" s="294" t="s">
        <v>430</v>
      </c>
      <c r="F40" s="295"/>
      <c r="G40" s="257">
        <f>N40</f>
        <v>0</v>
      </c>
      <c r="H40" s="257">
        <f>T40</f>
        <v>0</v>
      </c>
      <c r="I40" s="257">
        <f>PI!D227</f>
        <v>0</v>
      </c>
      <c r="J40" s="257">
        <f>PI!E227</f>
        <v>0</v>
      </c>
      <c r="K40" s="257">
        <f>PI!F227</f>
        <v>0</v>
      </c>
      <c r="L40" s="257">
        <f>PI!G227</f>
        <v>0</v>
      </c>
      <c r="M40" s="257">
        <f>PI!H227</f>
        <v>0</v>
      </c>
      <c r="N40" s="257">
        <f>PI!I227</f>
        <v>0</v>
      </c>
      <c r="O40" s="257">
        <f>PI!J227</f>
        <v>0</v>
      </c>
      <c r="P40" s="257">
        <f>PI!K227</f>
        <v>0</v>
      </c>
      <c r="Q40" s="257">
        <f>PI!L227</f>
        <v>0</v>
      </c>
      <c r="R40" s="257">
        <f>PI!M227</f>
        <v>0</v>
      </c>
      <c r="S40" s="257">
        <f>PI!N227</f>
        <v>0</v>
      </c>
      <c r="T40" s="90">
        <f>PI!O227</f>
        <v>0</v>
      </c>
      <c r="U40" s="36"/>
      <c r="V40" s="36"/>
      <c r="W40" s="51"/>
      <c r="X40" s="52" t="s">
        <v>428</v>
      </c>
      <c r="Y40" s="364" t="s">
        <v>276</v>
      </c>
      <c r="Z40" s="53" t="s">
        <v>429</v>
      </c>
      <c r="AA40" s="61"/>
      <c r="AB40" s="53"/>
      <c r="AC40" s="89">
        <f t="shared" si="1"/>
        <v>1114.8</v>
      </c>
      <c r="AD40" s="89">
        <f t="shared" si="38"/>
        <v>0</v>
      </c>
      <c r="AE40" s="142">
        <f>PI!AH227</f>
        <v>219.1</v>
      </c>
      <c r="AF40" s="142">
        <f>PI!AI227</f>
        <v>369.4</v>
      </c>
      <c r="AG40" s="142">
        <f>PI!AJ227</f>
        <v>519.70000000000005</v>
      </c>
      <c r="AH40" s="142">
        <f>PI!AK227</f>
        <v>519.70000000000005</v>
      </c>
      <c r="AI40" s="142">
        <f>PI!AL227</f>
        <v>854.8</v>
      </c>
      <c r="AJ40" s="142">
        <f>PI!AM227</f>
        <v>1114.8</v>
      </c>
      <c r="AK40" s="142">
        <f>PI!AN227</f>
        <v>1913.8</v>
      </c>
      <c r="AL40" s="142">
        <f>PI!AO227</f>
        <v>2098.6</v>
      </c>
      <c r="AM40" s="142">
        <f>PI!AP227</f>
        <v>2342.6999999999998</v>
      </c>
      <c r="AN40" s="142">
        <f>PI!AQ227</f>
        <v>3088.1</v>
      </c>
      <c r="AO40" s="142">
        <f>PI!AR227</f>
        <v>0</v>
      </c>
      <c r="AP40" s="95">
        <f>PI!AS227</f>
        <v>0</v>
      </c>
      <c r="AS40" s="51"/>
      <c r="AT40" s="52" t="s">
        <v>428</v>
      </c>
      <c r="AU40" s="364" t="s">
        <v>276</v>
      </c>
      <c r="AV40" s="53" t="s">
        <v>429</v>
      </c>
      <c r="AW40" s="61" t="s">
        <v>430</v>
      </c>
      <c r="AX40" s="53"/>
      <c r="AY40" s="89">
        <f t="shared" si="3"/>
        <v>100</v>
      </c>
      <c r="AZ40" s="89">
        <f t="shared" si="4"/>
        <v>100</v>
      </c>
      <c r="BA40" s="95">
        <f>IFERROR(IF(AE40/I40*100&gt;110,110,AE40/I40*100),100)</f>
        <v>100</v>
      </c>
      <c r="BB40" s="95">
        <f t="shared" si="39"/>
        <v>100</v>
      </c>
      <c r="BC40" s="95">
        <f t="shared" si="39"/>
        <v>100</v>
      </c>
      <c r="BD40" s="95">
        <f t="shared" si="39"/>
        <v>100</v>
      </c>
      <c r="BE40" s="95">
        <f t="shared" si="39"/>
        <v>100</v>
      </c>
      <c r="BF40" s="95">
        <f t="shared" si="39"/>
        <v>100</v>
      </c>
      <c r="BG40" s="95">
        <f t="shared" si="39"/>
        <v>100</v>
      </c>
      <c r="BH40" s="95">
        <f t="shared" si="39"/>
        <v>100</v>
      </c>
      <c r="BI40" s="95">
        <f t="shared" si="39"/>
        <v>100</v>
      </c>
      <c r="BJ40" s="95">
        <f t="shared" si="39"/>
        <v>100</v>
      </c>
      <c r="BK40" s="95">
        <f t="shared" si="39"/>
        <v>100</v>
      </c>
      <c r="BL40" s="95">
        <f t="shared" si="39"/>
        <v>100</v>
      </c>
      <c r="BM40"/>
      <c r="BN40"/>
      <c r="BO40" s="51"/>
      <c r="BP40" s="52" t="s">
        <v>428</v>
      </c>
      <c r="BQ40" s="364" t="s">
        <v>276</v>
      </c>
      <c r="BR40" s="53" t="s">
        <v>429</v>
      </c>
      <c r="BS40" s="61" t="s">
        <v>430</v>
      </c>
      <c r="BT40" s="53">
        <v>2</v>
      </c>
      <c r="BU40" s="89">
        <f t="shared" si="40"/>
        <v>2</v>
      </c>
      <c r="BV40" s="89">
        <f t="shared" si="41"/>
        <v>2</v>
      </c>
      <c r="BW40" s="111" cm="1">
        <f t="array" ref="BW40:CH40">BT40*BA40:BL40/100</f>
        <v>2</v>
      </c>
      <c r="BX40" s="95">
        <v>2</v>
      </c>
      <c r="BY40" s="95">
        <v>2</v>
      </c>
      <c r="BZ40" s="95">
        <v>2</v>
      </c>
      <c r="CA40" s="95">
        <v>2</v>
      </c>
      <c r="CB40" s="95">
        <v>2</v>
      </c>
      <c r="CC40" s="95">
        <v>2</v>
      </c>
      <c r="CD40" s="95">
        <v>2</v>
      </c>
      <c r="CE40" s="95">
        <v>2</v>
      </c>
      <c r="CF40" s="95">
        <v>2</v>
      </c>
      <c r="CG40" s="95">
        <v>2</v>
      </c>
      <c r="CH40" s="95">
        <v>2</v>
      </c>
    </row>
    <row r="41" spans="1:86" ht="15.6" customHeight="1">
      <c r="A41" s="519">
        <v>10</v>
      </c>
      <c r="B41" s="267" t="s">
        <v>320</v>
      </c>
      <c r="C41" s="327"/>
      <c r="D41" s="524"/>
      <c r="E41" s="294"/>
      <c r="F41" s="295">
        <v>8</v>
      </c>
      <c r="G41" s="257"/>
      <c r="H41" s="257"/>
      <c r="I41" s="257"/>
      <c r="J41" s="257"/>
      <c r="K41" s="257"/>
      <c r="L41" s="257"/>
      <c r="M41" s="257"/>
      <c r="N41" s="257"/>
      <c r="O41" s="257"/>
      <c r="P41" s="257"/>
      <c r="Q41" s="257"/>
      <c r="R41" s="257"/>
      <c r="S41" s="257"/>
      <c r="T41" s="90"/>
      <c r="U41" s="36"/>
      <c r="V41" s="36"/>
      <c r="W41" s="51">
        <f ca="1">T.MOUTONG!W41</f>
        <v>10</v>
      </c>
      <c r="X41" s="267" t="s">
        <v>320</v>
      </c>
      <c r="Y41" s="364"/>
      <c r="Z41" s="53"/>
      <c r="AA41" s="61"/>
      <c r="AB41" s="53">
        <v>8</v>
      </c>
      <c r="AC41" s="89"/>
      <c r="AD41" s="89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95"/>
      <c r="AS41" s="51">
        <v>10</v>
      </c>
      <c r="AT41" s="267" t="s">
        <v>320</v>
      </c>
      <c r="AU41" s="364"/>
      <c r="AV41" s="53"/>
      <c r="AW41" s="61"/>
      <c r="AX41" s="53">
        <v>8</v>
      </c>
      <c r="AY41" s="89"/>
      <c r="AZ41" s="89"/>
      <c r="BA41" s="95"/>
      <c r="BB41" s="95"/>
      <c r="BC41" s="95"/>
      <c r="BD41" s="95"/>
      <c r="BE41" s="95"/>
      <c r="BF41" s="95"/>
      <c r="BG41" s="95"/>
      <c r="BH41" s="95"/>
      <c r="BI41" s="95"/>
      <c r="BJ41" s="95"/>
      <c r="BK41" s="95"/>
      <c r="BL41" s="95"/>
      <c r="BM41"/>
      <c r="BN41"/>
      <c r="BO41" s="51">
        <v>10</v>
      </c>
      <c r="BP41" s="267" t="s">
        <v>320</v>
      </c>
      <c r="BQ41" s="364"/>
      <c r="BR41" s="53"/>
      <c r="BS41" s="61"/>
      <c r="BT41" s="513">
        <v>8</v>
      </c>
      <c r="BU41" s="89"/>
      <c r="BV41" s="89"/>
      <c r="BW41" s="95"/>
      <c r="BX41" s="95"/>
      <c r="BY41" s="95"/>
      <c r="BZ41" s="95"/>
      <c r="CA41" s="95"/>
      <c r="CB41" s="95"/>
      <c r="CC41" s="95"/>
      <c r="CD41" s="95"/>
      <c r="CE41" s="95"/>
      <c r="CF41" s="95"/>
      <c r="CG41" s="95"/>
      <c r="CH41" s="95"/>
    </row>
    <row r="42" spans="1:86" ht="15.6" customHeight="1">
      <c r="A42" s="517"/>
      <c r="B42" s="52" t="s">
        <v>321</v>
      </c>
      <c r="C42" s="327" t="s">
        <v>276</v>
      </c>
      <c r="D42" s="524" t="s">
        <v>133</v>
      </c>
      <c r="E42" s="294" t="s">
        <v>431</v>
      </c>
      <c r="F42" s="295"/>
      <c r="G42" s="257">
        <f>N42</f>
        <v>414</v>
      </c>
      <c r="H42" s="257">
        <f>T42</f>
        <v>414</v>
      </c>
      <c r="I42" s="257">
        <f>PI!D237</f>
        <v>414</v>
      </c>
      <c r="J42" s="257">
        <f>PI!E237</f>
        <v>414</v>
      </c>
      <c r="K42" s="257">
        <f>PI!F237</f>
        <v>414</v>
      </c>
      <c r="L42" s="257">
        <f>PI!G237</f>
        <v>414</v>
      </c>
      <c r="M42" s="257">
        <f>PI!H237</f>
        <v>414</v>
      </c>
      <c r="N42" s="257">
        <f>PI!I237</f>
        <v>414</v>
      </c>
      <c r="O42" s="257">
        <f>PI!J237</f>
        <v>414</v>
      </c>
      <c r="P42" s="257">
        <f>PI!K237</f>
        <v>414</v>
      </c>
      <c r="Q42" s="257">
        <f>PI!L237</f>
        <v>414</v>
      </c>
      <c r="R42" s="257">
        <f>PI!M237</f>
        <v>414</v>
      </c>
      <c r="S42" s="257">
        <f>PI!N237</f>
        <v>414</v>
      </c>
      <c r="T42" s="90">
        <f>PI!O237</f>
        <v>414</v>
      </c>
      <c r="U42" s="36"/>
      <c r="V42" s="36"/>
      <c r="W42" s="51"/>
      <c r="X42" s="52" t="s">
        <v>321</v>
      </c>
      <c r="Y42" s="364" t="s">
        <v>276</v>
      </c>
      <c r="Z42" s="53" t="s">
        <v>133</v>
      </c>
      <c r="AA42" s="61"/>
      <c r="AB42" s="53"/>
      <c r="AC42" s="89">
        <f t="shared" si="1"/>
        <v>635.16666666666663</v>
      </c>
      <c r="AD42" s="89">
        <f>AP42</f>
        <v>589.9</v>
      </c>
      <c r="AE42" s="142">
        <f>PI!AH237</f>
        <v>1084</v>
      </c>
      <c r="AF42" s="142">
        <f>PI!AI237</f>
        <v>786</v>
      </c>
      <c r="AG42" s="142">
        <f>PI!AJ237</f>
        <v>585</v>
      </c>
      <c r="AH42" s="142">
        <f>PI!AK237</f>
        <v>687.25</v>
      </c>
      <c r="AI42" s="142">
        <f>PI!AL237</f>
        <v>654.20000000000005</v>
      </c>
      <c r="AJ42" s="142">
        <f>PI!AM237</f>
        <v>635.16666666666663</v>
      </c>
      <c r="AK42" s="142">
        <f>PI!AN237</f>
        <v>617.71428571428567</v>
      </c>
      <c r="AL42" s="142">
        <f>PI!AO237</f>
        <v>606.75</v>
      </c>
      <c r="AM42" s="142">
        <f>PI!AP237</f>
        <v>599.44444444444446</v>
      </c>
      <c r="AN42" s="142">
        <f>PI!AQ237</f>
        <v>589.9</v>
      </c>
      <c r="AO42" s="142">
        <f>PI!AR237</f>
        <v>589.9</v>
      </c>
      <c r="AP42" s="95">
        <f>PI!AS237</f>
        <v>589.9</v>
      </c>
      <c r="AS42" s="51"/>
      <c r="AT42" s="52" t="s">
        <v>321</v>
      </c>
      <c r="AU42" s="364" t="s">
        <v>276</v>
      </c>
      <c r="AV42" s="53" t="s">
        <v>133</v>
      </c>
      <c r="AW42" s="61" t="s">
        <v>431</v>
      </c>
      <c r="AX42" s="53"/>
      <c r="AY42" s="89">
        <f t="shared" si="3"/>
        <v>110</v>
      </c>
      <c r="AZ42" s="89">
        <f t="shared" si="4"/>
        <v>110</v>
      </c>
      <c r="BA42" s="95">
        <f>IFERROR(IF(AE42/I42*100&gt;110,110,AE42/I42*100),100)</f>
        <v>110</v>
      </c>
      <c r="BB42" s="95">
        <f t="shared" ref="BB42:BL44" si="42">IFERROR(IF(AF42/J42*100&gt;110,110,AF42/J42*100),100)</f>
        <v>110</v>
      </c>
      <c r="BC42" s="95">
        <f t="shared" si="42"/>
        <v>110</v>
      </c>
      <c r="BD42" s="95">
        <f t="shared" si="42"/>
        <v>110</v>
      </c>
      <c r="BE42" s="95">
        <f t="shared" si="42"/>
        <v>110</v>
      </c>
      <c r="BF42" s="95">
        <f t="shared" si="42"/>
        <v>110</v>
      </c>
      <c r="BG42" s="95">
        <f t="shared" si="42"/>
        <v>110</v>
      </c>
      <c r="BH42" s="95">
        <f t="shared" si="42"/>
        <v>110</v>
      </c>
      <c r="BI42" s="95">
        <f t="shared" si="42"/>
        <v>110</v>
      </c>
      <c r="BJ42" s="95">
        <f t="shared" si="42"/>
        <v>110</v>
      </c>
      <c r="BK42" s="95">
        <f t="shared" si="42"/>
        <v>110</v>
      </c>
      <c r="BL42" s="95">
        <f t="shared" si="42"/>
        <v>110</v>
      </c>
      <c r="BM42"/>
      <c r="BN42"/>
      <c r="BO42" s="51"/>
      <c r="BP42" s="52" t="s">
        <v>321</v>
      </c>
      <c r="BQ42" s="364" t="s">
        <v>276</v>
      </c>
      <c r="BR42" s="53" t="s">
        <v>133</v>
      </c>
      <c r="BS42" s="61" t="s">
        <v>431</v>
      </c>
      <c r="BT42" s="53">
        <v>4</v>
      </c>
      <c r="BU42" s="89">
        <f t="shared" ref="BU42:BU44" si="43">CB42</f>
        <v>4.4000000000000004</v>
      </c>
      <c r="BV42" s="89">
        <f t="shared" ref="BV42:BV44" si="44">CH42</f>
        <v>4.4000000000000004</v>
      </c>
      <c r="BW42" s="111" cm="1">
        <f t="array" ref="BW42:CH42">BT42*BA42:BL42/100</f>
        <v>4.4000000000000004</v>
      </c>
      <c r="BX42" s="95">
        <v>4.4000000000000004</v>
      </c>
      <c r="BY42" s="95">
        <v>4.4000000000000004</v>
      </c>
      <c r="BZ42" s="95">
        <v>4.4000000000000004</v>
      </c>
      <c r="CA42" s="95">
        <v>4.4000000000000004</v>
      </c>
      <c r="CB42" s="95">
        <v>4.4000000000000004</v>
      </c>
      <c r="CC42" s="95">
        <v>4.4000000000000004</v>
      </c>
      <c r="CD42" s="95">
        <v>4.4000000000000004</v>
      </c>
      <c r="CE42" s="95">
        <v>4.4000000000000004</v>
      </c>
      <c r="CF42" s="95">
        <v>4.4000000000000004</v>
      </c>
      <c r="CG42" s="95">
        <v>4.4000000000000004</v>
      </c>
      <c r="CH42" s="95">
        <v>4.4000000000000004</v>
      </c>
    </row>
    <row r="43" spans="1:86" ht="15.6" customHeight="1">
      <c r="A43" s="519"/>
      <c r="B43" s="52" t="s">
        <v>323</v>
      </c>
      <c r="C43" s="327" t="s">
        <v>278</v>
      </c>
      <c r="D43" s="524" t="s">
        <v>133</v>
      </c>
      <c r="E43" s="294" t="s">
        <v>432</v>
      </c>
      <c r="F43" s="295"/>
      <c r="G43" s="257"/>
      <c r="H43" s="257"/>
      <c r="I43" s="257"/>
      <c r="J43" s="257"/>
      <c r="K43" s="257"/>
      <c r="L43" s="257"/>
      <c r="M43" s="257"/>
      <c r="N43" s="257"/>
      <c r="O43" s="257"/>
      <c r="P43" s="257"/>
      <c r="Q43" s="257"/>
      <c r="R43" s="257"/>
      <c r="S43" s="257"/>
      <c r="T43" s="90"/>
      <c r="U43" s="36"/>
      <c r="V43" s="36"/>
      <c r="W43" s="51"/>
      <c r="X43" s="52" t="s">
        <v>323</v>
      </c>
      <c r="Y43" s="364" t="s">
        <v>278</v>
      </c>
      <c r="Z43" s="53" t="s">
        <v>133</v>
      </c>
      <c r="AA43" s="61"/>
      <c r="AB43" s="53"/>
      <c r="AC43" s="89">
        <f t="shared" si="1"/>
        <v>0</v>
      </c>
      <c r="AD43" s="89">
        <f>AP43</f>
        <v>0</v>
      </c>
      <c r="AE43" s="142">
        <v>0</v>
      </c>
      <c r="AF43" s="142">
        <v>0</v>
      </c>
      <c r="AG43" s="142">
        <v>0</v>
      </c>
      <c r="AH43" s="142">
        <v>0</v>
      </c>
      <c r="AI43" s="142">
        <v>0</v>
      </c>
      <c r="AJ43" s="142">
        <v>0</v>
      </c>
      <c r="AK43" s="142">
        <v>0</v>
      </c>
      <c r="AL43" s="142">
        <v>0</v>
      </c>
      <c r="AM43" s="142">
        <v>0</v>
      </c>
      <c r="AN43" s="142">
        <v>0</v>
      </c>
      <c r="AO43" s="142">
        <v>0</v>
      </c>
      <c r="AP43" s="95">
        <v>0</v>
      </c>
      <c r="AS43" s="51"/>
      <c r="AT43" s="52" t="s">
        <v>323</v>
      </c>
      <c r="AU43" s="364" t="s">
        <v>278</v>
      </c>
      <c r="AV43" s="53" t="s">
        <v>133</v>
      </c>
      <c r="AW43" s="61" t="s">
        <v>432</v>
      </c>
      <c r="AX43" s="53"/>
      <c r="AY43" s="89">
        <f t="shared" si="3"/>
        <v>100</v>
      </c>
      <c r="AZ43" s="89">
        <f t="shared" si="4"/>
        <v>100</v>
      </c>
      <c r="BA43" s="95">
        <f>IFERROR(IF(AE43/I43*100&gt;110,110,AE43/I43*100),100)</f>
        <v>100</v>
      </c>
      <c r="BB43" s="95">
        <f t="shared" si="42"/>
        <v>100</v>
      </c>
      <c r="BC43" s="95">
        <f t="shared" si="42"/>
        <v>100</v>
      </c>
      <c r="BD43" s="95">
        <f t="shared" si="42"/>
        <v>100</v>
      </c>
      <c r="BE43" s="95">
        <f t="shared" si="42"/>
        <v>100</v>
      </c>
      <c r="BF43" s="95">
        <f t="shared" si="42"/>
        <v>100</v>
      </c>
      <c r="BG43" s="95">
        <f t="shared" si="42"/>
        <v>100</v>
      </c>
      <c r="BH43" s="95">
        <f t="shared" si="42"/>
        <v>100</v>
      </c>
      <c r="BI43" s="95">
        <f t="shared" si="42"/>
        <v>100</v>
      </c>
      <c r="BJ43" s="95">
        <f t="shared" si="42"/>
        <v>100</v>
      </c>
      <c r="BK43" s="95">
        <f t="shared" si="42"/>
        <v>100</v>
      </c>
      <c r="BL43" s="95">
        <f t="shared" si="42"/>
        <v>100</v>
      </c>
      <c r="BM43"/>
      <c r="BN43"/>
      <c r="BO43" s="51"/>
      <c r="BP43" s="52" t="s">
        <v>323</v>
      </c>
      <c r="BQ43" s="364" t="s">
        <v>278</v>
      </c>
      <c r="BR43" s="53" t="s">
        <v>133</v>
      </c>
      <c r="BS43" s="61" t="s">
        <v>432</v>
      </c>
      <c r="BT43" s="53">
        <v>4</v>
      </c>
      <c r="BU43" s="89">
        <f t="shared" si="43"/>
        <v>4</v>
      </c>
      <c r="BV43" s="89">
        <f t="shared" si="44"/>
        <v>4</v>
      </c>
      <c r="BW43" s="111" cm="1">
        <f t="array" ref="BW43:CH43">BT43*BA43:BL43/100</f>
        <v>4</v>
      </c>
      <c r="BX43" s="95">
        <v>4</v>
      </c>
      <c r="BY43" s="95">
        <v>4</v>
      </c>
      <c r="BZ43" s="95">
        <v>4</v>
      </c>
      <c r="CA43" s="95">
        <v>4</v>
      </c>
      <c r="CB43" s="95">
        <v>4</v>
      </c>
      <c r="CC43" s="95">
        <v>4</v>
      </c>
      <c r="CD43" s="95">
        <v>4</v>
      </c>
      <c r="CE43" s="95">
        <v>4</v>
      </c>
      <c r="CF43" s="95">
        <v>4</v>
      </c>
      <c r="CG43" s="95">
        <v>4</v>
      </c>
      <c r="CH43" s="95">
        <v>4</v>
      </c>
    </row>
    <row r="44" spans="1:86" ht="15.6" customHeight="1">
      <c r="A44" s="519">
        <v>11</v>
      </c>
      <c r="B44" s="267" t="s">
        <v>433</v>
      </c>
      <c r="C44" s="327" t="s">
        <v>276</v>
      </c>
      <c r="D44" s="273" t="s">
        <v>149</v>
      </c>
      <c r="E44" s="294" t="s">
        <v>434</v>
      </c>
      <c r="F44" s="295">
        <v>3</v>
      </c>
      <c r="G44" s="257">
        <f>N44</f>
        <v>100</v>
      </c>
      <c r="H44" s="257">
        <f>T44</f>
        <v>100</v>
      </c>
      <c r="I44" s="257">
        <f>PI!D255</f>
        <v>100</v>
      </c>
      <c r="J44" s="257">
        <f>PI!E255</f>
        <v>100</v>
      </c>
      <c r="K44" s="257">
        <f>PI!F255</f>
        <v>100</v>
      </c>
      <c r="L44" s="257">
        <f>PI!G255</f>
        <v>100</v>
      </c>
      <c r="M44" s="257">
        <f>PI!H255</f>
        <v>100</v>
      </c>
      <c r="N44" s="257">
        <f>PI!I255</f>
        <v>100</v>
      </c>
      <c r="O44" s="257">
        <f>PI!J255</f>
        <v>100</v>
      </c>
      <c r="P44" s="257">
        <f>PI!K255</f>
        <v>100</v>
      </c>
      <c r="Q44" s="257">
        <f>PI!L255</f>
        <v>100</v>
      </c>
      <c r="R44" s="257">
        <f>PI!M255</f>
        <v>100</v>
      </c>
      <c r="S44" s="257">
        <f>PI!N255</f>
        <v>100</v>
      </c>
      <c r="T44" s="90">
        <f>PI!O255</f>
        <v>100</v>
      </c>
      <c r="U44" s="36"/>
      <c r="V44" s="36"/>
      <c r="W44" s="51">
        <f ca="1">T.MOUTONG!W44</f>
        <v>11</v>
      </c>
      <c r="X44" s="267" t="s">
        <v>433</v>
      </c>
      <c r="Y44" s="364" t="s">
        <v>276</v>
      </c>
      <c r="Z44" s="53"/>
      <c r="AA44" s="61"/>
      <c r="AB44" s="53">
        <v>3</v>
      </c>
      <c r="AC44" s="89">
        <f t="shared" si="1"/>
        <v>100</v>
      </c>
      <c r="AD44" s="89">
        <f>AP44</f>
        <v>100</v>
      </c>
      <c r="AE44" s="142">
        <f>PI!AH255</f>
        <v>100</v>
      </c>
      <c r="AF44" s="142">
        <f>PI!AI255</f>
        <v>100</v>
      </c>
      <c r="AG44" s="142">
        <f>PI!AJ255</f>
        <v>100</v>
      </c>
      <c r="AH44" s="142">
        <f>PI!AK255</f>
        <v>100</v>
      </c>
      <c r="AI44" s="142">
        <f>PI!AL255</f>
        <v>100</v>
      </c>
      <c r="AJ44" s="142">
        <f>PI!AM255</f>
        <v>100</v>
      </c>
      <c r="AK44" s="142">
        <f>PI!AN255</f>
        <v>100</v>
      </c>
      <c r="AL44" s="142">
        <f>PI!AO255</f>
        <v>100</v>
      </c>
      <c r="AM44" s="142">
        <f>PI!AP255</f>
        <v>100</v>
      </c>
      <c r="AN44" s="142">
        <f>PI!AQ255</f>
        <v>100</v>
      </c>
      <c r="AO44" s="142">
        <f>PI!AR255</f>
        <v>100</v>
      </c>
      <c r="AP44" s="95">
        <f>PI!AS255</f>
        <v>100</v>
      </c>
      <c r="AS44" s="51">
        <v>11</v>
      </c>
      <c r="AT44" s="267" t="s">
        <v>433</v>
      </c>
      <c r="AU44" s="364" t="s">
        <v>276</v>
      </c>
      <c r="AV44" s="53" t="s">
        <v>149</v>
      </c>
      <c r="AW44" s="61" t="s">
        <v>434</v>
      </c>
      <c r="AX44" s="53">
        <v>3</v>
      </c>
      <c r="AY44" s="89">
        <f t="shared" si="3"/>
        <v>100</v>
      </c>
      <c r="AZ44" s="89">
        <f t="shared" si="4"/>
        <v>100</v>
      </c>
      <c r="BA44" s="95">
        <f>IFERROR(IF(AE44/I44*100&gt;110,110,AE44/I44*100),100)</f>
        <v>100</v>
      </c>
      <c r="BB44" s="95">
        <f t="shared" si="42"/>
        <v>100</v>
      </c>
      <c r="BC44" s="95">
        <f t="shared" si="42"/>
        <v>100</v>
      </c>
      <c r="BD44" s="95">
        <f t="shared" si="42"/>
        <v>100</v>
      </c>
      <c r="BE44" s="95">
        <f t="shared" si="42"/>
        <v>100</v>
      </c>
      <c r="BF44" s="95">
        <f t="shared" si="42"/>
        <v>100</v>
      </c>
      <c r="BG44" s="95">
        <f t="shared" si="42"/>
        <v>100</v>
      </c>
      <c r="BH44" s="95">
        <f t="shared" si="42"/>
        <v>100</v>
      </c>
      <c r="BI44" s="95">
        <f t="shared" si="42"/>
        <v>100</v>
      </c>
      <c r="BJ44" s="95">
        <f t="shared" si="42"/>
        <v>100</v>
      </c>
      <c r="BK44" s="95">
        <f t="shared" si="42"/>
        <v>100</v>
      </c>
      <c r="BL44" s="95">
        <f t="shared" si="42"/>
        <v>100</v>
      </c>
      <c r="BM44"/>
      <c r="BN44"/>
      <c r="BO44" s="51">
        <v>11</v>
      </c>
      <c r="BP44" s="267" t="s">
        <v>433</v>
      </c>
      <c r="BQ44" s="364" t="s">
        <v>276</v>
      </c>
      <c r="BR44" s="53" t="s">
        <v>149</v>
      </c>
      <c r="BS44" s="61" t="s">
        <v>434</v>
      </c>
      <c r="BT44" s="513">
        <v>3</v>
      </c>
      <c r="BU44" s="89">
        <f t="shared" si="43"/>
        <v>3</v>
      </c>
      <c r="BV44" s="89">
        <f t="shared" si="44"/>
        <v>3</v>
      </c>
      <c r="BW44" s="111" cm="1">
        <f t="array" ref="BW44:CH44">BT44*BA44:BL44/100</f>
        <v>3</v>
      </c>
      <c r="BX44" s="95">
        <v>3</v>
      </c>
      <c r="BY44" s="95">
        <v>3</v>
      </c>
      <c r="BZ44" s="95">
        <v>3</v>
      </c>
      <c r="CA44" s="95">
        <v>3</v>
      </c>
      <c r="CB44" s="95">
        <v>3</v>
      </c>
      <c r="CC44" s="95">
        <v>3</v>
      </c>
      <c r="CD44" s="95">
        <v>3</v>
      </c>
      <c r="CE44" s="95">
        <v>3</v>
      </c>
      <c r="CF44" s="95">
        <v>3</v>
      </c>
      <c r="CG44" s="95">
        <v>3</v>
      </c>
      <c r="CH44" s="95">
        <v>3</v>
      </c>
    </row>
    <row r="45" spans="1:86" ht="15.6" customHeight="1">
      <c r="A45" s="519">
        <v>12</v>
      </c>
      <c r="B45" s="267" t="s">
        <v>324</v>
      </c>
      <c r="C45" s="327"/>
      <c r="D45" s="524" t="s">
        <v>149</v>
      </c>
      <c r="E45" s="294"/>
      <c r="F45" s="295">
        <v>9</v>
      </c>
      <c r="T45" s="390"/>
      <c r="U45" s="36"/>
      <c r="V45" s="36"/>
      <c r="W45" s="51">
        <f ca="1">T.MOUTONG!W45</f>
        <v>12</v>
      </c>
      <c r="X45" s="267" t="s">
        <v>324</v>
      </c>
      <c r="Y45" s="364"/>
      <c r="Z45" s="53" t="s">
        <v>149</v>
      </c>
      <c r="AA45" s="61"/>
      <c r="AB45" s="53">
        <v>9</v>
      </c>
      <c r="AC45" s="89"/>
      <c r="AD45" s="89"/>
      <c r="AE45" s="142"/>
      <c r="AF45" s="142"/>
      <c r="AG45" s="142"/>
      <c r="AH45" s="142"/>
      <c r="AI45" s="142"/>
      <c r="AJ45" s="142"/>
      <c r="AK45" s="142"/>
      <c r="AL45" s="142"/>
      <c r="AM45" s="142"/>
      <c r="AN45" s="142"/>
      <c r="AO45" s="142"/>
      <c r="AP45" s="95"/>
      <c r="AS45" s="51">
        <v>12</v>
      </c>
      <c r="AT45" s="267" t="s">
        <v>324</v>
      </c>
      <c r="AU45" s="364"/>
      <c r="AV45" s="53"/>
      <c r="AW45" s="61"/>
      <c r="AX45" s="53">
        <v>9</v>
      </c>
      <c r="AY45" s="89"/>
      <c r="AZ45" s="89"/>
      <c r="BA45" s="95"/>
      <c r="BB45" s="95"/>
      <c r="BC45" s="95"/>
      <c r="BD45" s="95"/>
      <c r="BE45" s="95"/>
      <c r="BF45" s="95"/>
      <c r="BG45" s="95"/>
      <c r="BH45" s="95"/>
      <c r="BI45" s="95"/>
      <c r="BJ45" s="95"/>
      <c r="BK45" s="95"/>
      <c r="BL45" s="95"/>
      <c r="BM45"/>
      <c r="BN45"/>
      <c r="BO45" s="51">
        <v>12</v>
      </c>
      <c r="BP45" s="267" t="s">
        <v>324</v>
      </c>
      <c r="BQ45" s="364"/>
      <c r="BR45" s="53"/>
      <c r="BS45" s="61"/>
      <c r="BT45" s="513">
        <v>9</v>
      </c>
      <c r="BU45" s="89"/>
      <c r="BV45" s="89"/>
      <c r="BW45" s="95"/>
      <c r="BX45" s="95"/>
      <c r="BY45" s="95"/>
      <c r="BZ45" s="95"/>
      <c r="CA45" s="95"/>
      <c r="CB45" s="95"/>
      <c r="CC45" s="95"/>
      <c r="CD45" s="95"/>
      <c r="CE45" s="95"/>
      <c r="CF45" s="95"/>
      <c r="CG45" s="95"/>
      <c r="CH45" s="95"/>
    </row>
    <row r="46" spans="1:86" ht="15.6" customHeight="1">
      <c r="A46" s="519"/>
      <c r="B46" s="52" t="s">
        <v>435</v>
      </c>
      <c r="C46" s="327" t="s">
        <v>278</v>
      </c>
      <c r="D46" s="524" t="s">
        <v>326</v>
      </c>
      <c r="E46" s="294" t="s">
        <v>436</v>
      </c>
      <c r="F46" s="295"/>
      <c r="G46" s="257">
        <f t="shared" ref="G46:G48" si="45">N46</f>
        <v>213</v>
      </c>
      <c r="H46" s="257">
        <f t="shared" ref="H46:H48" si="46">T46</f>
        <v>213</v>
      </c>
      <c r="I46" s="257">
        <f>PI!D274</f>
        <v>213</v>
      </c>
      <c r="J46" s="257">
        <f>PI!E274</f>
        <v>213</v>
      </c>
      <c r="K46" s="257">
        <f>PI!F274</f>
        <v>213</v>
      </c>
      <c r="L46" s="257">
        <f>PI!G274</f>
        <v>213</v>
      </c>
      <c r="M46" s="257">
        <f>PI!H274</f>
        <v>213</v>
      </c>
      <c r="N46" s="257">
        <f>PI!I274</f>
        <v>213</v>
      </c>
      <c r="O46" s="257">
        <f>PI!J274</f>
        <v>213</v>
      </c>
      <c r="P46" s="257">
        <f>PI!K274</f>
        <v>213</v>
      </c>
      <c r="Q46" s="257">
        <f>PI!L274</f>
        <v>213</v>
      </c>
      <c r="R46" s="257">
        <f>PI!M274</f>
        <v>213</v>
      </c>
      <c r="S46" s="257">
        <f>PI!N274</f>
        <v>213</v>
      </c>
      <c r="T46" s="90">
        <f>PI!O274</f>
        <v>213</v>
      </c>
      <c r="U46" s="36"/>
      <c r="V46" s="36"/>
      <c r="W46" s="51"/>
      <c r="X46" s="52" t="s">
        <v>435</v>
      </c>
      <c r="Y46" s="364" t="s">
        <v>278</v>
      </c>
      <c r="Z46" s="53" t="s">
        <v>326</v>
      </c>
      <c r="AA46" s="61"/>
      <c r="AB46" s="53"/>
      <c r="AC46" s="89">
        <f t="shared" si="1"/>
        <v>292.92861650000003</v>
      </c>
      <c r="AD46" s="89">
        <f>AP46</f>
        <v>239.46162522222227</v>
      </c>
      <c r="AE46" s="142">
        <f>PI!AH273</f>
        <v>217.87441899999999</v>
      </c>
      <c r="AF46" s="142">
        <f>PI!AI273</f>
        <v>221.28408049999999</v>
      </c>
      <c r="AG46" s="142">
        <f>PI!AJ273</f>
        <v>249.64832133333334</v>
      </c>
      <c r="AH46" s="142">
        <f>PI!AK273</f>
        <v>257.82090475000001</v>
      </c>
      <c r="AI46" s="142">
        <f>PI!AL273</f>
        <v>261.50575980000002</v>
      </c>
      <c r="AJ46" s="142">
        <f>PI!AM273</f>
        <v>292.92861650000003</v>
      </c>
      <c r="AK46" s="142">
        <f>PI!AN273</f>
        <v>283.552346</v>
      </c>
      <c r="AL46" s="142">
        <f>PI!AO273</f>
        <v>258.82594562500003</v>
      </c>
      <c r="AM46" s="142">
        <f>PI!AP273</f>
        <v>239.46162522222227</v>
      </c>
      <c r="AN46" s="142">
        <f>PI!AQ273</f>
        <v>239.46162522222227</v>
      </c>
      <c r="AO46" s="142">
        <f>PI!AR273</f>
        <v>239.46162522222227</v>
      </c>
      <c r="AP46" s="95">
        <f>PI!AS273</f>
        <v>239.46162522222227</v>
      </c>
      <c r="AS46" s="51"/>
      <c r="AT46" s="52" t="s">
        <v>435</v>
      </c>
      <c r="AU46" s="364" t="s">
        <v>278</v>
      </c>
      <c r="AV46" s="53" t="s">
        <v>326</v>
      </c>
      <c r="AW46" s="61" t="s">
        <v>436</v>
      </c>
      <c r="AX46" s="53"/>
      <c r="AY46" s="89">
        <f t="shared" si="3"/>
        <v>62.474827934272284</v>
      </c>
      <c r="AZ46" s="89">
        <f t="shared" si="4"/>
        <v>87.576701773604569</v>
      </c>
      <c r="BA46" s="95">
        <f>IFERROR(IF((2-(AE46/I46))*100&gt;110,110,(2-(AE46/I46))*100),100)</f>
        <v>97.711540375586864</v>
      </c>
      <c r="BB46" s="95">
        <f t="shared" ref="BB46:BL46" si="47">IFERROR(IF((2-(AF46/J46))*100&gt;110,110,(2-(AF46/J46))*100),100)</f>
        <v>96.110760328638506</v>
      </c>
      <c r="BC46" s="95">
        <f t="shared" si="47"/>
        <v>82.794215336463225</v>
      </c>
      <c r="BD46" s="95">
        <f t="shared" si="47"/>
        <v>78.95732171361503</v>
      </c>
      <c r="BE46" s="95">
        <f t="shared" si="47"/>
        <v>77.227342816901398</v>
      </c>
      <c r="BF46" s="95">
        <f t="shared" si="47"/>
        <v>62.474827934272284</v>
      </c>
      <c r="BG46" s="95">
        <f t="shared" si="47"/>
        <v>66.876832863849756</v>
      </c>
      <c r="BH46" s="95">
        <f t="shared" si="47"/>
        <v>78.485471537558666</v>
      </c>
      <c r="BI46" s="95">
        <f t="shared" si="47"/>
        <v>87.576701773604569</v>
      </c>
      <c r="BJ46" s="95">
        <f t="shared" si="47"/>
        <v>87.576701773604569</v>
      </c>
      <c r="BK46" s="95">
        <f t="shared" si="47"/>
        <v>87.576701773604569</v>
      </c>
      <c r="BL46" s="95">
        <f t="shared" si="47"/>
        <v>87.576701773604569</v>
      </c>
      <c r="BM46"/>
      <c r="BN46"/>
      <c r="BO46" s="51"/>
      <c r="BP46" s="52" t="s">
        <v>435</v>
      </c>
      <c r="BQ46" s="364" t="s">
        <v>278</v>
      </c>
      <c r="BR46" s="53" t="s">
        <v>326</v>
      </c>
      <c r="BS46" s="61" t="s">
        <v>436</v>
      </c>
      <c r="BT46" s="53">
        <v>3</v>
      </c>
      <c r="BU46" s="89">
        <f t="shared" ref="BU46:BU48" si="48">CB46</f>
        <v>1.8742448380281684</v>
      </c>
      <c r="BV46" s="89">
        <f t="shared" ref="BV46:BV48" si="49">CH46</f>
        <v>2.6273010532081371</v>
      </c>
      <c r="BW46" s="111" cm="1">
        <f t="array" ref="BW46:CH46">BT46*BA46:BL46/100</f>
        <v>2.9313462112676056</v>
      </c>
      <c r="BX46" s="95">
        <v>2.8833228098591555</v>
      </c>
      <c r="BY46" s="95">
        <v>2.4838264600938968</v>
      </c>
      <c r="BZ46" s="95">
        <v>2.3687196514084508</v>
      </c>
      <c r="CA46" s="95">
        <v>2.3168202845070418</v>
      </c>
      <c r="CB46" s="95">
        <v>1.8742448380281684</v>
      </c>
      <c r="CC46" s="95">
        <v>2.0063049859154929</v>
      </c>
      <c r="CD46" s="95">
        <v>2.3545641461267599</v>
      </c>
      <c r="CE46" s="95">
        <v>2.6273010532081371</v>
      </c>
      <c r="CF46" s="95">
        <v>2.6273010532081371</v>
      </c>
      <c r="CG46" s="95">
        <v>2.6273010532081371</v>
      </c>
      <c r="CH46" s="95">
        <v>2.6273010532081371</v>
      </c>
    </row>
    <row r="47" spans="1:86" ht="15.6" customHeight="1">
      <c r="A47" s="519"/>
      <c r="B47" s="52" t="s">
        <v>437</v>
      </c>
      <c r="C47" s="327" t="s">
        <v>278</v>
      </c>
      <c r="D47" s="524" t="s">
        <v>326</v>
      </c>
      <c r="E47" s="294" t="s">
        <v>438</v>
      </c>
      <c r="F47" s="295"/>
      <c r="G47" s="257">
        <f t="shared" si="45"/>
        <v>96.04</v>
      </c>
      <c r="H47" s="257">
        <f t="shared" si="46"/>
        <v>96.04</v>
      </c>
      <c r="I47" s="257">
        <f>PI!D296</f>
        <v>96.04</v>
      </c>
      <c r="J47" s="257">
        <f>PI!E296</f>
        <v>96.04</v>
      </c>
      <c r="K47" s="257">
        <f>PI!F296</f>
        <v>96.04</v>
      </c>
      <c r="L47" s="257">
        <f>PI!G296</f>
        <v>96.04</v>
      </c>
      <c r="M47" s="257">
        <f>PI!H296</f>
        <v>96.04</v>
      </c>
      <c r="N47" s="257">
        <f>PI!I296</f>
        <v>96.04</v>
      </c>
      <c r="O47" s="257">
        <f>PI!J296</f>
        <v>96.04</v>
      </c>
      <c r="P47" s="257">
        <f>PI!K296</f>
        <v>96.04</v>
      </c>
      <c r="Q47" s="257">
        <f>PI!L296</f>
        <v>96.04</v>
      </c>
      <c r="R47" s="257">
        <f>PI!M296</f>
        <v>96.04</v>
      </c>
      <c r="S47" s="257">
        <f>PI!N296</f>
        <v>96.04</v>
      </c>
      <c r="T47" s="90">
        <f>PI!O296</f>
        <v>96.04</v>
      </c>
      <c r="U47" s="36"/>
      <c r="V47" s="36"/>
      <c r="W47" s="51"/>
      <c r="X47" s="52" t="s">
        <v>437</v>
      </c>
      <c r="Y47" s="364" t="s">
        <v>278</v>
      </c>
      <c r="Z47" s="53" t="s">
        <v>326</v>
      </c>
      <c r="AA47" s="61"/>
      <c r="AB47" s="53"/>
      <c r="AC47" s="89">
        <f t="shared" si="1"/>
        <v>156.22762766666668</v>
      </c>
      <c r="AD47" s="89">
        <f>AP47</f>
        <v>95.613041799999991</v>
      </c>
      <c r="AE47" s="142">
        <f>PI!AH295</f>
        <v>148.600922</v>
      </c>
      <c r="AF47" s="142">
        <f>PI!AI295</f>
        <v>169.88312250000001</v>
      </c>
      <c r="AG47" s="142">
        <f>PI!AJ295</f>
        <v>162.62208166666667</v>
      </c>
      <c r="AH47" s="142">
        <f>PI!AK295</f>
        <v>172.87793300000001</v>
      </c>
      <c r="AI47" s="142">
        <f>PI!AL295</f>
        <v>168.37847600000001</v>
      </c>
      <c r="AJ47" s="142">
        <f>PI!AM295</f>
        <v>156.22762766666668</v>
      </c>
      <c r="AK47" s="142">
        <f>PI!AN295</f>
        <v>134.73275485714285</v>
      </c>
      <c r="AL47" s="142">
        <f>PI!AO295</f>
        <v>118.46785025</v>
      </c>
      <c r="AM47" s="142">
        <f>PI!AP295</f>
        <v>106.06112455555555</v>
      </c>
      <c r="AN47" s="142">
        <f>PI!AQ295</f>
        <v>95.613041799999991</v>
      </c>
      <c r="AO47" s="142">
        <f>PI!AR295</f>
        <v>95.613041799999991</v>
      </c>
      <c r="AP47" s="95">
        <f>PI!AS295</f>
        <v>95.613041799999991</v>
      </c>
      <c r="AS47" s="51"/>
      <c r="AT47" s="52" t="s">
        <v>437</v>
      </c>
      <c r="AU47" s="364" t="s">
        <v>278</v>
      </c>
      <c r="AV47" s="53" t="s">
        <v>326</v>
      </c>
      <c r="AW47" s="61" t="s">
        <v>438</v>
      </c>
      <c r="AX47" s="53"/>
      <c r="AY47" s="89">
        <f t="shared" si="3"/>
        <v>37.330666736082186</v>
      </c>
      <c r="AZ47" s="89">
        <f t="shared" si="4"/>
        <v>100.44456289046231</v>
      </c>
      <c r="BA47" s="95">
        <f>IF((2-(AE47/I47))*100&gt;110,110,IF((2-(AE47/I47))*100&lt;0,0,(2-(AE47/I47))*100))</f>
        <v>45.271842982090817</v>
      </c>
      <c r="BB47" s="95">
        <f t="shared" ref="BB47:BL47" si="50">IF((2-(AF47/J47))*100&gt;110,110,IF((2-(AF47/J47))*100&lt;0,0,(2-(AF47/J47))*100))</f>
        <v>23.112117346938767</v>
      </c>
      <c r="BC47" s="95">
        <f t="shared" si="50"/>
        <v>30.672551367485767</v>
      </c>
      <c r="BD47" s="95">
        <f t="shared" si="50"/>
        <v>19.99382236568097</v>
      </c>
      <c r="BE47" s="95">
        <f t="shared" si="50"/>
        <v>24.678804664723032</v>
      </c>
      <c r="BF47" s="95">
        <f t="shared" si="50"/>
        <v>37.330666736082186</v>
      </c>
      <c r="BG47" s="95">
        <f t="shared" si="50"/>
        <v>59.71183375974298</v>
      </c>
      <c r="BH47" s="95">
        <f t="shared" si="50"/>
        <v>76.647386245314465</v>
      </c>
      <c r="BI47" s="95">
        <f t="shared" si="50"/>
        <v>89.56567622287011</v>
      </c>
      <c r="BJ47" s="95">
        <f t="shared" si="50"/>
        <v>100.44456289046231</v>
      </c>
      <c r="BK47" s="95">
        <f t="shared" si="50"/>
        <v>100.44456289046231</v>
      </c>
      <c r="BL47" s="95">
        <f t="shared" si="50"/>
        <v>100.44456289046231</v>
      </c>
      <c r="BM47"/>
      <c r="BN47"/>
      <c r="BO47" s="51"/>
      <c r="BP47" s="52" t="s">
        <v>437</v>
      </c>
      <c r="BQ47" s="364" t="s">
        <v>278</v>
      </c>
      <c r="BR47" s="53" t="s">
        <v>326</v>
      </c>
      <c r="BS47" s="61" t="s">
        <v>438</v>
      </c>
      <c r="BT47" s="53">
        <v>3</v>
      </c>
      <c r="BU47" s="89">
        <f t="shared" si="48"/>
        <v>1.1199200020824656</v>
      </c>
      <c r="BV47" s="89">
        <f t="shared" si="49"/>
        <v>3.0133368867138692</v>
      </c>
      <c r="BW47" s="111" cm="1">
        <f t="array" ref="BW47:CH47">BT47*BA47:BL47/100</f>
        <v>1.3581552894627245</v>
      </c>
      <c r="BX47" s="95">
        <v>0.69336352040816307</v>
      </c>
      <c r="BY47" s="95">
        <v>0.92017654102457302</v>
      </c>
      <c r="BZ47" s="95">
        <v>0.59981467097042906</v>
      </c>
      <c r="CA47" s="95">
        <v>0.74036413994169092</v>
      </c>
      <c r="CB47" s="95">
        <v>1.1199200020824656</v>
      </c>
      <c r="CC47" s="95">
        <v>1.7913550127922895</v>
      </c>
      <c r="CD47" s="95">
        <v>2.2994215873594341</v>
      </c>
      <c r="CE47" s="95">
        <v>2.6869702866861029</v>
      </c>
      <c r="CF47" s="95">
        <v>3.0133368867138692</v>
      </c>
      <c r="CG47" s="95">
        <v>3.0133368867138692</v>
      </c>
      <c r="CH47" s="95">
        <v>3.0133368867138692</v>
      </c>
    </row>
    <row r="48" spans="1:86" ht="15.6" customHeight="1">
      <c r="A48" s="519"/>
      <c r="B48" s="52" t="s">
        <v>330</v>
      </c>
      <c r="C48" s="327" t="s">
        <v>276</v>
      </c>
      <c r="D48" s="524" t="s">
        <v>326</v>
      </c>
      <c r="E48" s="294" t="s">
        <v>439</v>
      </c>
      <c r="F48" s="295"/>
      <c r="G48" s="257">
        <f t="shared" si="45"/>
        <v>2.04</v>
      </c>
      <c r="H48" s="257">
        <f t="shared" si="46"/>
        <v>5.0999999999999996</v>
      </c>
      <c r="I48" s="257">
        <f>PI!D317</f>
        <v>0.34</v>
      </c>
      <c r="J48" s="257">
        <f>PI!E317</f>
        <v>0.68</v>
      </c>
      <c r="K48" s="257">
        <f>PI!F317</f>
        <v>1.02</v>
      </c>
      <c r="L48" s="257">
        <f>PI!G317</f>
        <v>1.36</v>
      </c>
      <c r="M48" s="257">
        <f>PI!H317</f>
        <v>1.7</v>
      </c>
      <c r="N48" s="257">
        <f>PI!I317</f>
        <v>2.04</v>
      </c>
      <c r="O48" s="257">
        <f>PI!J317</f>
        <v>2.5499999999999998</v>
      </c>
      <c r="P48" s="257">
        <f>PI!K317</f>
        <v>3.06</v>
      </c>
      <c r="Q48" s="257">
        <f>PI!L317</f>
        <v>3.57</v>
      </c>
      <c r="R48" s="257">
        <f>PI!M317</f>
        <v>4.08</v>
      </c>
      <c r="S48" s="257">
        <f>PI!N317</f>
        <v>4.59</v>
      </c>
      <c r="T48" s="90">
        <f>PI!O317</f>
        <v>5.0999999999999996</v>
      </c>
      <c r="U48" s="36"/>
      <c r="V48" s="36"/>
      <c r="W48" s="51"/>
      <c r="X48" s="52" t="s">
        <v>330</v>
      </c>
      <c r="Y48" s="364" t="s">
        <v>276</v>
      </c>
      <c r="Z48" s="53" t="s">
        <v>326</v>
      </c>
      <c r="AA48" s="61"/>
      <c r="AB48" s="53"/>
      <c r="AC48" s="89">
        <f t="shared" si="1"/>
        <v>2.7871760000000001</v>
      </c>
      <c r="AD48" s="89">
        <f>AP48</f>
        <v>0</v>
      </c>
      <c r="AE48" s="142">
        <f>PI!AH318</f>
        <v>0</v>
      </c>
      <c r="AF48" s="142">
        <f>PI!AI318</f>
        <v>0</v>
      </c>
      <c r="AG48" s="142">
        <f>PI!AJ318</f>
        <v>1.539625</v>
      </c>
      <c r="AH48" s="142">
        <f>PI!AK318</f>
        <v>1.539625</v>
      </c>
      <c r="AI48" s="142">
        <f>PI!AL318</f>
        <v>2.7871760000000001</v>
      </c>
      <c r="AJ48" s="142">
        <f>PI!AM318</f>
        <v>2.7871760000000001</v>
      </c>
      <c r="AK48" s="142">
        <f>PI!AN318</f>
        <v>2.7871760000000001</v>
      </c>
      <c r="AL48" s="142">
        <f>PI!AO318</f>
        <v>2.7871760000000001</v>
      </c>
      <c r="AM48" s="142">
        <f>PI!AP318</f>
        <v>4.3891640000000001</v>
      </c>
      <c r="AN48" s="142">
        <f>PI!AQ318</f>
        <v>4.3891640000000001</v>
      </c>
      <c r="AO48" s="142">
        <f>PI!AR318</f>
        <v>0</v>
      </c>
      <c r="AP48" s="95">
        <f>PI!AS318</f>
        <v>0</v>
      </c>
      <c r="AS48" s="51"/>
      <c r="AT48" s="52" t="s">
        <v>330</v>
      </c>
      <c r="AU48" s="364" t="s">
        <v>276</v>
      </c>
      <c r="AV48" s="53" t="s">
        <v>326</v>
      </c>
      <c r="AW48" s="61" t="s">
        <v>439</v>
      </c>
      <c r="AX48" s="53"/>
      <c r="AY48" s="89">
        <f t="shared" si="3"/>
        <v>110</v>
      </c>
      <c r="AZ48" s="89">
        <f t="shared" si="4"/>
        <v>0</v>
      </c>
      <c r="BA48" s="95">
        <f>IFERROR(IF(AE48/I48*100&gt;110,110,AE48/I48*100),100)</f>
        <v>0</v>
      </c>
      <c r="BB48" s="95">
        <f t="shared" ref="BB48:BL48" si="51">IFERROR(IF(AF48/J48*100&gt;110,110,AF48/J48*100),100)</f>
        <v>0</v>
      </c>
      <c r="BC48" s="95">
        <f t="shared" si="51"/>
        <v>110</v>
      </c>
      <c r="BD48" s="95">
        <f t="shared" si="51"/>
        <v>110</v>
      </c>
      <c r="BE48" s="95">
        <f t="shared" si="51"/>
        <v>110</v>
      </c>
      <c r="BF48" s="95">
        <f t="shared" si="51"/>
        <v>110</v>
      </c>
      <c r="BG48" s="95">
        <f t="shared" si="51"/>
        <v>109.30101960784316</v>
      </c>
      <c r="BH48" s="95">
        <f t="shared" si="51"/>
        <v>91.084183006535952</v>
      </c>
      <c r="BI48" s="95">
        <f t="shared" si="51"/>
        <v>110</v>
      </c>
      <c r="BJ48" s="95">
        <f t="shared" si="51"/>
        <v>107.57754901960783</v>
      </c>
      <c r="BK48" s="95">
        <f t="shared" si="51"/>
        <v>0</v>
      </c>
      <c r="BL48" s="95">
        <f t="shared" si="51"/>
        <v>0</v>
      </c>
      <c r="BM48"/>
      <c r="BN48"/>
      <c r="BO48" s="51"/>
      <c r="BP48" s="52" t="s">
        <v>330</v>
      </c>
      <c r="BQ48" s="364" t="s">
        <v>276</v>
      </c>
      <c r="BR48" s="53" t="s">
        <v>326</v>
      </c>
      <c r="BS48" s="61" t="s">
        <v>439</v>
      </c>
      <c r="BT48" s="53">
        <v>3</v>
      </c>
      <c r="BU48" s="89">
        <f t="shared" si="48"/>
        <v>3.3</v>
      </c>
      <c r="BV48" s="89">
        <f t="shared" si="49"/>
        <v>0</v>
      </c>
      <c r="BW48" s="111" cm="1">
        <f t="array" ref="BW48:CH48">BT48*BA48:BL48/100</f>
        <v>0</v>
      </c>
      <c r="BX48" s="95">
        <v>0</v>
      </c>
      <c r="BY48" s="95">
        <v>3.3</v>
      </c>
      <c r="BZ48" s="95">
        <v>3.3</v>
      </c>
      <c r="CA48" s="95">
        <v>3.3</v>
      </c>
      <c r="CB48" s="95">
        <v>3.3</v>
      </c>
      <c r="CC48" s="95">
        <v>3.2790305882352948</v>
      </c>
      <c r="CD48" s="95">
        <v>2.7325254901960783</v>
      </c>
      <c r="CE48" s="95">
        <v>3.3</v>
      </c>
      <c r="CF48" s="95">
        <v>3.2273264705882347</v>
      </c>
      <c r="CG48" s="95">
        <v>0</v>
      </c>
      <c r="CH48" s="95">
        <v>0</v>
      </c>
    </row>
    <row r="49" spans="1:86" ht="16.5">
      <c r="A49" s="520">
        <v>13</v>
      </c>
      <c r="B49" s="267" t="s">
        <v>355</v>
      </c>
      <c r="C49" s="301"/>
      <c r="D49" s="524"/>
      <c r="E49" s="294"/>
      <c r="F49" s="295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90"/>
      <c r="U49" s="36"/>
      <c r="V49" s="36"/>
      <c r="W49" s="51">
        <f ca="1">T.MOUTONG!W49</f>
        <v>13</v>
      </c>
      <c r="X49" s="267" t="s">
        <v>355</v>
      </c>
      <c r="Y49" s="364"/>
      <c r="Z49" s="53"/>
      <c r="AA49" s="61" t="e">
        <v>#REF!</v>
      </c>
      <c r="AB49" s="53"/>
      <c r="AC49" s="89"/>
      <c r="AD49" s="89"/>
      <c r="AE49" s="89"/>
      <c r="AF49" s="89"/>
      <c r="AG49" s="89"/>
      <c r="AH49" s="89"/>
      <c r="AI49" s="89"/>
      <c r="AJ49" s="89"/>
      <c r="AK49" s="89"/>
      <c r="AL49" s="89"/>
      <c r="AM49" s="89"/>
      <c r="AN49" s="89"/>
      <c r="AO49" s="89"/>
      <c r="AP49" s="111"/>
      <c r="AS49" s="51">
        <v>13</v>
      </c>
      <c r="AT49" s="267" t="s">
        <v>355</v>
      </c>
      <c r="AU49" s="364"/>
      <c r="AV49" s="53"/>
      <c r="AW49" s="61"/>
      <c r="AX49" s="53"/>
      <c r="AY49" s="89"/>
      <c r="AZ49" s="89"/>
      <c r="BA49" s="111"/>
      <c r="BB49" s="111"/>
      <c r="BC49" s="111"/>
      <c r="BD49" s="111"/>
      <c r="BE49" s="111"/>
      <c r="BF49" s="111"/>
      <c r="BG49" s="111"/>
      <c r="BH49" s="111"/>
      <c r="BI49" s="111"/>
      <c r="BJ49" s="111"/>
      <c r="BK49" s="111"/>
      <c r="BL49" s="111"/>
      <c r="BO49" s="51">
        <v>13</v>
      </c>
      <c r="BP49" s="267" t="s">
        <v>355</v>
      </c>
      <c r="BQ49" s="364"/>
      <c r="BR49" s="53"/>
      <c r="BS49" s="61"/>
      <c r="BT49" s="53"/>
      <c r="BU49" s="89"/>
      <c r="BV49" s="89"/>
      <c r="BW49" s="111"/>
      <c r="BX49" s="111"/>
      <c r="BY49" s="111"/>
      <c r="BZ49" s="111"/>
      <c r="CA49" s="111"/>
      <c r="CB49" s="111"/>
      <c r="CC49" s="111"/>
      <c r="CD49" s="111"/>
      <c r="CE49" s="111"/>
      <c r="CF49" s="111"/>
      <c r="CG49" s="111"/>
      <c r="CH49" s="111"/>
    </row>
    <row r="50" spans="1:86" ht="15.6" customHeight="1">
      <c r="A50" s="517"/>
      <c r="B50" s="52" t="s">
        <v>356</v>
      </c>
      <c r="C50" s="301"/>
      <c r="D50" s="524"/>
      <c r="E50" s="292" t="s">
        <v>396</v>
      </c>
      <c r="F50" s="61" t="s">
        <v>357</v>
      </c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90"/>
      <c r="U50" s="36"/>
      <c r="V50" s="36"/>
      <c r="W50" s="51"/>
      <c r="X50" s="52" t="s">
        <v>356</v>
      </c>
      <c r="Y50" s="364"/>
      <c r="Z50" s="53"/>
      <c r="AA50" s="61" t="e">
        <v>#REF!</v>
      </c>
      <c r="AB50" s="53" t="s">
        <v>357</v>
      </c>
      <c r="AC50" s="89"/>
      <c r="AD50" s="89"/>
      <c r="AE50" s="89"/>
      <c r="AF50" s="89"/>
      <c r="AG50" s="89"/>
      <c r="AH50" s="89"/>
      <c r="AI50" s="89"/>
      <c r="AJ50" s="89"/>
      <c r="AK50" s="89"/>
      <c r="AL50" s="89"/>
      <c r="AM50" s="89"/>
      <c r="AN50" s="89"/>
      <c r="AO50" s="89"/>
      <c r="AP50" s="111"/>
      <c r="AS50" s="51"/>
      <c r="AT50" s="52" t="s">
        <v>356</v>
      </c>
      <c r="AU50" s="364"/>
      <c r="AV50" s="53"/>
      <c r="AW50" s="61" t="s">
        <v>396</v>
      </c>
      <c r="AX50" s="53" t="s">
        <v>357</v>
      </c>
      <c r="AY50" s="89"/>
      <c r="AZ50" s="89"/>
      <c r="BA50" s="111"/>
      <c r="BB50" s="111"/>
      <c r="BC50" s="111"/>
      <c r="BD50" s="111"/>
      <c r="BE50" s="111"/>
      <c r="BF50" s="111"/>
      <c r="BG50" s="111"/>
      <c r="BH50" s="111"/>
      <c r="BI50" s="111"/>
      <c r="BJ50" s="111"/>
      <c r="BK50" s="111"/>
      <c r="BL50" s="111"/>
      <c r="BO50" s="51"/>
      <c r="BP50" s="52" t="s">
        <v>356</v>
      </c>
      <c r="BQ50" s="364"/>
      <c r="BR50" s="53"/>
      <c r="BS50" s="61" t="s">
        <v>396</v>
      </c>
      <c r="BT50" s="53" t="s">
        <v>357</v>
      </c>
      <c r="BU50" s="89"/>
      <c r="BV50" s="89"/>
      <c r="BW50" s="111"/>
      <c r="BX50" s="111"/>
      <c r="BY50" s="111"/>
      <c r="BZ50" s="111"/>
      <c r="CA50" s="111"/>
      <c r="CB50" s="111"/>
      <c r="CC50" s="111"/>
      <c r="CD50" s="111"/>
      <c r="CE50" s="111"/>
      <c r="CF50" s="111"/>
      <c r="CG50" s="111"/>
      <c r="CH50" s="111"/>
    </row>
    <row r="51" spans="1:86" ht="15.6" customHeight="1">
      <c r="A51" s="519"/>
      <c r="B51" s="52" t="s">
        <v>358</v>
      </c>
      <c r="C51" s="301"/>
      <c r="D51" s="524"/>
      <c r="E51" s="292" t="s">
        <v>440</v>
      </c>
      <c r="F51" s="61" t="s">
        <v>359</v>
      </c>
      <c r="G51" s="257"/>
      <c r="H51" s="257"/>
      <c r="I51" s="257"/>
      <c r="J51" s="257"/>
      <c r="K51" s="257"/>
      <c r="L51" s="257"/>
      <c r="M51" s="257"/>
      <c r="N51" s="257"/>
      <c r="O51" s="257"/>
      <c r="P51" s="257"/>
      <c r="Q51" s="257"/>
      <c r="R51" s="257"/>
      <c r="S51" s="257"/>
      <c r="T51" s="90"/>
      <c r="U51" s="36"/>
      <c r="V51" s="36"/>
      <c r="W51" s="51"/>
      <c r="X51" s="52" t="s">
        <v>358</v>
      </c>
      <c r="Y51" s="364"/>
      <c r="Z51" s="53"/>
      <c r="AA51" s="61" t="e">
        <v>#REF!</v>
      </c>
      <c r="AB51" s="53" t="s">
        <v>359</v>
      </c>
      <c r="AC51" s="89"/>
      <c r="AD51" s="89"/>
      <c r="AE51" s="89"/>
      <c r="AF51" s="89"/>
      <c r="AG51" s="89"/>
      <c r="AH51" s="89"/>
      <c r="AI51" s="89"/>
      <c r="AJ51" s="89"/>
      <c r="AK51" s="89"/>
      <c r="AL51" s="89"/>
      <c r="AM51" s="89"/>
      <c r="AN51" s="89"/>
      <c r="AO51" s="89"/>
      <c r="AP51" s="111"/>
      <c r="AS51" s="51"/>
      <c r="AT51" s="52" t="s">
        <v>358</v>
      </c>
      <c r="AU51" s="364"/>
      <c r="AV51" s="53"/>
      <c r="AW51" s="61" t="s">
        <v>440</v>
      </c>
      <c r="AX51" s="53" t="s">
        <v>359</v>
      </c>
      <c r="AY51" s="89"/>
      <c r="AZ51" s="89"/>
      <c r="BA51" s="111"/>
      <c r="BB51" s="111"/>
      <c r="BC51" s="111"/>
      <c r="BD51" s="111"/>
      <c r="BE51" s="111"/>
      <c r="BF51" s="111"/>
      <c r="BG51" s="111"/>
      <c r="BH51" s="111"/>
      <c r="BI51" s="111"/>
      <c r="BJ51" s="111"/>
      <c r="BK51" s="111"/>
      <c r="BL51" s="111"/>
      <c r="BO51" s="51"/>
      <c r="BP51" s="52" t="s">
        <v>358</v>
      </c>
      <c r="BQ51" s="364"/>
      <c r="BR51" s="53"/>
      <c r="BS51" s="61" t="s">
        <v>440</v>
      </c>
      <c r="BT51" s="53" t="s">
        <v>359</v>
      </c>
      <c r="BU51" s="89"/>
      <c r="BV51" s="89"/>
      <c r="BW51" s="111"/>
      <c r="BX51" s="111"/>
      <c r="BY51" s="111"/>
      <c r="BZ51" s="111"/>
      <c r="CA51" s="111"/>
      <c r="CB51" s="111"/>
      <c r="CC51" s="111"/>
      <c r="CD51" s="111"/>
      <c r="CE51" s="111"/>
      <c r="CF51" s="111"/>
      <c r="CG51" s="111"/>
      <c r="CH51" s="111"/>
    </row>
    <row r="52" spans="1:86" ht="15.6" customHeight="1">
      <c r="A52" s="519"/>
      <c r="B52" s="52" t="s">
        <v>360</v>
      </c>
      <c r="C52" s="301"/>
      <c r="D52" s="524"/>
      <c r="E52" s="294" t="s">
        <v>398</v>
      </c>
      <c r="F52" s="286" t="s">
        <v>362</v>
      </c>
      <c r="G52" s="257"/>
      <c r="H52" s="257"/>
      <c r="I52" s="257"/>
      <c r="J52" s="257"/>
      <c r="K52" s="257"/>
      <c r="L52" s="257"/>
      <c r="M52" s="257"/>
      <c r="N52" s="257"/>
      <c r="O52" s="257"/>
      <c r="P52" s="257"/>
      <c r="Q52" s="257"/>
      <c r="R52" s="257"/>
      <c r="S52" s="257"/>
      <c r="T52" s="90"/>
      <c r="U52" s="36"/>
      <c r="V52" s="36"/>
      <c r="W52" s="51"/>
      <c r="X52" s="52" t="s">
        <v>360</v>
      </c>
      <c r="Y52" s="364"/>
      <c r="Z52" s="53"/>
      <c r="AA52" s="61" t="e">
        <v>#REF!</v>
      </c>
      <c r="AB52" s="53" t="s">
        <v>362</v>
      </c>
      <c r="AC52" s="89"/>
      <c r="AD52" s="89"/>
      <c r="AE52" s="89"/>
      <c r="AF52" s="89"/>
      <c r="AG52" s="89"/>
      <c r="AH52" s="89"/>
      <c r="AI52" s="89"/>
      <c r="AJ52" s="89"/>
      <c r="AK52" s="89"/>
      <c r="AL52" s="89"/>
      <c r="AM52" s="89"/>
      <c r="AN52" s="89"/>
      <c r="AO52" s="89"/>
      <c r="AP52" s="111"/>
      <c r="AS52" s="51"/>
      <c r="AT52" s="52" t="s">
        <v>360</v>
      </c>
      <c r="AU52" s="364"/>
      <c r="AV52" s="53"/>
      <c r="AW52" s="61" t="s">
        <v>398</v>
      </c>
      <c r="AX52" s="53" t="s">
        <v>362</v>
      </c>
      <c r="AY52" s="89"/>
      <c r="AZ52" s="89"/>
      <c r="BA52" s="111"/>
      <c r="BB52" s="111"/>
      <c r="BC52" s="111"/>
      <c r="BD52" s="111"/>
      <c r="BE52" s="111"/>
      <c r="BF52" s="111"/>
      <c r="BG52" s="111"/>
      <c r="BH52" s="111"/>
      <c r="BI52" s="111"/>
      <c r="BJ52" s="111"/>
      <c r="BK52" s="111"/>
      <c r="BL52" s="111"/>
      <c r="BO52" s="51"/>
      <c r="BP52" s="52" t="s">
        <v>360</v>
      </c>
      <c r="BQ52" s="364"/>
      <c r="BR52" s="53"/>
      <c r="BS52" s="61" t="s">
        <v>398</v>
      </c>
      <c r="BT52" s="53" t="s">
        <v>362</v>
      </c>
      <c r="BU52" s="89"/>
      <c r="BV52" s="89"/>
      <c r="BW52" s="111"/>
      <c r="BX52" s="111"/>
      <c r="BY52" s="111"/>
      <c r="BZ52" s="111"/>
      <c r="CA52" s="111"/>
      <c r="CB52" s="111"/>
      <c r="CC52" s="111"/>
      <c r="CD52" s="111"/>
      <c r="CE52" s="111"/>
      <c r="CF52" s="111"/>
      <c r="CG52" s="111"/>
      <c r="CH52" s="111"/>
    </row>
    <row r="53" spans="1:86" ht="16.5">
      <c r="A53" s="519"/>
      <c r="B53" s="52" t="s">
        <v>363</v>
      </c>
      <c r="C53" s="301"/>
      <c r="D53" s="524"/>
      <c r="E53" s="294" t="s">
        <v>399</v>
      </c>
      <c r="F53" s="461" t="s">
        <v>365</v>
      </c>
      <c r="G53" s="274"/>
      <c r="H53" s="274"/>
      <c r="I53" s="274"/>
      <c r="J53" s="274"/>
      <c r="K53" s="274"/>
      <c r="L53" s="274"/>
      <c r="M53" s="274"/>
      <c r="N53" s="274"/>
      <c r="O53" s="274"/>
      <c r="P53" s="274"/>
      <c r="Q53" s="274"/>
      <c r="R53" s="274"/>
      <c r="S53" s="274"/>
      <c r="T53" s="91"/>
      <c r="U53" s="36"/>
      <c r="V53" s="36"/>
      <c r="W53" s="51"/>
      <c r="X53" s="52" t="s">
        <v>363</v>
      </c>
      <c r="Y53" s="364"/>
      <c r="Z53" s="53"/>
      <c r="AA53" s="61"/>
      <c r="AB53" s="53" t="s">
        <v>365</v>
      </c>
      <c r="AC53" s="89"/>
      <c r="AD53" s="89"/>
      <c r="AE53" s="89"/>
      <c r="AF53" s="89"/>
      <c r="AG53" s="89"/>
      <c r="AH53" s="89"/>
      <c r="AI53" s="89"/>
      <c r="AJ53" s="89"/>
      <c r="AK53" s="89"/>
      <c r="AL53" s="89"/>
      <c r="AM53" s="89"/>
      <c r="AN53" s="89"/>
      <c r="AO53" s="89"/>
      <c r="AP53" s="111"/>
      <c r="AS53" s="51"/>
      <c r="AT53" s="52" t="s">
        <v>363</v>
      </c>
      <c r="AU53" s="364"/>
      <c r="AV53" s="53"/>
      <c r="AW53" s="61" t="s">
        <v>399</v>
      </c>
      <c r="AX53" s="53" t="s">
        <v>365</v>
      </c>
      <c r="AY53" s="89"/>
      <c r="AZ53" s="89"/>
      <c r="BA53" s="111"/>
      <c r="BB53" s="111"/>
      <c r="BC53" s="111"/>
      <c r="BD53" s="111"/>
      <c r="BE53" s="111"/>
      <c r="BF53" s="111"/>
      <c r="BG53" s="111"/>
      <c r="BH53" s="111"/>
      <c r="BI53" s="111"/>
      <c r="BJ53" s="111"/>
      <c r="BK53" s="111"/>
      <c r="BL53" s="111"/>
      <c r="BO53" s="51"/>
      <c r="BP53" s="52" t="s">
        <v>363</v>
      </c>
      <c r="BQ53" s="364"/>
      <c r="BR53" s="53"/>
      <c r="BS53" s="61" t="s">
        <v>399</v>
      </c>
      <c r="BT53" s="53" t="s">
        <v>365</v>
      </c>
      <c r="BU53" s="89"/>
      <c r="BV53" s="89"/>
      <c r="BW53" s="111"/>
      <c r="BX53" s="111"/>
      <c r="BY53" s="111"/>
      <c r="BZ53" s="111"/>
      <c r="CA53" s="111"/>
      <c r="CB53" s="111"/>
      <c r="CC53" s="111"/>
      <c r="CD53" s="111"/>
      <c r="CE53" s="111"/>
      <c r="CF53" s="111"/>
      <c r="CG53" s="111"/>
      <c r="CH53" s="111"/>
    </row>
    <row r="54" spans="1:86" ht="33">
      <c r="A54" s="520"/>
      <c r="B54" s="52" t="s">
        <v>366</v>
      </c>
      <c r="C54" s="301"/>
      <c r="D54" s="524"/>
      <c r="E54" s="294" t="s">
        <v>441</v>
      </c>
      <c r="F54" s="531" t="s">
        <v>367</v>
      </c>
      <c r="G54" s="257"/>
      <c r="H54" s="257"/>
      <c r="I54" s="257"/>
      <c r="J54" s="257"/>
      <c r="K54" s="257"/>
      <c r="L54" s="257"/>
      <c r="M54" s="257"/>
      <c r="N54" s="257"/>
      <c r="O54" s="257"/>
      <c r="P54" s="257"/>
      <c r="Q54" s="257"/>
      <c r="R54" s="257"/>
      <c r="S54" s="257"/>
      <c r="T54" s="90"/>
      <c r="U54" s="36"/>
      <c r="V54" s="36"/>
      <c r="W54" s="51"/>
      <c r="X54" s="52" t="s">
        <v>366</v>
      </c>
      <c r="Y54" s="364"/>
      <c r="Z54" s="53"/>
      <c r="AA54" s="61" t="e">
        <v>#REF!</v>
      </c>
      <c r="AB54" s="53" t="s">
        <v>367</v>
      </c>
      <c r="AC54" s="89"/>
      <c r="AD54" s="89"/>
      <c r="AE54" s="89"/>
      <c r="AF54" s="89"/>
      <c r="AG54" s="89"/>
      <c r="AH54" s="89"/>
      <c r="AI54" s="89"/>
      <c r="AJ54" s="89"/>
      <c r="AK54" s="89"/>
      <c r="AL54" s="89"/>
      <c r="AM54" s="89"/>
      <c r="AN54" s="89"/>
      <c r="AO54" s="89"/>
      <c r="AP54" s="111"/>
      <c r="AS54" s="51"/>
      <c r="AT54" s="52" t="s">
        <v>366</v>
      </c>
      <c r="AU54" s="364"/>
      <c r="AV54" s="53"/>
      <c r="AW54" s="61" t="s">
        <v>441</v>
      </c>
      <c r="AX54" s="53" t="s">
        <v>367</v>
      </c>
      <c r="AY54" s="89"/>
      <c r="AZ54" s="89"/>
      <c r="BA54" s="111"/>
      <c r="BB54" s="111"/>
      <c r="BC54" s="111"/>
      <c r="BD54" s="111"/>
      <c r="BE54" s="111"/>
      <c r="BF54" s="111"/>
      <c r="BG54" s="111"/>
      <c r="BH54" s="111"/>
      <c r="BI54" s="111"/>
      <c r="BJ54" s="111"/>
      <c r="BK54" s="111"/>
      <c r="BL54" s="111"/>
      <c r="BO54" s="51"/>
      <c r="BP54" s="52" t="s">
        <v>366</v>
      </c>
      <c r="BQ54" s="364"/>
      <c r="BR54" s="53"/>
      <c r="BS54" s="61" t="s">
        <v>441</v>
      </c>
      <c r="BT54" s="53" t="s">
        <v>367</v>
      </c>
      <c r="BU54" s="89"/>
      <c r="BV54" s="89"/>
      <c r="BW54" s="111"/>
      <c r="BX54" s="111"/>
      <c r="BY54" s="111"/>
      <c r="BZ54" s="111"/>
      <c r="CA54" s="111"/>
      <c r="CB54" s="111"/>
      <c r="CC54" s="111"/>
      <c r="CD54" s="111"/>
      <c r="CE54" s="111"/>
      <c r="CF54" s="111"/>
      <c r="CG54" s="111"/>
      <c r="CH54" s="111"/>
    </row>
    <row r="55" spans="1:86" ht="16.5">
      <c r="A55" s="58"/>
      <c r="B55" s="59" t="s">
        <v>104</v>
      </c>
      <c r="C55" s="530"/>
      <c r="D55" s="545"/>
      <c r="E55" s="279"/>
      <c r="F55" s="279">
        <f>F7+F17</f>
        <v>100</v>
      </c>
      <c r="G55" s="279"/>
      <c r="H55" s="279"/>
      <c r="I55" s="279"/>
      <c r="J55" s="279"/>
      <c r="K55" s="279"/>
      <c r="L55" s="279"/>
      <c r="M55" s="279"/>
      <c r="N55" s="279"/>
      <c r="O55" s="279"/>
      <c r="P55" s="279"/>
      <c r="Q55" s="279"/>
      <c r="R55" s="279"/>
      <c r="S55" s="279"/>
      <c r="T55" s="58"/>
      <c r="W55" s="54"/>
      <c r="X55" s="55" t="str">
        <f ca="1">T.TOLIS!X55</f>
        <v>TOTAL BOBOT</v>
      </c>
      <c r="Y55" s="365"/>
      <c r="Z55" s="129"/>
      <c r="AA55" s="55"/>
      <c r="AB55" s="139">
        <f>AB7+AB17</f>
        <v>100</v>
      </c>
      <c r="AC55" s="139"/>
      <c r="AD55" s="139"/>
      <c r="AE55" s="139"/>
      <c r="AF55" s="139"/>
      <c r="AG55" s="139"/>
      <c r="AH55" s="139"/>
      <c r="AI55" s="139"/>
      <c r="AJ55" s="139"/>
      <c r="AK55" s="139"/>
      <c r="AL55" s="139"/>
      <c r="AM55" s="139"/>
      <c r="AN55" s="139"/>
      <c r="AO55" s="139"/>
      <c r="AP55" s="168"/>
      <c r="AS55" s="54"/>
      <c r="AT55" s="55" t="str">
        <f ca="1">T.TOLIS!AT55</f>
        <v>TOTAL BOBOT</v>
      </c>
      <c r="AU55" s="365"/>
      <c r="AV55" s="129"/>
      <c r="AW55" s="55"/>
      <c r="AX55" s="139">
        <f>AX7+AX17</f>
        <v>100</v>
      </c>
      <c r="AY55" s="139"/>
      <c r="AZ55" s="139"/>
      <c r="BA55" s="168"/>
      <c r="BB55" s="168"/>
      <c r="BC55" s="168"/>
      <c r="BD55" s="168"/>
      <c r="BE55" s="168"/>
      <c r="BF55" s="168"/>
      <c r="BG55" s="168"/>
      <c r="BH55" s="168"/>
      <c r="BI55" s="168"/>
      <c r="BJ55" s="168"/>
      <c r="BK55" s="168"/>
      <c r="BL55" s="168"/>
      <c r="BO55" s="54"/>
      <c r="BP55" s="55" t="str">
        <f ca="1">T.TOLIS!BP55</f>
        <v>TOTAL BOBOT</v>
      </c>
      <c r="BQ55" s="365"/>
      <c r="BR55" s="129"/>
      <c r="BS55" s="55"/>
      <c r="BT55" s="139">
        <f>BT7+BT17</f>
        <v>100</v>
      </c>
      <c r="BU55" s="139"/>
      <c r="BV55" s="139"/>
      <c r="BW55" s="514">
        <f>SUM(BW8:BW54)</f>
        <v>88.964678699269328</v>
      </c>
      <c r="BX55" s="514">
        <f t="shared" ref="BX55:CH55" si="52">SUM(BX8:BX54)</f>
        <v>91.291999978579796</v>
      </c>
      <c r="BY55" s="514">
        <f t="shared" si="52"/>
        <v>96.712873359322344</v>
      </c>
      <c r="BZ55" s="514">
        <f t="shared" si="52"/>
        <v>95.55919866147417</v>
      </c>
      <c r="CA55" s="514">
        <f t="shared" si="52"/>
        <v>96.601599944012932</v>
      </c>
      <c r="CB55" s="514">
        <f t="shared" si="52"/>
        <v>98.285276618477141</v>
      </c>
      <c r="CC55" s="514">
        <f t="shared" si="52"/>
        <v>98.629102864014513</v>
      </c>
      <c r="CD55" s="514">
        <f t="shared" si="52"/>
        <v>99.23782575817296</v>
      </c>
      <c r="CE55" s="514">
        <f t="shared" si="52"/>
        <v>100.50698651580157</v>
      </c>
      <c r="CF55" s="514">
        <f t="shared" si="52"/>
        <v>100.67445515008247</v>
      </c>
      <c r="CG55" s="514">
        <f t="shared" si="52"/>
        <v>68.315238382001425</v>
      </c>
      <c r="CH55" s="514">
        <f t="shared" si="52"/>
        <v>67.806432667715711</v>
      </c>
    </row>
    <row r="56" spans="1:86" customFormat="1">
      <c r="B56" s="352"/>
      <c r="C56" s="366"/>
      <c r="D56" s="352"/>
      <c r="E56" s="105"/>
    </row>
    <row r="57" spans="1:86" customFormat="1">
      <c r="A57" s="114"/>
      <c r="B57" s="353" t="s">
        <v>368</v>
      </c>
      <c r="C57" s="375"/>
      <c r="D57" s="360">
        <f>COUNTA(D8:D54)</f>
        <v>31</v>
      </c>
      <c r="E57" s="114"/>
      <c r="F57" s="4"/>
      <c r="G57" s="116"/>
      <c r="H57" s="116"/>
      <c r="I57" s="116"/>
      <c r="J57" s="116"/>
      <c r="K57" s="116"/>
      <c r="L57" s="116"/>
      <c r="M57" s="116"/>
      <c r="N57" s="116"/>
      <c r="O57" s="116"/>
      <c r="P57" s="116"/>
      <c r="Q57" s="116"/>
      <c r="R57" s="116"/>
      <c r="S57" s="116"/>
      <c r="T57" s="116"/>
    </row>
    <row r="58" spans="1:86" customFormat="1">
      <c r="B58" s="352"/>
      <c r="C58" s="366"/>
      <c r="D58" s="352"/>
      <c r="E58" s="105"/>
    </row>
    <row r="59" spans="1:86" customFormat="1">
      <c r="A59" s="117" t="s">
        <v>369</v>
      </c>
      <c r="B59" s="354"/>
      <c r="C59" s="376"/>
      <c r="D59" s="345"/>
      <c r="E59" s="119"/>
      <c r="F59" s="119"/>
      <c r="G59" s="119"/>
      <c r="H59" s="119"/>
      <c r="I59" s="119"/>
      <c r="J59" s="119"/>
      <c r="K59" s="119"/>
      <c r="L59" s="119"/>
      <c r="M59" s="119"/>
      <c r="Q59" s="119"/>
      <c r="S59" s="119"/>
    </row>
    <row r="60" spans="1:86" customFormat="1" ht="30">
      <c r="A60" s="119">
        <v>3</v>
      </c>
      <c r="B60" s="355" t="s">
        <v>370</v>
      </c>
      <c r="C60" s="376"/>
      <c r="D60" s="345"/>
      <c r="E60" s="119"/>
      <c r="F60" s="119"/>
      <c r="G60" s="119"/>
      <c r="H60" s="119"/>
      <c r="I60" s="119"/>
      <c r="J60" s="119"/>
      <c r="K60" s="119"/>
      <c r="L60" s="119"/>
      <c r="M60" s="119"/>
      <c r="Q60" s="119"/>
      <c r="S60" s="119"/>
    </row>
    <row r="61" spans="1:86" customFormat="1" ht="30">
      <c r="A61" s="119">
        <v>1</v>
      </c>
      <c r="B61" s="355" t="s">
        <v>371</v>
      </c>
      <c r="C61" s="376"/>
      <c r="D61" s="345"/>
      <c r="E61" s="119"/>
      <c r="F61" s="119"/>
      <c r="G61" s="119"/>
      <c r="H61" s="119"/>
      <c r="I61" s="119"/>
      <c r="J61" s="119"/>
      <c r="K61" s="119"/>
      <c r="L61" s="119"/>
      <c r="M61" s="119"/>
      <c r="Q61" s="119"/>
      <c r="S61" s="119"/>
    </row>
    <row r="62" spans="1:86" customFormat="1">
      <c r="A62" s="119"/>
      <c r="B62" s="354"/>
      <c r="C62" s="376"/>
      <c r="D62" s="345"/>
      <c r="E62" s="119"/>
      <c r="F62" s="119"/>
      <c r="G62" s="119"/>
      <c r="H62" s="119"/>
      <c r="I62" s="119"/>
      <c r="J62" s="119"/>
      <c r="K62" s="119"/>
      <c r="L62" s="119"/>
      <c r="M62" s="119"/>
      <c r="Q62" s="119"/>
      <c r="S62" s="119"/>
    </row>
    <row r="63" spans="1:86" customFormat="1">
      <c r="A63" s="119"/>
      <c r="B63" s="354"/>
      <c r="C63" s="376"/>
      <c r="D63" s="345"/>
      <c r="E63" s="119"/>
      <c r="F63" s="119"/>
      <c r="G63" s="119"/>
      <c r="H63" s="119"/>
      <c r="I63" s="119"/>
      <c r="J63" s="119"/>
      <c r="K63" s="119"/>
      <c r="L63" s="119"/>
      <c r="M63" s="119"/>
      <c r="Q63" s="119"/>
      <c r="S63" s="119"/>
    </row>
    <row r="64" spans="1:86" customFormat="1">
      <c r="A64" s="121"/>
      <c r="B64" s="356"/>
      <c r="C64" s="376"/>
      <c r="D64" s="346"/>
      <c r="E64" s="121"/>
      <c r="F64" s="121"/>
      <c r="G64" s="121"/>
      <c r="H64" s="121"/>
      <c r="I64" s="121"/>
      <c r="J64" s="121"/>
      <c r="K64" s="121"/>
      <c r="L64" s="121"/>
      <c r="M64" s="121"/>
    </row>
    <row r="65" spans="1:30" customFormat="1">
      <c r="B65" s="352"/>
      <c r="C65" s="366"/>
      <c r="D65" s="352"/>
      <c r="E65" s="105"/>
      <c r="Q65" s="121"/>
      <c r="S65" s="121"/>
    </row>
    <row r="66" spans="1:30" s="31" customFormat="1">
      <c r="A66" s="28"/>
      <c r="B66" s="357"/>
      <c r="C66" s="377"/>
      <c r="D66" s="336"/>
      <c r="E66" s="37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W66" s="30"/>
      <c r="X66" s="30"/>
      <c r="Y66" s="30"/>
      <c r="Z66" s="30"/>
      <c r="AA66" s="30"/>
      <c r="AB66" s="30"/>
      <c r="AC66" s="30"/>
      <c r="AD66" s="30"/>
    </row>
  </sheetData>
  <mergeCells count="34">
    <mergeCell ref="BW4:CH4"/>
    <mergeCell ref="BP6:BQ6"/>
    <mergeCell ref="BR4:BR5"/>
    <mergeCell ref="BS4:BS5"/>
    <mergeCell ref="BT4:BT5"/>
    <mergeCell ref="BU4:BU5"/>
    <mergeCell ref="BV4:BV5"/>
    <mergeCell ref="AZ4:AZ5"/>
    <mergeCell ref="BA4:BL4"/>
    <mergeCell ref="AT6:AU6"/>
    <mergeCell ref="BO4:BO5"/>
    <mergeCell ref="BP4:BQ5"/>
    <mergeCell ref="AT4:AU5"/>
    <mergeCell ref="AV4:AV5"/>
    <mergeCell ref="AW4:AW5"/>
    <mergeCell ref="AX4:AX5"/>
    <mergeCell ref="AY4:AY5"/>
    <mergeCell ref="AC4:AC5"/>
    <mergeCell ref="AD4:AD5"/>
    <mergeCell ref="AE4:AP4"/>
    <mergeCell ref="X6:Y6"/>
    <mergeCell ref="AS4:AS5"/>
    <mergeCell ref="W4:W5"/>
    <mergeCell ref="X4:Y5"/>
    <mergeCell ref="Z4:Z5"/>
    <mergeCell ref="AA4:AA5"/>
    <mergeCell ref="AB4:AB5"/>
    <mergeCell ref="I4:T4"/>
    <mergeCell ref="A4:A5"/>
    <mergeCell ref="B4:C5"/>
    <mergeCell ref="D4:D5"/>
    <mergeCell ref="E4:E5"/>
    <mergeCell ref="F4:F5"/>
    <mergeCell ref="G4:H4"/>
  </mergeCells>
  <conditionalFormatting sqref="A60">
    <cfRule type="iconSet" priority="39">
      <iconSet iconSet="3ArrowsGray" showValue="0">
        <cfvo type="percent" val="0"/>
        <cfvo type="num" val="2"/>
        <cfvo type="num" val="3"/>
      </iconSet>
    </cfRule>
  </conditionalFormatting>
  <conditionalFormatting sqref="A61">
    <cfRule type="iconSet" priority="38">
      <iconSet iconSet="3ArrowsGray" showValue="0">
        <cfvo type="percent" val="0"/>
        <cfvo type="num" val="2"/>
        <cfvo type="num" val="3"/>
      </iconSet>
    </cfRule>
  </conditionalFormatting>
  <conditionalFormatting sqref="C8">
    <cfRule type="iconSet" priority="49">
      <iconSet iconSet="3ArrowsGray" showValue="0">
        <cfvo type="percent" val="0"/>
        <cfvo type="num" val="2"/>
        <cfvo type="num" val="3"/>
      </iconSet>
    </cfRule>
    <cfRule type="iconSet" priority="53">
      <iconSet iconSet="3ArrowsGray" showValue="0">
        <cfvo type="percent" val="0"/>
        <cfvo type="num" val="2"/>
        <cfvo type="num" val="3"/>
      </iconSet>
    </cfRule>
  </conditionalFormatting>
  <conditionalFormatting sqref="C9">
    <cfRule type="iconSet" priority="48">
      <iconSet iconSet="3ArrowsGray" showValue="0">
        <cfvo type="percent" val="0"/>
        <cfvo type="num" val="2"/>
        <cfvo type="num" val="3"/>
      </iconSet>
    </cfRule>
  </conditionalFormatting>
  <conditionalFormatting sqref="C10:C16">
    <cfRule type="iconSet" priority="48433">
      <iconSet iconSet="3ArrowsGray" showValue="0">
        <cfvo type="percent" val="0"/>
        <cfvo type="num" val="2"/>
        <cfvo type="num" val="3"/>
      </iconSet>
    </cfRule>
    <cfRule type="iconSet" priority="48434">
      <iconSet iconSet="3ArrowsGray" showValue="0">
        <cfvo type="percent" val="0"/>
        <cfvo type="num" val="2"/>
        <cfvo type="num" val="3"/>
      </iconSet>
    </cfRule>
  </conditionalFormatting>
  <conditionalFormatting sqref="C18">
    <cfRule type="iconSet" priority="12">
      <iconSet iconSet="3ArrowsGray" showValue="0">
        <cfvo type="percent" val="0"/>
        <cfvo type="num" val="2"/>
        <cfvo type="num" val="3"/>
      </iconSet>
    </cfRule>
    <cfRule type="iconSet" priority="13">
      <iconSet iconSet="3ArrowsGray" showValue="0">
        <cfvo type="percent" val="0"/>
        <cfvo type="num" val="2"/>
        <cfvo type="num" val="3"/>
      </iconSet>
    </cfRule>
  </conditionalFormatting>
  <conditionalFormatting sqref="C19:C34 C36:C48">
    <cfRule type="iconSet" priority="47687">
      <iconSet iconSet="3ArrowsGray" showValue="0">
        <cfvo type="percent" val="0"/>
        <cfvo type="num" val="2"/>
        <cfvo type="num" val="3"/>
      </iconSet>
    </cfRule>
    <cfRule type="iconSet" priority="47688">
      <iconSet iconSet="3ArrowsGray" showValue="0">
        <cfvo type="percent" val="0"/>
        <cfvo type="num" val="2"/>
        <cfvo type="num" val="3"/>
      </iconSet>
    </cfRule>
  </conditionalFormatting>
  <conditionalFormatting sqref="C35">
    <cfRule type="iconSet" priority="10">
      <iconSet iconSet="3ArrowsGray" showValue="0">
        <cfvo type="percent" val="0"/>
        <cfvo type="num" val="2"/>
        <cfvo type="num" val="3"/>
      </iconSet>
    </cfRule>
    <cfRule type="iconSet" priority="11">
      <iconSet iconSet="3ArrowsGray" showValue="0">
        <cfvo type="percent" val="0"/>
        <cfvo type="num" val="2"/>
        <cfvo type="num" val="3"/>
      </iconSet>
    </cfRule>
  </conditionalFormatting>
  <conditionalFormatting sqref="C49">
    <cfRule type="iconSet" priority="14">
      <iconSet iconSet="3ArrowsGray" showValue="0">
        <cfvo type="percent" val="0"/>
        <cfvo type="num" val="2"/>
        <cfvo type="num" val="3"/>
      </iconSet>
    </cfRule>
    <cfRule type="iconSet" priority="15">
      <iconSet iconSet="3ArrowsGray" showValue="0">
        <cfvo type="percent" val="0"/>
        <cfvo type="num" val="2"/>
        <cfvo type="num" val="3"/>
      </iconSet>
    </cfRule>
  </conditionalFormatting>
  <conditionalFormatting sqref="C50">
    <cfRule type="iconSet" priority="47689">
      <iconSet iconSet="3ArrowsGray" showValue="0">
        <cfvo type="percent" val="0"/>
        <cfvo type="num" val="2"/>
        <cfvo type="num" val="3"/>
      </iconSet>
    </cfRule>
  </conditionalFormatting>
  <conditionalFormatting sqref="C50:C54">
    <cfRule type="iconSet" priority="47690">
      <iconSet iconSet="3ArrowsGray" showValue="0">
        <cfvo type="percent" val="0"/>
        <cfvo type="num" val="2"/>
        <cfvo type="num" val="3"/>
      </iconSet>
    </cfRule>
  </conditionalFormatting>
  <conditionalFormatting sqref="C56">
    <cfRule type="iconSet" priority="41">
      <iconSet iconSet="3ArrowsGray" showValue="0">
        <cfvo type="percent" val="0"/>
        <cfvo type="num" val="2"/>
        <cfvo type="num" val="3"/>
      </iconSet>
    </cfRule>
  </conditionalFormatting>
  <conditionalFormatting sqref="C57">
    <cfRule type="iconSet" priority="44">
      <iconSet iconSet="3ArrowsGray" showValue="0">
        <cfvo type="percent" val="0"/>
        <cfvo type="num" val="2"/>
        <cfvo type="num" val="3"/>
      </iconSet>
    </cfRule>
  </conditionalFormatting>
  <conditionalFormatting sqref="D56">
    <cfRule type="iconSet" priority="43">
      <iconSet iconSet="3ArrowsGray" showValue="0">
        <cfvo type="percent" val="0"/>
        <cfvo type="num" val="2"/>
        <cfvo type="num" val="3"/>
      </iconSet>
    </cfRule>
    <cfRule type="iconSet" priority="34">
      <iconSet iconSet="3ArrowsGray" showValue="0">
        <cfvo type="percent" val="0"/>
        <cfvo type="num" val="2"/>
        <cfvo type="num" val="3"/>
      </iconSet>
    </cfRule>
  </conditionalFormatting>
  <conditionalFormatting sqref="E56">
    <cfRule type="iconSet" priority="42">
      <iconSet iconSet="3ArrowsGray" showValue="0">
        <cfvo type="percent" val="0"/>
        <cfvo type="num" val="2"/>
        <cfvo type="num" val="3"/>
      </iconSet>
    </cfRule>
  </conditionalFormatting>
  <conditionalFormatting sqref="G56:H56">
    <cfRule type="iconSet" priority="51">
      <iconSet iconSet="3ArrowsGray" showValue="0">
        <cfvo type="percent" val="0"/>
        <cfvo type="num" val="2"/>
        <cfvo type="num" val="3"/>
      </iconSet>
    </cfRule>
  </conditionalFormatting>
  <conditionalFormatting sqref="G57:H57">
    <cfRule type="iconSet" priority="50">
      <iconSet iconSet="3ArrowsGray" showValue="0">
        <cfvo type="percent" val="0"/>
        <cfvo type="num" val="2"/>
        <cfvo type="num" val="3"/>
      </iconSet>
    </cfRule>
  </conditionalFormatting>
  <conditionalFormatting sqref="I56:T56">
    <cfRule type="iconSet" priority="40">
      <iconSet iconSet="3ArrowsGray" showValue="0">
        <cfvo type="percent" val="0"/>
        <cfvo type="num" val="2"/>
        <cfvo type="num" val="3"/>
      </iconSet>
    </cfRule>
  </conditionalFormatting>
  <conditionalFormatting sqref="I57:T57">
    <cfRule type="iconSet" priority="35">
      <iconSet iconSet="3ArrowsGray" showValue="0">
        <cfvo type="percent" val="0"/>
        <cfvo type="num" val="2"/>
        <cfvo type="num" val="3"/>
      </iconSet>
    </cfRule>
    <cfRule type="iconSet" priority="36">
      <iconSet iconSet="3ArrowsGray" showValue="0">
        <cfvo type="percent" val="0"/>
        <cfvo type="num" val="2"/>
        <cfvo type="num" val="3"/>
      </iconSet>
    </cfRule>
  </conditionalFormatting>
  <conditionalFormatting sqref="Y8:Y16">
    <cfRule type="iconSet" priority="48440">
      <iconSet iconSet="3ArrowsGray" showValue="0">
        <cfvo type="percent" val="0"/>
        <cfvo type="num" val="2"/>
        <cfvo type="num" val="3"/>
      </iconSet>
    </cfRule>
    <cfRule type="iconSet" priority="48439">
      <iconSet iconSet="3ArrowsGray" showValue="0">
        <cfvo type="percent" val="0"/>
        <cfvo type="num" val="2"/>
        <cfvo type="num" val="3"/>
      </iconSet>
    </cfRule>
  </conditionalFormatting>
  <conditionalFormatting sqref="Y18:Y54">
    <cfRule type="iconSet" priority="9">
      <iconSet iconSet="3ArrowsGray" showValue="0">
        <cfvo type="percent" val="0"/>
        <cfvo type="num" val="2"/>
        <cfvo type="num" val="3"/>
      </iconSet>
    </cfRule>
  </conditionalFormatting>
  <conditionalFormatting sqref="AU8:AU16">
    <cfRule type="iconSet" priority="6">
      <iconSet iconSet="3ArrowsGray" showValue="0">
        <cfvo type="percent" val="0"/>
        <cfvo type="num" val="2"/>
        <cfvo type="num" val="3"/>
      </iconSet>
    </cfRule>
    <cfRule type="iconSet" priority="5">
      <iconSet iconSet="3ArrowsGray" showValue="0">
        <cfvo type="percent" val="0"/>
        <cfvo type="num" val="2"/>
        <cfvo type="num" val="3"/>
      </iconSet>
    </cfRule>
  </conditionalFormatting>
  <conditionalFormatting sqref="AU18:AU54">
    <cfRule type="iconSet" priority="4">
      <iconSet iconSet="3ArrowsGray" showValue="0">
        <cfvo type="percent" val="0"/>
        <cfvo type="num" val="2"/>
        <cfvo type="num" val="3"/>
      </iconSet>
    </cfRule>
  </conditionalFormatting>
  <conditionalFormatting sqref="BQ8:BQ16">
    <cfRule type="iconSet" priority="3">
      <iconSet iconSet="3ArrowsGray" showValue="0">
        <cfvo type="percent" val="0"/>
        <cfvo type="num" val="2"/>
        <cfvo type="num" val="3"/>
      </iconSet>
    </cfRule>
    <cfRule type="iconSet" priority="2">
      <iconSet iconSet="3ArrowsGray" showValue="0">
        <cfvo type="percent" val="0"/>
        <cfvo type="num" val="2"/>
        <cfvo type="num" val="3"/>
      </iconSet>
    </cfRule>
  </conditionalFormatting>
  <conditionalFormatting sqref="BQ18:BQ54">
    <cfRule type="iconSet" priority="1">
      <iconSet iconSet="3ArrowsGray" showValue="0">
        <cfvo type="percent" val="0"/>
        <cfvo type="num" val="2"/>
        <cfvo type="num" val="3"/>
      </iconSet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52" fitToHeight="0" orientation="landscape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16DF5-C605-4EE3-96D7-6121C799C89D}">
  <sheetPr>
    <tabColor rgb="FFFF0000"/>
    <pageSetUpPr fitToPage="1"/>
  </sheetPr>
  <dimension ref="A1:CO67"/>
  <sheetViews>
    <sheetView topLeftCell="BC24" workbookViewId="0"/>
  </sheetViews>
  <sheetFormatPr defaultColWidth="8.85546875" defaultRowHeight="15"/>
  <cols>
    <col min="1" max="1" width="5.7109375" style="28" customWidth="1"/>
    <col min="2" max="2" width="60" style="357" customWidth="1"/>
    <col min="3" max="3" width="2.85546875" style="377" customWidth="1"/>
    <col min="4" max="4" width="14.42578125" style="28" customWidth="1"/>
    <col min="5" max="5" width="106.7109375" style="28" hidden="1" customWidth="1"/>
    <col min="6" max="6" width="10.140625" style="30" customWidth="1"/>
    <col min="7" max="20" width="11.28515625" style="30" customWidth="1"/>
    <col min="21" max="21" width="17.7109375" style="31" bestFit="1" customWidth="1"/>
    <col min="22" max="22" width="16" style="31" bestFit="1" customWidth="1"/>
    <col min="23" max="23" width="5.7109375" style="28" customWidth="1"/>
    <col min="24" max="24" width="60" style="30" customWidth="1"/>
    <col min="25" max="25" width="4.140625" style="30" customWidth="1"/>
    <col min="26" max="26" width="14.42578125" style="28" customWidth="1"/>
    <col min="27" max="27" width="106.7109375" style="28" hidden="1" customWidth="1"/>
    <col min="28" max="28" width="10.140625" style="30" customWidth="1"/>
    <col min="29" max="29" width="11" style="30" customWidth="1"/>
    <col min="30" max="30" width="11.140625" style="30" customWidth="1"/>
    <col min="31" max="42" width="12.140625" style="30" customWidth="1"/>
    <col min="43" max="44" width="8.85546875" style="30"/>
    <col min="45" max="45" width="5.7109375" style="30" customWidth="1"/>
    <col min="46" max="46" width="60" style="30" customWidth="1"/>
    <col min="47" max="47" width="4.140625" style="30" customWidth="1"/>
    <col min="48" max="48" width="11.7109375" style="30" bestFit="1" customWidth="1"/>
    <col min="49" max="49" width="0" style="30" hidden="1" customWidth="1"/>
    <col min="50" max="50" width="7.28515625" style="30" bestFit="1" customWidth="1"/>
    <col min="51" max="51" width="14.28515625" style="30" customWidth="1"/>
    <col min="52" max="52" width="12.42578125" style="30" bestFit="1" customWidth="1"/>
    <col min="53" max="64" width="11.28515625" style="30" customWidth="1"/>
    <col min="65" max="66" width="8.85546875" style="30"/>
    <col min="67" max="67" width="5.7109375" style="30" customWidth="1"/>
    <col min="68" max="68" width="60" style="30" customWidth="1"/>
    <col min="69" max="69" width="4.140625" style="30" customWidth="1"/>
    <col min="70" max="70" width="11.7109375" style="30" bestFit="1" customWidth="1"/>
    <col min="71" max="71" width="0" style="30" hidden="1" customWidth="1"/>
    <col min="72" max="72" width="10.5703125" style="30" bestFit="1" customWidth="1"/>
    <col min="73" max="73" width="14.28515625" style="30" customWidth="1"/>
    <col min="74" max="74" width="12.42578125" style="30" bestFit="1" customWidth="1"/>
    <col min="75" max="86" width="11.28515625" style="30" customWidth="1"/>
    <col min="87" max="16384" width="8.85546875" style="30"/>
  </cols>
  <sheetData>
    <row r="1" spans="1:93" ht="15.75">
      <c r="B1" s="348" t="s">
        <v>251</v>
      </c>
      <c r="C1" s="362"/>
      <c r="I1" s="22"/>
      <c r="X1" s="348" t="s">
        <v>251</v>
      </c>
      <c r="AS1" s="28"/>
      <c r="AT1" s="348" t="s">
        <v>251</v>
      </c>
      <c r="BO1" s="28"/>
      <c r="BP1" s="348" t="s">
        <v>251</v>
      </c>
    </row>
    <row r="2" spans="1:93" ht="15.75">
      <c r="B2" s="348" t="s">
        <v>123</v>
      </c>
      <c r="C2" s="362"/>
      <c r="X2" s="348" t="s">
        <v>123</v>
      </c>
      <c r="AS2" s="28"/>
      <c r="AT2" s="348" t="s">
        <v>123</v>
      </c>
      <c r="BO2" s="28"/>
      <c r="BP2" s="348" t="s">
        <v>123</v>
      </c>
    </row>
    <row r="3" spans="1:93" ht="15.75">
      <c r="B3" s="348" t="s">
        <v>380</v>
      </c>
      <c r="C3" s="362"/>
      <c r="X3" s="348" t="s">
        <v>380</v>
      </c>
      <c r="AS3" s="28"/>
      <c r="AT3" s="348" t="s">
        <v>380</v>
      </c>
      <c r="BO3" s="28"/>
      <c r="BP3" s="348" t="s">
        <v>380</v>
      </c>
    </row>
    <row r="4" spans="1:93" s="33" customFormat="1" ht="15" customHeight="1">
      <c r="A4" s="818" t="s">
        <v>8</v>
      </c>
      <c r="B4" s="820" t="s">
        <v>9</v>
      </c>
      <c r="C4" s="821"/>
      <c r="D4" s="818" t="s">
        <v>93</v>
      </c>
      <c r="E4" s="818" t="s">
        <v>271</v>
      </c>
      <c r="F4" s="818" t="s">
        <v>99</v>
      </c>
      <c r="G4" s="824" t="s">
        <v>100</v>
      </c>
      <c r="H4" s="825"/>
      <c r="I4" s="807" t="s">
        <v>272</v>
      </c>
      <c r="J4" s="808"/>
      <c r="K4" s="808"/>
      <c r="L4" s="808"/>
      <c r="M4" s="808"/>
      <c r="N4" s="808"/>
      <c r="O4" s="808"/>
      <c r="P4" s="808"/>
      <c r="Q4" s="808"/>
      <c r="R4" s="808"/>
      <c r="S4" s="808"/>
      <c r="T4" s="809"/>
      <c r="U4" s="32"/>
      <c r="V4" s="32"/>
      <c r="W4" s="818" t="s">
        <v>8</v>
      </c>
      <c r="X4" s="814" t="s">
        <v>9</v>
      </c>
      <c r="Y4" s="815"/>
      <c r="Z4" s="818" t="s">
        <v>93</v>
      </c>
      <c r="AA4" s="818" t="s">
        <v>271</v>
      </c>
      <c r="AB4" s="818" t="s">
        <v>99</v>
      </c>
      <c r="AC4" s="790" t="s">
        <v>373</v>
      </c>
      <c r="AD4" s="790" t="s">
        <v>374</v>
      </c>
      <c r="AE4" s="807" t="s">
        <v>377</v>
      </c>
      <c r="AF4" s="808"/>
      <c r="AG4" s="808"/>
      <c r="AH4" s="808"/>
      <c r="AI4" s="808"/>
      <c r="AJ4" s="808"/>
      <c r="AK4" s="808"/>
      <c r="AL4" s="808"/>
      <c r="AM4" s="808"/>
      <c r="AN4" s="808"/>
      <c r="AO4" s="808"/>
      <c r="AP4" s="809"/>
      <c r="AS4" s="812" t="s">
        <v>8</v>
      </c>
      <c r="AT4" s="814" t="s">
        <v>451</v>
      </c>
      <c r="AU4" s="815"/>
      <c r="AV4" s="790" t="s">
        <v>93</v>
      </c>
      <c r="AW4" s="795" t="s">
        <v>271</v>
      </c>
      <c r="AX4" s="790" t="s">
        <v>99</v>
      </c>
      <c r="AY4" s="790" t="s">
        <v>485</v>
      </c>
      <c r="AZ4" s="790" t="s">
        <v>484</v>
      </c>
      <c r="BA4" s="807" t="s">
        <v>483</v>
      </c>
      <c r="BB4" s="808"/>
      <c r="BC4" s="808"/>
      <c r="BD4" s="808"/>
      <c r="BE4" s="808"/>
      <c r="BF4" s="808"/>
      <c r="BG4" s="808"/>
      <c r="BH4" s="808"/>
      <c r="BI4" s="808"/>
      <c r="BJ4" s="808"/>
      <c r="BK4" s="808"/>
      <c r="BL4" s="809"/>
      <c r="BO4" s="812" t="s">
        <v>8</v>
      </c>
      <c r="BP4" s="814" t="s">
        <v>451</v>
      </c>
      <c r="BQ4" s="815"/>
      <c r="BR4" s="790" t="s">
        <v>93</v>
      </c>
      <c r="BS4" s="795" t="s">
        <v>271</v>
      </c>
      <c r="BT4" s="790" t="s">
        <v>99</v>
      </c>
      <c r="BU4" s="790" t="s">
        <v>485</v>
      </c>
      <c r="BV4" s="790" t="s">
        <v>484</v>
      </c>
      <c r="BW4" s="807" t="s">
        <v>483</v>
      </c>
      <c r="BX4" s="808"/>
      <c r="BY4" s="808"/>
      <c r="BZ4" s="808"/>
      <c r="CA4" s="808"/>
      <c r="CB4" s="808"/>
      <c r="CC4" s="808"/>
      <c r="CD4" s="808"/>
      <c r="CE4" s="808"/>
      <c r="CF4" s="808"/>
      <c r="CG4" s="808"/>
      <c r="CH4" s="809"/>
    </row>
    <row r="5" spans="1:93" s="33" customFormat="1">
      <c r="A5" s="819"/>
      <c r="B5" s="822"/>
      <c r="C5" s="823"/>
      <c r="D5" s="819"/>
      <c r="E5" s="819"/>
      <c r="F5" s="819"/>
      <c r="G5" s="428" t="s">
        <v>273</v>
      </c>
      <c r="H5" s="428" t="s">
        <v>274</v>
      </c>
      <c r="I5" s="113" t="s">
        <v>94</v>
      </c>
      <c r="J5" s="113" t="s">
        <v>95</v>
      </c>
      <c r="K5" s="113" t="s">
        <v>96</v>
      </c>
      <c r="L5" s="113" t="s">
        <v>97</v>
      </c>
      <c r="M5" s="113" t="s">
        <v>98</v>
      </c>
      <c r="N5" s="113" t="s">
        <v>153</v>
      </c>
      <c r="O5" s="113" t="s">
        <v>163</v>
      </c>
      <c r="P5" s="113" t="s">
        <v>165</v>
      </c>
      <c r="Q5" s="113" t="s">
        <v>167</v>
      </c>
      <c r="R5" s="113" t="s">
        <v>169</v>
      </c>
      <c r="S5" s="113" t="s">
        <v>171</v>
      </c>
      <c r="T5" s="429" t="s">
        <v>174</v>
      </c>
      <c r="U5" s="32"/>
      <c r="V5" s="32"/>
      <c r="W5" s="819"/>
      <c r="X5" s="816"/>
      <c r="Y5" s="817"/>
      <c r="Z5" s="819"/>
      <c r="AA5" s="819"/>
      <c r="AB5" s="819"/>
      <c r="AC5" s="791"/>
      <c r="AD5" s="791"/>
      <c r="AE5" s="424" t="s">
        <v>94</v>
      </c>
      <c r="AF5" s="424" t="s">
        <v>95</v>
      </c>
      <c r="AG5" s="424" t="s">
        <v>96</v>
      </c>
      <c r="AH5" s="424" t="s">
        <v>488</v>
      </c>
      <c r="AI5" s="424" t="s">
        <v>489</v>
      </c>
      <c r="AJ5" s="424" t="s">
        <v>490</v>
      </c>
      <c r="AK5" s="424" t="s">
        <v>491</v>
      </c>
      <c r="AL5" s="424" t="s">
        <v>165</v>
      </c>
      <c r="AM5" s="424" t="s">
        <v>167</v>
      </c>
      <c r="AN5" s="424" t="s">
        <v>492</v>
      </c>
      <c r="AO5" s="424" t="s">
        <v>171</v>
      </c>
      <c r="AP5" s="424" t="s">
        <v>493</v>
      </c>
      <c r="AS5" s="813"/>
      <c r="AT5" s="816"/>
      <c r="AU5" s="817"/>
      <c r="AV5" s="791"/>
      <c r="AW5" s="796"/>
      <c r="AX5" s="791"/>
      <c r="AY5" s="791"/>
      <c r="AZ5" s="791"/>
      <c r="BA5" s="424" t="s">
        <v>94</v>
      </c>
      <c r="BB5" s="424" t="s">
        <v>95</v>
      </c>
      <c r="BC5" s="424" t="s">
        <v>96</v>
      </c>
      <c r="BD5" s="424" t="s">
        <v>488</v>
      </c>
      <c r="BE5" s="424" t="s">
        <v>489</v>
      </c>
      <c r="BF5" s="424" t="s">
        <v>490</v>
      </c>
      <c r="BG5" s="424" t="s">
        <v>491</v>
      </c>
      <c r="BH5" s="424" t="s">
        <v>165</v>
      </c>
      <c r="BI5" s="424" t="s">
        <v>167</v>
      </c>
      <c r="BJ5" s="424" t="s">
        <v>492</v>
      </c>
      <c r="BK5" s="424" t="s">
        <v>171</v>
      </c>
      <c r="BL5" s="424" t="s">
        <v>493</v>
      </c>
      <c r="BO5" s="813"/>
      <c r="BP5" s="816"/>
      <c r="BQ5" s="817"/>
      <c r="BR5" s="791"/>
      <c r="BS5" s="796"/>
      <c r="BT5" s="791"/>
      <c r="BU5" s="791"/>
      <c r="BV5" s="791"/>
      <c r="BW5" s="424" t="s">
        <v>94</v>
      </c>
      <c r="BX5" s="424" t="s">
        <v>95</v>
      </c>
      <c r="BY5" s="424" t="s">
        <v>96</v>
      </c>
      <c r="BZ5" s="424" t="s">
        <v>488</v>
      </c>
      <c r="CA5" s="424" t="s">
        <v>489</v>
      </c>
      <c r="CB5" s="424" t="s">
        <v>490</v>
      </c>
      <c r="CC5" s="424" t="s">
        <v>491</v>
      </c>
      <c r="CD5" s="424" t="s">
        <v>165</v>
      </c>
      <c r="CE5" s="424" t="s">
        <v>167</v>
      </c>
      <c r="CF5" s="424" t="s">
        <v>492</v>
      </c>
      <c r="CG5" s="424" t="s">
        <v>171</v>
      </c>
      <c r="CH5" s="424" t="s">
        <v>493</v>
      </c>
    </row>
    <row r="6" spans="1:93" s="33" customFormat="1" ht="15" customHeight="1">
      <c r="A6" s="428">
        <v>1</v>
      </c>
      <c r="B6" s="456">
        <v>2</v>
      </c>
      <c r="C6" s="400"/>
      <c r="D6" s="428">
        <v>3</v>
      </c>
      <c r="E6" s="428">
        <v>4</v>
      </c>
      <c r="F6" s="428">
        <v>5</v>
      </c>
      <c r="G6" s="428">
        <v>6</v>
      </c>
      <c r="H6" s="428">
        <v>7</v>
      </c>
      <c r="I6" s="428">
        <v>8</v>
      </c>
      <c r="J6" s="428">
        <v>9</v>
      </c>
      <c r="K6" s="428">
        <v>10</v>
      </c>
      <c r="L6" s="428">
        <v>11</v>
      </c>
      <c r="M6" s="428">
        <v>12</v>
      </c>
      <c r="N6" s="428">
        <v>13</v>
      </c>
      <c r="O6" s="428">
        <v>14</v>
      </c>
      <c r="P6" s="428">
        <v>15</v>
      </c>
      <c r="Q6" s="428">
        <v>16</v>
      </c>
      <c r="R6" s="428">
        <v>17</v>
      </c>
      <c r="S6" s="428">
        <v>18</v>
      </c>
      <c r="T6" s="428">
        <v>19</v>
      </c>
      <c r="U6" s="32"/>
      <c r="V6" s="32"/>
      <c r="W6" s="428">
        <v>1</v>
      </c>
      <c r="X6" s="810">
        <v>2</v>
      </c>
      <c r="Y6" s="811"/>
      <c r="Z6" s="428">
        <v>3</v>
      </c>
      <c r="AA6" s="428">
        <v>4</v>
      </c>
      <c r="AB6" s="428">
        <v>5</v>
      </c>
      <c r="AC6" s="455">
        <v>5</v>
      </c>
      <c r="AD6" s="424">
        <v>6</v>
      </c>
      <c r="AE6" s="427">
        <v>7</v>
      </c>
      <c r="AF6" s="424">
        <v>8</v>
      </c>
      <c r="AG6" s="455">
        <v>9</v>
      </c>
      <c r="AH6" s="424">
        <v>10</v>
      </c>
      <c r="AI6" s="455">
        <v>11</v>
      </c>
      <c r="AJ6" s="424">
        <v>12</v>
      </c>
      <c r="AK6" s="455">
        <v>13</v>
      </c>
      <c r="AL6" s="424">
        <v>14</v>
      </c>
      <c r="AM6" s="455">
        <v>15</v>
      </c>
      <c r="AN6" s="424">
        <v>16</v>
      </c>
      <c r="AO6" s="455">
        <v>17</v>
      </c>
      <c r="AP6" s="424">
        <v>18</v>
      </c>
      <c r="AS6" s="427">
        <v>1</v>
      </c>
      <c r="AT6" s="810">
        <v>2</v>
      </c>
      <c r="AU6" s="811"/>
      <c r="AV6" s="455">
        <v>3</v>
      </c>
      <c r="AW6" s="425">
        <v>4</v>
      </c>
      <c r="AX6" s="455">
        <v>4</v>
      </c>
      <c r="AY6" s="455">
        <v>5</v>
      </c>
      <c r="AZ6" s="424">
        <v>6</v>
      </c>
      <c r="BA6" s="427">
        <v>7</v>
      </c>
      <c r="BB6" s="424">
        <v>8</v>
      </c>
      <c r="BC6" s="427">
        <v>9</v>
      </c>
      <c r="BD6" s="424">
        <v>10</v>
      </c>
      <c r="BE6" s="427">
        <v>11</v>
      </c>
      <c r="BF6" s="424">
        <v>12</v>
      </c>
      <c r="BG6" s="427">
        <v>13</v>
      </c>
      <c r="BH6" s="424">
        <v>14</v>
      </c>
      <c r="BI6" s="427">
        <v>15</v>
      </c>
      <c r="BJ6" s="424">
        <v>16</v>
      </c>
      <c r="BK6" s="427">
        <v>17</v>
      </c>
      <c r="BL6" s="424">
        <v>18</v>
      </c>
      <c r="BO6" s="427">
        <v>1</v>
      </c>
      <c r="BP6" s="810">
        <v>2</v>
      </c>
      <c r="BQ6" s="811"/>
      <c r="BR6" s="455">
        <v>3</v>
      </c>
      <c r="BS6" s="425">
        <v>4</v>
      </c>
      <c r="BT6" s="455">
        <v>4</v>
      </c>
      <c r="BU6" s="455">
        <v>5</v>
      </c>
      <c r="BV6" s="424">
        <v>6</v>
      </c>
      <c r="BW6" s="427">
        <v>7</v>
      </c>
      <c r="BX6" s="424">
        <v>8</v>
      </c>
      <c r="BY6" s="427">
        <v>9</v>
      </c>
      <c r="BZ6" s="424">
        <v>10</v>
      </c>
      <c r="CA6" s="427">
        <v>11</v>
      </c>
      <c r="CB6" s="424">
        <v>12</v>
      </c>
      <c r="CC6" s="427">
        <v>13</v>
      </c>
      <c r="CD6" s="424">
        <v>14</v>
      </c>
      <c r="CE6" s="427">
        <v>15</v>
      </c>
      <c r="CF6" s="424">
        <v>16</v>
      </c>
      <c r="CG6" s="427">
        <v>17</v>
      </c>
      <c r="CH6" s="424">
        <v>18</v>
      </c>
    </row>
    <row r="7" spans="1:93" s="35" customFormat="1" ht="16.5">
      <c r="A7" s="65" t="s">
        <v>267</v>
      </c>
      <c r="B7" s="349" t="s">
        <v>15</v>
      </c>
      <c r="C7" s="369"/>
      <c r="D7" s="50"/>
      <c r="E7" s="72"/>
      <c r="F7" s="68">
        <f>SUM(F8:F16)</f>
        <v>40</v>
      </c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107"/>
      <c r="U7" s="34"/>
      <c r="V7" s="34"/>
      <c r="W7" s="65" t="s">
        <v>267</v>
      </c>
      <c r="X7" s="48" t="s">
        <v>15</v>
      </c>
      <c r="Y7" s="363"/>
      <c r="Z7" s="50"/>
      <c r="AA7" s="72"/>
      <c r="AB7" s="68">
        <f>SUM(AB8:AB16)</f>
        <v>40</v>
      </c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260"/>
      <c r="AS7" s="47" t="s">
        <v>267</v>
      </c>
      <c r="AT7" s="48" t="s">
        <v>15</v>
      </c>
      <c r="AU7" s="363"/>
      <c r="AV7" s="50"/>
      <c r="AW7" s="48"/>
      <c r="AX7" s="62">
        <v>40</v>
      </c>
      <c r="AY7" s="62"/>
      <c r="AZ7" s="62"/>
      <c r="BA7" s="260"/>
      <c r="BB7" s="260"/>
      <c r="BC7" s="260"/>
      <c r="BD7" s="260"/>
      <c r="BE7" s="260"/>
      <c r="BF7" s="260"/>
      <c r="BG7" s="260"/>
      <c r="BH7" s="260"/>
      <c r="BI7" s="260"/>
      <c r="BJ7" s="260"/>
      <c r="BK7" s="260"/>
      <c r="BL7" s="260"/>
      <c r="BO7" s="47" t="s">
        <v>267</v>
      </c>
      <c r="BP7" s="48" t="s">
        <v>15</v>
      </c>
      <c r="BQ7" s="363"/>
      <c r="BR7" s="50"/>
      <c r="BS7" s="48"/>
      <c r="BT7" s="62">
        <v>40</v>
      </c>
      <c r="BU7" s="62"/>
      <c r="BV7" s="62"/>
      <c r="BW7" s="260"/>
      <c r="BX7" s="260"/>
      <c r="BY7" s="260"/>
      <c r="BZ7" s="260"/>
      <c r="CA7" s="260"/>
      <c r="CB7" s="260"/>
      <c r="CC7" s="260"/>
      <c r="CD7" s="260"/>
      <c r="CE7" s="260"/>
      <c r="CF7" s="260"/>
      <c r="CG7" s="260"/>
      <c r="CH7" s="260"/>
    </row>
    <row r="8" spans="1:93" ht="15.6" customHeight="1">
      <c r="A8" s="248">
        <v>1</v>
      </c>
      <c r="B8" s="266" t="s">
        <v>382</v>
      </c>
      <c r="C8" s="370" t="s">
        <v>276</v>
      </c>
      <c r="D8" s="76" t="s">
        <v>383</v>
      </c>
      <c r="E8" s="77" t="s">
        <v>400</v>
      </c>
      <c r="F8" s="77">
        <v>14</v>
      </c>
      <c r="G8" s="92">
        <f>N8</f>
        <v>17.68</v>
      </c>
      <c r="H8" s="92">
        <f>T8</f>
        <v>35.99</v>
      </c>
      <c r="I8" s="92">
        <f>KPI!D20</f>
        <v>2.91</v>
      </c>
      <c r="J8" s="92">
        <f>KPI!E20</f>
        <v>5.68</v>
      </c>
      <c r="K8" s="92">
        <f>KPI!F20</f>
        <v>8.77</v>
      </c>
      <c r="L8" s="92">
        <f>KPI!G20</f>
        <v>11.75</v>
      </c>
      <c r="M8" s="92">
        <f>KPI!H20</f>
        <v>14.81</v>
      </c>
      <c r="N8" s="92">
        <f>KPI!I20</f>
        <v>17.68</v>
      </c>
      <c r="O8" s="92">
        <f>KPI!J20</f>
        <v>20.6</v>
      </c>
      <c r="P8" s="92">
        <f>KPI!K20</f>
        <v>23.59</v>
      </c>
      <c r="Q8" s="92">
        <f>KPI!L20</f>
        <v>26.61</v>
      </c>
      <c r="R8" s="92">
        <f>KPI!M20</f>
        <v>29.76</v>
      </c>
      <c r="S8" s="92">
        <f>KPI!N20</f>
        <v>32.86</v>
      </c>
      <c r="T8" s="108">
        <f>KPI!O20</f>
        <v>35.99</v>
      </c>
      <c r="U8" s="36"/>
      <c r="V8" s="36"/>
      <c r="W8" s="248">
        <v>1</v>
      </c>
      <c r="X8" s="267" t="s">
        <v>382</v>
      </c>
      <c r="Y8" s="364" t="s">
        <v>276</v>
      </c>
      <c r="Z8" s="76" t="s">
        <v>383</v>
      </c>
      <c r="AA8" s="77" t="s">
        <v>400</v>
      </c>
      <c r="AB8" s="77">
        <v>14</v>
      </c>
      <c r="AC8" s="89">
        <f>AJ8</f>
        <v>18.081826379999995</v>
      </c>
      <c r="AD8" s="89">
        <f>AP8</f>
        <v>0</v>
      </c>
      <c r="AE8" s="89">
        <f>KPI!AH20</f>
        <v>3.8265327429999996</v>
      </c>
      <c r="AF8" s="89">
        <f>KPI!AI20</f>
        <v>6.8866293559999994</v>
      </c>
      <c r="AG8" s="89">
        <f>KPI!AJ20</f>
        <v>9.8826701059999991</v>
      </c>
      <c r="AH8" s="89">
        <f>KPI!AK20</f>
        <v>12.415903127999998</v>
      </c>
      <c r="AI8" s="89">
        <f>KPI!AL20</f>
        <v>15.194438718999997</v>
      </c>
      <c r="AJ8" s="89">
        <f>KPI!AM20</f>
        <v>18.081826379999995</v>
      </c>
      <c r="AK8" s="89">
        <f>KPI!AN20</f>
        <v>21.134440472999994</v>
      </c>
      <c r="AL8" s="89">
        <f>KPI!AO20</f>
        <v>24.063353978999995</v>
      </c>
      <c r="AM8" s="89">
        <f>KPI!AP20</f>
        <v>26.957476767999996</v>
      </c>
      <c r="AN8" s="89">
        <f>KPI!AQ20</f>
        <v>30.078666773999995</v>
      </c>
      <c r="AO8" s="89">
        <f>KPI!AR20</f>
        <v>0</v>
      </c>
      <c r="AP8" s="111">
        <f>KPI!AS20</f>
        <v>0</v>
      </c>
      <c r="AS8" s="51">
        <v>1</v>
      </c>
      <c r="AT8" s="267" t="s">
        <v>382</v>
      </c>
      <c r="AU8" s="364" t="s">
        <v>276</v>
      </c>
      <c r="AV8" s="53" t="s">
        <v>383</v>
      </c>
      <c r="AW8" s="61" t="s">
        <v>400</v>
      </c>
      <c r="AX8" s="53">
        <v>14</v>
      </c>
      <c r="AY8" s="89">
        <f>BF8</f>
        <v>102.27277364253391</v>
      </c>
      <c r="AZ8" s="89">
        <f>BL8</f>
        <v>0</v>
      </c>
      <c r="BA8" s="111">
        <f>IF(AE8/I8*100&gt;110,110,AE8/I8*100)</f>
        <v>110</v>
      </c>
      <c r="BB8" s="111">
        <f t="shared" ref="BB8:BL8" si="0">IF(AF8/J8*100&gt;110,110,AF8/J8*100)</f>
        <v>110</v>
      </c>
      <c r="BC8" s="111">
        <f t="shared" si="0"/>
        <v>110</v>
      </c>
      <c r="BD8" s="111">
        <f t="shared" si="0"/>
        <v>105.66726066382977</v>
      </c>
      <c r="BE8" s="111">
        <f t="shared" si="0"/>
        <v>102.59580498987168</v>
      </c>
      <c r="BF8" s="111">
        <f t="shared" si="0"/>
        <v>102.27277364253391</v>
      </c>
      <c r="BG8" s="111">
        <f t="shared" si="0"/>
        <v>102.59437122815531</v>
      </c>
      <c r="BH8" s="111">
        <f t="shared" si="0"/>
        <v>102.0065874480712</v>
      </c>
      <c r="BI8" s="111">
        <f t="shared" si="0"/>
        <v>101.30581273205561</v>
      </c>
      <c r="BJ8" s="111">
        <f t="shared" si="0"/>
        <v>101.07078889112901</v>
      </c>
      <c r="BK8" s="111">
        <f t="shared" si="0"/>
        <v>0</v>
      </c>
      <c r="BL8" s="111">
        <f t="shared" si="0"/>
        <v>0</v>
      </c>
      <c r="BO8" s="51">
        <v>1</v>
      </c>
      <c r="BP8" s="267" t="s">
        <v>382</v>
      </c>
      <c r="BQ8" s="364" t="s">
        <v>276</v>
      </c>
      <c r="BR8" s="53" t="s">
        <v>383</v>
      </c>
      <c r="BS8" s="61" t="s">
        <v>400</v>
      </c>
      <c r="BT8" s="513">
        <v>14</v>
      </c>
      <c r="BU8" s="89">
        <f>CB8</f>
        <v>14.318188309954746</v>
      </c>
      <c r="BV8" s="89">
        <f>CH8</f>
        <v>0</v>
      </c>
      <c r="BW8" s="111" cm="1">
        <f t="array" ref="BW8:CH8">BT8*BA8:BL8/100</f>
        <v>15.4</v>
      </c>
      <c r="BX8" s="111">
        <v>15.4</v>
      </c>
      <c r="BY8" s="111">
        <v>15.4</v>
      </c>
      <c r="BZ8" s="111">
        <v>14.793416492936167</v>
      </c>
      <c r="CA8" s="111">
        <v>14.363412698582035</v>
      </c>
      <c r="CB8" s="111">
        <v>14.318188309954746</v>
      </c>
      <c r="CC8" s="111">
        <v>14.363211971941745</v>
      </c>
      <c r="CD8" s="111">
        <v>14.280922242729968</v>
      </c>
      <c r="CE8" s="111">
        <v>14.182813782487786</v>
      </c>
      <c r="CF8" s="111">
        <v>14.149910444758062</v>
      </c>
      <c r="CG8" s="111">
        <v>0</v>
      </c>
      <c r="CH8" s="111">
        <v>0</v>
      </c>
      <c r="CI8"/>
      <c r="CJ8"/>
      <c r="CK8"/>
      <c r="CL8"/>
      <c r="CM8"/>
      <c r="CN8"/>
      <c r="CO8"/>
    </row>
    <row r="9" spans="1:93" ht="15.6" customHeight="1">
      <c r="A9" s="250">
        <v>2</v>
      </c>
      <c r="B9" s="266" t="s">
        <v>384</v>
      </c>
      <c r="C9" s="371"/>
      <c r="D9" s="76"/>
      <c r="E9" s="77"/>
      <c r="F9" s="77">
        <v>14</v>
      </c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108"/>
      <c r="U9" s="36"/>
      <c r="V9" s="36"/>
      <c r="W9" s="250">
        <v>2</v>
      </c>
      <c r="X9" s="267" t="s">
        <v>384</v>
      </c>
      <c r="Y9" s="364"/>
      <c r="Z9" s="76"/>
      <c r="AA9" s="77"/>
      <c r="AB9" s="77">
        <v>14</v>
      </c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111"/>
      <c r="AO9" s="89"/>
      <c r="AP9" s="111"/>
      <c r="AS9" s="51">
        <v>2</v>
      </c>
      <c r="AT9" s="267" t="s">
        <v>384</v>
      </c>
      <c r="AU9" s="364"/>
      <c r="AV9" s="53"/>
      <c r="AW9" s="61"/>
      <c r="AX9" s="53">
        <v>14</v>
      </c>
      <c r="AY9" s="89"/>
      <c r="AZ9" s="89"/>
      <c r="BA9" s="512"/>
      <c r="BB9" s="512"/>
      <c r="BC9" s="512"/>
      <c r="BD9" s="512"/>
      <c r="BE9" s="512"/>
      <c r="BF9" s="512"/>
      <c r="BG9" s="512"/>
      <c r="BH9" s="512"/>
      <c r="BI9" s="512"/>
      <c r="BJ9" s="512"/>
      <c r="BK9" s="512"/>
      <c r="BL9" s="512"/>
      <c r="BO9" s="51">
        <v>2</v>
      </c>
      <c r="BP9" s="267" t="s">
        <v>384</v>
      </c>
      <c r="BQ9" s="364"/>
      <c r="BR9" s="53"/>
      <c r="BS9" s="61"/>
      <c r="BT9" s="513">
        <v>14</v>
      </c>
      <c r="BU9" s="89"/>
      <c r="BV9" s="89"/>
      <c r="BW9" s="512"/>
      <c r="BX9" s="512"/>
      <c r="BY9" s="512"/>
      <c r="BZ9" s="512"/>
      <c r="CA9" s="512"/>
      <c r="CB9" s="512"/>
      <c r="CC9" s="512"/>
      <c r="CD9" s="512"/>
      <c r="CE9" s="512"/>
      <c r="CF9" s="512"/>
      <c r="CG9" s="512"/>
      <c r="CH9" s="512"/>
      <c r="CI9"/>
      <c r="CJ9"/>
      <c r="CK9"/>
      <c r="CL9"/>
      <c r="CM9"/>
      <c r="CN9"/>
      <c r="CO9"/>
    </row>
    <row r="10" spans="1:93" ht="15.6" customHeight="1">
      <c r="A10" s="251"/>
      <c r="B10" s="153" t="s">
        <v>401</v>
      </c>
      <c r="C10" s="370" t="s">
        <v>278</v>
      </c>
      <c r="D10" s="76" t="s">
        <v>442</v>
      </c>
      <c r="E10" s="77" t="s">
        <v>279</v>
      </c>
      <c r="F10" s="77"/>
      <c r="G10" s="92">
        <f>N10</f>
        <v>422.13578461538452</v>
      </c>
      <c r="H10" s="92">
        <f>T10</f>
        <v>844.27156923076882</v>
      </c>
      <c r="I10" s="92">
        <v>70.355964102564087</v>
      </c>
      <c r="J10" s="92">
        <v>140.71192820512817</v>
      </c>
      <c r="K10" s="92">
        <v>211.06789230769226</v>
      </c>
      <c r="L10" s="92">
        <v>281.42385641025635</v>
      </c>
      <c r="M10" s="92">
        <v>351.77982051282044</v>
      </c>
      <c r="N10" s="92">
        <v>422.13578461538452</v>
      </c>
      <c r="O10" s="92">
        <v>492.49174871794861</v>
      </c>
      <c r="P10" s="92">
        <v>562.8477128205127</v>
      </c>
      <c r="Q10" s="92">
        <v>633.20367692307673</v>
      </c>
      <c r="R10" s="92">
        <v>703.55964102564076</v>
      </c>
      <c r="S10" s="92">
        <v>773.91560512820479</v>
      </c>
      <c r="T10" s="108">
        <v>844.27156923076882</v>
      </c>
      <c r="U10" s="36"/>
      <c r="V10" s="36"/>
      <c r="W10" s="251"/>
      <c r="X10" s="52" t="s">
        <v>401</v>
      </c>
      <c r="Y10" s="364" t="s">
        <v>278</v>
      </c>
      <c r="Z10" s="76" t="s">
        <v>442</v>
      </c>
      <c r="AA10" s="77" t="s">
        <v>279</v>
      </c>
      <c r="AB10" s="77"/>
      <c r="AC10" s="89">
        <f t="shared" ref="AC10:AC48" si="1">AJ10</f>
        <v>53.015522745411005</v>
      </c>
      <c r="AD10" s="89">
        <f t="shared" ref="AD10:AD12" si="2">AP10</f>
        <v>0</v>
      </c>
      <c r="AE10" s="89">
        <f>KPI!AH44</f>
        <v>1.331227143437627</v>
      </c>
      <c r="AF10" s="89">
        <f>KPI!AI44</f>
        <v>1.7393945530019237</v>
      </c>
      <c r="AG10" s="89">
        <f>KPI!AJ44</f>
        <v>3.5206724949562878</v>
      </c>
      <c r="AH10" s="89">
        <f>KPI!AK44</f>
        <v>5.2966133458269189</v>
      </c>
      <c r="AI10" s="89">
        <f>KPI!AL44</f>
        <v>42.734803349234411</v>
      </c>
      <c r="AJ10" s="89">
        <f>KPI!AM44</f>
        <v>53.015522745411005</v>
      </c>
      <c r="AK10" s="89">
        <f>KPI!AN44</f>
        <v>95.901216238608114</v>
      </c>
      <c r="AL10" s="89">
        <f>KPI!AO44</f>
        <v>110.25374950403385</v>
      </c>
      <c r="AM10" s="89">
        <f>KPI!AP44</f>
        <v>109.91086827726943</v>
      </c>
      <c r="AN10" s="89">
        <f>KPI!AQ44</f>
        <v>116.23594563615524</v>
      </c>
      <c r="AO10" s="89">
        <f>KPI!AR44</f>
        <v>0</v>
      </c>
      <c r="AP10" s="111">
        <f>KPI!AS44</f>
        <v>0</v>
      </c>
      <c r="AS10" s="51"/>
      <c r="AT10" s="52" t="s">
        <v>401</v>
      </c>
      <c r="AU10" s="364" t="s">
        <v>278</v>
      </c>
      <c r="AV10" s="53" t="s">
        <v>402</v>
      </c>
      <c r="AW10" s="61" t="s">
        <v>279</v>
      </c>
      <c r="AX10" s="53"/>
      <c r="AY10" s="89">
        <f t="shared" ref="AY10:AY48" si="3">BF10</f>
        <v>110</v>
      </c>
      <c r="AZ10" s="89">
        <f t="shared" ref="AZ10:AZ48" si="4">BL10</f>
        <v>110</v>
      </c>
      <c r="BA10" s="111">
        <f>IF((2-(AE10/I10))*100&gt;110,110,(2-(AE10/I10))*100)</f>
        <v>110</v>
      </c>
      <c r="BB10" s="111">
        <f t="shared" ref="BB10:BL11" si="5">IF((2-(AF10/J10))*100&gt;110,110,(2-(AF10/J10))*100)</f>
        <v>110</v>
      </c>
      <c r="BC10" s="111">
        <f t="shared" si="5"/>
        <v>110</v>
      </c>
      <c r="BD10" s="111">
        <f t="shared" si="5"/>
        <v>110</v>
      </c>
      <c r="BE10" s="111">
        <f t="shared" si="5"/>
        <v>110</v>
      </c>
      <c r="BF10" s="111">
        <f t="shared" si="5"/>
        <v>110</v>
      </c>
      <c r="BG10" s="111">
        <f t="shared" si="5"/>
        <v>110</v>
      </c>
      <c r="BH10" s="111">
        <f t="shared" si="5"/>
        <v>110</v>
      </c>
      <c r="BI10" s="111">
        <f t="shared" si="5"/>
        <v>110</v>
      </c>
      <c r="BJ10" s="111">
        <f t="shared" si="5"/>
        <v>110</v>
      </c>
      <c r="BK10" s="111">
        <f t="shared" si="5"/>
        <v>110</v>
      </c>
      <c r="BL10" s="111">
        <f t="shared" si="5"/>
        <v>110</v>
      </c>
      <c r="BO10" s="51"/>
      <c r="BP10" s="52" t="s">
        <v>401</v>
      </c>
      <c r="BQ10" s="364" t="s">
        <v>278</v>
      </c>
      <c r="BR10" s="53" t="s">
        <v>402</v>
      </c>
      <c r="BS10" s="61" t="s">
        <v>279</v>
      </c>
      <c r="BT10" s="142">
        <f>BT$9/3</f>
        <v>4.666666666666667</v>
      </c>
      <c r="BU10" s="89">
        <f t="shared" ref="BU10:BU12" si="6">CB10</f>
        <v>5.1333333333333337</v>
      </c>
      <c r="BV10" s="89">
        <f t="shared" ref="BV10:BV12" si="7">CH10</f>
        <v>5.1333333333333337</v>
      </c>
      <c r="BW10" s="111" cm="1">
        <f t="array" ref="BW10:CH10">BT10*BA10:BL10/100</f>
        <v>5.1333333333333337</v>
      </c>
      <c r="BX10" s="111">
        <v>5.1333333333333337</v>
      </c>
      <c r="BY10" s="111">
        <v>5.1333333333333337</v>
      </c>
      <c r="BZ10" s="111">
        <v>5.1333333333333337</v>
      </c>
      <c r="CA10" s="111">
        <v>5.1333333333333337</v>
      </c>
      <c r="CB10" s="111">
        <v>5.1333333333333337</v>
      </c>
      <c r="CC10" s="111">
        <v>5.1333333333333337</v>
      </c>
      <c r="CD10" s="111">
        <v>5.1333333333333337</v>
      </c>
      <c r="CE10" s="111">
        <v>5.1333333333333337</v>
      </c>
      <c r="CF10" s="111">
        <v>5.1333333333333337</v>
      </c>
      <c r="CG10" s="111">
        <v>5.1333333333333337</v>
      </c>
      <c r="CH10" s="111">
        <v>5.1333333333333337</v>
      </c>
      <c r="CI10"/>
      <c r="CJ10"/>
      <c r="CK10"/>
      <c r="CL10"/>
      <c r="CM10"/>
      <c r="CN10"/>
      <c r="CO10"/>
    </row>
    <row r="11" spans="1:93" ht="15.6" customHeight="1">
      <c r="A11" s="251"/>
      <c r="B11" s="153" t="s">
        <v>403</v>
      </c>
      <c r="C11" s="370" t="s">
        <v>278</v>
      </c>
      <c r="D11" s="76" t="s">
        <v>443</v>
      </c>
      <c r="E11" s="77" t="s">
        <v>280</v>
      </c>
      <c r="F11" s="77"/>
      <c r="G11" s="92">
        <f>N11</f>
        <v>1.31</v>
      </c>
      <c r="H11" s="92">
        <f>T11</f>
        <v>2.62</v>
      </c>
      <c r="I11" s="92">
        <f>KPI!D66</f>
        <v>0.22</v>
      </c>
      <c r="J11" s="92">
        <f>KPI!E66</f>
        <v>0.44</v>
      </c>
      <c r="K11" s="92">
        <f>KPI!F66</f>
        <v>0.65</v>
      </c>
      <c r="L11" s="92">
        <f>KPI!G66</f>
        <v>0.87</v>
      </c>
      <c r="M11" s="92">
        <f>KPI!H66</f>
        <v>1.0900000000000001</v>
      </c>
      <c r="N11" s="92">
        <f>KPI!I66</f>
        <v>1.31</v>
      </c>
      <c r="O11" s="92">
        <f>KPI!J66</f>
        <v>1.53</v>
      </c>
      <c r="P11" s="92">
        <f>KPI!K66</f>
        <v>1.75</v>
      </c>
      <c r="Q11" s="92">
        <f>KPI!L66</f>
        <v>1.96</v>
      </c>
      <c r="R11" s="92">
        <f>KPI!M66</f>
        <v>2.1800000000000002</v>
      </c>
      <c r="S11" s="92">
        <f>KPI!N66</f>
        <v>2.4</v>
      </c>
      <c r="T11" s="108">
        <f>KPI!O66</f>
        <v>2.62</v>
      </c>
      <c r="U11" s="36"/>
      <c r="V11" s="36"/>
      <c r="W11" s="251"/>
      <c r="X11" s="52" t="s">
        <v>403</v>
      </c>
      <c r="Y11" s="364" t="s">
        <v>278</v>
      </c>
      <c r="Z11" s="76" t="s">
        <v>443</v>
      </c>
      <c r="AA11" s="77" t="s">
        <v>280</v>
      </c>
      <c r="AB11" s="77"/>
      <c r="AC11" s="89">
        <f t="shared" si="1"/>
        <v>1.0790103750997606</v>
      </c>
      <c r="AD11" s="89">
        <f t="shared" si="2"/>
        <v>0</v>
      </c>
      <c r="AE11" s="89">
        <f>KPI!AH66</f>
        <v>6.3795205201137753E-2</v>
      </c>
      <c r="AF11" s="89">
        <f>KPI!AI66</f>
        <v>8.2076203975566128E-2</v>
      </c>
      <c r="AG11" s="89">
        <f>KPI!AJ66</f>
        <v>0.23930733019502354</v>
      </c>
      <c r="AH11" s="89">
        <f>KPI!AK66</f>
        <v>0.39170738237065794</v>
      </c>
      <c r="AI11" s="89">
        <f>KPI!AL66</f>
        <v>0.84358007805984592</v>
      </c>
      <c r="AJ11" s="89">
        <f>KPI!AM66</f>
        <v>1.0790103750997606</v>
      </c>
      <c r="AK11" s="89">
        <f>KPI!AN66</f>
        <v>1.3599005799502899</v>
      </c>
      <c r="AL11" s="89">
        <f>KPI!AO66</f>
        <v>1.4534783758762069</v>
      </c>
      <c r="AM11" s="89">
        <f>KPI!AP66</f>
        <v>1.452438944111645</v>
      </c>
      <c r="AN11" s="89">
        <f>KPI!AQ66</f>
        <v>1.5039462911413133</v>
      </c>
      <c r="AO11" s="89">
        <f>KPI!AR66</f>
        <v>0</v>
      </c>
      <c r="AP11" s="111">
        <f>KPI!AS66</f>
        <v>0</v>
      </c>
      <c r="AS11" s="51"/>
      <c r="AT11" s="52" t="s">
        <v>403</v>
      </c>
      <c r="AU11" s="364" t="s">
        <v>278</v>
      </c>
      <c r="AV11" s="53" t="s">
        <v>404</v>
      </c>
      <c r="AW11" s="61" t="s">
        <v>280</v>
      </c>
      <c r="AX11" s="53"/>
      <c r="AY11" s="89">
        <f t="shared" si="3"/>
        <v>110</v>
      </c>
      <c r="AZ11" s="89">
        <f t="shared" si="4"/>
        <v>110</v>
      </c>
      <c r="BA11" s="111">
        <f>IF((2-(AE11/I11))*100&gt;110,110,(2-(AE11/I11))*100)</f>
        <v>110</v>
      </c>
      <c r="BB11" s="111">
        <f t="shared" si="5"/>
        <v>110</v>
      </c>
      <c r="BC11" s="111">
        <f t="shared" si="5"/>
        <v>110</v>
      </c>
      <c r="BD11" s="111">
        <f t="shared" si="5"/>
        <v>110</v>
      </c>
      <c r="BE11" s="111">
        <f t="shared" si="5"/>
        <v>110</v>
      </c>
      <c r="BF11" s="111">
        <f t="shared" si="5"/>
        <v>110</v>
      </c>
      <c r="BG11" s="111">
        <f t="shared" si="5"/>
        <v>110</v>
      </c>
      <c r="BH11" s="111">
        <f t="shared" si="5"/>
        <v>110</v>
      </c>
      <c r="BI11" s="111">
        <f t="shared" si="5"/>
        <v>110</v>
      </c>
      <c r="BJ11" s="111">
        <f t="shared" si="5"/>
        <v>110</v>
      </c>
      <c r="BK11" s="111">
        <f t="shared" si="5"/>
        <v>110</v>
      </c>
      <c r="BL11" s="111">
        <f t="shared" si="5"/>
        <v>110</v>
      </c>
      <c r="BO11" s="51"/>
      <c r="BP11" s="52" t="s">
        <v>403</v>
      </c>
      <c r="BQ11" s="364" t="s">
        <v>278</v>
      </c>
      <c r="BR11" s="53" t="s">
        <v>404</v>
      </c>
      <c r="BS11" s="61" t="s">
        <v>280</v>
      </c>
      <c r="BT11" s="142">
        <f t="shared" ref="BT11:BT12" si="8">BT$9/3</f>
        <v>4.666666666666667</v>
      </c>
      <c r="BU11" s="89">
        <f t="shared" si="6"/>
        <v>5.1333333333333337</v>
      </c>
      <c r="BV11" s="89">
        <f t="shared" si="7"/>
        <v>5.1333333333333337</v>
      </c>
      <c r="BW11" s="111" cm="1">
        <f t="array" ref="BW11:CH11">BT11*BA11:BL11/100</f>
        <v>5.1333333333333337</v>
      </c>
      <c r="BX11" s="111">
        <v>5.1333333333333337</v>
      </c>
      <c r="BY11" s="111">
        <v>5.1333333333333337</v>
      </c>
      <c r="BZ11" s="111">
        <v>5.1333333333333337</v>
      </c>
      <c r="CA11" s="111">
        <v>5.1333333333333337</v>
      </c>
      <c r="CB11" s="111">
        <v>5.1333333333333337</v>
      </c>
      <c r="CC11" s="111">
        <v>5.1333333333333337</v>
      </c>
      <c r="CD11" s="111">
        <v>5.1333333333333337</v>
      </c>
      <c r="CE11" s="111">
        <v>5.1333333333333337</v>
      </c>
      <c r="CF11" s="111">
        <v>5.1333333333333337</v>
      </c>
      <c r="CG11" s="111">
        <v>5.1333333333333337</v>
      </c>
      <c r="CH11" s="111">
        <v>5.1333333333333337</v>
      </c>
      <c r="CI11"/>
      <c r="CJ11"/>
      <c r="CK11"/>
      <c r="CL11"/>
      <c r="CM11"/>
      <c r="CN11"/>
      <c r="CO11"/>
    </row>
    <row r="12" spans="1:93" ht="15.6" customHeight="1">
      <c r="A12" s="252"/>
      <c r="B12" s="153" t="s">
        <v>405</v>
      </c>
      <c r="C12" s="370" t="s">
        <v>278</v>
      </c>
      <c r="D12" s="76" t="s">
        <v>140</v>
      </c>
      <c r="E12" s="77" t="s">
        <v>406</v>
      </c>
      <c r="F12" s="77"/>
      <c r="G12" s="92">
        <f>N12</f>
        <v>6.3</v>
      </c>
      <c r="H12" s="92">
        <f>T12</f>
        <v>12.6</v>
      </c>
      <c r="I12" s="92">
        <f>KPI!D78</f>
        <v>1.05</v>
      </c>
      <c r="J12" s="92">
        <f>KPI!E78</f>
        <v>2.1</v>
      </c>
      <c r="K12" s="92">
        <f>KPI!F78</f>
        <v>3.15</v>
      </c>
      <c r="L12" s="92">
        <f>KPI!G78</f>
        <v>4.2</v>
      </c>
      <c r="M12" s="92">
        <f>KPI!H78</f>
        <v>5.25</v>
      </c>
      <c r="N12" s="92">
        <f>KPI!I78</f>
        <v>6.3</v>
      </c>
      <c r="O12" s="92">
        <f>KPI!J78</f>
        <v>7.35</v>
      </c>
      <c r="P12" s="92">
        <f>KPI!K78</f>
        <v>8.4</v>
      </c>
      <c r="Q12" s="92">
        <f>KPI!L78</f>
        <v>9.4499999999999993</v>
      </c>
      <c r="R12" s="92">
        <f>KPI!M78</f>
        <v>10.5</v>
      </c>
      <c r="S12" s="92">
        <f>KPI!N78</f>
        <v>11.55</v>
      </c>
      <c r="T12" s="108">
        <f>KPI!O78</f>
        <v>12.6</v>
      </c>
      <c r="U12" s="36"/>
      <c r="V12" s="36"/>
      <c r="W12" s="252"/>
      <c r="X12" s="52" t="s">
        <v>405</v>
      </c>
      <c r="Y12" s="364" t="s">
        <v>278</v>
      </c>
      <c r="Z12" s="76" t="s">
        <v>140</v>
      </c>
      <c r="AA12" s="77" t="s">
        <v>406</v>
      </c>
      <c r="AB12" s="77"/>
      <c r="AC12" s="89">
        <f t="shared" si="1"/>
        <v>2.4239999999999999</v>
      </c>
      <c r="AD12" s="89">
        <f t="shared" si="2"/>
        <v>0</v>
      </c>
      <c r="AE12" s="89">
        <f>KPI!AH78</f>
        <v>8.2000000000000003E-2</v>
      </c>
      <c r="AF12" s="89">
        <f>KPI!AI78</f>
        <v>0.10600000000000001</v>
      </c>
      <c r="AG12" s="89">
        <f>KPI!AJ78</f>
        <v>0.21900000000000003</v>
      </c>
      <c r="AH12" s="89">
        <f>KPI!AK78</f>
        <v>0.30600000000000005</v>
      </c>
      <c r="AI12" s="89">
        <f>KPI!AL78</f>
        <v>1.962</v>
      </c>
      <c r="AJ12" s="89">
        <f>KPI!AM78</f>
        <v>2.4239999999999999</v>
      </c>
      <c r="AK12" s="89">
        <f>KPI!AN78</f>
        <v>4.2130000000000001</v>
      </c>
      <c r="AL12" s="89">
        <f>KPI!AO78</f>
        <v>4.7990000000000004</v>
      </c>
      <c r="AM12" s="89">
        <f>KPI!AP78</f>
        <v>4.8029999999999999</v>
      </c>
      <c r="AN12" s="89">
        <f>KPI!AQ78</f>
        <v>5.1120000000000001</v>
      </c>
      <c r="AO12" s="89">
        <f>KPI!AR78</f>
        <v>0</v>
      </c>
      <c r="AP12" s="111">
        <f>KPI!AS78</f>
        <v>0</v>
      </c>
      <c r="AS12" s="51"/>
      <c r="AT12" s="52" t="s">
        <v>405</v>
      </c>
      <c r="AU12" s="364" t="s">
        <v>278</v>
      </c>
      <c r="AV12" s="53" t="s">
        <v>140</v>
      </c>
      <c r="AW12" s="61" t="s">
        <v>406</v>
      </c>
      <c r="AX12" s="53"/>
      <c r="AY12" s="89">
        <f t="shared" si="3"/>
        <v>110</v>
      </c>
      <c r="AZ12" s="89">
        <f t="shared" si="4"/>
        <v>110</v>
      </c>
      <c r="BA12" s="111">
        <f>IF(((I12-(AE12-I12))/I12)*100&gt;110,110,((I12-(AE12-I12))/I12)*100)</f>
        <v>110</v>
      </c>
      <c r="BB12" s="111">
        <f t="shared" ref="BB12:BL12" si="9">IF(((J12-(AF12-J12))/J12)*100&gt;110,110,((J12-(AF12-J12))/J12)*100)</f>
        <v>110</v>
      </c>
      <c r="BC12" s="111">
        <f t="shared" si="9"/>
        <v>110</v>
      </c>
      <c r="BD12" s="111">
        <f t="shared" si="9"/>
        <v>110</v>
      </c>
      <c r="BE12" s="111">
        <f t="shared" si="9"/>
        <v>110</v>
      </c>
      <c r="BF12" s="111">
        <f t="shared" si="9"/>
        <v>110</v>
      </c>
      <c r="BG12" s="111">
        <f t="shared" si="9"/>
        <v>110</v>
      </c>
      <c r="BH12" s="111">
        <f t="shared" si="9"/>
        <v>110</v>
      </c>
      <c r="BI12" s="111">
        <f t="shared" si="9"/>
        <v>110</v>
      </c>
      <c r="BJ12" s="111">
        <f t="shared" si="9"/>
        <v>110</v>
      </c>
      <c r="BK12" s="111">
        <f t="shared" si="9"/>
        <v>110</v>
      </c>
      <c r="BL12" s="111">
        <f t="shared" si="9"/>
        <v>110</v>
      </c>
      <c r="BO12" s="51"/>
      <c r="BP12" s="52" t="s">
        <v>405</v>
      </c>
      <c r="BQ12" s="364" t="s">
        <v>278</v>
      </c>
      <c r="BR12" s="53" t="s">
        <v>140</v>
      </c>
      <c r="BS12" s="61" t="s">
        <v>406</v>
      </c>
      <c r="BT12" s="142">
        <f t="shared" si="8"/>
        <v>4.666666666666667</v>
      </c>
      <c r="BU12" s="89">
        <f t="shared" si="6"/>
        <v>5.1333333333333337</v>
      </c>
      <c r="BV12" s="89">
        <f t="shared" si="7"/>
        <v>5.1333333333333337</v>
      </c>
      <c r="BW12" s="111" cm="1">
        <f t="array" ref="BW12:CH12">BT12*BA12:BL12/100</f>
        <v>5.1333333333333337</v>
      </c>
      <c r="BX12" s="111">
        <v>5.1333333333333337</v>
      </c>
      <c r="BY12" s="111">
        <v>5.1333333333333337</v>
      </c>
      <c r="BZ12" s="111">
        <v>5.1333333333333337</v>
      </c>
      <c r="CA12" s="111">
        <v>5.1333333333333337</v>
      </c>
      <c r="CB12" s="111">
        <v>5.1333333333333337</v>
      </c>
      <c r="CC12" s="111">
        <v>5.1333333333333337</v>
      </c>
      <c r="CD12" s="111">
        <v>5.1333333333333337</v>
      </c>
      <c r="CE12" s="111">
        <v>5.1333333333333337</v>
      </c>
      <c r="CF12" s="111">
        <v>5.1333333333333337</v>
      </c>
      <c r="CG12" s="111">
        <v>5.1333333333333337</v>
      </c>
      <c r="CH12" s="111">
        <v>5.1333333333333337</v>
      </c>
      <c r="CI12"/>
      <c r="CJ12"/>
      <c r="CK12"/>
      <c r="CL12"/>
      <c r="CM12"/>
      <c r="CN12"/>
      <c r="CO12"/>
    </row>
    <row r="13" spans="1:93" ht="15.6" customHeight="1">
      <c r="A13" s="251">
        <v>3</v>
      </c>
      <c r="B13" s="266" t="s">
        <v>390</v>
      </c>
      <c r="C13" s="370"/>
      <c r="D13" s="76"/>
      <c r="E13" s="77"/>
      <c r="F13" s="77">
        <v>12</v>
      </c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108"/>
      <c r="U13" s="36"/>
      <c r="V13" s="36"/>
      <c r="W13" s="251">
        <v>3</v>
      </c>
      <c r="X13" s="267" t="s">
        <v>390</v>
      </c>
      <c r="Y13" s="364"/>
      <c r="Z13" s="76"/>
      <c r="AA13" s="77"/>
      <c r="AB13" s="77">
        <v>12</v>
      </c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111"/>
      <c r="AO13" s="89"/>
      <c r="AP13" s="111"/>
      <c r="AS13" s="51">
        <v>3</v>
      </c>
      <c r="AT13" s="267" t="s">
        <v>390</v>
      </c>
      <c r="AU13" s="364"/>
      <c r="AV13" s="53"/>
      <c r="AW13" s="61"/>
      <c r="AX13" s="53">
        <v>12</v>
      </c>
      <c r="AY13" s="89"/>
      <c r="AZ13" s="89"/>
      <c r="BA13" s="111"/>
      <c r="BB13" s="111"/>
      <c r="BC13" s="111"/>
      <c r="BD13" s="111"/>
      <c r="BE13" s="111"/>
      <c r="BF13" s="111"/>
      <c r="BG13" s="111"/>
      <c r="BH13" s="111"/>
      <c r="BI13" s="111"/>
      <c r="BJ13" s="111"/>
      <c r="BK13" s="111"/>
      <c r="BL13" s="111"/>
      <c r="BO13" s="51">
        <v>3</v>
      </c>
      <c r="BP13" s="267" t="s">
        <v>390</v>
      </c>
      <c r="BQ13" s="364"/>
      <c r="BR13" s="53"/>
      <c r="BS13" s="61"/>
      <c r="BT13" s="513">
        <v>12</v>
      </c>
      <c r="BU13" s="89"/>
      <c r="BV13" s="89"/>
      <c r="BW13" s="111"/>
      <c r="BX13" s="111"/>
      <c r="BY13" s="111"/>
      <c r="BZ13" s="111"/>
      <c r="CA13" s="111"/>
      <c r="CB13" s="111"/>
      <c r="CC13" s="111"/>
      <c r="CD13" s="111"/>
      <c r="CE13" s="111"/>
      <c r="CF13" s="111"/>
      <c r="CG13" s="111"/>
      <c r="CH13" s="111"/>
      <c r="CI13"/>
      <c r="CJ13"/>
      <c r="CK13"/>
      <c r="CL13"/>
      <c r="CM13"/>
      <c r="CN13"/>
      <c r="CO13"/>
    </row>
    <row r="14" spans="1:93" ht="15.6" customHeight="1">
      <c r="A14" s="251"/>
      <c r="B14" s="153" t="s">
        <v>391</v>
      </c>
      <c r="C14" s="370" t="s">
        <v>278</v>
      </c>
      <c r="D14" s="76" t="s">
        <v>149</v>
      </c>
      <c r="E14" s="77" t="s">
        <v>407</v>
      </c>
      <c r="F14" s="77"/>
      <c r="G14" s="92">
        <f>N14</f>
        <v>6.53</v>
      </c>
      <c r="H14" s="92">
        <f>T14</f>
        <v>6.25</v>
      </c>
      <c r="I14" s="92">
        <f>KPI!D105</f>
        <v>6.91</v>
      </c>
      <c r="J14" s="92">
        <f>KPI!E105</f>
        <v>6.91</v>
      </c>
      <c r="K14" s="92">
        <f>KPI!F105</f>
        <v>6.91</v>
      </c>
      <c r="L14" s="92">
        <f>KPI!G105</f>
        <v>6.78</v>
      </c>
      <c r="M14" s="92">
        <f>KPI!H105</f>
        <v>6.66</v>
      </c>
      <c r="N14" s="92">
        <f>KPI!I105</f>
        <v>6.53</v>
      </c>
      <c r="O14" s="92">
        <f>KPI!J105</f>
        <v>6.49</v>
      </c>
      <c r="P14" s="92">
        <f>KPI!K105</f>
        <v>6.44</v>
      </c>
      <c r="Q14" s="92">
        <f>KPI!L105</f>
        <v>6.39</v>
      </c>
      <c r="R14" s="92">
        <f>KPI!M105</f>
        <v>6.34</v>
      </c>
      <c r="S14" s="92">
        <f>KPI!N105</f>
        <v>6.3</v>
      </c>
      <c r="T14" s="108">
        <f>KPI!O105</f>
        <v>6.25</v>
      </c>
      <c r="U14" s="36"/>
      <c r="V14" s="36"/>
      <c r="W14" s="251"/>
      <c r="X14" s="52" t="s">
        <v>391</v>
      </c>
      <c r="Y14" s="364" t="s">
        <v>278</v>
      </c>
      <c r="Z14" s="76" t="s">
        <v>149</v>
      </c>
      <c r="AA14" s="77" t="s">
        <v>407</v>
      </c>
      <c r="AB14" s="77"/>
      <c r="AC14" s="89">
        <f t="shared" si="1"/>
        <v>-9.6744978307337881</v>
      </c>
      <c r="AD14" s="89">
        <f t="shared" ref="AD14:AD16" si="10">AP14</f>
        <v>0</v>
      </c>
      <c r="AE14" s="89">
        <f>KPI!AH105</f>
        <v>-19.545105319366737</v>
      </c>
      <c r="AF14" s="89">
        <f>KPI!AI105</f>
        <v>-12.482892240818543</v>
      </c>
      <c r="AG14" s="89">
        <f>KPI!AJ105</f>
        <v>-3.658603530244986</v>
      </c>
      <c r="AH14" s="89">
        <f>KPI!AK105</f>
        <v>2.6133052700012485</v>
      </c>
      <c r="AI14" s="89">
        <f>KPI!AL105</f>
        <v>5.1738350593882574</v>
      </c>
      <c r="AJ14" s="89">
        <f>KPI!AM105</f>
        <v>-9.6744978307337881</v>
      </c>
      <c r="AK14" s="89">
        <f>KPI!AN105</f>
        <v>-7.4007255182904936</v>
      </c>
      <c r="AL14" s="89">
        <f>KPI!AO105</f>
        <v>-5.423386120709992</v>
      </c>
      <c r="AM14" s="89">
        <f>KPI!AP105</f>
        <v>-3.9737177716277801</v>
      </c>
      <c r="AN14" s="89">
        <f>KPI!AQ105</f>
        <v>-2.8846261129859885</v>
      </c>
      <c r="AO14" s="89">
        <f>KPI!AR105</f>
        <v>0</v>
      </c>
      <c r="AP14" s="111">
        <f>KPI!AS105</f>
        <v>0</v>
      </c>
      <c r="AS14" s="51"/>
      <c r="AT14" s="52" t="s">
        <v>391</v>
      </c>
      <c r="AU14" s="364" t="s">
        <v>278</v>
      </c>
      <c r="AV14" s="53" t="s">
        <v>149</v>
      </c>
      <c r="AW14" s="61" t="s">
        <v>407</v>
      </c>
      <c r="AX14" s="53"/>
      <c r="AY14" s="89">
        <f t="shared" si="3"/>
        <v>110</v>
      </c>
      <c r="AZ14" s="89">
        <f t="shared" si="4"/>
        <v>110</v>
      </c>
      <c r="BA14" s="111">
        <f>IF((2-(AE14/I14))*100&gt;110,110,(2-(AE14/I14))*100)</f>
        <v>110</v>
      </c>
      <c r="BB14" s="111">
        <f t="shared" ref="BB14:BL14" si="11">IF((2-(AF14/J14))*100&gt;110,110,(2-(AF14/J14))*100)</f>
        <v>110</v>
      </c>
      <c r="BC14" s="111">
        <f t="shared" si="11"/>
        <v>110</v>
      </c>
      <c r="BD14" s="111">
        <f t="shared" si="11"/>
        <v>110</v>
      </c>
      <c r="BE14" s="111">
        <f t="shared" si="11"/>
        <v>110</v>
      </c>
      <c r="BF14" s="111">
        <f t="shared" si="11"/>
        <v>110</v>
      </c>
      <c r="BG14" s="111">
        <f t="shared" si="11"/>
        <v>110</v>
      </c>
      <c r="BH14" s="111">
        <f t="shared" si="11"/>
        <v>110</v>
      </c>
      <c r="BI14" s="111">
        <f t="shared" si="11"/>
        <v>110</v>
      </c>
      <c r="BJ14" s="111">
        <f t="shared" si="11"/>
        <v>110</v>
      </c>
      <c r="BK14" s="111">
        <f t="shared" si="11"/>
        <v>110</v>
      </c>
      <c r="BL14" s="111">
        <f t="shared" si="11"/>
        <v>110</v>
      </c>
      <c r="BO14" s="51"/>
      <c r="BP14" s="52" t="s">
        <v>391</v>
      </c>
      <c r="BQ14" s="364" t="s">
        <v>278</v>
      </c>
      <c r="BR14" s="53" t="s">
        <v>149</v>
      </c>
      <c r="BS14" s="61" t="s">
        <v>407</v>
      </c>
      <c r="BT14" s="53">
        <f>BT$13/3</f>
        <v>4</v>
      </c>
      <c r="BU14" s="89">
        <f t="shared" ref="BU14:BU16" si="12">CB14</f>
        <v>4.4000000000000004</v>
      </c>
      <c r="BV14" s="89">
        <f t="shared" ref="BV14:BV16" si="13">CH14</f>
        <v>4.4000000000000004</v>
      </c>
      <c r="BW14" s="111" cm="1">
        <f t="array" ref="BW14:CH14">BT14*BA14:BL14/100</f>
        <v>4.4000000000000004</v>
      </c>
      <c r="BX14" s="111">
        <v>4.4000000000000004</v>
      </c>
      <c r="BY14" s="111">
        <v>4.4000000000000004</v>
      </c>
      <c r="BZ14" s="111">
        <v>4.4000000000000004</v>
      </c>
      <c r="CA14" s="111">
        <v>4.4000000000000004</v>
      </c>
      <c r="CB14" s="111">
        <v>4.4000000000000004</v>
      </c>
      <c r="CC14" s="111">
        <v>4.4000000000000004</v>
      </c>
      <c r="CD14" s="111">
        <v>4.4000000000000004</v>
      </c>
      <c r="CE14" s="111">
        <v>4.4000000000000004</v>
      </c>
      <c r="CF14" s="111">
        <v>4.4000000000000004</v>
      </c>
      <c r="CG14" s="111">
        <v>4.4000000000000004</v>
      </c>
      <c r="CH14" s="111">
        <v>4.4000000000000004</v>
      </c>
      <c r="CI14"/>
      <c r="CJ14"/>
      <c r="CK14"/>
      <c r="CL14"/>
      <c r="CM14"/>
      <c r="CN14"/>
      <c r="CO14"/>
    </row>
    <row r="15" spans="1:93" ht="15.6" customHeight="1">
      <c r="A15" s="251"/>
      <c r="B15" s="153" t="s">
        <v>392</v>
      </c>
      <c r="C15" s="370" t="s">
        <v>276</v>
      </c>
      <c r="D15" s="76" t="s">
        <v>149</v>
      </c>
      <c r="E15" s="77" t="s">
        <v>408</v>
      </c>
      <c r="F15" s="77"/>
      <c r="G15" s="92">
        <f>N15</f>
        <v>21.052631578947366</v>
      </c>
      <c r="H15" s="92">
        <f>T15</f>
        <v>100</v>
      </c>
      <c r="I15" s="92">
        <f>KPI!D123</f>
        <v>3.5087719298245621</v>
      </c>
      <c r="J15" s="92">
        <f>KPI!E123</f>
        <v>7.0175438596491242</v>
      </c>
      <c r="K15" s="92">
        <f>KPI!F123</f>
        <v>10.526315789473683</v>
      </c>
      <c r="L15" s="92">
        <f>KPI!G123</f>
        <v>14.035087719298248</v>
      </c>
      <c r="M15" s="92">
        <f>KPI!H123</f>
        <v>17.543859649122808</v>
      </c>
      <c r="N15" s="92">
        <f>KPI!I123</f>
        <v>21.052631578947366</v>
      </c>
      <c r="O15" s="92">
        <f>KPI!J123</f>
        <v>34.210526315789473</v>
      </c>
      <c r="P15" s="92">
        <f>KPI!K123</f>
        <v>47.368421052631575</v>
      </c>
      <c r="Q15" s="92">
        <f>KPI!L123</f>
        <v>60.526315789473685</v>
      </c>
      <c r="R15" s="92">
        <f>KPI!M123</f>
        <v>73.68421052631578</v>
      </c>
      <c r="S15" s="92">
        <f>KPI!N123</f>
        <v>86.842105263157904</v>
      </c>
      <c r="T15" s="108">
        <f>KPI!O123</f>
        <v>100</v>
      </c>
      <c r="U15" s="36"/>
      <c r="V15" s="36"/>
      <c r="W15" s="251"/>
      <c r="X15" s="52" t="s">
        <v>392</v>
      </c>
      <c r="Y15" s="364">
        <v>0</v>
      </c>
      <c r="Z15" s="76" t="s">
        <v>149</v>
      </c>
      <c r="AA15" s="77" t="s">
        <v>408</v>
      </c>
      <c r="AB15" s="77"/>
      <c r="AC15" s="89">
        <f t="shared" si="1"/>
        <v>29.850555555555555</v>
      </c>
      <c r="AD15" s="89">
        <f t="shared" si="10"/>
        <v>120.07888888888888</v>
      </c>
      <c r="AE15" s="89">
        <f>KPI!AH123</f>
        <v>0</v>
      </c>
      <c r="AF15" s="89">
        <f>KPI!AI123</f>
        <v>1.3772222222222221</v>
      </c>
      <c r="AG15" s="89">
        <f>KPI!AJ123</f>
        <v>1.6577777777777778</v>
      </c>
      <c r="AH15" s="89">
        <f>KPI!AK123</f>
        <v>3.77</v>
      </c>
      <c r="AI15" s="89">
        <f>KPI!AL123</f>
        <v>3.77</v>
      </c>
      <c r="AJ15" s="89">
        <f>KPI!AM123</f>
        <v>29.850555555555555</v>
      </c>
      <c r="AK15" s="89">
        <f>KPI!AN123</f>
        <v>111.56055555555555</v>
      </c>
      <c r="AL15" s="89">
        <f>KPI!AO123</f>
        <v>117.32444444444444</v>
      </c>
      <c r="AM15" s="89">
        <f>KPI!AP123</f>
        <v>118.70166666666667</v>
      </c>
      <c r="AN15" s="89">
        <f>KPI!AQ123</f>
        <v>120.07888888888888</v>
      </c>
      <c r="AO15" s="89">
        <f>KPI!AR123</f>
        <v>120.07888888888888</v>
      </c>
      <c r="AP15" s="111">
        <f>KPI!AS123</f>
        <v>120.07888888888888</v>
      </c>
      <c r="AS15" s="51"/>
      <c r="AT15" s="52" t="s">
        <v>392</v>
      </c>
      <c r="AU15" s="364" t="s">
        <v>276</v>
      </c>
      <c r="AV15" s="53" t="s">
        <v>149</v>
      </c>
      <c r="AW15" s="61" t="s">
        <v>408</v>
      </c>
      <c r="AX15" s="53"/>
      <c r="AY15" s="89">
        <f t="shared" si="3"/>
        <v>110</v>
      </c>
      <c r="AZ15" s="89">
        <f t="shared" si="4"/>
        <v>110</v>
      </c>
      <c r="BA15" s="111">
        <f>IF(AE15/I15*100&gt;110,110,AE15/I15*100)</f>
        <v>0</v>
      </c>
      <c r="BB15" s="111">
        <f t="shared" ref="BB15:BL16" si="14">IF(AF15/J15*100&gt;110,110,AF15/J15*100)</f>
        <v>19.625416666666663</v>
      </c>
      <c r="BC15" s="111">
        <f t="shared" si="14"/>
        <v>15.74888888888889</v>
      </c>
      <c r="BD15" s="111">
        <f t="shared" si="14"/>
        <v>26.861249999999991</v>
      </c>
      <c r="BE15" s="111">
        <f t="shared" si="14"/>
        <v>21.489000000000001</v>
      </c>
      <c r="BF15" s="111">
        <f t="shared" si="14"/>
        <v>110</v>
      </c>
      <c r="BG15" s="111">
        <f t="shared" si="14"/>
        <v>110</v>
      </c>
      <c r="BH15" s="111">
        <f t="shared" si="14"/>
        <v>110</v>
      </c>
      <c r="BI15" s="111">
        <f t="shared" si="14"/>
        <v>110</v>
      </c>
      <c r="BJ15" s="111">
        <f t="shared" si="14"/>
        <v>110</v>
      </c>
      <c r="BK15" s="111">
        <f t="shared" si="14"/>
        <v>110</v>
      </c>
      <c r="BL15" s="111">
        <f t="shared" si="14"/>
        <v>110</v>
      </c>
      <c r="BO15" s="51"/>
      <c r="BP15" s="52" t="s">
        <v>392</v>
      </c>
      <c r="BQ15" s="364" t="s">
        <v>276</v>
      </c>
      <c r="BR15" s="53" t="s">
        <v>149</v>
      </c>
      <c r="BS15" s="61" t="s">
        <v>408</v>
      </c>
      <c r="BT15" s="53">
        <f t="shared" ref="BT15:BT16" si="15">BT$13/3</f>
        <v>4</v>
      </c>
      <c r="BU15" s="89">
        <f t="shared" si="12"/>
        <v>4.4000000000000004</v>
      </c>
      <c r="BV15" s="89">
        <f t="shared" si="13"/>
        <v>4.4000000000000004</v>
      </c>
      <c r="BW15" s="111" cm="1">
        <f t="array" ref="BW15:CH15">BT15*BA15:BL15/100</f>
        <v>0</v>
      </c>
      <c r="BX15" s="111">
        <v>0.78501666666666647</v>
      </c>
      <c r="BY15" s="111">
        <v>0.6299555555555556</v>
      </c>
      <c r="BZ15" s="111">
        <v>1.0744499999999997</v>
      </c>
      <c r="CA15" s="111">
        <v>0.85955999999999999</v>
      </c>
      <c r="CB15" s="111">
        <v>4.4000000000000004</v>
      </c>
      <c r="CC15" s="111">
        <v>4.4000000000000004</v>
      </c>
      <c r="CD15" s="111">
        <v>4.4000000000000004</v>
      </c>
      <c r="CE15" s="111">
        <v>4.4000000000000004</v>
      </c>
      <c r="CF15" s="111">
        <v>4.4000000000000004</v>
      </c>
      <c r="CG15" s="111">
        <v>4.4000000000000004</v>
      </c>
      <c r="CH15" s="111">
        <v>4.4000000000000004</v>
      </c>
      <c r="CI15"/>
      <c r="CJ15"/>
      <c r="CK15"/>
      <c r="CL15"/>
      <c r="CM15"/>
      <c r="CN15"/>
      <c r="CO15"/>
    </row>
    <row r="16" spans="1:93" ht="15.6" customHeight="1">
      <c r="A16" s="251"/>
      <c r="B16" s="153" t="s">
        <v>445</v>
      </c>
      <c r="C16" s="370" t="s">
        <v>276</v>
      </c>
      <c r="D16" s="76" t="s">
        <v>72</v>
      </c>
      <c r="E16" s="77" t="s">
        <v>409</v>
      </c>
      <c r="F16" s="77"/>
      <c r="G16" s="92">
        <f>N16</f>
        <v>262</v>
      </c>
      <c r="H16" s="92">
        <f>T16</f>
        <v>688</v>
      </c>
      <c r="I16" s="92">
        <f>KPI!D134</f>
        <v>49</v>
      </c>
      <c r="J16" s="92">
        <f>KPI!E134</f>
        <v>97</v>
      </c>
      <c r="K16" s="92">
        <f>KPI!F134</f>
        <v>145</v>
      </c>
      <c r="L16" s="92">
        <f>KPI!G134</f>
        <v>192</v>
      </c>
      <c r="M16" s="92">
        <f>KPI!H134</f>
        <v>228</v>
      </c>
      <c r="N16" s="92">
        <f>KPI!I134</f>
        <v>262</v>
      </c>
      <c r="O16" s="92">
        <f>KPI!J134</f>
        <v>369</v>
      </c>
      <c r="P16" s="92">
        <f>KPI!K134</f>
        <v>476</v>
      </c>
      <c r="Q16" s="92">
        <f>KPI!L134</f>
        <v>583</v>
      </c>
      <c r="R16" s="92">
        <f>KPI!M134</f>
        <v>688</v>
      </c>
      <c r="S16" s="92">
        <f>KPI!N134</f>
        <v>688</v>
      </c>
      <c r="T16" s="108">
        <f>KPI!O134</f>
        <v>688</v>
      </c>
      <c r="U16" s="36"/>
      <c r="V16" s="36"/>
      <c r="W16" s="251"/>
      <c r="X16" s="52" t="s">
        <v>445</v>
      </c>
      <c r="Y16" s="364">
        <v>0</v>
      </c>
      <c r="Z16" s="76" t="s">
        <v>72</v>
      </c>
      <c r="AA16" s="77" t="s">
        <v>409</v>
      </c>
      <c r="AB16" s="77"/>
      <c r="AC16" s="89">
        <f t="shared" si="1"/>
        <v>466</v>
      </c>
      <c r="AD16" s="89">
        <f t="shared" si="10"/>
        <v>684</v>
      </c>
      <c r="AE16" s="89">
        <f>KPI!AH134</f>
        <v>3</v>
      </c>
      <c r="AF16" s="89">
        <f>KPI!AI134</f>
        <v>4</v>
      </c>
      <c r="AG16" s="89">
        <f>KPI!AJ134</f>
        <v>143</v>
      </c>
      <c r="AH16" s="89">
        <f>KPI!AK134</f>
        <v>321</v>
      </c>
      <c r="AI16" s="89">
        <f>KPI!AL134</f>
        <v>384</v>
      </c>
      <c r="AJ16" s="89">
        <f>KPI!AM134</f>
        <v>466</v>
      </c>
      <c r="AK16" s="89">
        <f>KPI!AN134</f>
        <v>552</v>
      </c>
      <c r="AL16" s="89">
        <f>KPI!AO134</f>
        <v>560</v>
      </c>
      <c r="AM16" s="89">
        <f>KPI!AP134</f>
        <v>682</v>
      </c>
      <c r="AN16" s="89">
        <f>KPI!AQ134</f>
        <v>684</v>
      </c>
      <c r="AO16" s="89">
        <f>KPI!AR134</f>
        <v>684</v>
      </c>
      <c r="AP16" s="111">
        <f>KPI!AS134</f>
        <v>684</v>
      </c>
      <c r="AS16" s="51"/>
      <c r="AT16" s="52" t="s">
        <v>393</v>
      </c>
      <c r="AU16" s="364" t="s">
        <v>276</v>
      </c>
      <c r="AV16" s="53" t="s">
        <v>72</v>
      </c>
      <c r="AW16" s="61" t="s">
        <v>409</v>
      </c>
      <c r="AX16" s="53">
        <v>0</v>
      </c>
      <c r="AY16" s="89">
        <f t="shared" si="3"/>
        <v>110</v>
      </c>
      <c r="AZ16" s="89">
        <f t="shared" si="4"/>
        <v>99.418604651162795</v>
      </c>
      <c r="BA16" s="111">
        <f>IF(AE16/I16*100&gt;110,110,AE16/I16*100)</f>
        <v>6.1224489795918364</v>
      </c>
      <c r="BB16" s="111">
        <f t="shared" si="14"/>
        <v>4.1237113402061851</v>
      </c>
      <c r="BC16" s="111">
        <f t="shared" si="14"/>
        <v>98.620689655172413</v>
      </c>
      <c r="BD16" s="111">
        <f t="shared" si="14"/>
        <v>110</v>
      </c>
      <c r="BE16" s="111">
        <f t="shared" si="14"/>
        <v>110</v>
      </c>
      <c r="BF16" s="111">
        <f t="shared" si="14"/>
        <v>110</v>
      </c>
      <c r="BG16" s="111">
        <f t="shared" si="14"/>
        <v>110</v>
      </c>
      <c r="BH16" s="111">
        <f t="shared" si="14"/>
        <v>110</v>
      </c>
      <c r="BI16" s="111">
        <f t="shared" si="14"/>
        <v>110</v>
      </c>
      <c r="BJ16" s="111">
        <f t="shared" si="14"/>
        <v>99.418604651162795</v>
      </c>
      <c r="BK16" s="111">
        <f t="shared" si="14"/>
        <v>99.418604651162795</v>
      </c>
      <c r="BL16" s="111">
        <f t="shared" si="14"/>
        <v>99.418604651162795</v>
      </c>
      <c r="BO16" s="51"/>
      <c r="BP16" s="52" t="s">
        <v>393</v>
      </c>
      <c r="BQ16" s="364" t="s">
        <v>276</v>
      </c>
      <c r="BR16" s="53" t="s">
        <v>72</v>
      </c>
      <c r="BS16" s="61" t="s">
        <v>409</v>
      </c>
      <c r="BT16" s="53">
        <f t="shared" si="15"/>
        <v>4</v>
      </c>
      <c r="BU16" s="89">
        <f t="shared" si="12"/>
        <v>4.4000000000000004</v>
      </c>
      <c r="BV16" s="89">
        <f t="shared" si="13"/>
        <v>3.9767441860465116</v>
      </c>
      <c r="BW16" s="111" cm="1">
        <f t="array" ref="BW16:CH16">BT16*BA16:BL16/100</f>
        <v>0.24489795918367346</v>
      </c>
      <c r="BX16" s="111">
        <v>0.16494845360824739</v>
      </c>
      <c r="BY16" s="111">
        <v>3.9448275862068964</v>
      </c>
      <c r="BZ16" s="111">
        <v>4.4000000000000004</v>
      </c>
      <c r="CA16" s="111">
        <v>4.4000000000000004</v>
      </c>
      <c r="CB16" s="111">
        <v>4.4000000000000004</v>
      </c>
      <c r="CC16" s="111">
        <v>4.4000000000000004</v>
      </c>
      <c r="CD16" s="111">
        <v>4.4000000000000004</v>
      </c>
      <c r="CE16" s="111">
        <v>4.4000000000000004</v>
      </c>
      <c r="CF16" s="111">
        <v>3.9767441860465116</v>
      </c>
      <c r="CG16" s="111">
        <v>3.9767441860465116</v>
      </c>
      <c r="CH16" s="111">
        <v>3.9767441860465116</v>
      </c>
      <c r="CI16"/>
      <c r="CJ16"/>
      <c r="CK16"/>
      <c r="CL16"/>
      <c r="CM16"/>
      <c r="CN16"/>
      <c r="CO16"/>
    </row>
    <row r="17" spans="1:93" ht="15.6" customHeight="1">
      <c r="A17" s="249" t="s">
        <v>283</v>
      </c>
      <c r="B17" s="350" t="s">
        <v>284</v>
      </c>
      <c r="C17" s="372"/>
      <c r="D17" s="129"/>
      <c r="E17" s="158"/>
      <c r="F17" s="158">
        <f>SUM(F18:F54)</f>
        <v>60</v>
      </c>
      <c r="G17" s="158"/>
      <c r="H17" s="158"/>
      <c r="I17" s="158"/>
      <c r="J17" s="158"/>
      <c r="K17" s="158"/>
      <c r="L17" s="158"/>
      <c r="M17" s="158"/>
      <c r="N17" s="158"/>
      <c r="O17" s="158"/>
      <c r="P17" s="158"/>
      <c r="Q17" s="158"/>
      <c r="R17" s="158"/>
      <c r="S17" s="158"/>
      <c r="T17" s="159"/>
      <c r="U17" s="36"/>
      <c r="V17" s="36"/>
      <c r="W17" s="249" t="s">
        <v>283</v>
      </c>
      <c r="X17" s="48" t="s">
        <v>284</v>
      </c>
      <c r="Y17" s="363"/>
      <c r="Z17" s="129"/>
      <c r="AA17" s="158"/>
      <c r="AB17" s="158">
        <f>SUM(AB18:AB54)</f>
        <v>60</v>
      </c>
      <c r="AC17" s="139"/>
      <c r="AD17" s="139"/>
      <c r="AE17" s="139"/>
      <c r="AF17" s="139"/>
      <c r="AG17" s="139"/>
      <c r="AH17" s="139"/>
      <c r="AI17" s="139"/>
      <c r="AJ17" s="139"/>
      <c r="AK17" s="139"/>
      <c r="AL17" s="139"/>
      <c r="AM17" s="139"/>
      <c r="AN17" s="168"/>
      <c r="AO17" s="139"/>
      <c r="AP17" s="168"/>
      <c r="AS17" s="47" t="s">
        <v>283</v>
      </c>
      <c r="AT17" s="48" t="s">
        <v>284</v>
      </c>
      <c r="AU17" s="363"/>
      <c r="AV17" s="50"/>
      <c r="AW17" s="48"/>
      <c r="AX17" s="139">
        <v>60</v>
      </c>
      <c r="AY17" s="139"/>
      <c r="AZ17" s="139"/>
      <c r="BA17" s="168"/>
      <c r="BB17" s="168"/>
      <c r="BC17" s="168"/>
      <c r="BD17" s="168"/>
      <c r="BE17" s="168"/>
      <c r="BF17" s="168"/>
      <c r="BG17" s="168"/>
      <c r="BH17" s="168"/>
      <c r="BI17" s="168"/>
      <c r="BJ17" s="168"/>
      <c r="BK17" s="168"/>
      <c r="BL17" s="168"/>
      <c r="BO17" s="47" t="s">
        <v>283</v>
      </c>
      <c r="BP17" s="48" t="s">
        <v>284</v>
      </c>
      <c r="BQ17" s="363"/>
      <c r="BR17" s="50"/>
      <c r="BS17" s="48"/>
      <c r="BT17" s="139">
        <v>60</v>
      </c>
      <c r="BU17" s="139"/>
      <c r="BV17" s="139"/>
      <c r="BW17" s="168"/>
      <c r="BX17" s="168"/>
      <c r="BY17" s="168"/>
      <c r="BZ17" s="168"/>
      <c r="CA17" s="168"/>
      <c r="CB17" s="168"/>
      <c r="CC17" s="168"/>
      <c r="CD17" s="168"/>
      <c r="CE17" s="168"/>
      <c r="CF17" s="168"/>
      <c r="CG17" s="168"/>
      <c r="CH17" s="168"/>
      <c r="CI17"/>
      <c r="CJ17"/>
      <c r="CK17"/>
      <c r="CL17"/>
      <c r="CM17"/>
      <c r="CN17"/>
      <c r="CO17"/>
    </row>
    <row r="18" spans="1:93" s="35" customFormat="1" ht="15.6" customHeight="1">
      <c r="A18" s="250">
        <v>4</v>
      </c>
      <c r="B18" s="266" t="s">
        <v>285</v>
      </c>
      <c r="C18" s="370"/>
      <c r="D18" s="76"/>
      <c r="E18" s="79"/>
      <c r="F18" s="77">
        <v>9</v>
      </c>
      <c r="G18" s="92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108"/>
      <c r="U18" s="34"/>
      <c r="V18" s="34"/>
      <c r="W18" s="250">
        <v>4</v>
      </c>
      <c r="X18" s="267" t="s">
        <v>285</v>
      </c>
      <c r="Y18" s="364"/>
      <c r="Z18" s="76"/>
      <c r="AA18" s="79"/>
      <c r="AB18" s="77">
        <v>9</v>
      </c>
      <c r="AC18" s="89"/>
      <c r="AD18" s="89"/>
      <c r="AE18" s="142"/>
      <c r="AF18" s="142"/>
      <c r="AG18" s="142"/>
      <c r="AH18" s="142"/>
      <c r="AI18" s="142"/>
      <c r="AJ18" s="142"/>
      <c r="AK18" s="142"/>
      <c r="AL18" s="142"/>
      <c r="AM18" s="142"/>
      <c r="AN18" s="95"/>
      <c r="AO18" s="142"/>
      <c r="AP18" s="95"/>
      <c r="AS18" s="51">
        <v>4</v>
      </c>
      <c r="AT18" s="267" t="s">
        <v>285</v>
      </c>
      <c r="AU18" s="364"/>
      <c r="AV18" s="53"/>
      <c r="AW18" s="61"/>
      <c r="AX18" s="53">
        <v>9</v>
      </c>
      <c r="AY18" s="89"/>
      <c r="AZ18" s="89"/>
      <c r="BA18" s="95"/>
      <c r="BB18" s="95"/>
      <c r="BC18" s="95"/>
      <c r="BD18" s="95"/>
      <c r="BE18" s="95"/>
      <c r="BF18" s="95"/>
      <c r="BG18" s="95"/>
      <c r="BH18" s="95"/>
      <c r="BI18" s="95"/>
      <c r="BJ18" s="95"/>
      <c r="BK18" s="95"/>
      <c r="BL18" s="95"/>
      <c r="BO18" s="51">
        <v>4</v>
      </c>
      <c r="BP18" s="267" t="s">
        <v>285</v>
      </c>
      <c r="BQ18" s="364"/>
      <c r="BR18" s="53"/>
      <c r="BS18" s="61"/>
      <c r="BT18" s="513">
        <v>9</v>
      </c>
      <c r="BU18" s="89"/>
      <c r="BV18" s="89"/>
      <c r="BW18" s="95"/>
      <c r="BX18" s="95"/>
      <c r="BY18" s="95"/>
      <c r="BZ18" s="95"/>
      <c r="CA18" s="95"/>
      <c r="CB18" s="95"/>
      <c r="CC18" s="95"/>
      <c r="CD18" s="95"/>
      <c r="CE18" s="95"/>
      <c r="CF18" s="95"/>
      <c r="CG18" s="95"/>
      <c r="CH18" s="95"/>
      <c r="CI18"/>
      <c r="CJ18"/>
      <c r="CK18"/>
      <c r="CL18"/>
      <c r="CM18"/>
      <c r="CN18"/>
      <c r="CO18"/>
    </row>
    <row r="19" spans="1:93" ht="15.6" customHeight="1">
      <c r="A19" s="251"/>
      <c r="B19" s="153" t="s">
        <v>287</v>
      </c>
      <c r="C19" s="370" t="s">
        <v>278</v>
      </c>
      <c r="D19" s="76" t="s">
        <v>136</v>
      </c>
      <c r="E19" s="79" t="s">
        <v>410</v>
      </c>
      <c r="F19" s="77"/>
      <c r="G19" s="92">
        <f>N19</f>
        <v>14.000000000000002</v>
      </c>
      <c r="H19" s="92">
        <f>T19</f>
        <v>26</v>
      </c>
      <c r="I19" s="92">
        <f>PI!D20</f>
        <v>2</v>
      </c>
      <c r="J19" s="92">
        <f>PI!E20</f>
        <v>5</v>
      </c>
      <c r="K19" s="92">
        <f>PI!F20</f>
        <v>7</v>
      </c>
      <c r="L19" s="92">
        <f>PI!G20</f>
        <v>9</v>
      </c>
      <c r="M19" s="92">
        <f>PI!H20</f>
        <v>12</v>
      </c>
      <c r="N19" s="92">
        <f>PI!I20</f>
        <v>14.000000000000002</v>
      </c>
      <c r="O19" s="92">
        <f>PI!J20</f>
        <v>16</v>
      </c>
      <c r="P19" s="92">
        <f>PI!K20</f>
        <v>19</v>
      </c>
      <c r="Q19" s="92">
        <f>PI!L20</f>
        <v>21</v>
      </c>
      <c r="R19" s="92">
        <f>PI!M20</f>
        <v>23</v>
      </c>
      <c r="S19" s="92">
        <f>PI!N20</f>
        <v>26</v>
      </c>
      <c r="T19" s="108">
        <f>PI!O20</f>
        <v>26</v>
      </c>
      <c r="U19" s="36"/>
      <c r="V19" s="36"/>
      <c r="W19" s="251"/>
      <c r="X19" s="52" t="s">
        <v>287</v>
      </c>
      <c r="Y19" s="364">
        <v>0</v>
      </c>
      <c r="Z19" s="76" t="s">
        <v>136</v>
      </c>
      <c r="AA19" s="79" t="s">
        <v>410</v>
      </c>
      <c r="AB19" s="77"/>
      <c r="AC19" s="89">
        <f t="shared" si="1"/>
        <v>11</v>
      </c>
      <c r="AD19" s="89">
        <f t="shared" ref="AD19:AD21" si="16">AP19</f>
        <v>11</v>
      </c>
      <c r="AE19" s="142">
        <f>PI!AH20</f>
        <v>1</v>
      </c>
      <c r="AF19" s="142">
        <f>PI!AI20</f>
        <v>1</v>
      </c>
      <c r="AG19" s="142">
        <f>PI!AJ20</f>
        <v>6</v>
      </c>
      <c r="AH19" s="142">
        <f>PI!AK20</f>
        <v>7</v>
      </c>
      <c r="AI19" s="142">
        <f>PI!AL20</f>
        <v>9</v>
      </c>
      <c r="AJ19" s="142">
        <f>PI!AM20</f>
        <v>11</v>
      </c>
      <c r="AK19" s="142">
        <f>PI!AN20</f>
        <v>11</v>
      </c>
      <c r="AL19" s="142">
        <f>PI!AO20</f>
        <v>11</v>
      </c>
      <c r="AM19" s="142">
        <f>PI!AP20</f>
        <v>11</v>
      </c>
      <c r="AN19" s="142">
        <f>PI!AQ20</f>
        <v>11</v>
      </c>
      <c r="AO19" s="142">
        <f>PI!AR20</f>
        <v>11</v>
      </c>
      <c r="AP19" s="95">
        <f>PI!AS20</f>
        <v>11</v>
      </c>
      <c r="AS19" s="51"/>
      <c r="AT19" s="52" t="s">
        <v>287</v>
      </c>
      <c r="AU19" s="364" t="s">
        <v>278</v>
      </c>
      <c r="AV19" s="53" t="s">
        <v>136</v>
      </c>
      <c r="AW19" s="61" t="s">
        <v>410</v>
      </c>
      <c r="AX19" s="53"/>
      <c r="AY19" s="89">
        <f t="shared" si="3"/>
        <v>110</v>
      </c>
      <c r="AZ19" s="89">
        <f t="shared" si="4"/>
        <v>110</v>
      </c>
      <c r="BA19" s="95">
        <f>IF(((I19-(AE19-I19))/I19)*100&gt;110,110,((I19-(AE19-I19))/I19)*100)</f>
        <v>110</v>
      </c>
      <c r="BB19" s="95">
        <f t="shared" ref="BB19:BL19" si="17">IF(((J19-(AF19-J19))/J19)*100&gt;110,110,((J19-(AF19-J19))/J19)*100)</f>
        <v>110</v>
      </c>
      <c r="BC19" s="95">
        <f t="shared" si="17"/>
        <v>110</v>
      </c>
      <c r="BD19" s="95">
        <f t="shared" si="17"/>
        <v>110</v>
      </c>
      <c r="BE19" s="95">
        <f t="shared" si="17"/>
        <v>110</v>
      </c>
      <c r="BF19" s="95">
        <f t="shared" si="17"/>
        <v>110</v>
      </c>
      <c r="BG19" s="95">
        <f t="shared" si="17"/>
        <v>110</v>
      </c>
      <c r="BH19" s="95">
        <f t="shared" si="17"/>
        <v>110</v>
      </c>
      <c r="BI19" s="95">
        <f t="shared" si="17"/>
        <v>110</v>
      </c>
      <c r="BJ19" s="95">
        <f t="shared" si="17"/>
        <v>110</v>
      </c>
      <c r="BK19" s="95">
        <f t="shared" si="17"/>
        <v>110</v>
      </c>
      <c r="BL19" s="95">
        <f t="shared" si="17"/>
        <v>110</v>
      </c>
      <c r="BO19" s="51"/>
      <c r="BP19" s="52" t="s">
        <v>287</v>
      </c>
      <c r="BQ19" s="364" t="s">
        <v>278</v>
      </c>
      <c r="BR19" s="53" t="s">
        <v>136</v>
      </c>
      <c r="BS19" s="61" t="s">
        <v>410</v>
      </c>
      <c r="BT19" s="53">
        <f>BT$18/3</f>
        <v>3</v>
      </c>
      <c r="BU19" s="89">
        <f t="shared" ref="BU19:BU21" si="18">CB19</f>
        <v>3.3</v>
      </c>
      <c r="BV19" s="89">
        <f t="shared" ref="BV19:BV21" si="19">CH19</f>
        <v>3.3</v>
      </c>
      <c r="BW19" s="111" cm="1">
        <f t="array" ref="BW19:CH19">BT19*BA19:BL19/100</f>
        <v>3.3</v>
      </c>
      <c r="BX19" s="95">
        <v>3.3</v>
      </c>
      <c r="BY19" s="95">
        <v>3.3</v>
      </c>
      <c r="BZ19" s="95">
        <v>3.3</v>
      </c>
      <c r="CA19" s="95">
        <v>3.3</v>
      </c>
      <c r="CB19" s="95">
        <v>3.3</v>
      </c>
      <c r="CC19" s="95">
        <v>3.3</v>
      </c>
      <c r="CD19" s="95">
        <v>3.3</v>
      </c>
      <c r="CE19" s="95">
        <v>3.3</v>
      </c>
      <c r="CF19" s="95">
        <v>3.3</v>
      </c>
      <c r="CG19" s="95">
        <v>3.3</v>
      </c>
      <c r="CH19" s="95">
        <v>3.3</v>
      </c>
      <c r="CI19"/>
      <c r="CJ19"/>
      <c r="CK19"/>
      <c r="CL19"/>
      <c r="CM19"/>
      <c r="CN19"/>
      <c r="CO19"/>
    </row>
    <row r="20" spans="1:93" ht="15.6" customHeight="1">
      <c r="A20" s="251"/>
      <c r="B20" s="153" t="s">
        <v>289</v>
      </c>
      <c r="C20" s="370" t="s">
        <v>278</v>
      </c>
      <c r="D20" s="76" t="s">
        <v>136</v>
      </c>
      <c r="E20" s="79" t="s">
        <v>411</v>
      </c>
      <c r="F20" s="77"/>
      <c r="G20" s="92">
        <f>N20</f>
        <v>10</v>
      </c>
      <c r="H20" s="92">
        <f>T20</f>
        <v>20</v>
      </c>
      <c r="I20" s="92">
        <f>PI!D21</f>
        <v>2</v>
      </c>
      <c r="J20" s="92">
        <f>PI!E21</f>
        <v>3</v>
      </c>
      <c r="K20" s="92">
        <f>PI!F21</f>
        <v>5</v>
      </c>
      <c r="L20" s="92">
        <f>PI!G21</f>
        <v>7</v>
      </c>
      <c r="M20" s="92">
        <f>PI!H21</f>
        <v>8</v>
      </c>
      <c r="N20" s="92">
        <f>PI!I21</f>
        <v>10</v>
      </c>
      <c r="O20" s="92">
        <f>PI!J21</f>
        <v>12</v>
      </c>
      <c r="P20" s="92">
        <f>PI!K21</f>
        <v>14</v>
      </c>
      <c r="Q20" s="92">
        <f>PI!L21</f>
        <v>15</v>
      </c>
      <c r="R20" s="92">
        <f>PI!M21</f>
        <v>17</v>
      </c>
      <c r="S20" s="92">
        <f>PI!N21</f>
        <v>19</v>
      </c>
      <c r="T20" s="108">
        <f>PI!O21</f>
        <v>20</v>
      </c>
      <c r="U20" s="36"/>
      <c r="V20" s="36"/>
      <c r="W20" s="251"/>
      <c r="X20" s="52" t="s">
        <v>289</v>
      </c>
      <c r="Y20" s="364">
        <v>0</v>
      </c>
      <c r="Z20" s="76" t="s">
        <v>136</v>
      </c>
      <c r="AA20" s="79" t="s">
        <v>411</v>
      </c>
      <c r="AB20" s="77"/>
      <c r="AC20" s="89">
        <f t="shared" si="1"/>
        <v>7</v>
      </c>
      <c r="AD20" s="89">
        <f t="shared" si="16"/>
        <v>12</v>
      </c>
      <c r="AE20" s="142">
        <f>PI!AH21</f>
        <v>1</v>
      </c>
      <c r="AF20" s="142">
        <f>PI!AI21</f>
        <v>4</v>
      </c>
      <c r="AG20" s="142">
        <f>PI!AJ21</f>
        <v>4</v>
      </c>
      <c r="AH20" s="142">
        <f>PI!AK21</f>
        <v>4</v>
      </c>
      <c r="AI20" s="142">
        <f>PI!AL21</f>
        <v>6</v>
      </c>
      <c r="AJ20" s="142">
        <f>PI!AM21</f>
        <v>7</v>
      </c>
      <c r="AK20" s="142">
        <f>PI!AN21</f>
        <v>10</v>
      </c>
      <c r="AL20" s="142">
        <f>PI!AO21</f>
        <v>10</v>
      </c>
      <c r="AM20" s="142">
        <f>PI!AP21</f>
        <v>12</v>
      </c>
      <c r="AN20" s="142">
        <f>PI!AQ21</f>
        <v>12</v>
      </c>
      <c r="AO20" s="142">
        <f>PI!AR21</f>
        <v>12</v>
      </c>
      <c r="AP20" s="95">
        <f>PI!AS21</f>
        <v>12</v>
      </c>
      <c r="AS20" s="51"/>
      <c r="AT20" s="52" t="s">
        <v>289</v>
      </c>
      <c r="AU20" s="364" t="s">
        <v>278</v>
      </c>
      <c r="AV20" s="53" t="s">
        <v>136</v>
      </c>
      <c r="AW20" s="61" t="s">
        <v>411</v>
      </c>
      <c r="AX20" s="53"/>
      <c r="AY20" s="89">
        <f t="shared" si="3"/>
        <v>110</v>
      </c>
      <c r="AZ20" s="89">
        <f t="shared" si="4"/>
        <v>110</v>
      </c>
      <c r="BA20" s="95">
        <f>IF((2-(AE20/I20))*100&gt;110,110,(2-(AE20/I20))*100)</f>
        <v>110</v>
      </c>
      <c r="BB20" s="95">
        <f t="shared" ref="BB20:BL20" si="20">IF((2-(AF20/J20))*100&gt;110,110,(2-(AF20/J20))*100)</f>
        <v>66.666666666666671</v>
      </c>
      <c r="BC20" s="95">
        <f t="shared" si="20"/>
        <v>110</v>
      </c>
      <c r="BD20" s="95">
        <f t="shared" si="20"/>
        <v>110</v>
      </c>
      <c r="BE20" s="95">
        <f t="shared" si="20"/>
        <v>110</v>
      </c>
      <c r="BF20" s="95">
        <f t="shared" si="20"/>
        <v>110</v>
      </c>
      <c r="BG20" s="95">
        <f t="shared" si="20"/>
        <v>110</v>
      </c>
      <c r="BH20" s="95">
        <f t="shared" si="20"/>
        <v>110</v>
      </c>
      <c r="BI20" s="95">
        <f t="shared" si="20"/>
        <v>110</v>
      </c>
      <c r="BJ20" s="95">
        <f t="shared" si="20"/>
        <v>110</v>
      </c>
      <c r="BK20" s="95">
        <f t="shared" si="20"/>
        <v>110</v>
      </c>
      <c r="BL20" s="95">
        <f t="shared" si="20"/>
        <v>110</v>
      </c>
      <c r="BO20" s="51"/>
      <c r="BP20" s="52" t="s">
        <v>289</v>
      </c>
      <c r="BQ20" s="364" t="s">
        <v>278</v>
      </c>
      <c r="BR20" s="53" t="s">
        <v>136</v>
      </c>
      <c r="BS20" s="61" t="s">
        <v>411</v>
      </c>
      <c r="BT20" s="53">
        <f t="shared" ref="BT20:BT21" si="21">BT$18/3</f>
        <v>3</v>
      </c>
      <c r="BU20" s="89">
        <f t="shared" si="18"/>
        <v>3.3</v>
      </c>
      <c r="BV20" s="89">
        <f t="shared" si="19"/>
        <v>3.3</v>
      </c>
      <c r="BW20" s="111" cm="1">
        <f t="array" ref="BW20:CH20">BT20*BA20:BL20/100</f>
        <v>3.3</v>
      </c>
      <c r="BX20" s="95">
        <v>2</v>
      </c>
      <c r="BY20" s="95">
        <v>3.3</v>
      </c>
      <c r="BZ20" s="95">
        <v>3.3</v>
      </c>
      <c r="CA20" s="95">
        <v>3.3</v>
      </c>
      <c r="CB20" s="95">
        <v>3.3</v>
      </c>
      <c r="CC20" s="95">
        <v>3.3</v>
      </c>
      <c r="CD20" s="95">
        <v>3.3</v>
      </c>
      <c r="CE20" s="95">
        <v>3.3</v>
      </c>
      <c r="CF20" s="95">
        <v>3.3</v>
      </c>
      <c r="CG20" s="95">
        <v>3.3</v>
      </c>
      <c r="CH20" s="95">
        <v>3.3</v>
      </c>
      <c r="CI20"/>
      <c r="CJ20"/>
      <c r="CK20"/>
      <c r="CL20"/>
      <c r="CM20"/>
      <c r="CN20"/>
      <c r="CO20"/>
    </row>
    <row r="21" spans="1:93" ht="15.6" customHeight="1">
      <c r="A21" s="251"/>
      <c r="B21" s="153" t="s">
        <v>291</v>
      </c>
      <c r="C21" s="373" t="s">
        <v>278</v>
      </c>
      <c r="D21" s="76" t="s">
        <v>72</v>
      </c>
      <c r="E21" s="79" t="s">
        <v>412</v>
      </c>
      <c r="F21" s="77"/>
      <c r="G21" s="92">
        <f>N21</f>
        <v>1</v>
      </c>
      <c r="H21" s="92">
        <f>T21</f>
        <v>1</v>
      </c>
      <c r="I21" s="92">
        <f>PI!D33</f>
        <v>0</v>
      </c>
      <c r="J21" s="92">
        <f>PI!E33</f>
        <v>0</v>
      </c>
      <c r="K21" s="92">
        <f>PI!F33</f>
        <v>1</v>
      </c>
      <c r="L21" s="92">
        <f>PI!G33</f>
        <v>1</v>
      </c>
      <c r="M21" s="92">
        <f>PI!H33</f>
        <v>1</v>
      </c>
      <c r="N21" s="92">
        <f>PI!I33</f>
        <v>1</v>
      </c>
      <c r="O21" s="92">
        <f>PI!J33</f>
        <v>1</v>
      </c>
      <c r="P21" s="92">
        <f>PI!K33</f>
        <v>1</v>
      </c>
      <c r="Q21" s="92">
        <f>PI!L33</f>
        <v>1</v>
      </c>
      <c r="R21" s="92">
        <f>PI!M33</f>
        <v>1</v>
      </c>
      <c r="S21" s="92">
        <f>PI!N33</f>
        <v>1</v>
      </c>
      <c r="T21" s="108">
        <f>PI!O33</f>
        <v>1</v>
      </c>
      <c r="U21" s="36"/>
      <c r="V21" s="36"/>
      <c r="W21" s="251"/>
      <c r="X21" s="52" t="s">
        <v>291</v>
      </c>
      <c r="Y21" s="364">
        <v>0</v>
      </c>
      <c r="Z21" s="76" t="s">
        <v>72</v>
      </c>
      <c r="AA21" s="79" t="s">
        <v>412</v>
      </c>
      <c r="AB21" s="77"/>
      <c r="AC21" s="89">
        <f t="shared" si="1"/>
        <v>0</v>
      </c>
      <c r="AD21" s="89">
        <f t="shared" si="16"/>
        <v>0</v>
      </c>
      <c r="AE21" s="142">
        <f>PI!AH45</f>
        <v>0</v>
      </c>
      <c r="AF21" s="142">
        <f>PI!AI45</f>
        <v>0</v>
      </c>
      <c r="AG21" s="142">
        <f>PI!AJ45</f>
        <v>0</v>
      </c>
      <c r="AH21" s="142">
        <f>PI!AK45</f>
        <v>0</v>
      </c>
      <c r="AI21" s="142">
        <f>PI!AL45</f>
        <v>0</v>
      </c>
      <c r="AJ21" s="142">
        <f>PI!AM45</f>
        <v>0</v>
      </c>
      <c r="AK21" s="142">
        <f>PI!AN45</f>
        <v>0</v>
      </c>
      <c r="AL21" s="142">
        <f>PI!AO45</f>
        <v>0</v>
      </c>
      <c r="AM21" s="142">
        <f>PI!AP45</f>
        <v>0</v>
      </c>
      <c r="AN21" s="142">
        <f>PI!AQ45</f>
        <v>0</v>
      </c>
      <c r="AO21" s="142">
        <f>PI!AR45</f>
        <v>0</v>
      </c>
      <c r="AP21" s="95">
        <f>PI!AS45</f>
        <v>0</v>
      </c>
      <c r="AS21" s="51"/>
      <c r="AT21" s="52" t="s">
        <v>291</v>
      </c>
      <c r="AU21" s="364" t="s">
        <v>278</v>
      </c>
      <c r="AV21" s="53" t="s">
        <v>72</v>
      </c>
      <c r="AW21" s="61" t="s">
        <v>412</v>
      </c>
      <c r="AX21" s="53"/>
      <c r="AY21" s="89">
        <f t="shared" si="3"/>
        <v>110</v>
      </c>
      <c r="AZ21" s="89">
        <f t="shared" si="4"/>
        <v>110</v>
      </c>
      <c r="BA21" s="95">
        <f>IFERROR(IF((2-(AE21/I21))*100&gt;110,110,(2-(AE21/I21))*100),100)</f>
        <v>100</v>
      </c>
      <c r="BB21" s="95">
        <f t="shared" ref="BB21:BL21" si="22">IFERROR(IF((2-(AF21/J21))*100&gt;110,110,(2-(AF21/J21))*100),100)</f>
        <v>100</v>
      </c>
      <c r="BC21" s="95">
        <f t="shared" si="22"/>
        <v>110</v>
      </c>
      <c r="BD21" s="95">
        <f t="shared" si="22"/>
        <v>110</v>
      </c>
      <c r="BE21" s="95">
        <f t="shared" si="22"/>
        <v>110</v>
      </c>
      <c r="BF21" s="95">
        <f t="shared" si="22"/>
        <v>110</v>
      </c>
      <c r="BG21" s="95">
        <f t="shared" si="22"/>
        <v>110</v>
      </c>
      <c r="BH21" s="95">
        <f t="shared" si="22"/>
        <v>110</v>
      </c>
      <c r="BI21" s="95">
        <f t="shared" si="22"/>
        <v>110</v>
      </c>
      <c r="BJ21" s="95">
        <f t="shared" si="22"/>
        <v>110</v>
      </c>
      <c r="BK21" s="95">
        <f t="shared" si="22"/>
        <v>110</v>
      </c>
      <c r="BL21" s="95">
        <f t="shared" si="22"/>
        <v>110</v>
      </c>
      <c r="BO21" s="51"/>
      <c r="BP21" s="52" t="s">
        <v>291</v>
      </c>
      <c r="BQ21" s="364" t="s">
        <v>278</v>
      </c>
      <c r="BR21" s="53" t="s">
        <v>72</v>
      </c>
      <c r="BS21" s="61" t="s">
        <v>412</v>
      </c>
      <c r="BT21" s="53">
        <f t="shared" si="21"/>
        <v>3</v>
      </c>
      <c r="BU21" s="89">
        <f t="shared" si="18"/>
        <v>3.3</v>
      </c>
      <c r="BV21" s="89">
        <f t="shared" si="19"/>
        <v>3.3</v>
      </c>
      <c r="BW21" s="111" cm="1">
        <f t="array" ref="BW21:CH21">BT21*BA21:BL21/100</f>
        <v>3</v>
      </c>
      <c r="BX21" s="95">
        <v>3</v>
      </c>
      <c r="BY21" s="95">
        <v>3.3</v>
      </c>
      <c r="BZ21" s="95">
        <v>3.3</v>
      </c>
      <c r="CA21" s="95">
        <v>3.3</v>
      </c>
      <c r="CB21" s="95">
        <v>3.3</v>
      </c>
      <c r="CC21" s="95">
        <v>3.3</v>
      </c>
      <c r="CD21" s="95">
        <v>3.3</v>
      </c>
      <c r="CE21" s="95">
        <v>3.3</v>
      </c>
      <c r="CF21" s="95">
        <v>3.3</v>
      </c>
      <c r="CG21" s="95">
        <v>3.3</v>
      </c>
      <c r="CH21" s="95">
        <v>3.3</v>
      </c>
      <c r="CI21"/>
      <c r="CJ21"/>
      <c r="CK21"/>
      <c r="CL21"/>
      <c r="CM21"/>
      <c r="CN21"/>
      <c r="CO21"/>
    </row>
    <row r="22" spans="1:93" ht="15.6" customHeight="1">
      <c r="A22" s="252">
        <v>5</v>
      </c>
      <c r="B22" s="266" t="s">
        <v>293</v>
      </c>
      <c r="C22" s="373"/>
      <c r="D22" s="76"/>
      <c r="E22" s="136"/>
      <c r="F22" s="78">
        <v>8</v>
      </c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123"/>
      <c r="U22" s="36"/>
      <c r="V22" s="36"/>
      <c r="W22" s="252">
        <v>5</v>
      </c>
      <c r="X22" s="267" t="s">
        <v>293</v>
      </c>
      <c r="Y22" s="364"/>
      <c r="Z22" s="76"/>
      <c r="AA22" s="136"/>
      <c r="AB22" s="78">
        <v>8</v>
      </c>
      <c r="AC22" s="89"/>
      <c r="AD22" s="89"/>
      <c r="AE22" s="226"/>
      <c r="AF22" s="226"/>
      <c r="AG22" s="226"/>
      <c r="AH22" s="226"/>
      <c r="AI22" s="226"/>
      <c r="AJ22" s="226"/>
      <c r="AK22" s="226"/>
      <c r="AL22" s="226"/>
      <c r="AM22" s="226"/>
      <c r="AN22" s="226"/>
      <c r="AO22" s="226"/>
      <c r="AP22" s="227"/>
      <c r="AS22" s="51">
        <v>5</v>
      </c>
      <c r="AT22" s="267" t="s">
        <v>293</v>
      </c>
      <c r="AU22" s="364"/>
      <c r="AV22" s="53"/>
      <c r="AW22" s="61"/>
      <c r="AX22" s="53">
        <v>8</v>
      </c>
      <c r="AY22" s="89"/>
      <c r="AZ22" s="89"/>
      <c r="BA22" s="227"/>
      <c r="BB22" s="227"/>
      <c r="BC22" s="227"/>
      <c r="BD22" s="227"/>
      <c r="BE22" s="227"/>
      <c r="BF22" s="227"/>
      <c r="BG22" s="227"/>
      <c r="BH22" s="227"/>
      <c r="BI22" s="227"/>
      <c r="BJ22" s="227"/>
      <c r="BK22" s="227"/>
      <c r="BL22" s="227"/>
      <c r="BO22" s="51">
        <v>5</v>
      </c>
      <c r="BP22" s="267" t="s">
        <v>293</v>
      </c>
      <c r="BQ22" s="364"/>
      <c r="BR22" s="53"/>
      <c r="BS22" s="61"/>
      <c r="BT22" s="513">
        <v>8</v>
      </c>
      <c r="BU22" s="89"/>
      <c r="BV22" s="89"/>
      <c r="BW22" s="227"/>
      <c r="BX22" s="227"/>
      <c r="BY22" s="227"/>
      <c r="BZ22" s="227"/>
      <c r="CA22" s="227"/>
      <c r="CB22" s="227"/>
      <c r="CC22" s="227"/>
      <c r="CD22" s="227"/>
      <c r="CE22" s="227"/>
      <c r="CF22" s="227"/>
      <c r="CG22" s="227"/>
      <c r="CH22" s="227"/>
      <c r="CI22"/>
      <c r="CJ22"/>
      <c r="CK22"/>
      <c r="CL22"/>
      <c r="CM22"/>
      <c r="CN22"/>
      <c r="CO22"/>
    </row>
    <row r="23" spans="1:93" ht="15.6" customHeight="1">
      <c r="A23" s="251"/>
      <c r="B23" s="153" t="s">
        <v>294</v>
      </c>
      <c r="C23" s="373" t="s">
        <v>278</v>
      </c>
      <c r="D23" s="76" t="s">
        <v>149</v>
      </c>
      <c r="E23" s="136" t="s">
        <v>413</v>
      </c>
      <c r="F23" s="78"/>
      <c r="G23" s="93">
        <f>N23</f>
        <v>0.09</v>
      </c>
      <c r="H23" s="93">
        <f>T23</f>
        <v>0.09</v>
      </c>
      <c r="I23" s="308">
        <f>PI!D67</f>
        <v>0.09</v>
      </c>
      <c r="J23" s="308">
        <f>PI!E67</f>
        <v>0.09</v>
      </c>
      <c r="K23" s="308">
        <f>PI!F67</f>
        <v>0.09</v>
      </c>
      <c r="L23" s="308">
        <f>PI!G67</f>
        <v>0.09</v>
      </c>
      <c r="M23" s="308">
        <f>PI!H67</f>
        <v>0.09</v>
      </c>
      <c r="N23" s="308">
        <f>PI!I67</f>
        <v>0.09</v>
      </c>
      <c r="O23" s="308">
        <f>PI!J67</f>
        <v>0.09</v>
      </c>
      <c r="P23" s="308">
        <f>PI!K67</f>
        <v>0.09</v>
      </c>
      <c r="Q23" s="308">
        <f>PI!L67</f>
        <v>0.09</v>
      </c>
      <c r="R23" s="308">
        <f>PI!M67</f>
        <v>0.09</v>
      </c>
      <c r="S23" s="308">
        <f>PI!N67</f>
        <v>0.09</v>
      </c>
      <c r="T23" s="389">
        <f>PI!O67</f>
        <v>0.09</v>
      </c>
      <c r="U23" s="36"/>
      <c r="V23" s="36"/>
      <c r="W23" s="251"/>
      <c r="X23" s="52" t="s">
        <v>294</v>
      </c>
      <c r="Y23" s="364">
        <v>0</v>
      </c>
      <c r="Z23" s="76" t="s">
        <v>149</v>
      </c>
      <c r="AA23" s="136" t="s">
        <v>413</v>
      </c>
      <c r="AB23" s="78"/>
      <c r="AC23" s="89">
        <f t="shared" si="1"/>
        <v>0</v>
      </c>
      <c r="AD23" s="89">
        <f t="shared" ref="AD23:AD26" si="23">AP23</f>
        <v>0</v>
      </c>
      <c r="AE23" s="226">
        <f>PI!AH67</f>
        <v>0</v>
      </c>
      <c r="AF23" s="226">
        <f>PI!AI67</f>
        <v>0</v>
      </c>
      <c r="AG23" s="226">
        <f>PI!AJ67</f>
        <v>0</v>
      </c>
      <c r="AH23" s="226">
        <f>PI!AK67</f>
        <v>0</v>
      </c>
      <c r="AI23" s="226">
        <f>PI!AL67</f>
        <v>0</v>
      </c>
      <c r="AJ23" s="226">
        <f>PI!AM67</f>
        <v>0</v>
      </c>
      <c r="AK23" s="226">
        <f>PI!AN67</f>
        <v>0</v>
      </c>
      <c r="AL23" s="226">
        <f>PI!AO67</f>
        <v>0</v>
      </c>
      <c r="AM23" s="226">
        <f>PI!AP67</f>
        <v>0</v>
      </c>
      <c r="AN23" s="226">
        <f>PI!AQ67</f>
        <v>0</v>
      </c>
      <c r="AO23" s="226">
        <f>PI!AR67</f>
        <v>0</v>
      </c>
      <c r="AP23" s="227">
        <f>PI!AS67</f>
        <v>0</v>
      </c>
      <c r="AS23" s="51"/>
      <c r="AT23" s="52" t="s">
        <v>294</v>
      </c>
      <c r="AU23" s="364" t="s">
        <v>278</v>
      </c>
      <c r="AV23" s="53" t="s">
        <v>149</v>
      </c>
      <c r="AW23" s="61" t="s">
        <v>413</v>
      </c>
      <c r="AX23" s="53"/>
      <c r="AY23" s="89">
        <f t="shared" si="3"/>
        <v>110</v>
      </c>
      <c r="AZ23" s="89">
        <f t="shared" si="4"/>
        <v>110</v>
      </c>
      <c r="BA23" s="227">
        <f>IFERROR(IF((2-(AE23/I23))*100&gt;110,110,(2-(AE23/I23))*100),100)</f>
        <v>110</v>
      </c>
      <c r="BB23" s="227">
        <f t="shared" ref="BB23:BL24" si="24">IFERROR(IF((2-(AF23/J23))*100&gt;110,110,(2-(AF23/J23))*100),100)</f>
        <v>110</v>
      </c>
      <c r="BC23" s="227">
        <f t="shared" si="24"/>
        <v>110</v>
      </c>
      <c r="BD23" s="227">
        <f t="shared" si="24"/>
        <v>110</v>
      </c>
      <c r="BE23" s="227">
        <f t="shared" si="24"/>
        <v>110</v>
      </c>
      <c r="BF23" s="227">
        <f t="shared" si="24"/>
        <v>110</v>
      </c>
      <c r="BG23" s="227">
        <f t="shared" si="24"/>
        <v>110</v>
      </c>
      <c r="BH23" s="227">
        <f t="shared" si="24"/>
        <v>110</v>
      </c>
      <c r="BI23" s="227">
        <f t="shared" si="24"/>
        <v>110</v>
      </c>
      <c r="BJ23" s="227">
        <f t="shared" si="24"/>
        <v>110</v>
      </c>
      <c r="BK23" s="227">
        <f t="shared" si="24"/>
        <v>110</v>
      </c>
      <c r="BL23" s="227">
        <f t="shared" si="24"/>
        <v>110</v>
      </c>
      <c r="BO23" s="51"/>
      <c r="BP23" s="52" t="s">
        <v>294</v>
      </c>
      <c r="BQ23" s="364" t="s">
        <v>278</v>
      </c>
      <c r="BR23" s="53" t="s">
        <v>149</v>
      </c>
      <c r="BS23" s="61" t="s">
        <v>413</v>
      </c>
      <c r="BT23" s="53">
        <f>BT$22/4</f>
        <v>2</v>
      </c>
      <c r="BU23" s="89">
        <f t="shared" ref="BU23:BU26" si="25">CB23</f>
        <v>2.2000000000000002</v>
      </c>
      <c r="BV23" s="89">
        <f t="shared" ref="BV23:BV26" si="26">CH23</f>
        <v>2.2000000000000002</v>
      </c>
      <c r="BW23" s="111" cm="1">
        <f t="array" ref="BW23:CH23">BT23*BA23:BL23/100</f>
        <v>2.2000000000000002</v>
      </c>
      <c r="BX23" s="227">
        <v>2.2000000000000002</v>
      </c>
      <c r="BY23" s="227">
        <v>2.2000000000000002</v>
      </c>
      <c r="BZ23" s="227">
        <v>2.2000000000000002</v>
      </c>
      <c r="CA23" s="227">
        <v>2.2000000000000002</v>
      </c>
      <c r="CB23" s="227">
        <v>2.2000000000000002</v>
      </c>
      <c r="CC23" s="227">
        <v>2.2000000000000002</v>
      </c>
      <c r="CD23" s="227">
        <v>2.2000000000000002</v>
      </c>
      <c r="CE23" s="227">
        <v>2.2000000000000002</v>
      </c>
      <c r="CF23" s="227">
        <v>2.2000000000000002</v>
      </c>
      <c r="CG23" s="227">
        <v>2.2000000000000002</v>
      </c>
      <c r="CH23" s="227">
        <v>2.2000000000000002</v>
      </c>
      <c r="CI23"/>
      <c r="CJ23"/>
      <c r="CK23"/>
      <c r="CL23"/>
      <c r="CM23"/>
      <c r="CN23"/>
      <c r="CO23"/>
    </row>
    <row r="24" spans="1:93" ht="15.6" customHeight="1">
      <c r="A24" s="250"/>
      <c r="B24" s="153" t="s">
        <v>295</v>
      </c>
      <c r="C24" s="373" t="s">
        <v>278</v>
      </c>
      <c r="D24" s="76" t="s">
        <v>149</v>
      </c>
      <c r="E24" s="136" t="s">
        <v>414</v>
      </c>
      <c r="F24" s="78"/>
      <c r="G24" s="93">
        <f>N24</f>
        <v>0.04</v>
      </c>
      <c r="H24" s="93">
        <f>T24</f>
        <v>0.04</v>
      </c>
      <c r="I24" s="308">
        <f>PI!D89</f>
        <v>0.04</v>
      </c>
      <c r="J24" s="308">
        <f>PI!E89</f>
        <v>0.04</v>
      </c>
      <c r="K24" s="308">
        <f>PI!F89</f>
        <v>0.04</v>
      </c>
      <c r="L24" s="308">
        <f>PI!G89</f>
        <v>0.04</v>
      </c>
      <c r="M24" s="308">
        <f>PI!H89</f>
        <v>0.04</v>
      </c>
      <c r="N24" s="308">
        <f>PI!I89</f>
        <v>0.04</v>
      </c>
      <c r="O24" s="308">
        <f>PI!J89</f>
        <v>0.04</v>
      </c>
      <c r="P24" s="308">
        <f>PI!K89</f>
        <v>0.04</v>
      </c>
      <c r="Q24" s="308">
        <f>PI!L89</f>
        <v>0.04</v>
      </c>
      <c r="R24" s="308">
        <f>PI!M89</f>
        <v>0.04</v>
      </c>
      <c r="S24" s="308">
        <f>PI!N89</f>
        <v>0.04</v>
      </c>
      <c r="T24" s="389">
        <f>PI!O89</f>
        <v>0.04</v>
      </c>
      <c r="U24" s="36"/>
      <c r="V24" s="36"/>
      <c r="W24" s="250"/>
      <c r="X24" s="52" t="s">
        <v>295</v>
      </c>
      <c r="Y24" s="364">
        <v>0</v>
      </c>
      <c r="Z24" s="76" t="s">
        <v>149</v>
      </c>
      <c r="AA24" s="136" t="s">
        <v>414</v>
      </c>
      <c r="AB24" s="78"/>
      <c r="AC24" s="89">
        <f t="shared" si="1"/>
        <v>0</v>
      </c>
      <c r="AD24" s="89">
        <f t="shared" si="23"/>
        <v>0</v>
      </c>
      <c r="AE24" s="88">
        <f>PI!AH89</f>
        <v>0</v>
      </c>
      <c r="AF24" s="88">
        <f>PI!AI89</f>
        <v>0</v>
      </c>
      <c r="AG24" s="88">
        <f>PI!AJ89</f>
        <v>0</v>
      </c>
      <c r="AH24" s="88">
        <f>PI!AK89</f>
        <v>0</v>
      </c>
      <c r="AI24" s="88">
        <f>PI!AL89</f>
        <v>0</v>
      </c>
      <c r="AJ24" s="88">
        <f>PI!AM89</f>
        <v>0</v>
      </c>
      <c r="AK24" s="88">
        <f>PI!AN89</f>
        <v>0</v>
      </c>
      <c r="AL24" s="88">
        <f>PI!AO89</f>
        <v>0</v>
      </c>
      <c r="AM24" s="88">
        <f>PI!AP89</f>
        <v>0</v>
      </c>
      <c r="AN24" s="88">
        <f>PI!AQ89</f>
        <v>0</v>
      </c>
      <c r="AO24" s="88">
        <f>PI!AR89</f>
        <v>0</v>
      </c>
      <c r="AP24" s="546">
        <f>PI!AS89</f>
        <v>0</v>
      </c>
      <c r="AS24" s="51"/>
      <c r="AT24" s="52" t="s">
        <v>295</v>
      </c>
      <c r="AU24" s="364" t="s">
        <v>278</v>
      </c>
      <c r="AV24" s="53" t="s">
        <v>149</v>
      </c>
      <c r="AW24" s="61" t="s">
        <v>414</v>
      </c>
      <c r="AX24" s="53"/>
      <c r="AY24" s="89">
        <f t="shared" si="3"/>
        <v>110</v>
      </c>
      <c r="AZ24" s="89">
        <f t="shared" si="4"/>
        <v>110</v>
      </c>
      <c r="BA24" s="227">
        <f>IFERROR(IF((2-(AE24/I24))*100&gt;110,110,(2-(AE24/I24))*100),100)</f>
        <v>110</v>
      </c>
      <c r="BB24" s="227">
        <f t="shared" si="24"/>
        <v>110</v>
      </c>
      <c r="BC24" s="227">
        <f t="shared" si="24"/>
        <v>110</v>
      </c>
      <c r="BD24" s="227">
        <f t="shared" si="24"/>
        <v>110</v>
      </c>
      <c r="BE24" s="227">
        <f t="shared" si="24"/>
        <v>110</v>
      </c>
      <c r="BF24" s="227">
        <f t="shared" si="24"/>
        <v>110</v>
      </c>
      <c r="BG24" s="227">
        <f t="shared" si="24"/>
        <v>110</v>
      </c>
      <c r="BH24" s="227">
        <f t="shared" si="24"/>
        <v>110</v>
      </c>
      <c r="BI24" s="227">
        <f t="shared" si="24"/>
        <v>110</v>
      </c>
      <c r="BJ24" s="227">
        <f t="shared" si="24"/>
        <v>110</v>
      </c>
      <c r="BK24" s="227">
        <f t="shared" si="24"/>
        <v>110</v>
      </c>
      <c r="BL24" s="227">
        <f t="shared" si="24"/>
        <v>110</v>
      </c>
      <c r="BO24" s="51"/>
      <c r="BP24" s="52" t="s">
        <v>295</v>
      </c>
      <c r="BQ24" s="364" t="s">
        <v>278</v>
      </c>
      <c r="BR24" s="53" t="s">
        <v>149</v>
      </c>
      <c r="BS24" s="61" t="s">
        <v>414</v>
      </c>
      <c r="BT24" s="53">
        <f t="shared" ref="BT24:BT26" si="27">BT$22/4</f>
        <v>2</v>
      </c>
      <c r="BU24" s="89">
        <f t="shared" si="25"/>
        <v>2.2000000000000002</v>
      </c>
      <c r="BV24" s="89">
        <f t="shared" si="26"/>
        <v>2.2000000000000002</v>
      </c>
      <c r="BW24" s="111" cm="1">
        <f t="array" ref="BW24:CH24">BT24*BA24:BL24/100</f>
        <v>2.2000000000000002</v>
      </c>
      <c r="BX24" s="227">
        <v>2.2000000000000002</v>
      </c>
      <c r="BY24" s="227">
        <v>2.2000000000000002</v>
      </c>
      <c r="BZ24" s="227">
        <v>2.2000000000000002</v>
      </c>
      <c r="CA24" s="227">
        <v>2.2000000000000002</v>
      </c>
      <c r="CB24" s="227">
        <v>2.2000000000000002</v>
      </c>
      <c r="CC24" s="227">
        <v>2.2000000000000002</v>
      </c>
      <c r="CD24" s="227">
        <v>2.2000000000000002</v>
      </c>
      <c r="CE24" s="227">
        <v>2.2000000000000002</v>
      </c>
      <c r="CF24" s="227">
        <v>2.2000000000000002</v>
      </c>
      <c r="CG24" s="227">
        <v>2.2000000000000002</v>
      </c>
      <c r="CH24" s="227">
        <v>2.2000000000000002</v>
      </c>
      <c r="CI24"/>
      <c r="CJ24"/>
      <c r="CK24"/>
      <c r="CL24"/>
      <c r="CM24"/>
      <c r="CN24"/>
      <c r="CO24"/>
    </row>
    <row r="25" spans="1:93" ht="15.6" customHeight="1">
      <c r="A25" s="251"/>
      <c r="B25" s="153" t="s">
        <v>297</v>
      </c>
      <c r="C25" s="373" t="s">
        <v>276</v>
      </c>
      <c r="D25" s="76" t="s">
        <v>193</v>
      </c>
      <c r="E25" s="136" t="s">
        <v>415</v>
      </c>
      <c r="F25" s="78"/>
      <c r="G25" s="92">
        <f>N25</f>
        <v>4.9000000000000004</v>
      </c>
      <c r="H25" s="92">
        <f>T25</f>
        <v>4.9000000000000004</v>
      </c>
      <c r="I25" s="92">
        <f>PI!D97</f>
        <v>4.9000000000000004</v>
      </c>
      <c r="J25" s="92">
        <f>PI!E97</f>
        <v>4.9000000000000004</v>
      </c>
      <c r="K25" s="92">
        <f>PI!F97</f>
        <v>4.9000000000000004</v>
      </c>
      <c r="L25" s="92">
        <f>PI!G97</f>
        <v>4.9000000000000004</v>
      </c>
      <c r="M25" s="92">
        <f>PI!H97</f>
        <v>4.9000000000000004</v>
      </c>
      <c r="N25" s="92">
        <f>PI!I97</f>
        <v>4.9000000000000004</v>
      </c>
      <c r="O25" s="92">
        <f>PI!J97</f>
        <v>4.9000000000000004</v>
      </c>
      <c r="P25" s="92">
        <f>PI!K97</f>
        <v>4.9000000000000004</v>
      </c>
      <c r="Q25" s="92">
        <f>PI!L97</f>
        <v>4.9000000000000004</v>
      </c>
      <c r="R25" s="92">
        <f>PI!M97</f>
        <v>4.9000000000000004</v>
      </c>
      <c r="S25" s="92">
        <f>PI!N97</f>
        <v>4.9000000000000004</v>
      </c>
      <c r="T25" s="108">
        <f>PI!O97</f>
        <v>4.9000000000000004</v>
      </c>
      <c r="U25" s="36"/>
      <c r="V25" s="36"/>
      <c r="W25" s="251"/>
      <c r="X25" s="52" t="s">
        <v>297</v>
      </c>
      <c r="Y25" s="364">
        <v>0</v>
      </c>
      <c r="Z25" s="76" t="s">
        <v>193</v>
      </c>
      <c r="AA25" s="136" t="s">
        <v>415</v>
      </c>
      <c r="AB25" s="78"/>
      <c r="AC25" s="89">
        <f t="shared" si="1"/>
        <v>4.9000000000000004</v>
      </c>
      <c r="AD25" s="89">
        <f t="shared" si="23"/>
        <v>4.9000000000000004</v>
      </c>
      <c r="AE25" s="142">
        <f>PI!AH97</f>
        <v>4.91</v>
      </c>
      <c r="AF25" s="142">
        <f>PI!AI97</f>
        <v>4.91</v>
      </c>
      <c r="AG25" s="142">
        <f>PI!AJ97</f>
        <v>4.91</v>
      </c>
      <c r="AH25" s="142">
        <f>PI!AK97</f>
        <v>4.91</v>
      </c>
      <c r="AI25" s="142">
        <f>PI!AL97</f>
        <v>4.9000000000000004</v>
      </c>
      <c r="AJ25" s="142">
        <f>PI!AM97</f>
        <v>4.9000000000000004</v>
      </c>
      <c r="AK25" s="142">
        <f>PI!AN97</f>
        <v>4.9000000000000004</v>
      </c>
      <c r="AL25" s="142">
        <f>PI!AO97</f>
        <v>4.9000000000000004</v>
      </c>
      <c r="AM25" s="142">
        <f>PI!AP97</f>
        <v>4.9000000000000004</v>
      </c>
      <c r="AN25" s="142">
        <f>PI!AQ97</f>
        <v>4.9000000000000004</v>
      </c>
      <c r="AO25" s="142">
        <f>PI!AR97</f>
        <v>4.9000000000000004</v>
      </c>
      <c r="AP25" s="95">
        <f>PI!AS97</f>
        <v>4.9000000000000004</v>
      </c>
      <c r="AS25" s="51"/>
      <c r="AT25" s="52" t="s">
        <v>297</v>
      </c>
      <c r="AU25" s="364" t="s">
        <v>276</v>
      </c>
      <c r="AV25" s="53" t="s">
        <v>193</v>
      </c>
      <c r="AW25" s="61" t="s">
        <v>415</v>
      </c>
      <c r="AX25" s="53"/>
      <c r="AY25" s="89">
        <f t="shared" si="3"/>
        <v>100</v>
      </c>
      <c r="AZ25" s="89">
        <f t="shared" si="4"/>
        <v>100</v>
      </c>
      <c r="BA25" s="95">
        <f>IF(AE25/I25*100&gt;110,110,AE25/I25*100)</f>
        <v>100.20408163265306</v>
      </c>
      <c r="BB25" s="95">
        <f t="shared" ref="BB25:BL26" si="28">IF(AF25/J25*100&gt;110,110,AF25/J25*100)</f>
        <v>100.20408163265306</v>
      </c>
      <c r="BC25" s="95">
        <f t="shared" si="28"/>
        <v>100.20408163265306</v>
      </c>
      <c r="BD25" s="95">
        <f t="shared" si="28"/>
        <v>100.20408163265306</v>
      </c>
      <c r="BE25" s="95">
        <f t="shared" si="28"/>
        <v>100</v>
      </c>
      <c r="BF25" s="95">
        <f t="shared" si="28"/>
        <v>100</v>
      </c>
      <c r="BG25" s="95">
        <f t="shared" si="28"/>
        <v>100</v>
      </c>
      <c r="BH25" s="95">
        <f t="shared" si="28"/>
        <v>100</v>
      </c>
      <c r="BI25" s="95">
        <f t="shared" si="28"/>
        <v>100</v>
      </c>
      <c r="BJ25" s="95">
        <f t="shared" si="28"/>
        <v>100</v>
      </c>
      <c r="BK25" s="95">
        <f t="shared" si="28"/>
        <v>100</v>
      </c>
      <c r="BL25" s="95">
        <f t="shared" si="28"/>
        <v>100</v>
      </c>
      <c r="BO25" s="51"/>
      <c r="BP25" s="52" t="s">
        <v>297</v>
      </c>
      <c r="BQ25" s="364" t="s">
        <v>276</v>
      </c>
      <c r="BR25" s="53" t="s">
        <v>193</v>
      </c>
      <c r="BS25" s="61" t="s">
        <v>415</v>
      </c>
      <c r="BT25" s="53">
        <f t="shared" si="27"/>
        <v>2</v>
      </c>
      <c r="BU25" s="89">
        <f t="shared" si="25"/>
        <v>2</v>
      </c>
      <c r="BV25" s="89">
        <f t="shared" si="26"/>
        <v>2</v>
      </c>
      <c r="BW25" s="111" cm="1">
        <f t="array" ref="BW25:CH25">BT25*BA25:BL25/100</f>
        <v>2.0040816326530613</v>
      </c>
      <c r="BX25" s="95">
        <v>2.0040816326530613</v>
      </c>
      <c r="BY25" s="95">
        <v>2.0040816326530613</v>
      </c>
      <c r="BZ25" s="95">
        <v>2.0040816326530613</v>
      </c>
      <c r="CA25" s="95">
        <v>2</v>
      </c>
      <c r="CB25" s="95">
        <v>2</v>
      </c>
      <c r="CC25" s="95">
        <v>2</v>
      </c>
      <c r="CD25" s="95">
        <v>2</v>
      </c>
      <c r="CE25" s="95">
        <v>2</v>
      </c>
      <c r="CF25" s="95">
        <v>2</v>
      </c>
      <c r="CG25" s="95">
        <v>2</v>
      </c>
      <c r="CH25" s="95">
        <v>2</v>
      </c>
      <c r="CI25"/>
      <c r="CJ25"/>
      <c r="CK25"/>
      <c r="CL25"/>
      <c r="CM25"/>
      <c r="CN25"/>
      <c r="CO25"/>
    </row>
    <row r="26" spans="1:93" ht="15.6" customHeight="1">
      <c r="A26" s="251"/>
      <c r="B26" s="153" t="s">
        <v>299</v>
      </c>
      <c r="C26" s="373" t="s">
        <v>276</v>
      </c>
      <c r="D26" s="76" t="s">
        <v>300</v>
      </c>
      <c r="E26" s="136" t="s">
        <v>416</v>
      </c>
      <c r="F26" s="78"/>
      <c r="G26" s="92">
        <f>N26</f>
        <v>6091</v>
      </c>
      <c r="H26" s="92">
        <f>T26</f>
        <v>10152</v>
      </c>
      <c r="I26" s="92">
        <f>PI!D106</f>
        <v>1043</v>
      </c>
      <c r="J26" s="92">
        <f>PI!E106</f>
        <v>1985</v>
      </c>
      <c r="K26" s="92">
        <f>PI!F106</f>
        <v>3029</v>
      </c>
      <c r="L26" s="92">
        <f>PI!G106</f>
        <v>4038</v>
      </c>
      <c r="M26" s="92">
        <f>PI!H106</f>
        <v>5081</v>
      </c>
      <c r="N26" s="92">
        <f>PI!I106</f>
        <v>6091</v>
      </c>
      <c r="O26" s="92">
        <f>PI!J106</f>
        <v>6775</v>
      </c>
      <c r="P26" s="92">
        <f>PI!K106</f>
        <v>7459</v>
      </c>
      <c r="Q26" s="92">
        <f>PI!L106</f>
        <v>8122</v>
      </c>
      <c r="R26" s="92">
        <f>PI!M106</f>
        <v>8806</v>
      </c>
      <c r="S26" s="92">
        <f>PI!N106</f>
        <v>9468</v>
      </c>
      <c r="T26" s="108">
        <f>PI!O106</f>
        <v>10152</v>
      </c>
      <c r="U26" s="36"/>
      <c r="V26" s="36"/>
      <c r="W26" s="251"/>
      <c r="X26" s="52" t="s">
        <v>299</v>
      </c>
      <c r="Y26" s="364">
        <v>0</v>
      </c>
      <c r="Z26" s="76" t="s">
        <v>300</v>
      </c>
      <c r="AA26" s="136" t="s">
        <v>416</v>
      </c>
      <c r="AB26" s="78"/>
      <c r="AC26" s="89">
        <f t="shared" si="1"/>
        <v>7188</v>
      </c>
      <c r="AD26" s="89">
        <f t="shared" si="23"/>
        <v>0</v>
      </c>
      <c r="AE26" s="142">
        <f>PI!AH106</f>
        <v>336</v>
      </c>
      <c r="AF26" s="142">
        <f>PI!AI106</f>
        <v>836</v>
      </c>
      <c r="AG26" s="142">
        <f>PI!AJ106</f>
        <v>2820</v>
      </c>
      <c r="AH26" s="142">
        <f>PI!AK106</f>
        <v>4572</v>
      </c>
      <c r="AI26" s="142">
        <f>PI!AL106</f>
        <v>6041</v>
      </c>
      <c r="AJ26" s="142">
        <f>PI!AM106</f>
        <v>7188</v>
      </c>
      <c r="AK26" s="142">
        <f>PI!AN106</f>
        <v>8105</v>
      </c>
      <c r="AL26" s="142">
        <f>PI!AO106</f>
        <v>9165</v>
      </c>
      <c r="AM26" s="142">
        <f>PI!AP106</f>
        <v>10638</v>
      </c>
      <c r="AN26" s="142">
        <f>PI!AQ106</f>
        <v>12112</v>
      </c>
      <c r="AO26" s="142">
        <f>PI!AR106</f>
        <v>0</v>
      </c>
      <c r="AP26" s="95">
        <f>PI!AS106</f>
        <v>0</v>
      </c>
      <c r="AS26" s="51"/>
      <c r="AT26" s="52" t="s">
        <v>299</v>
      </c>
      <c r="AU26" s="364" t="s">
        <v>276</v>
      </c>
      <c r="AV26" s="53" t="s">
        <v>300</v>
      </c>
      <c r="AW26" s="61" t="s">
        <v>416</v>
      </c>
      <c r="AX26" s="53"/>
      <c r="AY26" s="89">
        <f t="shared" si="3"/>
        <v>110</v>
      </c>
      <c r="AZ26" s="89">
        <f t="shared" si="4"/>
        <v>0</v>
      </c>
      <c r="BA26" s="95">
        <f>IF(AE26/I26*100&gt;110,110,AE26/I26*100)</f>
        <v>32.214765100671137</v>
      </c>
      <c r="BB26" s="95">
        <f t="shared" si="28"/>
        <v>42.115869017632242</v>
      </c>
      <c r="BC26" s="95">
        <f t="shared" si="28"/>
        <v>93.1000330141961</v>
      </c>
      <c r="BD26" s="95">
        <f t="shared" si="28"/>
        <v>110</v>
      </c>
      <c r="BE26" s="95">
        <f t="shared" si="28"/>
        <v>110</v>
      </c>
      <c r="BF26" s="95">
        <f t="shared" si="28"/>
        <v>110</v>
      </c>
      <c r="BG26" s="95">
        <f t="shared" si="28"/>
        <v>110</v>
      </c>
      <c r="BH26" s="95">
        <f t="shared" si="28"/>
        <v>110</v>
      </c>
      <c r="BI26" s="95">
        <f t="shared" si="28"/>
        <v>110</v>
      </c>
      <c r="BJ26" s="95">
        <f t="shared" si="28"/>
        <v>110</v>
      </c>
      <c r="BK26" s="95">
        <f t="shared" si="28"/>
        <v>0</v>
      </c>
      <c r="BL26" s="95">
        <f t="shared" si="28"/>
        <v>0</v>
      </c>
      <c r="BO26" s="51"/>
      <c r="BP26" s="52" t="s">
        <v>299</v>
      </c>
      <c r="BQ26" s="364" t="s">
        <v>276</v>
      </c>
      <c r="BR26" s="53" t="s">
        <v>300</v>
      </c>
      <c r="BS26" s="61" t="s">
        <v>416</v>
      </c>
      <c r="BT26" s="53">
        <f t="shared" si="27"/>
        <v>2</v>
      </c>
      <c r="BU26" s="89">
        <f t="shared" si="25"/>
        <v>2.2000000000000002</v>
      </c>
      <c r="BV26" s="89">
        <f t="shared" si="26"/>
        <v>0</v>
      </c>
      <c r="BW26" s="111" cm="1">
        <f t="array" ref="BW26:CH26">BT26*BA26:BL26/100</f>
        <v>0.64429530201342278</v>
      </c>
      <c r="BX26" s="95">
        <v>0.84231738035264481</v>
      </c>
      <c r="BY26" s="95">
        <v>1.8620006602839221</v>
      </c>
      <c r="BZ26" s="95">
        <v>2.2000000000000002</v>
      </c>
      <c r="CA26" s="95">
        <v>2.2000000000000002</v>
      </c>
      <c r="CB26" s="95">
        <v>2.2000000000000002</v>
      </c>
      <c r="CC26" s="95">
        <v>2.2000000000000002</v>
      </c>
      <c r="CD26" s="95">
        <v>2.2000000000000002</v>
      </c>
      <c r="CE26" s="95">
        <v>2.2000000000000002</v>
      </c>
      <c r="CF26" s="95">
        <v>2.2000000000000002</v>
      </c>
      <c r="CG26" s="95">
        <v>0</v>
      </c>
      <c r="CH26" s="95">
        <v>0</v>
      </c>
      <c r="CI26"/>
      <c r="CJ26"/>
      <c r="CK26"/>
      <c r="CL26"/>
      <c r="CM26"/>
      <c r="CN26"/>
      <c r="CO26"/>
    </row>
    <row r="27" spans="1:93" ht="15.6" customHeight="1">
      <c r="A27" s="251">
        <v>6</v>
      </c>
      <c r="B27" s="266" t="s">
        <v>302</v>
      </c>
      <c r="C27" s="373"/>
      <c r="D27" s="76"/>
      <c r="E27" s="136"/>
      <c r="F27" s="78">
        <v>3</v>
      </c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108"/>
      <c r="U27" s="36"/>
      <c r="V27" s="36"/>
      <c r="W27" s="251">
        <v>6</v>
      </c>
      <c r="X27" s="267" t="s">
        <v>302</v>
      </c>
      <c r="Y27" s="364"/>
      <c r="Z27" s="76"/>
      <c r="AA27" s="136"/>
      <c r="AB27" s="78">
        <v>3</v>
      </c>
      <c r="AC27" s="89"/>
      <c r="AD27" s="89"/>
      <c r="AE27" s="142"/>
      <c r="AF27" s="142"/>
      <c r="AG27" s="142"/>
      <c r="AH27" s="142"/>
      <c r="AI27" s="142"/>
      <c r="AJ27" s="142"/>
      <c r="AK27" s="142"/>
      <c r="AL27" s="142"/>
      <c r="AM27" s="142"/>
      <c r="AN27" s="142"/>
      <c r="AO27" s="142"/>
      <c r="AP27" s="95"/>
      <c r="AS27" s="51">
        <v>6</v>
      </c>
      <c r="AT27" s="267" t="s">
        <v>302</v>
      </c>
      <c r="AU27" s="364"/>
      <c r="AV27" s="53"/>
      <c r="AW27" s="61"/>
      <c r="AX27" s="53">
        <v>3</v>
      </c>
      <c r="AY27" s="89"/>
      <c r="AZ27" s="89"/>
      <c r="BA27" s="95"/>
      <c r="BB27" s="95"/>
      <c r="BC27" s="95"/>
      <c r="BD27" s="95"/>
      <c r="BE27" s="95"/>
      <c r="BF27" s="95"/>
      <c r="BG27" s="95"/>
      <c r="BH27" s="95"/>
      <c r="BI27" s="95"/>
      <c r="BJ27" s="95"/>
      <c r="BK27" s="95"/>
      <c r="BL27" s="95"/>
      <c r="BO27" s="51">
        <v>6</v>
      </c>
      <c r="BP27" s="267" t="s">
        <v>302</v>
      </c>
      <c r="BQ27" s="364"/>
      <c r="BR27" s="53"/>
      <c r="BS27" s="61"/>
      <c r="BT27" s="513">
        <v>3</v>
      </c>
      <c r="BU27" s="89"/>
      <c r="BV27" s="89"/>
      <c r="BW27" s="95"/>
      <c r="BX27" s="95"/>
      <c r="BY27" s="95"/>
      <c r="BZ27" s="95"/>
      <c r="CA27" s="95"/>
      <c r="CB27" s="95"/>
      <c r="CC27" s="95"/>
      <c r="CD27" s="95"/>
      <c r="CE27" s="95"/>
      <c r="CF27" s="95"/>
      <c r="CG27" s="95"/>
      <c r="CH27" s="95"/>
      <c r="CI27"/>
      <c r="CJ27"/>
      <c r="CK27"/>
      <c r="CL27"/>
      <c r="CM27"/>
      <c r="CN27"/>
      <c r="CO27"/>
    </row>
    <row r="28" spans="1:93" ht="15.6" customHeight="1">
      <c r="A28" s="251"/>
      <c r="B28" s="153" t="s">
        <v>303</v>
      </c>
      <c r="C28" s="373" t="s">
        <v>278</v>
      </c>
      <c r="D28" s="76" t="s">
        <v>132</v>
      </c>
      <c r="E28" s="136" t="s">
        <v>417</v>
      </c>
      <c r="F28" s="78"/>
      <c r="G28" s="92">
        <f t="shared" ref="G28:G29" si="29">N28</f>
        <v>30</v>
      </c>
      <c r="H28" s="92">
        <f t="shared" ref="H28:H29" si="30">T28</f>
        <v>30</v>
      </c>
      <c r="I28" s="92">
        <f>PI!D121</f>
        <v>30</v>
      </c>
      <c r="J28" s="92">
        <f>PI!E121</f>
        <v>30</v>
      </c>
      <c r="K28" s="92">
        <f>PI!F121</f>
        <v>30</v>
      </c>
      <c r="L28" s="92">
        <f>PI!G121</f>
        <v>30</v>
      </c>
      <c r="M28" s="92">
        <f>PI!H121</f>
        <v>30</v>
      </c>
      <c r="N28" s="92">
        <f>PI!I121</f>
        <v>30</v>
      </c>
      <c r="O28" s="92">
        <f>PI!J121</f>
        <v>30</v>
      </c>
      <c r="P28" s="92">
        <f>PI!K121</f>
        <v>30</v>
      </c>
      <c r="Q28" s="92">
        <f>PI!L121</f>
        <v>30</v>
      </c>
      <c r="R28" s="92">
        <f>PI!M121</f>
        <v>30</v>
      </c>
      <c r="S28" s="92">
        <f>PI!N121</f>
        <v>30</v>
      </c>
      <c r="T28" s="108">
        <f>PI!O121</f>
        <v>30</v>
      </c>
      <c r="U28" s="36"/>
      <c r="V28" s="36"/>
      <c r="W28" s="251"/>
      <c r="X28" s="52" t="s">
        <v>303</v>
      </c>
      <c r="Y28" s="364">
        <v>0</v>
      </c>
      <c r="Z28" s="76" t="s">
        <v>132</v>
      </c>
      <c r="AA28" s="136" t="s">
        <v>417</v>
      </c>
      <c r="AB28" s="78"/>
      <c r="AC28" s="89">
        <f t="shared" si="1"/>
        <v>10.848403791187893</v>
      </c>
      <c r="AD28" s="89">
        <f t="shared" ref="AD28:AD29" si="31">AP28</f>
        <v>10.841825871895164</v>
      </c>
      <c r="AE28" s="142">
        <f>PI!AH121</f>
        <v>11.382941176470585</v>
      </c>
      <c r="AF28" s="142">
        <f>PI!AI121</f>
        <v>10.881982520490874</v>
      </c>
      <c r="AG28" s="142">
        <f>PI!AJ121</f>
        <v>10.424033237555745</v>
      </c>
      <c r="AH28" s="142">
        <f>PI!AK121</f>
        <v>10.116471960890049</v>
      </c>
      <c r="AI28" s="142">
        <f>PI!AL121</f>
        <v>10.76317756871204</v>
      </c>
      <c r="AJ28" s="142">
        <f>PI!AM121</f>
        <v>10.848403791187893</v>
      </c>
      <c r="AK28" s="142">
        <f>PI!AN121</f>
        <v>10.909279664384931</v>
      </c>
      <c r="AL28" s="142">
        <f>PI!AO121</f>
        <v>11.043343816369179</v>
      </c>
      <c r="AM28" s="142">
        <f>PI!AP121</f>
        <v>10.932176444057575</v>
      </c>
      <c r="AN28" s="142">
        <f>PI!AQ121</f>
        <v>10.841825871895164</v>
      </c>
      <c r="AO28" s="142">
        <f>PI!AR121</f>
        <v>10.841825871895164</v>
      </c>
      <c r="AP28" s="95">
        <f>PI!AS121</f>
        <v>10.841825871895164</v>
      </c>
      <c r="AS28" s="51"/>
      <c r="AT28" s="52" t="s">
        <v>303</v>
      </c>
      <c r="AU28" s="364" t="s">
        <v>278</v>
      </c>
      <c r="AV28" s="53" t="s">
        <v>132</v>
      </c>
      <c r="AW28" s="61" t="s">
        <v>417</v>
      </c>
      <c r="AX28" s="53"/>
      <c r="AY28" s="89">
        <f t="shared" si="3"/>
        <v>110</v>
      </c>
      <c r="AZ28" s="89">
        <f t="shared" si="4"/>
        <v>110</v>
      </c>
      <c r="BA28" s="95">
        <f>IFERROR(IF((2-(AE28/I28))*100&gt;110,110,(2-(AE28/I28))*100),100)</f>
        <v>110</v>
      </c>
      <c r="BB28" s="95">
        <f t="shared" ref="BB28:BL28" si="32">IFERROR(IF((2-(AF28/J28))*100&gt;110,110,(2-(AF28/J28))*100),100)</f>
        <v>110</v>
      </c>
      <c r="BC28" s="95">
        <f t="shared" si="32"/>
        <v>110</v>
      </c>
      <c r="BD28" s="95">
        <f t="shared" si="32"/>
        <v>110</v>
      </c>
      <c r="BE28" s="95">
        <f t="shared" si="32"/>
        <v>110</v>
      </c>
      <c r="BF28" s="95">
        <f t="shared" si="32"/>
        <v>110</v>
      </c>
      <c r="BG28" s="95">
        <f t="shared" si="32"/>
        <v>110</v>
      </c>
      <c r="BH28" s="95">
        <f t="shared" si="32"/>
        <v>110</v>
      </c>
      <c r="BI28" s="95">
        <f t="shared" si="32"/>
        <v>110</v>
      </c>
      <c r="BJ28" s="95">
        <f t="shared" si="32"/>
        <v>110</v>
      </c>
      <c r="BK28" s="95">
        <f t="shared" si="32"/>
        <v>110</v>
      </c>
      <c r="BL28" s="95">
        <f t="shared" si="32"/>
        <v>110</v>
      </c>
      <c r="BO28" s="51"/>
      <c r="BP28" s="52" t="s">
        <v>303</v>
      </c>
      <c r="BQ28" s="364" t="s">
        <v>278</v>
      </c>
      <c r="BR28" s="53" t="s">
        <v>132</v>
      </c>
      <c r="BS28" s="61" t="s">
        <v>417</v>
      </c>
      <c r="BT28" s="53">
        <f>BT$27/2</f>
        <v>1.5</v>
      </c>
      <c r="BU28" s="89">
        <f t="shared" ref="BU28:BU29" si="33">CB28</f>
        <v>1.65</v>
      </c>
      <c r="BV28" s="89">
        <f t="shared" ref="BV28:BV29" si="34">CH28</f>
        <v>1.65</v>
      </c>
      <c r="BW28" s="111" cm="1">
        <f t="array" ref="BW28:CH28">BT28*BA28:BL28/100</f>
        <v>1.65</v>
      </c>
      <c r="BX28" s="95">
        <v>1.65</v>
      </c>
      <c r="BY28" s="95">
        <v>1.65</v>
      </c>
      <c r="BZ28" s="95">
        <v>1.65</v>
      </c>
      <c r="CA28" s="95">
        <v>1.65</v>
      </c>
      <c r="CB28" s="95">
        <v>1.65</v>
      </c>
      <c r="CC28" s="95">
        <v>1.65</v>
      </c>
      <c r="CD28" s="95">
        <v>1.65</v>
      </c>
      <c r="CE28" s="95">
        <v>1.65</v>
      </c>
      <c r="CF28" s="95">
        <v>1.65</v>
      </c>
      <c r="CG28" s="95">
        <v>1.65</v>
      </c>
      <c r="CH28" s="95">
        <v>1.65</v>
      </c>
      <c r="CI28"/>
      <c r="CJ28"/>
      <c r="CK28"/>
      <c r="CL28"/>
      <c r="CM28"/>
      <c r="CN28"/>
      <c r="CO28"/>
    </row>
    <row r="29" spans="1:93" ht="15.6" customHeight="1">
      <c r="A29" s="251"/>
      <c r="B29" s="153" t="s">
        <v>304</v>
      </c>
      <c r="C29" s="373" t="s">
        <v>276</v>
      </c>
      <c r="D29" s="76" t="s">
        <v>149</v>
      </c>
      <c r="E29" s="136" t="s">
        <v>418</v>
      </c>
      <c r="F29" s="78"/>
      <c r="G29" s="92">
        <f t="shared" si="29"/>
        <v>0</v>
      </c>
      <c r="H29" s="92">
        <f t="shared" si="30"/>
        <v>0</v>
      </c>
      <c r="I29" s="92">
        <f>PI!D137</f>
        <v>0</v>
      </c>
      <c r="J29" s="92">
        <f>PI!E137</f>
        <v>0</v>
      </c>
      <c r="K29" s="92">
        <f>PI!F137</f>
        <v>0</v>
      </c>
      <c r="L29" s="92">
        <f>PI!G137</f>
        <v>0</v>
      </c>
      <c r="M29" s="92">
        <f>PI!H137</f>
        <v>0</v>
      </c>
      <c r="N29" s="92">
        <f>PI!I137</f>
        <v>0</v>
      </c>
      <c r="O29" s="92">
        <f>PI!J137</f>
        <v>0</v>
      </c>
      <c r="P29" s="92">
        <f>PI!K137</f>
        <v>0</v>
      </c>
      <c r="Q29" s="92">
        <f>PI!L137</f>
        <v>0</v>
      </c>
      <c r="R29" s="92">
        <f>PI!M137</f>
        <v>0</v>
      </c>
      <c r="S29" s="92">
        <f>PI!N137</f>
        <v>0</v>
      </c>
      <c r="T29" s="108">
        <f>PI!O137</f>
        <v>0</v>
      </c>
      <c r="U29" s="36"/>
      <c r="V29" s="36"/>
      <c r="W29" s="251"/>
      <c r="X29" s="52" t="s">
        <v>304</v>
      </c>
      <c r="Y29" s="364">
        <v>0</v>
      </c>
      <c r="Z29" s="76" t="s">
        <v>149</v>
      </c>
      <c r="AA29" s="136" t="s">
        <v>418</v>
      </c>
      <c r="AB29" s="78"/>
      <c r="AC29" s="89">
        <f t="shared" si="1"/>
        <v>0</v>
      </c>
      <c r="AD29" s="89">
        <f t="shared" si="31"/>
        <v>0</v>
      </c>
      <c r="AE29" s="142">
        <f>PI!AH137</f>
        <v>0</v>
      </c>
      <c r="AF29" s="142">
        <f>PI!AI137</f>
        <v>0</v>
      </c>
      <c r="AG29" s="142">
        <f>PI!AJ137</f>
        <v>0</v>
      </c>
      <c r="AH29" s="142">
        <f>PI!AK137</f>
        <v>0</v>
      </c>
      <c r="AI29" s="142">
        <f>PI!AL137</f>
        <v>0</v>
      </c>
      <c r="AJ29" s="142">
        <f>PI!AM137</f>
        <v>0</v>
      </c>
      <c r="AK29" s="142">
        <f>PI!AN137</f>
        <v>0</v>
      </c>
      <c r="AL29" s="142">
        <f>PI!AO137</f>
        <v>0</v>
      </c>
      <c r="AM29" s="142">
        <f>PI!AP137</f>
        <v>0</v>
      </c>
      <c r="AN29" s="142">
        <f>PI!AQ137</f>
        <v>0</v>
      </c>
      <c r="AO29" s="142">
        <f>PI!AR137</f>
        <v>0</v>
      </c>
      <c r="AP29" s="95">
        <f>PI!AS137</f>
        <v>0</v>
      </c>
      <c r="AS29" s="51"/>
      <c r="AT29" s="52" t="s">
        <v>304</v>
      </c>
      <c r="AU29" s="364" t="s">
        <v>276</v>
      </c>
      <c r="AV29" s="53" t="s">
        <v>149</v>
      </c>
      <c r="AW29" s="61" t="s">
        <v>418</v>
      </c>
      <c r="AX29" s="53"/>
      <c r="AY29" s="89">
        <f t="shared" si="3"/>
        <v>100</v>
      </c>
      <c r="AZ29" s="89">
        <f t="shared" si="4"/>
        <v>100</v>
      </c>
      <c r="BA29" s="95">
        <f>IFERROR(IF(AE29/I29*100&gt;110,110,AE29/I29*100),100)</f>
        <v>100</v>
      </c>
      <c r="BB29" s="95">
        <f t="shared" ref="BB29:BL29" si="35">IFERROR(IF(AF29/J29*100&gt;110,110,AF29/J29*100),100)</f>
        <v>100</v>
      </c>
      <c r="BC29" s="95">
        <f t="shared" si="35"/>
        <v>100</v>
      </c>
      <c r="BD29" s="95">
        <f t="shared" si="35"/>
        <v>100</v>
      </c>
      <c r="BE29" s="95">
        <f t="shared" si="35"/>
        <v>100</v>
      </c>
      <c r="BF29" s="95">
        <f t="shared" si="35"/>
        <v>100</v>
      </c>
      <c r="BG29" s="95">
        <f t="shared" si="35"/>
        <v>100</v>
      </c>
      <c r="BH29" s="95">
        <f t="shared" si="35"/>
        <v>100</v>
      </c>
      <c r="BI29" s="95">
        <f t="shared" si="35"/>
        <v>100</v>
      </c>
      <c r="BJ29" s="95">
        <f t="shared" si="35"/>
        <v>100</v>
      </c>
      <c r="BK29" s="95">
        <f t="shared" si="35"/>
        <v>100</v>
      </c>
      <c r="BL29" s="95">
        <f t="shared" si="35"/>
        <v>100</v>
      </c>
      <c r="BO29" s="51"/>
      <c r="BP29" s="52" t="s">
        <v>304</v>
      </c>
      <c r="BQ29" s="364" t="s">
        <v>276</v>
      </c>
      <c r="BR29" s="53" t="s">
        <v>149</v>
      </c>
      <c r="BS29" s="61" t="s">
        <v>418</v>
      </c>
      <c r="BT29" s="53">
        <f>BT$27/2</f>
        <v>1.5</v>
      </c>
      <c r="BU29" s="89">
        <f t="shared" si="33"/>
        <v>1.5</v>
      </c>
      <c r="BV29" s="89">
        <f t="shared" si="34"/>
        <v>1.5</v>
      </c>
      <c r="BW29" s="111" cm="1">
        <f t="array" ref="BW29:CH29">BT29*BA29:BL29/100</f>
        <v>1.5</v>
      </c>
      <c r="BX29" s="95">
        <v>1.5</v>
      </c>
      <c r="BY29" s="95">
        <v>1.5</v>
      </c>
      <c r="BZ29" s="95">
        <v>1.5</v>
      </c>
      <c r="CA29" s="95">
        <v>1.5</v>
      </c>
      <c r="CB29" s="95">
        <v>1.5</v>
      </c>
      <c r="CC29" s="95">
        <v>1.5</v>
      </c>
      <c r="CD29" s="95">
        <v>1.5</v>
      </c>
      <c r="CE29" s="95">
        <v>1.5</v>
      </c>
      <c r="CF29" s="95">
        <v>1.5</v>
      </c>
      <c r="CG29" s="95">
        <v>1.5</v>
      </c>
      <c r="CH29" s="95">
        <v>1.5</v>
      </c>
      <c r="CI29"/>
      <c r="CJ29"/>
      <c r="CK29"/>
      <c r="CL29"/>
      <c r="CM29"/>
      <c r="CN29"/>
      <c r="CO29"/>
    </row>
    <row r="30" spans="1:93" ht="15.6" customHeight="1">
      <c r="A30" s="251">
        <v>7</v>
      </c>
      <c r="B30" s="266" t="s">
        <v>305</v>
      </c>
      <c r="C30" s="373"/>
      <c r="D30" s="76"/>
      <c r="E30" s="136"/>
      <c r="F30" s="78">
        <v>6</v>
      </c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108"/>
      <c r="U30" s="36"/>
      <c r="V30" s="36"/>
      <c r="W30" s="251">
        <v>7</v>
      </c>
      <c r="X30" s="267" t="s">
        <v>305</v>
      </c>
      <c r="Y30" s="364"/>
      <c r="Z30" s="76"/>
      <c r="AA30" s="136"/>
      <c r="AB30" s="78">
        <v>6</v>
      </c>
      <c r="AC30" s="89"/>
      <c r="AD30" s="89"/>
      <c r="AE30" s="142"/>
      <c r="AF30" s="142"/>
      <c r="AG30" s="142"/>
      <c r="AH30" s="142"/>
      <c r="AI30" s="142"/>
      <c r="AJ30" s="142"/>
      <c r="AK30" s="142"/>
      <c r="AL30" s="142"/>
      <c r="AM30" s="142"/>
      <c r="AN30" s="142"/>
      <c r="AO30" s="142"/>
      <c r="AP30" s="95"/>
      <c r="AS30" s="51">
        <v>7</v>
      </c>
      <c r="AT30" s="267" t="s">
        <v>305</v>
      </c>
      <c r="AU30" s="364"/>
      <c r="AV30" s="53"/>
      <c r="AW30" s="61"/>
      <c r="AX30" s="53">
        <v>6</v>
      </c>
      <c r="AY30" s="89"/>
      <c r="AZ30" s="89"/>
      <c r="BA30" s="95"/>
      <c r="BB30" s="95"/>
      <c r="BC30" s="95"/>
      <c r="BD30" s="95"/>
      <c r="BE30" s="95"/>
      <c r="BF30" s="95"/>
      <c r="BG30" s="95"/>
      <c r="BH30" s="95"/>
      <c r="BI30" s="95"/>
      <c r="BJ30" s="95"/>
      <c r="BK30" s="95"/>
      <c r="BL30" s="95"/>
      <c r="BO30" s="51">
        <v>7</v>
      </c>
      <c r="BP30" s="267" t="s">
        <v>305</v>
      </c>
      <c r="BQ30" s="364"/>
      <c r="BR30" s="53"/>
      <c r="BS30" s="61"/>
      <c r="BT30" s="513">
        <v>6</v>
      </c>
      <c r="BU30" s="89"/>
      <c r="BV30" s="89"/>
      <c r="BW30" s="95"/>
      <c r="BX30" s="95"/>
      <c r="BY30" s="95"/>
      <c r="BZ30" s="95"/>
      <c r="CA30" s="95"/>
      <c r="CB30" s="95"/>
      <c r="CC30" s="95"/>
      <c r="CD30" s="95"/>
      <c r="CE30" s="95"/>
      <c r="CF30" s="95"/>
      <c r="CG30" s="95"/>
      <c r="CH30" s="95"/>
      <c r="CI30"/>
      <c r="CJ30"/>
      <c r="CK30"/>
      <c r="CL30"/>
      <c r="CM30"/>
      <c r="CN30"/>
      <c r="CO30"/>
    </row>
    <row r="31" spans="1:93" ht="15.6" customHeight="1">
      <c r="A31" s="251"/>
      <c r="B31" s="153" t="s">
        <v>307</v>
      </c>
      <c r="C31" s="373" t="s">
        <v>276</v>
      </c>
      <c r="D31" s="76" t="s">
        <v>149</v>
      </c>
      <c r="E31" s="136" t="s">
        <v>419</v>
      </c>
      <c r="F31" s="78"/>
      <c r="G31" s="92">
        <f>N31</f>
        <v>100</v>
      </c>
      <c r="H31" s="92">
        <f>T31</f>
        <v>100</v>
      </c>
      <c r="I31" s="92">
        <f>PI!D157</f>
        <v>100</v>
      </c>
      <c r="J31" s="92">
        <f>PI!E157</f>
        <v>100</v>
      </c>
      <c r="K31" s="92">
        <f>PI!F157</f>
        <v>100</v>
      </c>
      <c r="L31" s="92">
        <f>PI!G157</f>
        <v>100</v>
      </c>
      <c r="M31" s="92">
        <f>PI!H157</f>
        <v>100</v>
      </c>
      <c r="N31" s="92">
        <f>PI!I157</f>
        <v>100</v>
      </c>
      <c r="O31" s="92">
        <f>PI!J157</f>
        <v>100</v>
      </c>
      <c r="P31" s="92">
        <f>PI!K157</f>
        <v>100</v>
      </c>
      <c r="Q31" s="92">
        <f>PI!L157</f>
        <v>100</v>
      </c>
      <c r="R31" s="92">
        <f>PI!M157</f>
        <v>100</v>
      </c>
      <c r="S31" s="92">
        <f>PI!N157</f>
        <v>100</v>
      </c>
      <c r="T31" s="108">
        <f>PI!O157</f>
        <v>100</v>
      </c>
      <c r="U31" s="36"/>
      <c r="V31" s="36"/>
      <c r="W31" s="251"/>
      <c r="X31" s="52" t="s">
        <v>307</v>
      </c>
      <c r="Y31" s="364">
        <v>0</v>
      </c>
      <c r="Z31" s="76" t="s">
        <v>149</v>
      </c>
      <c r="AA31" s="136" t="s">
        <v>419</v>
      </c>
      <c r="AB31" s="78"/>
      <c r="AC31" s="89">
        <f t="shared" si="1"/>
        <v>110</v>
      </c>
      <c r="AD31" s="89">
        <f t="shared" ref="AD31:AD32" si="36">AP31</f>
        <v>0</v>
      </c>
      <c r="AE31" s="142">
        <f>PI!AH157</f>
        <v>110</v>
      </c>
      <c r="AF31" s="142">
        <f>PI!AI157</f>
        <v>110</v>
      </c>
      <c r="AG31" s="142">
        <f>PI!AJ157</f>
        <v>110</v>
      </c>
      <c r="AH31" s="142">
        <f>PI!AK157</f>
        <v>110</v>
      </c>
      <c r="AI31" s="142">
        <f>PI!AL157</f>
        <v>110</v>
      </c>
      <c r="AJ31" s="142">
        <f>PI!AM157</f>
        <v>110</v>
      </c>
      <c r="AK31" s="142">
        <f>PI!AN157</f>
        <v>110</v>
      </c>
      <c r="AL31" s="142">
        <f>PI!AO157</f>
        <v>110</v>
      </c>
      <c r="AM31" s="142">
        <f>PI!AP157</f>
        <v>110</v>
      </c>
      <c r="AN31" s="142">
        <f>PI!AQ157</f>
        <v>110</v>
      </c>
      <c r="AO31" s="142">
        <f>PI!AR157</f>
        <v>0</v>
      </c>
      <c r="AP31" s="95">
        <f>PI!AS157</f>
        <v>0</v>
      </c>
      <c r="AS31" s="51"/>
      <c r="AT31" s="52" t="s">
        <v>307</v>
      </c>
      <c r="AU31" s="364" t="s">
        <v>276</v>
      </c>
      <c r="AV31" s="53" t="s">
        <v>149</v>
      </c>
      <c r="AW31" s="61" t="s">
        <v>419</v>
      </c>
      <c r="AX31" s="53"/>
      <c r="AY31" s="89">
        <f t="shared" si="3"/>
        <v>110.00000000000001</v>
      </c>
      <c r="AZ31" s="89">
        <f t="shared" si="4"/>
        <v>0</v>
      </c>
      <c r="BA31" s="95">
        <f>IFERROR(IF(AE31/I31*100&gt;110,110,AE31/I31*100),100)</f>
        <v>110.00000000000001</v>
      </c>
      <c r="BB31" s="95">
        <f t="shared" ref="BB31:BL32" si="37">IFERROR(IF(AF31/J31*100&gt;110,110,AF31/J31*100),100)</f>
        <v>110.00000000000001</v>
      </c>
      <c r="BC31" s="95">
        <f t="shared" si="37"/>
        <v>110.00000000000001</v>
      </c>
      <c r="BD31" s="95">
        <f t="shared" si="37"/>
        <v>110.00000000000001</v>
      </c>
      <c r="BE31" s="95">
        <f t="shared" si="37"/>
        <v>110.00000000000001</v>
      </c>
      <c r="BF31" s="95">
        <f t="shared" si="37"/>
        <v>110.00000000000001</v>
      </c>
      <c r="BG31" s="95">
        <f t="shared" si="37"/>
        <v>110.00000000000001</v>
      </c>
      <c r="BH31" s="95">
        <f t="shared" si="37"/>
        <v>110.00000000000001</v>
      </c>
      <c r="BI31" s="95">
        <f t="shared" si="37"/>
        <v>110.00000000000001</v>
      </c>
      <c r="BJ31" s="95">
        <f t="shared" si="37"/>
        <v>110.00000000000001</v>
      </c>
      <c r="BK31" s="95">
        <f t="shared" si="37"/>
        <v>0</v>
      </c>
      <c r="BL31" s="95">
        <f t="shared" si="37"/>
        <v>0</v>
      </c>
      <c r="BO31" s="51"/>
      <c r="BP31" s="52" t="s">
        <v>307</v>
      </c>
      <c r="BQ31" s="364" t="s">
        <v>276</v>
      </c>
      <c r="BR31" s="53" t="s">
        <v>149</v>
      </c>
      <c r="BS31" s="61" t="s">
        <v>419</v>
      </c>
      <c r="BT31" s="53">
        <f>BT$30/2</f>
        <v>3</v>
      </c>
      <c r="BU31" s="89">
        <f t="shared" ref="BU31:BU32" si="38">CB31</f>
        <v>3.3000000000000007</v>
      </c>
      <c r="BV31" s="89">
        <f t="shared" ref="BV31:BV32" si="39">CH31</f>
        <v>0</v>
      </c>
      <c r="BW31" s="111" cm="1">
        <f t="array" ref="BW31:CH31">BT31*BA31:BL31/100</f>
        <v>3.3000000000000007</v>
      </c>
      <c r="BX31" s="95">
        <v>3.3000000000000007</v>
      </c>
      <c r="BY31" s="95">
        <v>3.3000000000000007</v>
      </c>
      <c r="BZ31" s="95">
        <v>3.3000000000000007</v>
      </c>
      <c r="CA31" s="95">
        <v>3.3000000000000007</v>
      </c>
      <c r="CB31" s="95">
        <v>3.3000000000000007</v>
      </c>
      <c r="CC31" s="95">
        <v>3.3000000000000007</v>
      </c>
      <c r="CD31" s="95">
        <v>3.3000000000000007</v>
      </c>
      <c r="CE31" s="95">
        <v>3.3000000000000007</v>
      </c>
      <c r="CF31" s="95">
        <v>3.3000000000000007</v>
      </c>
      <c r="CG31" s="95">
        <v>0</v>
      </c>
      <c r="CH31" s="95">
        <v>0</v>
      </c>
      <c r="CI31"/>
      <c r="CJ31"/>
      <c r="CK31"/>
      <c r="CL31"/>
      <c r="CM31"/>
      <c r="CN31"/>
      <c r="CO31"/>
    </row>
    <row r="32" spans="1:93" ht="15.6" customHeight="1">
      <c r="A32" s="251"/>
      <c r="B32" s="153" t="s">
        <v>308</v>
      </c>
      <c r="C32" s="373" t="s">
        <v>276</v>
      </c>
      <c r="D32" s="76" t="s">
        <v>149</v>
      </c>
      <c r="E32" s="136" t="s">
        <v>420</v>
      </c>
      <c r="F32" s="78"/>
      <c r="G32" s="92">
        <f>N32</f>
        <v>100</v>
      </c>
      <c r="H32" s="92">
        <f>T32</f>
        <v>100</v>
      </c>
      <c r="I32" s="92">
        <f>PI!D179</f>
        <v>100</v>
      </c>
      <c r="J32" s="92">
        <f>PI!E179</f>
        <v>100</v>
      </c>
      <c r="K32" s="92">
        <f>PI!F179</f>
        <v>100</v>
      </c>
      <c r="L32" s="92">
        <f>PI!G179</f>
        <v>100</v>
      </c>
      <c r="M32" s="92">
        <f>PI!H179</f>
        <v>100</v>
      </c>
      <c r="N32" s="92">
        <f>PI!I179</f>
        <v>100</v>
      </c>
      <c r="O32" s="92">
        <f>PI!J179</f>
        <v>100</v>
      </c>
      <c r="P32" s="92">
        <f>PI!K179</f>
        <v>100</v>
      </c>
      <c r="Q32" s="92">
        <f>PI!L179</f>
        <v>100</v>
      </c>
      <c r="R32" s="92">
        <f>PI!M179</f>
        <v>100</v>
      </c>
      <c r="S32" s="92">
        <f>PI!N179</f>
        <v>100</v>
      </c>
      <c r="T32" s="108">
        <f>PI!O179</f>
        <v>100</v>
      </c>
      <c r="U32" s="36"/>
      <c r="V32" s="36"/>
      <c r="W32" s="251"/>
      <c r="X32" s="52" t="s">
        <v>308</v>
      </c>
      <c r="Y32" s="364">
        <v>0</v>
      </c>
      <c r="Z32" s="76" t="s">
        <v>149</v>
      </c>
      <c r="AA32" s="136" t="s">
        <v>420</v>
      </c>
      <c r="AB32" s="78"/>
      <c r="AC32" s="89">
        <f t="shared" si="1"/>
        <v>110</v>
      </c>
      <c r="AD32" s="89">
        <f t="shared" si="36"/>
        <v>0</v>
      </c>
      <c r="AE32" s="142" t="str">
        <f>PI!AG179</f>
        <v>Penormalan Siaga 1 Ganguan TM</v>
      </c>
      <c r="AF32" s="142">
        <f>PI!AH179</f>
        <v>110</v>
      </c>
      <c r="AG32" s="142">
        <f>PI!AI179</f>
        <v>110</v>
      </c>
      <c r="AH32" s="142">
        <f>PI!AJ179</f>
        <v>110</v>
      </c>
      <c r="AI32" s="142">
        <f>PI!AK179</f>
        <v>110</v>
      </c>
      <c r="AJ32" s="142">
        <f>PI!AL179</f>
        <v>110</v>
      </c>
      <c r="AK32" s="142">
        <f>PI!AM179</f>
        <v>110</v>
      </c>
      <c r="AL32" s="142">
        <f>PI!AN179</f>
        <v>110</v>
      </c>
      <c r="AM32" s="142">
        <f>PI!AO179</f>
        <v>110</v>
      </c>
      <c r="AN32" s="142">
        <f>PI!AP179</f>
        <v>110</v>
      </c>
      <c r="AO32" s="142">
        <f>PI!AR179</f>
        <v>0</v>
      </c>
      <c r="AP32" s="95">
        <f>PI!AR179</f>
        <v>0</v>
      </c>
      <c r="AS32" s="51"/>
      <c r="AT32" s="52" t="s">
        <v>308</v>
      </c>
      <c r="AU32" s="364" t="s">
        <v>276</v>
      </c>
      <c r="AV32" s="53" t="s">
        <v>149</v>
      </c>
      <c r="AW32" s="61" t="s">
        <v>420</v>
      </c>
      <c r="AX32" s="53"/>
      <c r="AY32" s="89">
        <f t="shared" si="3"/>
        <v>110.00000000000001</v>
      </c>
      <c r="AZ32" s="89">
        <f t="shared" si="4"/>
        <v>0</v>
      </c>
      <c r="BA32" s="95">
        <f>IFERROR(IF(AE32/I32*100&gt;110,110,AE32/I32*100),100)</f>
        <v>100</v>
      </c>
      <c r="BB32" s="95">
        <f t="shared" si="37"/>
        <v>110.00000000000001</v>
      </c>
      <c r="BC32" s="95">
        <f t="shared" si="37"/>
        <v>110.00000000000001</v>
      </c>
      <c r="BD32" s="95">
        <f t="shared" si="37"/>
        <v>110.00000000000001</v>
      </c>
      <c r="BE32" s="95">
        <f t="shared" si="37"/>
        <v>110.00000000000001</v>
      </c>
      <c r="BF32" s="95">
        <f t="shared" si="37"/>
        <v>110.00000000000001</v>
      </c>
      <c r="BG32" s="95">
        <f t="shared" si="37"/>
        <v>110.00000000000001</v>
      </c>
      <c r="BH32" s="95">
        <f t="shared" si="37"/>
        <v>110.00000000000001</v>
      </c>
      <c r="BI32" s="95">
        <f t="shared" si="37"/>
        <v>110.00000000000001</v>
      </c>
      <c r="BJ32" s="95">
        <f t="shared" si="37"/>
        <v>110.00000000000001</v>
      </c>
      <c r="BK32" s="95">
        <f t="shared" si="37"/>
        <v>0</v>
      </c>
      <c r="BL32" s="95">
        <f t="shared" si="37"/>
        <v>0</v>
      </c>
      <c r="BO32" s="51"/>
      <c r="BP32" s="52" t="s">
        <v>308</v>
      </c>
      <c r="BQ32" s="364" t="s">
        <v>276</v>
      </c>
      <c r="BR32" s="53" t="s">
        <v>149</v>
      </c>
      <c r="BS32" s="61" t="s">
        <v>420</v>
      </c>
      <c r="BT32" s="53">
        <f>BT$30/2</f>
        <v>3</v>
      </c>
      <c r="BU32" s="89">
        <f t="shared" si="38"/>
        <v>3.3000000000000007</v>
      </c>
      <c r="BV32" s="89">
        <f t="shared" si="39"/>
        <v>0</v>
      </c>
      <c r="BW32" s="111" cm="1">
        <f t="array" ref="BW32:CH32">BT32*BA32:BL32/100</f>
        <v>3</v>
      </c>
      <c r="BX32" s="95">
        <v>3.3000000000000007</v>
      </c>
      <c r="BY32" s="95">
        <v>3.3000000000000007</v>
      </c>
      <c r="BZ32" s="95">
        <v>3.3000000000000007</v>
      </c>
      <c r="CA32" s="95">
        <v>3.3000000000000007</v>
      </c>
      <c r="CB32" s="95">
        <v>3.3000000000000007</v>
      </c>
      <c r="CC32" s="95">
        <v>3.3000000000000007</v>
      </c>
      <c r="CD32" s="95">
        <v>3.3000000000000007</v>
      </c>
      <c r="CE32" s="95">
        <v>3.3000000000000007</v>
      </c>
      <c r="CF32" s="95">
        <v>3.3000000000000007</v>
      </c>
      <c r="CG32" s="95">
        <v>0</v>
      </c>
      <c r="CH32" s="95">
        <v>0</v>
      </c>
      <c r="CI32"/>
      <c r="CJ32"/>
      <c r="CK32"/>
      <c r="CL32"/>
      <c r="CM32"/>
      <c r="CN32"/>
      <c r="CO32"/>
    </row>
    <row r="33" spans="1:93" ht="15.6" customHeight="1">
      <c r="A33" s="251">
        <v>8</v>
      </c>
      <c r="B33" s="266" t="s">
        <v>31</v>
      </c>
      <c r="C33" s="373"/>
      <c r="D33" s="76"/>
      <c r="E33" s="136"/>
      <c r="F33" s="78">
        <v>10</v>
      </c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108"/>
      <c r="U33" s="36"/>
      <c r="V33" s="36"/>
      <c r="W33" s="251">
        <v>8</v>
      </c>
      <c r="X33" s="267" t="s">
        <v>31</v>
      </c>
      <c r="Y33" s="364"/>
      <c r="Z33" s="76"/>
      <c r="AA33" s="136"/>
      <c r="AB33" s="78">
        <v>10</v>
      </c>
      <c r="AC33" s="89"/>
      <c r="AD33" s="89"/>
      <c r="AE33" s="142"/>
      <c r="AF33" s="142"/>
      <c r="AG33" s="142"/>
      <c r="AH33" s="142"/>
      <c r="AI33" s="142"/>
      <c r="AJ33" s="142"/>
      <c r="AK33" s="142"/>
      <c r="AL33" s="142"/>
      <c r="AM33" s="142"/>
      <c r="AN33" s="142"/>
      <c r="AO33" s="142"/>
      <c r="AP33" s="95"/>
      <c r="AS33" s="51">
        <v>8</v>
      </c>
      <c r="AT33" s="267" t="s">
        <v>31</v>
      </c>
      <c r="AU33" s="364"/>
      <c r="AV33" s="53"/>
      <c r="AW33" s="61"/>
      <c r="AX33" s="53">
        <v>10</v>
      </c>
      <c r="AY33" s="89"/>
      <c r="AZ33" s="89"/>
      <c r="BA33" s="95"/>
      <c r="BB33" s="95"/>
      <c r="BC33" s="95"/>
      <c r="BD33" s="95"/>
      <c r="BE33" s="95"/>
      <c r="BF33" s="95"/>
      <c r="BG33" s="95"/>
      <c r="BH33" s="95"/>
      <c r="BI33" s="95"/>
      <c r="BJ33" s="95"/>
      <c r="BK33" s="95"/>
      <c r="BL33" s="95"/>
      <c r="BO33" s="51">
        <v>8</v>
      </c>
      <c r="BP33" s="267" t="s">
        <v>31</v>
      </c>
      <c r="BQ33" s="364"/>
      <c r="BR33" s="53"/>
      <c r="BS33" s="61"/>
      <c r="BT33" s="513">
        <v>10</v>
      </c>
      <c r="BU33" s="89"/>
      <c r="BV33" s="89"/>
      <c r="BW33" s="95"/>
      <c r="BX33" s="95"/>
      <c r="BY33" s="95"/>
      <c r="BZ33" s="95"/>
      <c r="CA33" s="95"/>
      <c r="CB33" s="95"/>
      <c r="CC33" s="95"/>
      <c r="CD33" s="95"/>
      <c r="CE33" s="95"/>
      <c r="CF33" s="95"/>
      <c r="CG33" s="95"/>
      <c r="CH33" s="95"/>
      <c r="CI33"/>
      <c r="CJ33"/>
      <c r="CK33"/>
      <c r="CL33"/>
      <c r="CM33"/>
      <c r="CN33"/>
      <c r="CO33"/>
    </row>
    <row r="34" spans="1:93" ht="15.6" customHeight="1">
      <c r="A34" s="251"/>
      <c r="B34" s="153" t="s">
        <v>311</v>
      </c>
      <c r="C34" s="373" t="s">
        <v>276</v>
      </c>
      <c r="D34" s="76" t="s">
        <v>312</v>
      </c>
      <c r="E34" s="136" t="s">
        <v>421</v>
      </c>
      <c r="F34" s="78"/>
      <c r="G34" s="92">
        <f>N34</f>
        <v>0.97</v>
      </c>
      <c r="H34" s="92">
        <f>T34</f>
        <v>2.46</v>
      </c>
      <c r="I34" s="92">
        <f>PI!D198</f>
        <v>0.13</v>
      </c>
      <c r="J34" s="92">
        <f>PI!E198</f>
        <v>0.27</v>
      </c>
      <c r="K34" s="92">
        <f>PI!F198</f>
        <v>0.42</v>
      </c>
      <c r="L34" s="92">
        <f>PI!G198</f>
        <v>0.55000000000000004</v>
      </c>
      <c r="M34" s="92">
        <f>PI!H198</f>
        <v>0.77</v>
      </c>
      <c r="N34" s="92">
        <f>PI!I198</f>
        <v>0.97</v>
      </c>
      <c r="O34" s="92">
        <f>PI!J198</f>
        <v>1.19</v>
      </c>
      <c r="P34" s="92">
        <f>PI!K198</f>
        <v>1.4</v>
      </c>
      <c r="Q34" s="92">
        <f>PI!L198</f>
        <v>1.61</v>
      </c>
      <c r="R34" s="92">
        <f>PI!M198</f>
        <v>1.82</v>
      </c>
      <c r="S34" s="92">
        <f>PI!N198</f>
        <v>2.0299999999999998</v>
      </c>
      <c r="T34" s="108">
        <f>PI!O198</f>
        <v>2.46</v>
      </c>
      <c r="U34" s="36"/>
      <c r="V34" s="36"/>
      <c r="W34" s="251"/>
      <c r="X34" s="52" t="s">
        <v>311</v>
      </c>
      <c r="Y34" s="364">
        <v>0</v>
      </c>
      <c r="Z34" s="76" t="s">
        <v>312</v>
      </c>
      <c r="AA34" s="136" t="s">
        <v>421</v>
      </c>
      <c r="AB34" s="78"/>
      <c r="AC34" s="89">
        <f t="shared" si="1"/>
        <v>0.87740000000000007</v>
      </c>
      <c r="AD34" s="89">
        <f t="shared" ref="AD34:AD37" si="40">AP34</f>
        <v>0</v>
      </c>
      <c r="AE34" s="142">
        <f>PI!AH198</f>
        <v>0.13285</v>
      </c>
      <c r="AF34" s="142">
        <f>PI!AI198</f>
        <v>0.24404999999999999</v>
      </c>
      <c r="AG34" s="142">
        <f>PI!AJ198</f>
        <v>0.38155</v>
      </c>
      <c r="AH34" s="142">
        <f>PI!AK198</f>
        <v>0.57810000000000006</v>
      </c>
      <c r="AI34" s="142">
        <f>PI!AL198</f>
        <v>0.72620000000000007</v>
      </c>
      <c r="AJ34" s="142">
        <f>PI!AM198</f>
        <v>0.87740000000000007</v>
      </c>
      <c r="AK34" s="142">
        <f>PI!AN198</f>
        <v>1.0797000000000001</v>
      </c>
      <c r="AL34" s="142">
        <f>PI!AO198</f>
        <v>1.2073500000000001</v>
      </c>
      <c r="AM34" s="142">
        <f>PI!AP198</f>
        <v>1.3872000000000002</v>
      </c>
      <c r="AN34" s="142">
        <f>PI!AQ198</f>
        <v>1.6339000000000001</v>
      </c>
      <c r="AO34" s="142">
        <f>PI!AR198</f>
        <v>0</v>
      </c>
      <c r="AP34" s="95">
        <f>PI!AS198</f>
        <v>0</v>
      </c>
      <c r="AS34" s="51"/>
      <c r="AT34" s="52" t="s">
        <v>311</v>
      </c>
      <c r="AU34" s="364" t="s">
        <v>276</v>
      </c>
      <c r="AV34" s="53" t="s">
        <v>312</v>
      </c>
      <c r="AW34" s="61" t="s">
        <v>421</v>
      </c>
      <c r="AX34" s="53"/>
      <c r="AY34" s="89">
        <f t="shared" si="3"/>
        <v>90.453608247422693</v>
      </c>
      <c r="AZ34" s="89">
        <f t="shared" si="4"/>
        <v>0</v>
      </c>
      <c r="BA34" s="95">
        <f>IFERROR(IF(AE34/I34*100&gt;110,110,AE34/I34*100),100)</f>
        <v>102.19230769230769</v>
      </c>
      <c r="BB34" s="95">
        <f t="shared" ref="BB34:BL37" si="41">IFERROR(IF(AF34/J34*100&gt;110,110,AF34/J34*100),100)</f>
        <v>90.388888888888872</v>
      </c>
      <c r="BC34" s="95">
        <f t="shared" si="41"/>
        <v>90.845238095238102</v>
      </c>
      <c r="BD34" s="95">
        <f t="shared" si="41"/>
        <v>105.10909090909091</v>
      </c>
      <c r="BE34" s="95">
        <f t="shared" si="41"/>
        <v>94.311688311688314</v>
      </c>
      <c r="BF34" s="95">
        <f t="shared" si="41"/>
        <v>90.453608247422693</v>
      </c>
      <c r="BG34" s="95">
        <f t="shared" si="41"/>
        <v>90.731092436974805</v>
      </c>
      <c r="BH34" s="95">
        <f t="shared" si="41"/>
        <v>86.239285714285728</v>
      </c>
      <c r="BI34" s="95">
        <f t="shared" si="41"/>
        <v>86.161490683229829</v>
      </c>
      <c r="BJ34" s="95">
        <f t="shared" si="41"/>
        <v>89.77472527472527</v>
      </c>
      <c r="BK34" s="95">
        <f t="shared" si="41"/>
        <v>0</v>
      </c>
      <c r="BL34" s="95">
        <f t="shared" si="41"/>
        <v>0</v>
      </c>
      <c r="BO34" s="51"/>
      <c r="BP34" s="52" t="s">
        <v>311</v>
      </c>
      <c r="BQ34" s="364" t="s">
        <v>276</v>
      </c>
      <c r="BR34" s="53" t="s">
        <v>312</v>
      </c>
      <c r="BS34" s="61" t="s">
        <v>421</v>
      </c>
      <c r="BT34" s="53">
        <f>BT$33/4</f>
        <v>2.5</v>
      </c>
      <c r="BU34" s="89">
        <f t="shared" ref="BU34:BU37" si="42">CB34</f>
        <v>2.2613402061855674</v>
      </c>
      <c r="BV34" s="89">
        <f t="shared" ref="BV34:BV37" si="43">CH34</f>
        <v>0</v>
      </c>
      <c r="BW34" s="111" cm="1">
        <f t="array" ref="BW34:CH34">BT34*BA34:BL34/100</f>
        <v>2.5548076923076923</v>
      </c>
      <c r="BX34" s="95">
        <v>2.2597222222222215</v>
      </c>
      <c r="BY34" s="95">
        <v>2.2711309523809522</v>
      </c>
      <c r="BZ34" s="95">
        <v>2.6277272727272725</v>
      </c>
      <c r="CA34" s="95">
        <v>2.3577922077922078</v>
      </c>
      <c r="CB34" s="95">
        <v>2.2613402061855674</v>
      </c>
      <c r="CC34" s="95">
        <v>2.2682773109243701</v>
      </c>
      <c r="CD34" s="95">
        <v>2.1559821428571433</v>
      </c>
      <c r="CE34" s="95">
        <v>2.1540372670807457</v>
      </c>
      <c r="CF34" s="95">
        <v>2.2443681318681317</v>
      </c>
      <c r="CG34" s="95">
        <v>0</v>
      </c>
      <c r="CH34" s="95">
        <v>0</v>
      </c>
      <c r="CI34"/>
      <c r="CJ34"/>
      <c r="CK34"/>
      <c r="CL34"/>
      <c r="CM34"/>
      <c r="CN34"/>
      <c r="CO34"/>
    </row>
    <row r="35" spans="1:93" ht="15.6" customHeight="1">
      <c r="A35" s="252"/>
      <c r="B35" s="153" t="s">
        <v>313</v>
      </c>
      <c r="C35" s="370" t="s">
        <v>276</v>
      </c>
      <c r="D35" s="76" t="s">
        <v>133</v>
      </c>
      <c r="E35" s="77" t="s">
        <v>422</v>
      </c>
      <c r="F35" s="77"/>
      <c r="G35" s="93">
        <f>N35</f>
        <v>1093</v>
      </c>
      <c r="H35" s="93">
        <f>T35</f>
        <v>2517</v>
      </c>
      <c r="I35" s="93">
        <f>PI!D204</f>
        <v>149</v>
      </c>
      <c r="J35" s="93">
        <f>PI!E204</f>
        <v>304</v>
      </c>
      <c r="K35" s="93">
        <f>PI!F204</f>
        <v>466</v>
      </c>
      <c r="L35" s="93">
        <f>PI!G204</f>
        <v>622</v>
      </c>
      <c r="M35" s="93">
        <f>PI!H204</f>
        <v>861</v>
      </c>
      <c r="N35" s="93">
        <f>PI!I204</f>
        <v>1093</v>
      </c>
      <c r="O35" s="93">
        <f>PI!J204</f>
        <v>1333</v>
      </c>
      <c r="P35" s="93">
        <f>PI!K204</f>
        <v>1573</v>
      </c>
      <c r="Q35" s="93">
        <f>PI!L204</f>
        <v>1805</v>
      </c>
      <c r="R35" s="93">
        <f>PI!M204</f>
        <v>2045</v>
      </c>
      <c r="S35" s="93">
        <f>PI!N204</f>
        <v>2277</v>
      </c>
      <c r="T35" s="123">
        <f>PI!O204</f>
        <v>2517</v>
      </c>
      <c r="U35" s="36"/>
      <c r="V35" s="36"/>
      <c r="W35" s="252"/>
      <c r="X35" s="52" t="s">
        <v>313</v>
      </c>
      <c r="Y35" s="364">
        <v>0</v>
      </c>
      <c r="Z35" s="76" t="s">
        <v>133</v>
      </c>
      <c r="AA35" s="77" t="s">
        <v>422</v>
      </c>
      <c r="AB35" s="77"/>
      <c r="AC35" s="89">
        <f t="shared" si="1"/>
        <v>654</v>
      </c>
      <c r="AD35" s="89">
        <f t="shared" si="40"/>
        <v>0</v>
      </c>
      <c r="AE35" s="142">
        <f>PI!AH204</f>
        <v>114</v>
      </c>
      <c r="AF35" s="142">
        <f>PI!AI204</f>
        <v>213</v>
      </c>
      <c r="AG35" s="142">
        <f>PI!AJ204</f>
        <v>322</v>
      </c>
      <c r="AH35" s="142">
        <f>PI!AK204</f>
        <v>464</v>
      </c>
      <c r="AI35" s="142">
        <f>PI!AL204</f>
        <v>559</v>
      </c>
      <c r="AJ35" s="142">
        <f>PI!AM204</f>
        <v>654</v>
      </c>
      <c r="AK35" s="142">
        <f>PI!AN204</f>
        <v>757</v>
      </c>
      <c r="AL35" s="142">
        <f>PI!AO204</f>
        <v>826</v>
      </c>
      <c r="AM35" s="142">
        <f>PI!AP204</f>
        <v>964</v>
      </c>
      <c r="AN35" s="142">
        <f>PI!AQ204</f>
        <v>1117</v>
      </c>
      <c r="AO35" s="142">
        <f>PI!AR204</f>
        <v>0</v>
      </c>
      <c r="AP35" s="95">
        <f>PI!AS204</f>
        <v>0</v>
      </c>
      <c r="AS35" s="51"/>
      <c r="AT35" s="52" t="s">
        <v>313</v>
      </c>
      <c r="AU35" s="364" t="s">
        <v>276</v>
      </c>
      <c r="AV35" s="53" t="s">
        <v>133</v>
      </c>
      <c r="AW35" s="61" t="s">
        <v>422</v>
      </c>
      <c r="AX35" s="53"/>
      <c r="AY35" s="89">
        <f t="shared" si="3"/>
        <v>59.835315645013722</v>
      </c>
      <c r="AZ35" s="89">
        <f t="shared" si="4"/>
        <v>0</v>
      </c>
      <c r="BA35" s="95">
        <f>IFERROR(IF(AE35/I35*100&gt;110,110,AE35/I35*100),100)</f>
        <v>76.510067114093957</v>
      </c>
      <c r="BB35" s="95">
        <f t="shared" si="41"/>
        <v>70.06578947368422</v>
      </c>
      <c r="BC35" s="95">
        <f t="shared" si="41"/>
        <v>69.098712446351925</v>
      </c>
      <c r="BD35" s="95">
        <f t="shared" si="41"/>
        <v>74.59807073954984</v>
      </c>
      <c r="BE35" s="95">
        <f t="shared" si="41"/>
        <v>64.924506387921028</v>
      </c>
      <c r="BF35" s="95">
        <f t="shared" si="41"/>
        <v>59.835315645013722</v>
      </c>
      <c r="BG35" s="95">
        <f t="shared" si="41"/>
        <v>56.789197299324833</v>
      </c>
      <c r="BH35" s="95">
        <f t="shared" si="41"/>
        <v>52.511125238397973</v>
      </c>
      <c r="BI35" s="95">
        <f t="shared" si="41"/>
        <v>53.407202216066487</v>
      </c>
      <c r="BJ35" s="95">
        <f t="shared" si="41"/>
        <v>54.621026894865523</v>
      </c>
      <c r="BK35" s="95">
        <f t="shared" si="41"/>
        <v>0</v>
      </c>
      <c r="BL35" s="95">
        <f t="shared" si="41"/>
        <v>0</v>
      </c>
      <c r="BO35" s="51"/>
      <c r="BP35" s="52" t="s">
        <v>313</v>
      </c>
      <c r="BQ35" s="364" t="s">
        <v>276</v>
      </c>
      <c r="BR35" s="53" t="s">
        <v>133</v>
      </c>
      <c r="BS35" s="61" t="s">
        <v>422</v>
      </c>
      <c r="BT35" s="53">
        <f>BT$33/4</f>
        <v>2.5</v>
      </c>
      <c r="BU35" s="89">
        <f t="shared" si="42"/>
        <v>1.4958828911253432</v>
      </c>
      <c r="BV35" s="89">
        <f t="shared" si="43"/>
        <v>0</v>
      </c>
      <c r="BW35" s="111" cm="1">
        <f t="array" ref="BW35:CH35">BT35*BA35:BL35/100</f>
        <v>1.9127516778523488</v>
      </c>
      <c r="BX35" s="95">
        <v>1.7516447368421055</v>
      </c>
      <c r="BY35" s="95">
        <v>1.727467811158798</v>
      </c>
      <c r="BZ35" s="95">
        <v>1.864951768488746</v>
      </c>
      <c r="CA35" s="95">
        <v>1.6231126596980259</v>
      </c>
      <c r="CB35" s="95">
        <v>1.4958828911253432</v>
      </c>
      <c r="CC35" s="95">
        <v>1.419729932483121</v>
      </c>
      <c r="CD35" s="95">
        <v>1.3127781309599493</v>
      </c>
      <c r="CE35" s="95">
        <v>1.3351800554016622</v>
      </c>
      <c r="CF35" s="95">
        <v>1.365525672371638</v>
      </c>
      <c r="CG35" s="95">
        <v>0</v>
      </c>
      <c r="CH35" s="95">
        <v>0</v>
      </c>
      <c r="CI35"/>
      <c r="CJ35"/>
      <c r="CK35"/>
      <c r="CL35"/>
      <c r="CM35"/>
      <c r="CN35"/>
      <c r="CO35"/>
    </row>
    <row r="36" spans="1:93" ht="15.6" customHeight="1">
      <c r="A36" s="251"/>
      <c r="B36" s="153" t="s">
        <v>314</v>
      </c>
      <c r="C36" s="373" t="s">
        <v>276</v>
      </c>
      <c r="D36" s="76" t="s">
        <v>133</v>
      </c>
      <c r="E36" s="136" t="s">
        <v>423</v>
      </c>
      <c r="F36" s="78"/>
      <c r="G36" s="92">
        <f>N36</f>
        <v>120</v>
      </c>
      <c r="H36" s="92">
        <f>T36</f>
        <v>198</v>
      </c>
      <c r="I36" s="92">
        <f>PI!D210</f>
        <v>20</v>
      </c>
      <c r="J36" s="92">
        <f>PI!E210</f>
        <v>40</v>
      </c>
      <c r="K36" s="92">
        <f>PI!F210</f>
        <v>60</v>
      </c>
      <c r="L36" s="92">
        <f>PI!G210</f>
        <v>80</v>
      </c>
      <c r="M36" s="92">
        <f>PI!H210</f>
        <v>100</v>
      </c>
      <c r="N36" s="92">
        <f>PI!I210</f>
        <v>120</v>
      </c>
      <c r="O36" s="92">
        <f>PI!J210</f>
        <v>133</v>
      </c>
      <c r="P36" s="92">
        <f>PI!K210</f>
        <v>146</v>
      </c>
      <c r="Q36" s="92">
        <f>PI!L210</f>
        <v>159</v>
      </c>
      <c r="R36" s="92">
        <f>PI!M210</f>
        <v>172</v>
      </c>
      <c r="S36" s="92">
        <f>PI!N210</f>
        <v>185</v>
      </c>
      <c r="T36" s="108">
        <f>PI!O210</f>
        <v>198</v>
      </c>
      <c r="U36" s="36"/>
      <c r="V36" s="36"/>
      <c r="W36" s="251"/>
      <c r="X36" s="52" t="s">
        <v>314</v>
      </c>
      <c r="Y36" s="364">
        <v>0</v>
      </c>
      <c r="Z36" s="76" t="s">
        <v>133</v>
      </c>
      <c r="AA36" s="136" t="s">
        <v>423</v>
      </c>
      <c r="AB36" s="78"/>
      <c r="AC36" s="89">
        <f t="shared" si="1"/>
        <v>138</v>
      </c>
      <c r="AD36" s="89">
        <f t="shared" si="40"/>
        <v>0</v>
      </c>
      <c r="AE36" s="142">
        <f>PI!AH210</f>
        <v>28</v>
      </c>
      <c r="AF36" s="142">
        <f>PI!AI210</f>
        <v>40</v>
      </c>
      <c r="AG36" s="142">
        <f>PI!AJ210</f>
        <v>64</v>
      </c>
      <c r="AH36" s="142">
        <f>PI!AK210</f>
        <v>64</v>
      </c>
      <c r="AI36" s="142">
        <f>PI!AL210</f>
        <v>97</v>
      </c>
      <c r="AJ36" s="142">
        <f>PI!AM210</f>
        <v>138</v>
      </c>
      <c r="AK36" s="142">
        <f>PI!AN210</f>
        <v>144</v>
      </c>
      <c r="AL36" s="142">
        <f>PI!AO210</f>
        <v>175</v>
      </c>
      <c r="AM36" s="142">
        <f>PI!AP210</f>
        <v>198</v>
      </c>
      <c r="AN36" s="142">
        <f>PI!AQ210</f>
        <v>218</v>
      </c>
      <c r="AO36" s="142">
        <f>PI!AR210</f>
        <v>0</v>
      </c>
      <c r="AP36" s="95">
        <f>PI!AS210</f>
        <v>0</v>
      </c>
      <c r="AS36" s="51"/>
      <c r="AT36" s="52" t="s">
        <v>314</v>
      </c>
      <c r="AU36" s="364" t="s">
        <v>276</v>
      </c>
      <c r="AV36" s="53" t="s">
        <v>133</v>
      </c>
      <c r="AW36" s="61" t="s">
        <v>423</v>
      </c>
      <c r="AX36" s="53"/>
      <c r="AY36" s="89">
        <f t="shared" si="3"/>
        <v>110</v>
      </c>
      <c r="AZ36" s="89">
        <f t="shared" si="4"/>
        <v>0</v>
      </c>
      <c r="BA36" s="95">
        <f>IFERROR(IF(AE36/I36*100&gt;110,110,AE36/I36*100),100)</f>
        <v>110</v>
      </c>
      <c r="BB36" s="95">
        <f t="shared" si="41"/>
        <v>100</v>
      </c>
      <c r="BC36" s="95">
        <f t="shared" si="41"/>
        <v>106.66666666666667</v>
      </c>
      <c r="BD36" s="95">
        <f t="shared" si="41"/>
        <v>80</v>
      </c>
      <c r="BE36" s="95">
        <f t="shared" si="41"/>
        <v>97</v>
      </c>
      <c r="BF36" s="95">
        <f t="shared" si="41"/>
        <v>110</v>
      </c>
      <c r="BG36" s="95">
        <f t="shared" si="41"/>
        <v>108.27067669172932</v>
      </c>
      <c r="BH36" s="95">
        <f t="shared" si="41"/>
        <v>110</v>
      </c>
      <c r="BI36" s="95">
        <f t="shared" si="41"/>
        <v>110</v>
      </c>
      <c r="BJ36" s="95">
        <f t="shared" si="41"/>
        <v>110</v>
      </c>
      <c r="BK36" s="95">
        <f t="shared" si="41"/>
        <v>0</v>
      </c>
      <c r="BL36" s="95">
        <f t="shared" si="41"/>
        <v>0</v>
      </c>
      <c r="BO36" s="51"/>
      <c r="BP36" s="52" t="s">
        <v>314</v>
      </c>
      <c r="BQ36" s="364" t="s">
        <v>276</v>
      </c>
      <c r="BR36" s="53" t="s">
        <v>133</v>
      </c>
      <c r="BS36" s="61" t="s">
        <v>423</v>
      </c>
      <c r="BT36" s="53">
        <f>BT$33/4</f>
        <v>2.5</v>
      </c>
      <c r="BU36" s="89">
        <f t="shared" si="42"/>
        <v>2.75</v>
      </c>
      <c r="BV36" s="89">
        <f t="shared" si="43"/>
        <v>0</v>
      </c>
      <c r="BW36" s="111" cm="1">
        <f t="array" ref="BW36:CH36">BT36*BA36:BL36/100</f>
        <v>2.75</v>
      </c>
      <c r="BX36" s="95">
        <v>2.5</v>
      </c>
      <c r="BY36" s="95">
        <v>2.666666666666667</v>
      </c>
      <c r="BZ36" s="95">
        <v>2</v>
      </c>
      <c r="CA36" s="95">
        <v>2.4249999999999998</v>
      </c>
      <c r="CB36" s="95">
        <v>2.75</v>
      </c>
      <c r="CC36" s="95">
        <v>2.7067669172932329</v>
      </c>
      <c r="CD36" s="95">
        <v>2.75</v>
      </c>
      <c r="CE36" s="95">
        <v>2.75</v>
      </c>
      <c r="CF36" s="95">
        <v>2.75</v>
      </c>
      <c r="CG36" s="95">
        <v>0</v>
      </c>
      <c r="CH36" s="95">
        <v>0</v>
      </c>
      <c r="CI36"/>
      <c r="CJ36"/>
      <c r="CK36"/>
      <c r="CL36"/>
      <c r="CM36"/>
      <c r="CN36"/>
      <c r="CO36"/>
    </row>
    <row r="37" spans="1:93" ht="15.6" customHeight="1">
      <c r="A37" s="284"/>
      <c r="B37" s="153" t="s">
        <v>315</v>
      </c>
      <c r="C37" s="373" t="s">
        <v>276</v>
      </c>
      <c r="D37" s="76" t="s">
        <v>133</v>
      </c>
      <c r="E37" s="136" t="s">
        <v>424</v>
      </c>
      <c r="F37" s="78"/>
      <c r="G37" s="92">
        <f>N37</f>
        <v>0</v>
      </c>
      <c r="H37" s="92">
        <f>T37</f>
        <v>0</v>
      </c>
      <c r="I37" s="92">
        <f>PI!D216</f>
        <v>0</v>
      </c>
      <c r="J37" s="92">
        <f>PI!E216</f>
        <v>0</v>
      </c>
      <c r="K37" s="92">
        <f>PI!F216</f>
        <v>0</v>
      </c>
      <c r="L37" s="92">
        <f>PI!G216</f>
        <v>0</v>
      </c>
      <c r="M37" s="92">
        <f>PI!H216</f>
        <v>0</v>
      </c>
      <c r="N37" s="92">
        <f>PI!I216</f>
        <v>0</v>
      </c>
      <c r="O37" s="92">
        <f>PI!J216</f>
        <v>0</v>
      </c>
      <c r="P37" s="92">
        <f>PI!K216</f>
        <v>0</v>
      </c>
      <c r="Q37" s="92">
        <f>PI!L216</f>
        <v>0</v>
      </c>
      <c r="R37" s="92">
        <f>PI!M216</f>
        <v>0</v>
      </c>
      <c r="S37" s="92">
        <f>PI!N216</f>
        <v>0</v>
      </c>
      <c r="T37" s="108">
        <f>PI!O216</f>
        <v>0</v>
      </c>
      <c r="U37" s="36"/>
      <c r="V37" s="36"/>
      <c r="W37" s="284"/>
      <c r="X37" s="52" t="s">
        <v>315</v>
      </c>
      <c r="Y37" s="364">
        <v>0</v>
      </c>
      <c r="Z37" s="76" t="s">
        <v>133</v>
      </c>
      <c r="AA37" s="136" t="s">
        <v>424</v>
      </c>
      <c r="AB37" s="78"/>
      <c r="AC37" s="89">
        <f t="shared" si="1"/>
        <v>0</v>
      </c>
      <c r="AD37" s="89">
        <f t="shared" si="40"/>
        <v>0</v>
      </c>
      <c r="AE37" s="142">
        <f>PI!AH216</f>
        <v>0</v>
      </c>
      <c r="AF37" s="142">
        <f>PI!AI216</f>
        <v>0</v>
      </c>
      <c r="AG37" s="142">
        <f>PI!AJ216</f>
        <v>0</v>
      </c>
      <c r="AH37" s="142">
        <f>PI!AK216</f>
        <v>0</v>
      </c>
      <c r="AI37" s="142">
        <f>PI!AL216</f>
        <v>0</v>
      </c>
      <c r="AJ37" s="142">
        <f>PI!AM216</f>
        <v>0</v>
      </c>
      <c r="AK37" s="142">
        <f>PI!AN216</f>
        <v>0</v>
      </c>
      <c r="AL37" s="142">
        <f>PI!AO216</f>
        <v>0</v>
      </c>
      <c r="AM37" s="142">
        <f>PI!AP216</f>
        <v>0</v>
      </c>
      <c r="AN37" s="142">
        <f>PI!AQ216</f>
        <v>0</v>
      </c>
      <c r="AO37" s="142">
        <f>PI!AR216</f>
        <v>0</v>
      </c>
      <c r="AP37" s="95">
        <f>PI!AS216</f>
        <v>0</v>
      </c>
      <c r="AS37" s="51"/>
      <c r="AT37" s="52" t="s">
        <v>315</v>
      </c>
      <c r="AU37" s="364" t="s">
        <v>276</v>
      </c>
      <c r="AV37" s="53" t="s">
        <v>133</v>
      </c>
      <c r="AW37" s="61" t="s">
        <v>424</v>
      </c>
      <c r="AX37" s="53"/>
      <c r="AY37" s="89">
        <f t="shared" si="3"/>
        <v>100</v>
      </c>
      <c r="AZ37" s="89">
        <f t="shared" si="4"/>
        <v>100</v>
      </c>
      <c r="BA37" s="95">
        <f>IFERROR(IF(AE37/I37*100&gt;110,110,AE37/I37*100),100)</f>
        <v>100</v>
      </c>
      <c r="BB37" s="95">
        <f t="shared" si="41"/>
        <v>100</v>
      </c>
      <c r="BC37" s="95">
        <f t="shared" si="41"/>
        <v>100</v>
      </c>
      <c r="BD37" s="95">
        <f t="shared" si="41"/>
        <v>100</v>
      </c>
      <c r="BE37" s="95">
        <f t="shared" si="41"/>
        <v>100</v>
      </c>
      <c r="BF37" s="95">
        <f t="shared" si="41"/>
        <v>100</v>
      </c>
      <c r="BG37" s="95">
        <f t="shared" si="41"/>
        <v>100</v>
      </c>
      <c r="BH37" s="95">
        <f t="shared" si="41"/>
        <v>100</v>
      </c>
      <c r="BI37" s="95">
        <f t="shared" si="41"/>
        <v>100</v>
      </c>
      <c r="BJ37" s="95">
        <f t="shared" si="41"/>
        <v>100</v>
      </c>
      <c r="BK37" s="95">
        <f t="shared" si="41"/>
        <v>100</v>
      </c>
      <c r="BL37" s="95">
        <f t="shared" si="41"/>
        <v>100</v>
      </c>
      <c r="BO37" s="51"/>
      <c r="BP37" s="52" t="s">
        <v>315</v>
      </c>
      <c r="BQ37" s="364" t="s">
        <v>276</v>
      </c>
      <c r="BR37" s="53" t="s">
        <v>133</v>
      </c>
      <c r="BS37" s="61" t="s">
        <v>424</v>
      </c>
      <c r="BT37" s="53">
        <f>BT$33/4</f>
        <v>2.5</v>
      </c>
      <c r="BU37" s="89">
        <f t="shared" si="42"/>
        <v>2.5</v>
      </c>
      <c r="BV37" s="89">
        <f t="shared" si="43"/>
        <v>2.5</v>
      </c>
      <c r="BW37" s="111" cm="1">
        <f t="array" ref="BW37:CH37">BT37*BA37:BL37/100</f>
        <v>2.5</v>
      </c>
      <c r="BX37" s="95">
        <v>2.5</v>
      </c>
      <c r="BY37" s="95">
        <v>2.5</v>
      </c>
      <c r="BZ37" s="95">
        <v>2.5</v>
      </c>
      <c r="CA37" s="95">
        <v>2.5</v>
      </c>
      <c r="CB37" s="95">
        <v>2.5</v>
      </c>
      <c r="CC37" s="95">
        <v>2.5</v>
      </c>
      <c r="CD37" s="95">
        <v>2.5</v>
      </c>
      <c r="CE37" s="95">
        <v>2.5</v>
      </c>
      <c r="CF37" s="95">
        <v>2.5</v>
      </c>
      <c r="CG37" s="95">
        <v>2.5</v>
      </c>
      <c r="CH37" s="95">
        <v>2.5</v>
      </c>
      <c r="CI37"/>
      <c r="CJ37"/>
      <c r="CK37"/>
      <c r="CL37"/>
      <c r="CM37"/>
      <c r="CN37"/>
      <c r="CO37"/>
    </row>
    <row r="38" spans="1:93" ht="15.6" customHeight="1">
      <c r="A38" s="251">
        <v>9</v>
      </c>
      <c r="B38" s="266" t="s">
        <v>425</v>
      </c>
      <c r="C38" s="373"/>
      <c r="D38" s="76"/>
      <c r="E38" s="136"/>
      <c r="F38" s="78">
        <v>4</v>
      </c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108"/>
      <c r="U38" s="36"/>
      <c r="V38" s="36"/>
      <c r="W38" s="251">
        <v>9</v>
      </c>
      <c r="X38" s="267" t="s">
        <v>425</v>
      </c>
      <c r="Y38" s="364"/>
      <c r="Z38" s="76"/>
      <c r="AA38" s="136"/>
      <c r="AB38" s="78">
        <v>4</v>
      </c>
      <c r="AC38" s="89"/>
      <c r="AD38" s="89"/>
      <c r="AE38" s="154"/>
      <c r="AF38" s="154"/>
      <c r="AG38" s="154"/>
      <c r="AH38" s="154"/>
      <c r="AI38" s="154"/>
      <c r="AJ38" s="154"/>
      <c r="AK38" s="154"/>
      <c r="AL38" s="154"/>
      <c r="AM38" s="154"/>
      <c r="AN38" s="154"/>
      <c r="AO38" s="154"/>
      <c r="AP38" s="547"/>
      <c r="AS38" s="51">
        <v>9</v>
      </c>
      <c r="AT38" s="267" t="s">
        <v>425</v>
      </c>
      <c r="AU38" s="364"/>
      <c r="AV38" s="53"/>
      <c r="AW38" s="61"/>
      <c r="AX38" s="53">
        <v>4</v>
      </c>
      <c r="AY38" s="89"/>
      <c r="AZ38" s="89"/>
      <c r="BA38" s="95"/>
      <c r="BB38" s="95"/>
      <c r="BC38" s="95"/>
      <c r="BD38" s="95"/>
      <c r="BE38" s="95"/>
      <c r="BF38" s="95"/>
      <c r="BG38" s="95"/>
      <c r="BH38" s="95"/>
      <c r="BI38" s="95"/>
      <c r="BJ38" s="95"/>
      <c r="BK38" s="95"/>
      <c r="BL38" s="95"/>
      <c r="BO38" s="51">
        <v>9</v>
      </c>
      <c r="BP38" s="267" t="s">
        <v>425</v>
      </c>
      <c r="BQ38" s="364"/>
      <c r="BR38" s="53"/>
      <c r="BS38" s="61"/>
      <c r="BT38" s="513">
        <v>4</v>
      </c>
      <c r="BU38" s="89"/>
      <c r="BV38" s="89"/>
      <c r="BW38" s="95"/>
      <c r="BX38" s="95"/>
      <c r="BY38" s="95"/>
      <c r="BZ38" s="95"/>
      <c r="CA38" s="95"/>
      <c r="CB38" s="95"/>
      <c r="CC38" s="95"/>
      <c r="CD38" s="95"/>
      <c r="CE38" s="95"/>
      <c r="CF38" s="95"/>
      <c r="CG38" s="95"/>
      <c r="CH38" s="95"/>
      <c r="CI38"/>
      <c r="CJ38"/>
      <c r="CK38"/>
      <c r="CL38"/>
      <c r="CM38"/>
      <c r="CN38"/>
      <c r="CO38"/>
    </row>
    <row r="39" spans="1:93" ht="15.6" customHeight="1">
      <c r="A39" s="251"/>
      <c r="B39" s="153" t="s">
        <v>426</v>
      </c>
      <c r="C39" s="373" t="s">
        <v>276</v>
      </c>
      <c r="D39" s="76" t="s">
        <v>133</v>
      </c>
      <c r="E39" s="136" t="s">
        <v>427</v>
      </c>
      <c r="F39" s="78"/>
      <c r="G39" s="92">
        <f>N39</f>
        <v>3</v>
      </c>
      <c r="H39" s="92">
        <f>T39</f>
        <v>123</v>
      </c>
      <c r="I39" s="92">
        <f>PI!D222</f>
        <v>1</v>
      </c>
      <c r="J39" s="92">
        <f>PI!E222</f>
        <v>1</v>
      </c>
      <c r="K39" s="92">
        <f>PI!F222</f>
        <v>1</v>
      </c>
      <c r="L39" s="92">
        <f>PI!G222</f>
        <v>1</v>
      </c>
      <c r="M39" s="92">
        <f>PI!H222</f>
        <v>2</v>
      </c>
      <c r="N39" s="92">
        <f>PI!I222</f>
        <v>3</v>
      </c>
      <c r="O39" s="92">
        <f>PI!J222</f>
        <v>11</v>
      </c>
      <c r="P39" s="92">
        <f>PI!K222</f>
        <v>17</v>
      </c>
      <c r="Q39" s="92">
        <f>PI!L222</f>
        <v>27</v>
      </c>
      <c r="R39" s="92">
        <f>PI!M222</f>
        <v>45</v>
      </c>
      <c r="S39" s="92">
        <f>PI!N222</f>
        <v>74</v>
      </c>
      <c r="T39" s="108">
        <f>PI!O222</f>
        <v>123</v>
      </c>
      <c r="U39" s="36"/>
      <c r="V39" s="36"/>
      <c r="W39" s="251"/>
      <c r="X39" s="52" t="s">
        <v>426</v>
      </c>
      <c r="Y39" s="364">
        <v>0</v>
      </c>
      <c r="Z39" s="76" t="s">
        <v>133</v>
      </c>
      <c r="AA39" s="136" t="s">
        <v>427</v>
      </c>
      <c r="AB39" s="78"/>
      <c r="AC39" s="89">
        <f t="shared" si="1"/>
        <v>64</v>
      </c>
      <c r="AD39" s="89">
        <f t="shared" ref="AD39:AD40" si="44">AP39</f>
        <v>0</v>
      </c>
      <c r="AE39" s="225">
        <f>PI!AH222</f>
        <v>12</v>
      </c>
      <c r="AF39" s="225">
        <f>PI!AI222</f>
        <v>21</v>
      </c>
      <c r="AG39" s="225">
        <f>PI!AJ222</f>
        <v>26</v>
      </c>
      <c r="AH39" s="225">
        <f>PI!AK222</f>
        <v>38</v>
      </c>
      <c r="AI39" s="225">
        <f>PI!AL222</f>
        <v>56</v>
      </c>
      <c r="AJ39" s="225">
        <f>PI!AM222</f>
        <v>64</v>
      </c>
      <c r="AK39" s="225">
        <f>PI!AN222</f>
        <v>68</v>
      </c>
      <c r="AL39" s="225">
        <f>PI!AO222</f>
        <v>75</v>
      </c>
      <c r="AM39" s="225">
        <f>PI!AP222</f>
        <v>83</v>
      </c>
      <c r="AN39" s="225">
        <f>PI!AQ222</f>
        <v>92</v>
      </c>
      <c r="AO39" s="225">
        <f>PI!AR222</f>
        <v>0</v>
      </c>
      <c r="AP39" s="532">
        <f>PI!AS222</f>
        <v>0</v>
      </c>
      <c r="AS39" s="51"/>
      <c r="AT39" s="52" t="s">
        <v>426</v>
      </c>
      <c r="AU39" s="364" t="s">
        <v>276</v>
      </c>
      <c r="AV39" s="53" t="s">
        <v>133</v>
      </c>
      <c r="AW39" s="61" t="s">
        <v>427</v>
      </c>
      <c r="AX39" s="53"/>
      <c r="AY39" s="89">
        <f t="shared" si="3"/>
        <v>110</v>
      </c>
      <c r="AZ39" s="89">
        <f t="shared" si="4"/>
        <v>0</v>
      </c>
      <c r="BA39" s="95">
        <f>IFERROR(IF(AE39/I39*100&gt;110,110,AE39/I39*100),100)</f>
        <v>110</v>
      </c>
      <c r="BB39" s="95">
        <f t="shared" ref="BB39:BL40" si="45">IFERROR(IF(AF39/J39*100&gt;110,110,AF39/J39*100),100)</f>
        <v>110</v>
      </c>
      <c r="BC39" s="95">
        <f t="shared" si="45"/>
        <v>110</v>
      </c>
      <c r="BD39" s="95">
        <f t="shared" si="45"/>
        <v>110</v>
      </c>
      <c r="BE39" s="95">
        <f t="shared" si="45"/>
        <v>110</v>
      </c>
      <c r="BF39" s="95">
        <f t="shared" si="45"/>
        <v>110</v>
      </c>
      <c r="BG39" s="95">
        <f t="shared" si="45"/>
        <v>110</v>
      </c>
      <c r="BH39" s="95">
        <f t="shared" si="45"/>
        <v>110</v>
      </c>
      <c r="BI39" s="95">
        <f t="shared" si="45"/>
        <v>110</v>
      </c>
      <c r="BJ39" s="95">
        <f t="shared" si="45"/>
        <v>110</v>
      </c>
      <c r="BK39" s="95">
        <f t="shared" si="45"/>
        <v>0</v>
      </c>
      <c r="BL39" s="95">
        <f t="shared" si="45"/>
        <v>0</v>
      </c>
      <c r="BO39" s="51"/>
      <c r="BP39" s="52" t="s">
        <v>426</v>
      </c>
      <c r="BQ39" s="364" t="s">
        <v>276</v>
      </c>
      <c r="BR39" s="53" t="s">
        <v>133</v>
      </c>
      <c r="BS39" s="61" t="s">
        <v>427</v>
      </c>
      <c r="BT39" s="53">
        <f>BT$38/2</f>
        <v>2</v>
      </c>
      <c r="BU39" s="89">
        <f t="shared" ref="BU39:BU40" si="46">CB39</f>
        <v>2.2000000000000002</v>
      </c>
      <c r="BV39" s="89">
        <f t="shared" ref="BV39:BV40" si="47">CH39</f>
        <v>0</v>
      </c>
      <c r="BW39" s="111" cm="1">
        <f t="array" ref="BW39:CH39">BT39*BA39:BL39/100</f>
        <v>2.2000000000000002</v>
      </c>
      <c r="BX39" s="95">
        <v>2.2000000000000002</v>
      </c>
      <c r="BY39" s="95">
        <v>2.2000000000000002</v>
      </c>
      <c r="BZ39" s="95">
        <v>2.2000000000000002</v>
      </c>
      <c r="CA39" s="95">
        <v>2.2000000000000002</v>
      </c>
      <c r="CB39" s="95">
        <v>2.2000000000000002</v>
      </c>
      <c r="CC39" s="95">
        <v>2.2000000000000002</v>
      </c>
      <c r="CD39" s="95">
        <v>2.2000000000000002</v>
      </c>
      <c r="CE39" s="95">
        <v>2.2000000000000002</v>
      </c>
      <c r="CF39" s="95">
        <v>2.2000000000000002</v>
      </c>
      <c r="CG39" s="95">
        <v>0</v>
      </c>
      <c r="CH39" s="95">
        <v>0</v>
      </c>
      <c r="CI39"/>
      <c r="CJ39"/>
      <c r="CK39"/>
      <c r="CL39"/>
      <c r="CM39"/>
      <c r="CN39"/>
      <c r="CO39"/>
    </row>
    <row r="40" spans="1:93" ht="15.6" customHeight="1">
      <c r="A40" s="251"/>
      <c r="B40" s="153" t="s">
        <v>428</v>
      </c>
      <c r="C40" s="373" t="s">
        <v>276</v>
      </c>
      <c r="D40" s="76" t="s">
        <v>429</v>
      </c>
      <c r="E40" s="136" t="s">
        <v>430</v>
      </c>
      <c r="F40" s="78"/>
      <c r="G40" s="92">
        <f>N40</f>
        <v>121.5</v>
      </c>
      <c r="H40" s="92">
        <f>T40</f>
        <v>16442.113000000001</v>
      </c>
      <c r="I40" s="92">
        <f>PI!D228</f>
        <v>40.5</v>
      </c>
      <c r="J40" s="92">
        <f>PI!E228</f>
        <v>40.5</v>
      </c>
      <c r="K40" s="92">
        <f>PI!F228</f>
        <v>40.5</v>
      </c>
      <c r="L40" s="92">
        <f>PI!G228</f>
        <v>40.5</v>
      </c>
      <c r="M40" s="92">
        <f>PI!H228</f>
        <v>81</v>
      </c>
      <c r="N40" s="92">
        <f>PI!I228</f>
        <v>121.5</v>
      </c>
      <c r="O40" s="92">
        <f>PI!J228</f>
        <v>1470.433</v>
      </c>
      <c r="P40" s="92">
        <f>PI!K228</f>
        <v>2272.4870000000001</v>
      </c>
      <c r="Q40" s="92">
        <f>PI!L228</f>
        <v>3609.2440000000001</v>
      </c>
      <c r="R40" s="92">
        <f>PI!M228</f>
        <v>6015.4070000000002</v>
      </c>
      <c r="S40" s="92">
        <f>PI!N228</f>
        <v>9892.0030000000006</v>
      </c>
      <c r="T40" s="108">
        <f>PI!O228</f>
        <v>16442.113000000001</v>
      </c>
      <c r="U40" s="36"/>
      <c r="V40" s="36"/>
      <c r="W40" s="251"/>
      <c r="X40" s="52" t="s">
        <v>428</v>
      </c>
      <c r="Y40" s="364">
        <v>0</v>
      </c>
      <c r="Z40" s="76" t="s">
        <v>429</v>
      </c>
      <c r="AA40" s="136" t="s">
        <v>430</v>
      </c>
      <c r="AB40" s="78"/>
      <c r="AC40" s="89">
        <f t="shared" si="1"/>
        <v>18369.099999999999</v>
      </c>
      <c r="AD40" s="89">
        <f t="shared" si="44"/>
        <v>0</v>
      </c>
      <c r="AE40" s="225">
        <f>PI!AH228</f>
        <v>2884.1</v>
      </c>
      <c r="AF40" s="225">
        <f>PI!AI228</f>
        <v>7313.2000000000007</v>
      </c>
      <c r="AG40" s="225">
        <f>PI!AJ228</f>
        <v>8164.0000000000018</v>
      </c>
      <c r="AH40" s="225">
        <f>PI!AK228</f>
        <v>10604.7</v>
      </c>
      <c r="AI40" s="225">
        <f>PI!AL228</f>
        <v>14422.2</v>
      </c>
      <c r="AJ40" s="225">
        <f>PI!AM228</f>
        <v>18369.099999999999</v>
      </c>
      <c r="AK40" s="225">
        <f>PI!AN228</f>
        <v>21815.199999999997</v>
      </c>
      <c r="AL40" s="225">
        <f>PI!AO228</f>
        <v>25685.599999999999</v>
      </c>
      <c r="AM40" s="225">
        <f>PI!AP228</f>
        <v>30036.1</v>
      </c>
      <c r="AN40" s="225">
        <f>PI!AQ228</f>
        <v>35842.799999999996</v>
      </c>
      <c r="AO40" s="225">
        <f>PI!AR228</f>
        <v>0</v>
      </c>
      <c r="AP40" s="532">
        <f>PI!AS228</f>
        <v>0</v>
      </c>
      <c r="AS40" s="51"/>
      <c r="AT40" s="52" t="s">
        <v>428</v>
      </c>
      <c r="AU40" s="364" t="s">
        <v>276</v>
      </c>
      <c r="AV40" s="53" t="s">
        <v>429</v>
      </c>
      <c r="AW40" s="61" t="s">
        <v>430</v>
      </c>
      <c r="AX40" s="53"/>
      <c r="AY40" s="89">
        <f t="shared" si="3"/>
        <v>110</v>
      </c>
      <c r="AZ40" s="89">
        <f t="shared" si="4"/>
        <v>0</v>
      </c>
      <c r="BA40" s="95">
        <f>IFERROR(IF(AE40/I40*100&gt;110,110,AE40/I40*100),100)</f>
        <v>110</v>
      </c>
      <c r="BB40" s="95">
        <f t="shared" si="45"/>
        <v>110</v>
      </c>
      <c r="BC40" s="95">
        <f t="shared" si="45"/>
        <v>110</v>
      </c>
      <c r="BD40" s="95">
        <f t="shared" si="45"/>
        <v>110</v>
      </c>
      <c r="BE40" s="95">
        <f t="shared" si="45"/>
        <v>110</v>
      </c>
      <c r="BF40" s="95">
        <f t="shared" si="45"/>
        <v>110</v>
      </c>
      <c r="BG40" s="95">
        <f t="shared" si="45"/>
        <v>110</v>
      </c>
      <c r="BH40" s="95">
        <f t="shared" si="45"/>
        <v>110</v>
      </c>
      <c r="BI40" s="95">
        <f t="shared" si="45"/>
        <v>110</v>
      </c>
      <c r="BJ40" s="95">
        <f t="shared" si="45"/>
        <v>110</v>
      </c>
      <c r="BK40" s="95">
        <f t="shared" si="45"/>
        <v>0</v>
      </c>
      <c r="BL40" s="95">
        <f t="shared" si="45"/>
        <v>0</v>
      </c>
      <c r="BO40" s="51"/>
      <c r="BP40" s="52" t="s">
        <v>428</v>
      </c>
      <c r="BQ40" s="364" t="s">
        <v>276</v>
      </c>
      <c r="BR40" s="53" t="s">
        <v>429</v>
      </c>
      <c r="BS40" s="61" t="s">
        <v>430</v>
      </c>
      <c r="BT40" s="53">
        <f>BT$38/2</f>
        <v>2</v>
      </c>
      <c r="BU40" s="89">
        <f t="shared" si="46"/>
        <v>2.2000000000000002</v>
      </c>
      <c r="BV40" s="89">
        <f t="shared" si="47"/>
        <v>0</v>
      </c>
      <c r="BW40" s="111" cm="1">
        <f t="array" ref="BW40:CH40">BT40*BA40:BL40/100</f>
        <v>2.2000000000000002</v>
      </c>
      <c r="BX40" s="95">
        <v>2.2000000000000002</v>
      </c>
      <c r="BY40" s="95">
        <v>2.2000000000000002</v>
      </c>
      <c r="BZ40" s="95">
        <v>2.2000000000000002</v>
      </c>
      <c r="CA40" s="95">
        <v>2.2000000000000002</v>
      </c>
      <c r="CB40" s="95">
        <v>2.2000000000000002</v>
      </c>
      <c r="CC40" s="95">
        <v>2.2000000000000002</v>
      </c>
      <c r="CD40" s="95">
        <v>2.2000000000000002</v>
      </c>
      <c r="CE40" s="95">
        <v>2.2000000000000002</v>
      </c>
      <c r="CF40" s="95">
        <v>2.2000000000000002</v>
      </c>
      <c r="CG40" s="95">
        <v>0</v>
      </c>
      <c r="CH40" s="95">
        <v>0</v>
      </c>
      <c r="CI40"/>
      <c r="CJ40"/>
      <c r="CK40"/>
      <c r="CL40"/>
      <c r="CM40"/>
      <c r="CN40"/>
      <c r="CO40"/>
    </row>
    <row r="41" spans="1:93" ht="15.6" customHeight="1">
      <c r="A41" s="251">
        <v>10</v>
      </c>
      <c r="B41" s="266" t="s">
        <v>320</v>
      </c>
      <c r="C41" s="373"/>
      <c r="D41" s="76"/>
      <c r="E41" s="136"/>
      <c r="F41" s="78">
        <v>8</v>
      </c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108"/>
      <c r="U41" s="36"/>
      <c r="V41" s="36"/>
      <c r="W41" s="251">
        <v>10</v>
      </c>
      <c r="X41" s="267" t="s">
        <v>320</v>
      </c>
      <c r="Y41" s="364"/>
      <c r="Z41" s="76"/>
      <c r="AA41" s="136"/>
      <c r="AB41" s="78">
        <v>8</v>
      </c>
      <c r="AC41" s="89"/>
      <c r="AD41" s="89"/>
      <c r="AE41" s="225"/>
      <c r="AF41" s="225"/>
      <c r="AG41" s="225"/>
      <c r="AH41" s="225"/>
      <c r="AI41" s="225"/>
      <c r="AJ41" s="225"/>
      <c r="AK41" s="225"/>
      <c r="AL41" s="225"/>
      <c r="AM41" s="225"/>
      <c r="AN41" s="225"/>
      <c r="AO41" s="225"/>
      <c r="AP41" s="532"/>
      <c r="AS41" s="51">
        <v>10</v>
      </c>
      <c r="AT41" s="267" t="s">
        <v>320</v>
      </c>
      <c r="AU41" s="364"/>
      <c r="AV41" s="53"/>
      <c r="AW41" s="61"/>
      <c r="AX41" s="53">
        <v>8</v>
      </c>
      <c r="AY41" s="89"/>
      <c r="AZ41" s="89"/>
      <c r="BA41" s="95"/>
      <c r="BB41" s="95"/>
      <c r="BC41" s="95"/>
      <c r="BD41" s="95"/>
      <c r="BE41" s="95"/>
      <c r="BF41" s="95"/>
      <c r="BG41" s="95"/>
      <c r="BH41" s="95"/>
      <c r="BI41" s="95"/>
      <c r="BJ41" s="95"/>
      <c r="BK41" s="95"/>
      <c r="BL41" s="95"/>
      <c r="BO41" s="51">
        <v>10</v>
      </c>
      <c r="BP41" s="267" t="s">
        <v>320</v>
      </c>
      <c r="BQ41" s="364"/>
      <c r="BR41" s="53"/>
      <c r="BS41" s="61"/>
      <c r="BT41" s="513">
        <v>8</v>
      </c>
      <c r="BU41" s="89"/>
      <c r="BV41" s="89"/>
      <c r="BW41" s="95"/>
      <c r="BX41" s="95"/>
      <c r="BY41" s="95"/>
      <c r="BZ41" s="95"/>
      <c r="CA41" s="95"/>
      <c r="CB41" s="95"/>
      <c r="CC41" s="95"/>
      <c r="CD41" s="95"/>
      <c r="CE41" s="95"/>
      <c r="CF41" s="95"/>
      <c r="CG41" s="95"/>
      <c r="CH41" s="95"/>
      <c r="CI41"/>
      <c r="CJ41"/>
      <c r="CK41"/>
      <c r="CL41"/>
      <c r="CM41"/>
      <c r="CN41"/>
      <c r="CO41"/>
    </row>
    <row r="42" spans="1:93" ht="15.6" customHeight="1">
      <c r="A42" s="250"/>
      <c r="B42" s="153" t="s">
        <v>321</v>
      </c>
      <c r="C42" s="373" t="s">
        <v>276</v>
      </c>
      <c r="D42" s="76" t="s">
        <v>133</v>
      </c>
      <c r="E42" s="136" t="s">
        <v>431</v>
      </c>
      <c r="F42" s="78"/>
      <c r="G42" s="92">
        <f>N42</f>
        <v>743</v>
      </c>
      <c r="H42" s="92">
        <f>T42</f>
        <v>743</v>
      </c>
      <c r="I42" s="92">
        <f>PI!D238</f>
        <v>743</v>
      </c>
      <c r="J42" s="92">
        <f>PI!E238</f>
        <v>743</v>
      </c>
      <c r="K42" s="92">
        <f>PI!F238</f>
        <v>743</v>
      </c>
      <c r="L42" s="92">
        <f>PI!G238</f>
        <v>743</v>
      </c>
      <c r="M42" s="92">
        <f>PI!H238</f>
        <v>743</v>
      </c>
      <c r="N42" s="92">
        <f>PI!I238</f>
        <v>743</v>
      </c>
      <c r="O42" s="92">
        <f>PI!J238</f>
        <v>743</v>
      </c>
      <c r="P42" s="92">
        <f>PI!K238</f>
        <v>743</v>
      </c>
      <c r="Q42" s="92">
        <f>PI!L238</f>
        <v>743</v>
      </c>
      <c r="R42" s="92">
        <f>PI!M238</f>
        <v>743</v>
      </c>
      <c r="S42" s="92">
        <f>PI!N238</f>
        <v>743</v>
      </c>
      <c r="T42" s="108">
        <f>PI!O238</f>
        <v>743</v>
      </c>
      <c r="U42" s="36"/>
      <c r="V42" s="36"/>
      <c r="W42" s="250"/>
      <c r="X42" s="52" t="s">
        <v>321</v>
      </c>
      <c r="Y42" s="364">
        <v>0</v>
      </c>
      <c r="Z42" s="76" t="s">
        <v>133</v>
      </c>
      <c r="AA42" s="136" t="s">
        <v>431</v>
      </c>
      <c r="AB42" s="78"/>
      <c r="AC42" s="89">
        <f t="shared" si="1"/>
        <v>1552.1666666666667</v>
      </c>
      <c r="AD42" s="89">
        <f t="shared" ref="AD42:AD44" si="48">AP42</f>
        <v>1255.5</v>
      </c>
      <c r="AE42" s="225">
        <f>PI!AH238</f>
        <v>2044</v>
      </c>
      <c r="AF42" s="225">
        <f>PI!AI238</f>
        <v>1820</v>
      </c>
      <c r="AG42" s="225">
        <f>PI!AJ238</f>
        <v>2257</v>
      </c>
      <c r="AH42" s="225">
        <f>PI!AK238</f>
        <v>1771</v>
      </c>
      <c r="AI42" s="225">
        <f>PI!AL238</f>
        <v>1611.6</v>
      </c>
      <c r="AJ42" s="225">
        <f>PI!AM238</f>
        <v>1552.1666666666667</v>
      </c>
      <c r="AK42" s="225">
        <f>PI!AN238</f>
        <v>1439.4285714285713</v>
      </c>
      <c r="AL42" s="225">
        <f>PI!AO238</f>
        <v>1347.125</v>
      </c>
      <c r="AM42" s="225">
        <f>PI!AP238</f>
        <v>1302.3333333333333</v>
      </c>
      <c r="AN42" s="225">
        <f>PI!AQ238</f>
        <v>1255.5</v>
      </c>
      <c r="AO42" s="225">
        <f>PI!AR238</f>
        <v>1255.5</v>
      </c>
      <c r="AP42" s="532">
        <f>PI!AS238</f>
        <v>1255.5</v>
      </c>
      <c r="AS42" s="51"/>
      <c r="AT42" s="52" t="s">
        <v>321</v>
      </c>
      <c r="AU42" s="364" t="s">
        <v>276</v>
      </c>
      <c r="AV42" s="53" t="s">
        <v>133</v>
      </c>
      <c r="AW42" s="61" t="s">
        <v>431</v>
      </c>
      <c r="AX42" s="53"/>
      <c r="AY42" s="89">
        <f t="shared" si="3"/>
        <v>110</v>
      </c>
      <c r="AZ42" s="89">
        <f t="shared" si="4"/>
        <v>110</v>
      </c>
      <c r="BA42" s="95">
        <f>IFERROR(IF(AE42/I42*100&gt;110,110,AE42/I42*100),100)</f>
        <v>110</v>
      </c>
      <c r="BB42" s="95">
        <f t="shared" ref="BB42:BL44" si="49">IFERROR(IF(AF42/J42*100&gt;110,110,AF42/J42*100),100)</f>
        <v>110</v>
      </c>
      <c r="BC42" s="95">
        <f t="shared" si="49"/>
        <v>110</v>
      </c>
      <c r="BD42" s="95">
        <f t="shared" si="49"/>
        <v>110</v>
      </c>
      <c r="BE42" s="95">
        <f t="shared" si="49"/>
        <v>110</v>
      </c>
      <c r="BF42" s="95">
        <f t="shared" si="49"/>
        <v>110</v>
      </c>
      <c r="BG42" s="95">
        <f t="shared" si="49"/>
        <v>110</v>
      </c>
      <c r="BH42" s="95">
        <f t="shared" si="49"/>
        <v>110</v>
      </c>
      <c r="BI42" s="95">
        <f t="shared" si="49"/>
        <v>110</v>
      </c>
      <c r="BJ42" s="95">
        <f t="shared" si="49"/>
        <v>110</v>
      </c>
      <c r="BK42" s="95">
        <f t="shared" si="49"/>
        <v>110</v>
      </c>
      <c r="BL42" s="95">
        <f t="shared" si="49"/>
        <v>110</v>
      </c>
      <c r="BO42" s="51"/>
      <c r="BP42" s="52" t="s">
        <v>321</v>
      </c>
      <c r="BQ42" s="364" t="s">
        <v>276</v>
      </c>
      <c r="BR42" s="53" t="s">
        <v>133</v>
      </c>
      <c r="BS42" s="61" t="s">
        <v>431</v>
      </c>
      <c r="BT42" s="53">
        <f>BT$41/2</f>
        <v>4</v>
      </c>
      <c r="BU42" s="89">
        <f t="shared" ref="BU42:BU44" si="50">CB42</f>
        <v>4.4000000000000004</v>
      </c>
      <c r="BV42" s="89">
        <f t="shared" ref="BV42:BV44" si="51">CH42</f>
        <v>4.4000000000000004</v>
      </c>
      <c r="BW42" s="111" cm="1">
        <f t="array" ref="BW42:CH42">BT42*BA42:BL42/100</f>
        <v>4.4000000000000004</v>
      </c>
      <c r="BX42" s="95">
        <v>4.4000000000000004</v>
      </c>
      <c r="BY42" s="95">
        <v>4.4000000000000004</v>
      </c>
      <c r="BZ42" s="95">
        <v>4.4000000000000004</v>
      </c>
      <c r="CA42" s="95">
        <v>4.4000000000000004</v>
      </c>
      <c r="CB42" s="95">
        <v>4.4000000000000004</v>
      </c>
      <c r="CC42" s="95">
        <v>4.4000000000000004</v>
      </c>
      <c r="CD42" s="95">
        <v>4.4000000000000004</v>
      </c>
      <c r="CE42" s="95">
        <v>4.4000000000000004</v>
      </c>
      <c r="CF42" s="95">
        <v>4.4000000000000004</v>
      </c>
      <c r="CG42" s="95">
        <v>4.4000000000000004</v>
      </c>
      <c r="CH42" s="95">
        <v>4.4000000000000004</v>
      </c>
      <c r="CI42"/>
      <c r="CJ42"/>
      <c r="CK42"/>
      <c r="CL42"/>
      <c r="CM42"/>
      <c r="CN42"/>
      <c r="CO42"/>
    </row>
    <row r="43" spans="1:93" ht="15.6" customHeight="1">
      <c r="A43" s="251"/>
      <c r="B43" s="153" t="s">
        <v>323</v>
      </c>
      <c r="C43" s="373" t="s">
        <v>278</v>
      </c>
      <c r="D43" s="76" t="s">
        <v>133</v>
      </c>
      <c r="E43" s="136" t="s">
        <v>432</v>
      </c>
      <c r="F43" s="78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108"/>
      <c r="U43" s="36"/>
      <c r="V43" s="36"/>
      <c r="W43" s="251"/>
      <c r="X43" s="52" t="s">
        <v>323</v>
      </c>
      <c r="Y43" s="364">
        <v>0</v>
      </c>
      <c r="Z43" s="76" t="s">
        <v>133</v>
      </c>
      <c r="AA43" s="136" t="s">
        <v>432</v>
      </c>
      <c r="AB43" s="78"/>
      <c r="AC43" s="89">
        <f t="shared" si="1"/>
        <v>0</v>
      </c>
      <c r="AD43" s="89">
        <f t="shared" si="48"/>
        <v>0</v>
      </c>
      <c r="AE43" s="225"/>
      <c r="AF43" s="225"/>
      <c r="AG43" s="225"/>
      <c r="AH43" s="225"/>
      <c r="AI43" s="225"/>
      <c r="AJ43" s="225"/>
      <c r="AK43" s="225"/>
      <c r="AL43" s="225"/>
      <c r="AM43" s="225"/>
      <c r="AN43" s="225"/>
      <c r="AO43" s="225"/>
      <c r="AP43" s="532"/>
      <c r="AS43" s="51"/>
      <c r="AT43" s="52" t="s">
        <v>323</v>
      </c>
      <c r="AU43" s="364" t="s">
        <v>278</v>
      </c>
      <c r="AV43" s="53" t="s">
        <v>133</v>
      </c>
      <c r="AW43" s="61" t="s">
        <v>432</v>
      </c>
      <c r="AX43" s="53"/>
      <c r="AY43" s="89">
        <f t="shared" si="3"/>
        <v>100</v>
      </c>
      <c r="AZ43" s="89">
        <f t="shared" si="4"/>
        <v>100</v>
      </c>
      <c r="BA43" s="95">
        <f>IFERROR(IF(AE43/I43*100&gt;110,110,AE43/I43*100),100)</f>
        <v>100</v>
      </c>
      <c r="BB43" s="95">
        <f t="shared" si="49"/>
        <v>100</v>
      </c>
      <c r="BC43" s="95">
        <f t="shared" si="49"/>
        <v>100</v>
      </c>
      <c r="BD43" s="95">
        <f t="shared" si="49"/>
        <v>100</v>
      </c>
      <c r="BE43" s="95">
        <f t="shared" si="49"/>
        <v>100</v>
      </c>
      <c r="BF43" s="95">
        <f t="shared" si="49"/>
        <v>100</v>
      </c>
      <c r="BG43" s="95">
        <f t="shared" si="49"/>
        <v>100</v>
      </c>
      <c r="BH43" s="95">
        <f t="shared" si="49"/>
        <v>100</v>
      </c>
      <c r="BI43" s="95">
        <f t="shared" si="49"/>
        <v>100</v>
      </c>
      <c r="BJ43" s="95">
        <f t="shared" si="49"/>
        <v>100</v>
      </c>
      <c r="BK43" s="95">
        <f t="shared" si="49"/>
        <v>100</v>
      </c>
      <c r="BL43" s="95">
        <f t="shared" si="49"/>
        <v>100</v>
      </c>
      <c r="BO43" s="51"/>
      <c r="BP43" s="52" t="s">
        <v>323</v>
      </c>
      <c r="BQ43" s="364" t="s">
        <v>278</v>
      </c>
      <c r="BR43" s="53" t="s">
        <v>133</v>
      </c>
      <c r="BS43" s="61" t="s">
        <v>432</v>
      </c>
      <c r="BT43" s="53">
        <f>BT$41/2</f>
        <v>4</v>
      </c>
      <c r="BU43" s="89">
        <f t="shared" si="50"/>
        <v>4</v>
      </c>
      <c r="BV43" s="89">
        <f t="shared" si="51"/>
        <v>4</v>
      </c>
      <c r="BW43" s="111" cm="1">
        <f t="array" ref="BW43:CH43">BT43*BA43:BL43/100</f>
        <v>4</v>
      </c>
      <c r="BX43" s="95">
        <v>4</v>
      </c>
      <c r="BY43" s="95">
        <v>4</v>
      </c>
      <c r="BZ43" s="95">
        <v>4</v>
      </c>
      <c r="CA43" s="95">
        <v>4</v>
      </c>
      <c r="CB43" s="95">
        <v>4</v>
      </c>
      <c r="CC43" s="95">
        <v>4</v>
      </c>
      <c r="CD43" s="95">
        <v>4</v>
      </c>
      <c r="CE43" s="95">
        <v>4</v>
      </c>
      <c r="CF43" s="95">
        <v>4</v>
      </c>
      <c r="CG43" s="95">
        <v>4</v>
      </c>
      <c r="CH43" s="95">
        <v>4</v>
      </c>
      <c r="CI43"/>
      <c r="CJ43"/>
      <c r="CK43"/>
      <c r="CL43"/>
      <c r="CM43"/>
      <c r="CN43"/>
      <c r="CO43"/>
    </row>
    <row r="44" spans="1:93" ht="15.6" customHeight="1">
      <c r="A44" s="251">
        <v>11</v>
      </c>
      <c r="B44" s="266" t="s">
        <v>433</v>
      </c>
      <c r="C44" s="373" t="s">
        <v>276</v>
      </c>
      <c r="D44" s="76" t="s">
        <v>149</v>
      </c>
      <c r="E44" s="136" t="s">
        <v>434</v>
      </c>
      <c r="F44" s="78">
        <v>3</v>
      </c>
      <c r="G44" s="92">
        <f>N44</f>
        <v>100</v>
      </c>
      <c r="H44" s="92">
        <f>T44</f>
        <v>100</v>
      </c>
      <c r="I44" s="92">
        <f>PI!D258</f>
        <v>100</v>
      </c>
      <c r="J44" s="92">
        <f>PI!E258</f>
        <v>100</v>
      </c>
      <c r="K44" s="92">
        <f>PI!F258</f>
        <v>100</v>
      </c>
      <c r="L44" s="92">
        <f>PI!G258</f>
        <v>100</v>
      </c>
      <c r="M44" s="92">
        <f>PI!H258</f>
        <v>100</v>
      </c>
      <c r="N44" s="92">
        <f>PI!I258</f>
        <v>100</v>
      </c>
      <c r="O44" s="92">
        <f>PI!J258</f>
        <v>100</v>
      </c>
      <c r="P44" s="92">
        <f>PI!K258</f>
        <v>100</v>
      </c>
      <c r="Q44" s="92">
        <f>PI!L258</f>
        <v>100</v>
      </c>
      <c r="R44" s="92">
        <f>PI!M258</f>
        <v>100</v>
      </c>
      <c r="S44" s="92">
        <f>PI!N258</f>
        <v>100</v>
      </c>
      <c r="T44" s="108">
        <f>PI!O258</f>
        <v>100</v>
      </c>
      <c r="U44" s="36"/>
      <c r="V44" s="36"/>
      <c r="W44" s="251">
        <v>11</v>
      </c>
      <c r="X44" s="267" t="s">
        <v>433</v>
      </c>
      <c r="Y44" s="364">
        <v>0</v>
      </c>
      <c r="Z44" s="76" t="s">
        <v>149</v>
      </c>
      <c r="AA44" s="136" t="s">
        <v>434</v>
      </c>
      <c r="AB44" s="78">
        <v>3</v>
      </c>
      <c r="AC44" s="89">
        <f t="shared" si="1"/>
        <v>100</v>
      </c>
      <c r="AD44" s="89">
        <f t="shared" si="48"/>
        <v>100</v>
      </c>
      <c r="AE44" s="225">
        <f>PI!AH258</f>
        <v>100</v>
      </c>
      <c r="AF44" s="225">
        <f>PI!AI258</f>
        <v>100</v>
      </c>
      <c r="AG44" s="225">
        <f>PI!AJ258</f>
        <v>100</v>
      </c>
      <c r="AH44" s="225">
        <f>PI!AK258</f>
        <v>100</v>
      </c>
      <c r="AI44" s="225">
        <f>PI!AL258</f>
        <v>100</v>
      </c>
      <c r="AJ44" s="225">
        <f>PI!AM258</f>
        <v>100</v>
      </c>
      <c r="AK44" s="225">
        <f>PI!AN258</f>
        <v>100</v>
      </c>
      <c r="AL44" s="225">
        <f>PI!AO258</f>
        <v>100</v>
      </c>
      <c r="AM44" s="225">
        <f>PI!AP258</f>
        <v>100</v>
      </c>
      <c r="AN44" s="225">
        <f>PI!AQ258</f>
        <v>100</v>
      </c>
      <c r="AO44" s="225">
        <f>PI!AR258</f>
        <v>100</v>
      </c>
      <c r="AP44" s="532">
        <f>PI!AS258</f>
        <v>100</v>
      </c>
      <c r="AS44" s="51">
        <v>11</v>
      </c>
      <c r="AT44" s="267" t="s">
        <v>433</v>
      </c>
      <c r="AU44" s="364" t="s">
        <v>276</v>
      </c>
      <c r="AV44" s="53" t="s">
        <v>149</v>
      </c>
      <c r="AW44" s="61" t="s">
        <v>434</v>
      </c>
      <c r="AX44" s="53">
        <v>3</v>
      </c>
      <c r="AY44" s="89">
        <f t="shared" si="3"/>
        <v>100</v>
      </c>
      <c r="AZ44" s="89">
        <f t="shared" si="4"/>
        <v>100</v>
      </c>
      <c r="BA44" s="95">
        <f>IFERROR(IF(AE44/I44*100&gt;110,110,AE44/I44*100),100)</f>
        <v>100</v>
      </c>
      <c r="BB44" s="95">
        <f t="shared" si="49"/>
        <v>100</v>
      </c>
      <c r="BC44" s="95">
        <f t="shared" si="49"/>
        <v>100</v>
      </c>
      <c r="BD44" s="95">
        <f t="shared" si="49"/>
        <v>100</v>
      </c>
      <c r="BE44" s="95">
        <f t="shared" si="49"/>
        <v>100</v>
      </c>
      <c r="BF44" s="95">
        <f t="shared" si="49"/>
        <v>100</v>
      </c>
      <c r="BG44" s="95">
        <f t="shared" si="49"/>
        <v>100</v>
      </c>
      <c r="BH44" s="95">
        <f t="shared" si="49"/>
        <v>100</v>
      </c>
      <c r="BI44" s="95">
        <f t="shared" si="49"/>
        <v>100</v>
      </c>
      <c r="BJ44" s="95">
        <f t="shared" si="49"/>
        <v>100</v>
      </c>
      <c r="BK44" s="95">
        <f t="shared" si="49"/>
        <v>100</v>
      </c>
      <c r="BL44" s="95">
        <f t="shared" si="49"/>
        <v>100</v>
      </c>
      <c r="BO44" s="51">
        <v>11</v>
      </c>
      <c r="BP44" s="267" t="s">
        <v>433</v>
      </c>
      <c r="BQ44" s="364" t="s">
        <v>276</v>
      </c>
      <c r="BR44" s="53" t="s">
        <v>149</v>
      </c>
      <c r="BS44" s="61" t="s">
        <v>434</v>
      </c>
      <c r="BT44" s="513">
        <v>3</v>
      </c>
      <c r="BU44" s="89">
        <f t="shared" si="50"/>
        <v>3</v>
      </c>
      <c r="BV44" s="89">
        <f t="shared" si="51"/>
        <v>3</v>
      </c>
      <c r="BW44" s="111" cm="1">
        <f t="array" ref="BW44:CH44">BT44*BA44:BL44/100</f>
        <v>3</v>
      </c>
      <c r="BX44" s="95">
        <v>3</v>
      </c>
      <c r="BY44" s="95">
        <v>3</v>
      </c>
      <c r="BZ44" s="95">
        <v>3</v>
      </c>
      <c r="CA44" s="95">
        <v>3</v>
      </c>
      <c r="CB44" s="95">
        <v>3</v>
      </c>
      <c r="CC44" s="95">
        <v>3</v>
      </c>
      <c r="CD44" s="95">
        <v>3</v>
      </c>
      <c r="CE44" s="95">
        <v>3</v>
      </c>
      <c r="CF44" s="95">
        <v>3</v>
      </c>
      <c r="CG44" s="95">
        <v>3</v>
      </c>
      <c r="CH44" s="95">
        <v>3</v>
      </c>
      <c r="CI44"/>
      <c r="CJ44"/>
      <c r="CK44"/>
      <c r="CL44"/>
      <c r="CM44"/>
      <c r="CN44"/>
      <c r="CO44"/>
    </row>
    <row r="45" spans="1:93" ht="15.6" customHeight="1">
      <c r="A45" s="251">
        <v>12</v>
      </c>
      <c r="B45" s="266" t="s">
        <v>324</v>
      </c>
      <c r="C45" s="373"/>
      <c r="D45" s="76" t="s">
        <v>149</v>
      </c>
      <c r="E45" s="136"/>
      <c r="F45" s="78">
        <v>9</v>
      </c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108"/>
      <c r="U45" s="36"/>
      <c r="V45" s="36"/>
      <c r="W45" s="251">
        <v>12</v>
      </c>
      <c r="X45" s="267" t="s">
        <v>324</v>
      </c>
      <c r="Y45" s="364"/>
      <c r="Z45" s="76" t="s">
        <v>149</v>
      </c>
      <c r="AA45" s="136"/>
      <c r="AB45" s="78">
        <v>9</v>
      </c>
      <c r="AC45" s="89"/>
      <c r="AD45" s="89"/>
      <c r="AE45" s="225"/>
      <c r="AF45" s="225"/>
      <c r="AG45" s="225"/>
      <c r="AH45" s="225"/>
      <c r="AI45" s="225"/>
      <c r="AJ45" s="225"/>
      <c r="AK45" s="225"/>
      <c r="AL45" s="225"/>
      <c r="AM45" s="225"/>
      <c r="AN45" s="225"/>
      <c r="AO45" s="225"/>
      <c r="AP45" s="532"/>
      <c r="AS45" s="51">
        <v>12</v>
      </c>
      <c r="AT45" s="267" t="s">
        <v>324</v>
      </c>
      <c r="AU45" s="364"/>
      <c r="AV45" s="53"/>
      <c r="AW45" s="61"/>
      <c r="AX45" s="53">
        <v>9</v>
      </c>
      <c r="AY45" s="89"/>
      <c r="AZ45" s="89"/>
      <c r="BA45" s="95"/>
      <c r="BB45" s="95"/>
      <c r="BC45" s="95"/>
      <c r="BD45" s="95"/>
      <c r="BE45" s="95"/>
      <c r="BF45" s="95"/>
      <c r="BG45" s="95"/>
      <c r="BH45" s="95"/>
      <c r="BI45" s="95"/>
      <c r="BJ45" s="95"/>
      <c r="BK45" s="95"/>
      <c r="BL45" s="95"/>
      <c r="BO45" s="51">
        <v>12</v>
      </c>
      <c r="BP45" s="267" t="s">
        <v>324</v>
      </c>
      <c r="BQ45" s="364"/>
      <c r="BR45" s="53"/>
      <c r="BS45" s="61"/>
      <c r="BT45" s="513">
        <v>9</v>
      </c>
      <c r="BU45" s="89"/>
      <c r="BV45" s="89"/>
      <c r="BW45" s="95"/>
      <c r="BX45" s="95"/>
      <c r="BY45" s="95"/>
      <c r="BZ45" s="95"/>
      <c r="CA45" s="95"/>
      <c r="CB45" s="95"/>
      <c r="CC45" s="95"/>
      <c r="CD45" s="95"/>
      <c r="CE45" s="95"/>
      <c r="CF45" s="95"/>
      <c r="CG45" s="95"/>
      <c r="CH45" s="95"/>
      <c r="CI45"/>
      <c r="CJ45"/>
      <c r="CK45"/>
      <c r="CL45"/>
      <c r="CM45"/>
      <c r="CN45"/>
      <c r="CO45"/>
    </row>
    <row r="46" spans="1:93" ht="15.6" customHeight="1">
      <c r="A46" s="251"/>
      <c r="B46" s="153" t="s">
        <v>435</v>
      </c>
      <c r="C46" s="373" t="s">
        <v>278</v>
      </c>
      <c r="D46" s="76" t="s">
        <v>326</v>
      </c>
      <c r="E46" s="136" t="s">
        <v>436</v>
      </c>
      <c r="F46" s="78"/>
      <c r="G46" s="92">
        <f t="shared" ref="G46:G47" si="52">N46</f>
        <v>289</v>
      </c>
      <c r="H46" s="92">
        <f t="shared" ref="H46:H47" si="53">T46</f>
        <v>289</v>
      </c>
      <c r="I46" s="92">
        <f>PI!D277</f>
        <v>289</v>
      </c>
      <c r="J46" s="92">
        <f>PI!E277</f>
        <v>289</v>
      </c>
      <c r="K46" s="92">
        <f>PI!F277</f>
        <v>289</v>
      </c>
      <c r="L46" s="92">
        <f>PI!G277</f>
        <v>289</v>
      </c>
      <c r="M46" s="92">
        <f>PI!H277</f>
        <v>289</v>
      </c>
      <c r="N46" s="92">
        <f>PI!I277</f>
        <v>289</v>
      </c>
      <c r="O46" s="92">
        <f>PI!J277</f>
        <v>289</v>
      </c>
      <c r="P46" s="92">
        <f>PI!K277</f>
        <v>289</v>
      </c>
      <c r="Q46" s="92">
        <f>PI!L277</f>
        <v>289</v>
      </c>
      <c r="R46" s="92">
        <f>PI!M277</f>
        <v>289</v>
      </c>
      <c r="S46" s="92">
        <f>PI!N277</f>
        <v>289</v>
      </c>
      <c r="T46" s="108">
        <f>PI!O277</f>
        <v>289</v>
      </c>
      <c r="U46" s="36"/>
      <c r="V46" s="36"/>
      <c r="W46" s="251"/>
      <c r="X46" s="52" t="s">
        <v>435</v>
      </c>
      <c r="Y46" s="364">
        <v>0</v>
      </c>
      <c r="Z46" s="76" t="s">
        <v>326</v>
      </c>
      <c r="AA46" s="136" t="s">
        <v>436</v>
      </c>
      <c r="AB46" s="78"/>
      <c r="AC46" s="89">
        <f t="shared" si="1"/>
        <v>381.68486200000001</v>
      </c>
      <c r="AD46" s="89">
        <f t="shared" ref="AD46:AD48" si="54">AP46</f>
        <v>303.05131788888889</v>
      </c>
      <c r="AE46" s="225">
        <f>PI!AH276</f>
        <v>336.80340699999999</v>
      </c>
      <c r="AF46" s="225">
        <f>PI!AI276</f>
        <v>358.99369799999999</v>
      </c>
      <c r="AG46" s="225">
        <f>PI!AJ276</f>
        <v>383.11416499999996</v>
      </c>
      <c r="AH46" s="225">
        <f>PI!AK276</f>
        <v>389.12921399999993</v>
      </c>
      <c r="AI46" s="225">
        <f>PI!AL276</f>
        <v>390.48137859999997</v>
      </c>
      <c r="AJ46" s="225">
        <f>PI!AM276</f>
        <v>381.68486200000001</v>
      </c>
      <c r="AK46" s="225">
        <f>PI!AN276</f>
        <v>374.00701100000003</v>
      </c>
      <c r="AL46" s="225">
        <f>PI!AO276</f>
        <v>333.715638625</v>
      </c>
      <c r="AM46" s="225">
        <f>PI!AP276</f>
        <v>303.05131788888889</v>
      </c>
      <c r="AN46" s="225">
        <f>PI!AQ276</f>
        <v>303.05131788888889</v>
      </c>
      <c r="AO46" s="225">
        <f>PI!AR276</f>
        <v>303.05131788888889</v>
      </c>
      <c r="AP46" s="532">
        <f>PI!AS276</f>
        <v>303.05131788888889</v>
      </c>
      <c r="AS46" s="51"/>
      <c r="AT46" s="52" t="s">
        <v>435</v>
      </c>
      <c r="AU46" s="364" t="s">
        <v>278</v>
      </c>
      <c r="AV46" s="53" t="s">
        <v>326</v>
      </c>
      <c r="AW46" s="61" t="s">
        <v>436</v>
      </c>
      <c r="AX46" s="53"/>
      <c r="AY46" s="89">
        <f t="shared" si="3"/>
        <v>67.929113494809684</v>
      </c>
      <c r="AZ46" s="89">
        <f t="shared" si="4"/>
        <v>95.137952287581712</v>
      </c>
      <c r="BA46" s="95">
        <f>IFERROR(IF((2-(AE46/I46))*100&gt;110,110,(2-(AE46/I46))*100),100)</f>
        <v>83.459028719723193</v>
      </c>
      <c r="BB46" s="95">
        <f t="shared" ref="BB46:BL46" si="55">IFERROR(IF((2-(AF46/J46))*100&gt;110,110,(2-(AF46/J46))*100),100)</f>
        <v>75.780727335640137</v>
      </c>
      <c r="BC46" s="95">
        <f t="shared" si="55"/>
        <v>67.434544982698981</v>
      </c>
      <c r="BD46" s="95">
        <f t="shared" si="55"/>
        <v>65.353213148788953</v>
      </c>
      <c r="BE46" s="95">
        <f t="shared" si="55"/>
        <v>64.885336124567488</v>
      </c>
      <c r="BF46" s="95">
        <f t="shared" si="55"/>
        <v>67.929113494809684</v>
      </c>
      <c r="BG46" s="95">
        <f t="shared" si="55"/>
        <v>70.585809342560538</v>
      </c>
      <c r="BH46" s="95">
        <f t="shared" si="55"/>
        <v>84.527460683391013</v>
      </c>
      <c r="BI46" s="95">
        <f t="shared" si="55"/>
        <v>95.137952287581712</v>
      </c>
      <c r="BJ46" s="95">
        <f t="shared" si="55"/>
        <v>95.137952287581712</v>
      </c>
      <c r="BK46" s="95">
        <f t="shared" si="55"/>
        <v>95.137952287581712</v>
      </c>
      <c r="BL46" s="95">
        <f t="shared" si="55"/>
        <v>95.137952287581712</v>
      </c>
      <c r="BO46" s="51"/>
      <c r="BP46" s="52" t="s">
        <v>435</v>
      </c>
      <c r="BQ46" s="364" t="s">
        <v>278</v>
      </c>
      <c r="BR46" s="53" t="s">
        <v>326</v>
      </c>
      <c r="BS46" s="61" t="s">
        <v>436</v>
      </c>
      <c r="BT46" s="53">
        <f>BT$45/3</f>
        <v>3</v>
      </c>
      <c r="BU46" s="89">
        <f t="shared" ref="BU46:BU48" si="56">CB46</f>
        <v>2.0378734048442904</v>
      </c>
      <c r="BV46" s="89">
        <f t="shared" ref="BV46:BV48" si="57">CH46</f>
        <v>2.8541385686274516</v>
      </c>
      <c r="BW46" s="111" cm="1">
        <f t="array" ref="BW46:CH46">BT46*BA46:BL46/100</f>
        <v>2.5037708615916956</v>
      </c>
      <c r="BX46" s="95">
        <v>2.273421820069204</v>
      </c>
      <c r="BY46" s="95">
        <v>2.0230363494809693</v>
      </c>
      <c r="BZ46" s="95">
        <v>1.9605963944636686</v>
      </c>
      <c r="CA46" s="95">
        <v>1.9465600837370247</v>
      </c>
      <c r="CB46" s="95">
        <v>2.0378734048442904</v>
      </c>
      <c r="CC46" s="95">
        <v>2.1175742802768163</v>
      </c>
      <c r="CD46" s="95">
        <v>2.5358238205017303</v>
      </c>
      <c r="CE46" s="95">
        <v>2.8541385686274516</v>
      </c>
      <c r="CF46" s="95">
        <v>2.8541385686274516</v>
      </c>
      <c r="CG46" s="95">
        <v>2.8541385686274516</v>
      </c>
      <c r="CH46" s="95">
        <v>2.8541385686274516</v>
      </c>
      <c r="CI46"/>
      <c r="CJ46"/>
      <c r="CK46"/>
      <c r="CL46"/>
      <c r="CM46"/>
      <c r="CN46"/>
      <c r="CO46"/>
    </row>
    <row r="47" spans="1:93" ht="15.6" customHeight="1">
      <c r="A47" s="251"/>
      <c r="B47" s="153" t="s">
        <v>437</v>
      </c>
      <c r="C47" s="373" t="s">
        <v>278</v>
      </c>
      <c r="D47" s="76" t="s">
        <v>326</v>
      </c>
      <c r="E47" s="136" t="s">
        <v>438</v>
      </c>
      <c r="F47" s="78"/>
      <c r="G47" s="92">
        <f t="shared" si="52"/>
        <v>161.27000000000001</v>
      </c>
      <c r="H47" s="92">
        <f t="shared" si="53"/>
        <v>161.27000000000001</v>
      </c>
      <c r="I47" s="92">
        <f>PI!D299</f>
        <v>161.27000000000001</v>
      </c>
      <c r="J47" s="92">
        <f>PI!E299</f>
        <v>161.27000000000001</v>
      </c>
      <c r="K47" s="92">
        <f>PI!F299</f>
        <v>161.27000000000001</v>
      </c>
      <c r="L47" s="92">
        <f>PI!G299</f>
        <v>161.27000000000001</v>
      </c>
      <c r="M47" s="92">
        <f>PI!H299</f>
        <v>161.27000000000001</v>
      </c>
      <c r="N47" s="92">
        <f>PI!I299</f>
        <v>161.27000000000001</v>
      </c>
      <c r="O47" s="92">
        <f>PI!J299</f>
        <v>161.27000000000001</v>
      </c>
      <c r="P47" s="92">
        <f>PI!K299</f>
        <v>161.27000000000001</v>
      </c>
      <c r="Q47" s="92">
        <f>PI!L299</f>
        <v>161.27000000000001</v>
      </c>
      <c r="R47" s="92">
        <f>PI!M299</f>
        <v>161.27000000000001</v>
      </c>
      <c r="S47" s="92">
        <f>PI!N299</f>
        <v>161.27000000000001</v>
      </c>
      <c r="T47" s="108">
        <f>PI!O299</f>
        <v>161.27000000000001</v>
      </c>
      <c r="U47" s="36"/>
      <c r="V47" s="36"/>
      <c r="W47" s="251"/>
      <c r="X47" s="52" t="s">
        <v>437</v>
      </c>
      <c r="Y47" s="364">
        <v>0</v>
      </c>
      <c r="Z47" s="76" t="s">
        <v>326</v>
      </c>
      <c r="AA47" s="136" t="s">
        <v>438</v>
      </c>
      <c r="AB47" s="78"/>
      <c r="AC47" s="89">
        <f t="shared" si="1"/>
        <v>282.74577833333336</v>
      </c>
      <c r="AD47" s="89">
        <f t="shared" si="54"/>
        <v>141.37288916666668</v>
      </c>
      <c r="AE47" s="280">
        <f>PI!AH298</f>
        <v>271.73677099999998</v>
      </c>
      <c r="AF47" s="280">
        <f>PI!AI298</f>
        <v>306.05932250000001</v>
      </c>
      <c r="AG47" s="280">
        <f>PI!AJ298</f>
        <v>294.37288166666667</v>
      </c>
      <c r="AH47" s="280">
        <f>PI!AK298</f>
        <v>305.78675425</v>
      </c>
      <c r="AI47" s="280">
        <f>PI!AL298</f>
        <v>298.83761319999996</v>
      </c>
      <c r="AJ47" s="280">
        <f>PI!AM298</f>
        <v>282.74577833333336</v>
      </c>
      <c r="AK47" s="280">
        <f>PI!AN298</f>
        <v>242.35352428571429</v>
      </c>
      <c r="AL47" s="280">
        <f>PI!AO298</f>
        <v>212.05933375000001</v>
      </c>
      <c r="AM47" s="280">
        <f>PI!AP298</f>
        <v>188.49718555555557</v>
      </c>
      <c r="AN47" s="280">
        <f>PI!AQ298</f>
        <v>169.64746700000001</v>
      </c>
      <c r="AO47" s="280">
        <f>PI!AR298</f>
        <v>154.22497000000001</v>
      </c>
      <c r="AP47" s="534">
        <f>PI!AS298</f>
        <v>141.37288916666668</v>
      </c>
      <c r="AS47" s="51"/>
      <c r="AT47" s="52" t="s">
        <v>437</v>
      </c>
      <c r="AU47" s="364" t="s">
        <v>278</v>
      </c>
      <c r="AV47" s="53" t="s">
        <v>326</v>
      </c>
      <c r="AW47" s="61" t="s">
        <v>438</v>
      </c>
      <c r="AX47" s="53"/>
      <c r="AY47" s="89">
        <f t="shared" si="3"/>
        <v>24.675526549678594</v>
      </c>
      <c r="AZ47" s="89">
        <f t="shared" si="4"/>
        <v>110</v>
      </c>
      <c r="BA47" s="95">
        <f>IF((2-(AE47/I47))*100&gt;110,110,IF((2-(AE47/I47))*100&lt;0,0,(2-(AE47/I47))*100))</f>
        <v>31.501971228374792</v>
      </c>
      <c r="BB47" s="95">
        <f t="shared" ref="BB47:BL47" si="58">IF((2-(AF47/J47))*100&gt;110,110,IF((2-(AF47/J47))*100&lt;0,0,(2-(AF47/J47))*100))</f>
        <v>10.219307682768042</v>
      </c>
      <c r="BC47" s="95">
        <f t="shared" si="58"/>
        <v>17.465814059238149</v>
      </c>
      <c r="BD47" s="95">
        <f t="shared" si="58"/>
        <v>10.388321293482994</v>
      </c>
      <c r="BE47" s="95">
        <f t="shared" si="58"/>
        <v>14.697331679791681</v>
      </c>
      <c r="BF47" s="95">
        <f t="shared" si="58"/>
        <v>24.675526549678594</v>
      </c>
      <c r="BG47" s="95">
        <f t="shared" si="58"/>
        <v>49.72187989972452</v>
      </c>
      <c r="BH47" s="95">
        <f t="shared" si="58"/>
        <v>68.506644912258949</v>
      </c>
      <c r="BI47" s="95">
        <f t="shared" si="58"/>
        <v>83.11701769978572</v>
      </c>
      <c r="BJ47" s="95">
        <f t="shared" si="58"/>
        <v>94.805315929807165</v>
      </c>
      <c r="BK47" s="95">
        <f t="shared" si="58"/>
        <v>104.3684690270974</v>
      </c>
      <c r="BL47" s="95">
        <f t="shared" si="58"/>
        <v>110</v>
      </c>
      <c r="BO47" s="51"/>
      <c r="BP47" s="52" t="s">
        <v>437</v>
      </c>
      <c r="BQ47" s="364" t="s">
        <v>278</v>
      </c>
      <c r="BR47" s="53" t="s">
        <v>326</v>
      </c>
      <c r="BS47" s="61" t="s">
        <v>438</v>
      </c>
      <c r="BT47" s="53">
        <f>BT$45/3</f>
        <v>3</v>
      </c>
      <c r="BU47" s="89">
        <f t="shared" si="56"/>
        <v>0.74026579649035784</v>
      </c>
      <c r="BV47" s="89">
        <f t="shared" si="57"/>
        <v>3.3</v>
      </c>
      <c r="BW47" s="111" cm="1">
        <f t="array" ref="BW47:CH47">BT47*BA47:BL47/100</f>
        <v>0.94505913685124365</v>
      </c>
      <c r="BX47" s="95">
        <v>0.30657923048304125</v>
      </c>
      <c r="BY47" s="95">
        <v>0.52397442177714448</v>
      </c>
      <c r="BZ47" s="95">
        <v>0.31164963880448981</v>
      </c>
      <c r="CA47" s="95">
        <v>0.44091995039375043</v>
      </c>
      <c r="CB47" s="95">
        <v>0.74026579649035784</v>
      </c>
      <c r="CC47" s="95">
        <v>1.4916563969917356</v>
      </c>
      <c r="CD47" s="95">
        <v>2.0551993473677688</v>
      </c>
      <c r="CE47" s="95">
        <v>2.4935105309935715</v>
      </c>
      <c r="CF47" s="95">
        <v>2.8441594778942147</v>
      </c>
      <c r="CG47" s="95">
        <v>3.1310540708129224</v>
      </c>
      <c r="CH47" s="95">
        <v>3.3</v>
      </c>
      <c r="CI47"/>
      <c r="CJ47"/>
      <c r="CK47"/>
      <c r="CL47"/>
      <c r="CM47"/>
      <c r="CN47"/>
      <c r="CO47"/>
    </row>
    <row r="48" spans="1:93" ht="15.6" customHeight="1">
      <c r="A48" s="251"/>
      <c r="B48" s="153" t="s">
        <v>330</v>
      </c>
      <c r="C48" s="373" t="s">
        <v>276</v>
      </c>
      <c r="D48" s="76" t="s">
        <v>326</v>
      </c>
      <c r="E48" s="136" t="s">
        <v>439</v>
      </c>
      <c r="F48" s="78"/>
      <c r="G48" s="92">
        <f>N48</f>
        <v>0</v>
      </c>
      <c r="H48" s="92">
        <f>T48</f>
        <v>0</v>
      </c>
      <c r="I48" s="92">
        <f>PI!D320</f>
        <v>0</v>
      </c>
      <c r="J48" s="92">
        <f>PI!E320</f>
        <v>0</v>
      </c>
      <c r="K48" s="92">
        <f>PI!F320</f>
        <v>0</v>
      </c>
      <c r="L48" s="92">
        <f>PI!G320</f>
        <v>0</v>
      </c>
      <c r="M48" s="92">
        <f>PI!H320</f>
        <v>0</v>
      </c>
      <c r="N48" s="92">
        <f>PI!I320</f>
        <v>0</v>
      </c>
      <c r="O48" s="92">
        <f>PI!J320</f>
        <v>0</v>
      </c>
      <c r="P48" s="92">
        <f>PI!K320</f>
        <v>0</v>
      </c>
      <c r="Q48" s="92">
        <f>PI!L320</f>
        <v>0</v>
      </c>
      <c r="R48" s="92">
        <f>PI!M320</f>
        <v>0</v>
      </c>
      <c r="S48" s="92">
        <f>PI!N320</f>
        <v>0</v>
      </c>
      <c r="T48" s="108">
        <f>PI!O320</f>
        <v>0</v>
      </c>
      <c r="U48" s="36"/>
      <c r="V48" s="36"/>
      <c r="W48" s="251"/>
      <c r="X48" s="52" t="s">
        <v>330</v>
      </c>
      <c r="Y48" s="364">
        <v>0</v>
      </c>
      <c r="Z48" s="76" t="s">
        <v>326</v>
      </c>
      <c r="AA48" s="136" t="s">
        <v>439</v>
      </c>
      <c r="AB48" s="78"/>
      <c r="AC48" s="89">
        <f t="shared" si="1"/>
        <v>0</v>
      </c>
      <c r="AD48" s="89">
        <f t="shared" si="54"/>
        <v>0</v>
      </c>
      <c r="AE48" s="280">
        <f>PI!AH321</f>
        <v>0</v>
      </c>
      <c r="AF48" s="280">
        <f>PI!AI321</f>
        <v>0</v>
      </c>
      <c r="AG48" s="280">
        <f>PI!AJ321</f>
        <v>0</v>
      </c>
      <c r="AH48" s="280">
        <f>PI!AK321</f>
        <v>0</v>
      </c>
      <c r="AI48" s="280">
        <f>PI!AL321</f>
        <v>0</v>
      </c>
      <c r="AJ48" s="280">
        <f>PI!AM321</f>
        <v>0</v>
      </c>
      <c r="AK48" s="280">
        <f>PI!AN321</f>
        <v>0</v>
      </c>
      <c r="AL48" s="280">
        <f>PI!AO321</f>
        <v>0</v>
      </c>
      <c r="AM48" s="280">
        <f>PI!AP321</f>
        <v>0</v>
      </c>
      <c r="AN48" s="280">
        <f>PI!AQ321</f>
        <v>0</v>
      </c>
      <c r="AO48" s="280">
        <f>PI!AR321</f>
        <v>0</v>
      </c>
      <c r="AP48" s="534">
        <f>PI!AS321</f>
        <v>0</v>
      </c>
      <c r="AS48" s="51"/>
      <c r="AT48" s="52" t="s">
        <v>330</v>
      </c>
      <c r="AU48" s="364" t="s">
        <v>276</v>
      </c>
      <c r="AV48" s="53" t="s">
        <v>326</v>
      </c>
      <c r="AW48" s="61" t="s">
        <v>439</v>
      </c>
      <c r="AX48" s="53"/>
      <c r="AY48" s="89">
        <f t="shared" si="3"/>
        <v>100</v>
      </c>
      <c r="AZ48" s="89">
        <f t="shared" si="4"/>
        <v>100</v>
      </c>
      <c r="BA48" s="95">
        <f>IFERROR(IF(AE48/I48*100&gt;110,110,AE48/I48*100),100)</f>
        <v>100</v>
      </c>
      <c r="BB48" s="95">
        <f t="shared" ref="BB48:BL48" si="59">IFERROR(IF(AF48/J48*100&gt;110,110,AF48/J48*100),100)</f>
        <v>100</v>
      </c>
      <c r="BC48" s="95">
        <f t="shared" si="59"/>
        <v>100</v>
      </c>
      <c r="BD48" s="95">
        <f t="shared" si="59"/>
        <v>100</v>
      </c>
      <c r="BE48" s="95">
        <f t="shared" si="59"/>
        <v>100</v>
      </c>
      <c r="BF48" s="95">
        <f t="shared" si="59"/>
        <v>100</v>
      </c>
      <c r="BG48" s="95">
        <f t="shared" si="59"/>
        <v>100</v>
      </c>
      <c r="BH48" s="95">
        <f t="shared" si="59"/>
        <v>100</v>
      </c>
      <c r="BI48" s="95">
        <f t="shared" si="59"/>
        <v>100</v>
      </c>
      <c r="BJ48" s="95">
        <f t="shared" si="59"/>
        <v>100</v>
      </c>
      <c r="BK48" s="95">
        <f t="shared" si="59"/>
        <v>100</v>
      </c>
      <c r="BL48" s="95">
        <f t="shared" si="59"/>
        <v>100</v>
      </c>
      <c r="BO48" s="51"/>
      <c r="BP48" s="52" t="s">
        <v>330</v>
      </c>
      <c r="BQ48" s="364" t="s">
        <v>276</v>
      </c>
      <c r="BR48" s="53" t="s">
        <v>326</v>
      </c>
      <c r="BS48" s="61" t="s">
        <v>439</v>
      </c>
      <c r="BT48" s="53">
        <f>BT$45/3</f>
        <v>3</v>
      </c>
      <c r="BU48" s="89">
        <f t="shared" si="56"/>
        <v>3</v>
      </c>
      <c r="BV48" s="89">
        <f t="shared" si="57"/>
        <v>3</v>
      </c>
      <c r="BW48" s="111" cm="1">
        <f t="array" ref="BW48:CH48">BT48*BA48:BL48/100</f>
        <v>3</v>
      </c>
      <c r="BX48" s="95">
        <v>3</v>
      </c>
      <c r="BY48" s="95">
        <v>3</v>
      </c>
      <c r="BZ48" s="95">
        <v>3</v>
      </c>
      <c r="CA48" s="95">
        <v>3</v>
      </c>
      <c r="CB48" s="95">
        <v>3</v>
      </c>
      <c r="CC48" s="95">
        <v>3</v>
      </c>
      <c r="CD48" s="95">
        <v>3</v>
      </c>
      <c r="CE48" s="95">
        <v>3</v>
      </c>
      <c r="CF48" s="95">
        <v>3</v>
      </c>
      <c r="CG48" s="95">
        <v>3</v>
      </c>
      <c r="CH48" s="95">
        <v>3</v>
      </c>
      <c r="CI48"/>
      <c r="CJ48"/>
      <c r="CK48"/>
      <c r="CL48"/>
      <c r="CM48"/>
      <c r="CN48"/>
      <c r="CO48"/>
    </row>
    <row r="49" spans="1:86" ht="15.6" customHeight="1">
      <c r="A49" s="252">
        <v>13</v>
      </c>
      <c r="B49" s="266" t="s">
        <v>355</v>
      </c>
      <c r="C49" s="373"/>
      <c r="D49" s="76"/>
      <c r="E49" s="136"/>
      <c r="F49" s="78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108"/>
      <c r="U49" s="36"/>
      <c r="V49" s="36"/>
      <c r="W49" s="252">
        <v>13</v>
      </c>
      <c r="X49" s="267" t="s">
        <v>355</v>
      </c>
      <c r="Y49" s="364"/>
      <c r="Z49" s="76"/>
      <c r="AA49" s="136"/>
      <c r="AB49" s="78"/>
      <c r="AC49" s="89"/>
      <c r="AD49" s="89"/>
      <c r="AE49" s="225"/>
      <c r="AF49" s="225"/>
      <c r="AG49" s="225"/>
      <c r="AH49" s="225"/>
      <c r="AI49" s="225"/>
      <c r="AJ49" s="225"/>
      <c r="AK49" s="225"/>
      <c r="AL49" s="225"/>
      <c r="AM49" s="225"/>
      <c r="AN49" s="225"/>
      <c r="AO49" s="225"/>
      <c r="AP49" s="532"/>
      <c r="AS49" s="51">
        <v>13</v>
      </c>
      <c r="AT49" s="267" t="s">
        <v>355</v>
      </c>
      <c r="AU49" s="364"/>
      <c r="AV49" s="53"/>
      <c r="AW49" s="61"/>
      <c r="AX49" s="53"/>
      <c r="AY49" s="89"/>
      <c r="AZ49" s="89"/>
      <c r="BA49" s="111"/>
      <c r="BB49" s="111"/>
      <c r="BC49" s="111"/>
      <c r="BD49" s="111"/>
      <c r="BE49" s="111"/>
      <c r="BF49" s="111"/>
      <c r="BG49" s="111"/>
      <c r="BH49" s="111"/>
      <c r="BI49" s="111"/>
      <c r="BJ49" s="111"/>
      <c r="BK49" s="111"/>
      <c r="BL49" s="111"/>
      <c r="BO49" s="51">
        <v>13</v>
      </c>
      <c r="BP49" s="267" t="s">
        <v>355</v>
      </c>
      <c r="BQ49" s="364"/>
      <c r="BR49" s="53"/>
      <c r="BS49" s="61"/>
      <c r="BT49" s="53"/>
      <c r="BU49" s="89"/>
      <c r="BV49" s="89"/>
      <c r="BW49" s="111"/>
      <c r="BX49" s="111"/>
      <c r="BY49" s="111"/>
      <c r="BZ49" s="111"/>
      <c r="CA49" s="111"/>
      <c r="CB49" s="111"/>
      <c r="CC49" s="111"/>
      <c r="CD49" s="111"/>
      <c r="CE49" s="111"/>
      <c r="CF49" s="111"/>
      <c r="CG49" s="111"/>
      <c r="CH49" s="111"/>
    </row>
    <row r="50" spans="1:86" ht="15.6" customHeight="1">
      <c r="A50" s="250"/>
      <c r="B50" s="153" t="s">
        <v>356</v>
      </c>
      <c r="C50" s="370"/>
      <c r="D50" s="76"/>
      <c r="E50" s="79" t="s">
        <v>396</v>
      </c>
      <c r="F50" s="77" t="s">
        <v>357</v>
      </c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108"/>
      <c r="U50" s="36"/>
      <c r="V50" s="36"/>
      <c r="W50" s="250"/>
      <c r="X50" s="52" t="s">
        <v>356</v>
      </c>
      <c r="Y50" s="364"/>
      <c r="Z50" s="76"/>
      <c r="AA50" s="79" t="s">
        <v>396</v>
      </c>
      <c r="AB50" s="77" t="s">
        <v>357</v>
      </c>
      <c r="AC50" s="89"/>
      <c r="AD50" s="89"/>
      <c r="AE50" s="89"/>
      <c r="AF50" s="89"/>
      <c r="AG50" s="89"/>
      <c r="AH50" s="89"/>
      <c r="AI50" s="89"/>
      <c r="AJ50" s="89"/>
      <c r="AK50" s="89"/>
      <c r="AL50" s="89"/>
      <c r="AM50" s="89"/>
      <c r="AN50" s="89"/>
      <c r="AO50" s="89"/>
      <c r="AP50" s="111"/>
      <c r="AS50" s="51"/>
      <c r="AT50" s="52" t="s">
        <v>356</v>
      </c>
      <c r="AU50" s="364"/>
      <c r="AV50" s="53"/>
      <c r="AW50" s="61" t="s">
        <v>396</v>
      </c>
      <c r="AX50" s="53" t="s">
        <v>357</v>
      </c>
      <c r="AY50" s="89"/>
      <c r="AZ50" s="89"/>
      <c r="BA50" s="111"/>
      <c r="BB50" s="111"/>
      <c r="BC50" s="111"/>
      <c r="BD50" s="111"/>
      <c r="BE50" s="111"/>
      <c r="BF50" s="111"/>
      <c r="BG50" s="111"/>
      <c r="BH50" s="111"/>
      <c r="BI50" s="111"/>
      <c r="BJ50" s="111"/>
      <c r="BK50" s="111"/>
      <c r="BL50" s="111"/>
      <c r="BO50" s="51"/>
      <c r="BP50" s="52" t="s">
        <v>356</v>
      </c>
      <c r="BQ50" s="364"/>
      <c r="BR50" s="53"/>
      <c r="BS50" s="61" t="s">
        <v>396</v>
      </c>
      <c r="BT50" s="53" t="s">
        <v>357</v>
      </c>
      <c r="BU50" s="89"/>
      <c r="BV50" s="89"/>
      <c r="BW50" s="111"/>
      <c r="BX50" s="111"/>
      <c r="BY50" s="111"/>
      <c r="BZ50" s="111"/>
      <c r="CA50" s="111"/>
      <c r="CB50" s="111"/>
      <c r="CC50" s="111"/>
      <c r="CD50" s="111"/>
      <c r="CE50" s="111"/>
      <c r="CF50" s="111"/>
      <c r="CG50" s="111"/>
      <c r="CH50" s="111"/>
    </row>
    <row r="51" spans="1:86" ht="15.6" customHeight="1">
      <c r="A51" s="251"/>
      <c r="B51" s="153" t="s">
        <v>358</v>
      </c>
      <c r="C51" s="370"/>
      <c r="D51" s="76"/>
      <c r="E51" s="79" t="s">
        <v>440</v>
      </c>
      <c r="F51" s="77" t="s">
        <v>359</v>
      </c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108"/>
      <c r="U51" s="36"/>
      <c r="V51" s="36"/>
      <c r="W51" s="251"/>
      <c r="X51" s="52" t="s">
        <v>358</v>
      </c>
      <c r="Y51" s="364"/>
      <c r="Z51" s="76"/>
      <c r="AA51" s="79" t="s">
        <v>440</v>
      </c>
      <c r="AB51" s="77" t="s">
        <v>359</v>
      </c>
      <c r="AC51" s="89"/>
      <c r="AD51" s="89"/>
      <c r="AE51" s="89"/>
      <c r="AF51" s="89"/>
      <c r="AG51" s="89"/>
      <c r="AH51" s="89"/>
      <c r="AI51" s="89"/>
      <c r="AJ51" s="89"/>
      <c r="AK51" s="89"/>
      <c r="AL51" s="89"/>
      <c r="AM51" s="89"/>
      <c r="AN51" s="89"/>
      <c r="AO51" s="89"/>
      <c r="AP51" s="111"/>
      <c r="AS51" s="51"/>
      <c r="AT51" s="52" t="s">
        <v>358</v>
      </c>
      <c r="AU51" s="364"/>
      <c r="AV51" s="53"/>
      <c r="AW51" s="61" t="s">
        <v>440</v>
      </c>
      <c r="AX51" s="53" t="s">
        <v>359</v>
      </c>
      <c r="AY51" s="89"/>
      <c r="AZ51" s="89"/>
      <c r="BA51" s="111"/>
      <c r="BB51" s="111"/>
      <c r="BC51" s="111"/>
      <c r="BD51" s="111"/>
      <c r="BE51" s="111"/>
      <c r="BF51" s="111"/>
      <c r="BG51" s="111"/>
      <c r="BH51" s="111"/>
      <c r="BI51" s="111"/>
      <c r="BJ51" s="111"/>
      <c r="BK51" s="111"/>
      <c r="BL51" s="111"/>
      <c r="BO51" s="51"/>
      <c r="BP51" s="52" t="s">
        <v>358</v>
      </c>
      <c r="BQ51" s="364"/>
      <c r="BR51" s="53"/>
      <c r="BS51" s="61" t="s">
        <v>440</v>
      </c>
      <c r="BT51" s="53" t="s">
        <v>359</v>
      </c>
      <c r="BU51" s="89"/>
      <c r="BV51" s="89"/>
      <c r="BW51" s="111"/>
      <c r="BX51" s="111"/>
      <c r="BY51" s="111"/>
      <c r="BZ51" s="111"/>
      <c r="CA51" s="111"/>
      <c r="CB51" s="111"/>
      <c r="CC51" s="111"/>
      <c r="CD51" s="111"/>
      <c r="CE51" s="111"/>
      <c r="CF51" s="111"/>
      <c r="CG51" s="111"/>
      <c r="CH51" s="111"/>
    </row>
    <row r="52" spans="1:86" ht="15.6" customHeight="1">
      <c r="A52" s="251"/>
      <c r="B52" s="153" t="s">
        <v>495</v>
      </c>
      <c r="C52" s="370"/>
      <c r="D52" s="76"/>
      <c r="E52" s="136" t="s">
        <v>398</v>
      </c>
      <c r="F52" s="186" t="s">
        <v>362</v>
      </c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108"/>
      <c r="U52" s="36"/>
      <c r="V52" s="36"/>
      <c r="W52" s="251"/>
      <c r="X52" s="52" t="s">
        <v>495</v>
      </c>
      <c r="Y52" s="364"/>
      <c r="Z52" s="76"/>
      <c r="AA52" s="136" t="s">
        <v>398</v>
      </c>
      <c r="AB52" s="186" t="s">
        <v>362</v>
      </c>
      <c r="AC52" s="89"/>
      <c r="AD52" s="89"/>
      <c r="AE52" s="89"/>
      <c r="AF52" s="89"/>
      <c r="AG52" s="89"/>
      <c r="AH52" s="89"/>
      <c r="AI52" s="89"/>
      <c r="AJ52" s="89"/>
      <c r="AK52" s="89"/>
      <c r="AL52" s="89"/>
      <c r="AM52" s="89"/>
      <c r="AN52" s="89"/>
      <c r="AO52" s="89"/>
      <c r="AP52" s="111"/>
      <c r="AS52" s="51"/>
      <c r="AT52" s="52" t="s">
        <v>495</v>
      </c>
      <c r="AU52" s="364"/>
      <c r="AV52" s="53"/>
      <c r="AW52" s="61" t="s">
        <v>398</v>
      </c>
      <c r="AX52" s="53" t="s">
        <v>362</v>
      </c>
      <c r="AY52" s="89"/>
      <c r="AZ52" s="89"/>
      <c r="BA52" s="111"/>
      <c r="BB52" s="111"/>
      <c r="BC52" s="111"/>
      <c r="BD52" s="111"/>
      <c r="BE52" s="111"/>
      <c r="BF52" s="111"/>
      <c r="BG52" s="111"/>
      <c r="BH52" s="111"/>
      <c r="BI52" s="111"/>
      <c r="BJ52" s="111"/>
      <c r="BK52" s="111"/>
      <c r="BL52" s="111"/>
      <c r="BO52" s="51"/>
      <c r="BP52" s="52" t="s">
        <v>495</v>
      </c>
      <c r="BQ52" s="364"/>
      <c r="BR52" s="53"/>
      <c r="BS52" s="61" t="s">
        <v>398</v>
      </c>
      <c r="BT52" s="53" t="s">
        <v>362</v>
      </c>
      <c r="BU52" s="89"/>
      <c r="BV52" s="89"/>
      <c r="BW52" s="111"/>
      <c r="BX52" s="111"/>
      <c r="BY52" s="111"/>
      <c r="BZ52" s="111"/>
      <c r="CA52" s="111"/>
      <c r="CB52" s="111"/>
      <c r="CC52" s="111"/>
      <c r="CD52" s="111"/>
      <c r="CE52" s="111"/>
      <c r="CF52" s="111"/>
      <c r="CG52" s="111"/>
      <c r="CH52" s="111"/>
    </row>
    <row r="53" spans="1:86" ht="15.6" customHeight="1">
      <c r="A53" s="251"/>
      <c r="B53" s="153" t="s">
        <v>363</v>
      </c>
      <c r="C53" s="370"/>
      <c r="D53" s="76"/>
      <c r="E53" s="136" t="s">
        <v>399</v>
      </c>
      <c r="F53" s="187" t="s">
        <v>365</v>
      </c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123"/>
      <c r="U53" s="36"/>
      <c r="V53" s="36"/>
      <c r="W53" s="251"/>
      <c r="X53" s="52" t="s">
        <v>363</v>
      </c>
      <c r="Y53" s="364"/>
      <c r="Z53" s="76"/>
      <c r="AA53" s="136" t="s">
        <v>399</v>
      </c>
      <c r="AB53" s="187" t="s">
        <v>365</v>
      </c>
      <c r="AC53" s="89"/>
      <c r="AD53" s="89"/>
      <c r="AE53" s="89"/>
      <c r="AF53" s="89"/>
      <c r="AG53" s="89"/>
      <c r="AH53" s="89"/>
      <c r="AI53" s="89"/>
      <c r="AJ53" s="89"/>
      <c r="AK53" s="89"/>
      <c r="AL53" s="89"/>
      <c r="AM53" s="89"/>
      <c r="AN53" s="89"/>
      <c r="AO53" s="89"/>
      <c r="AP53" s="111"/>
      <c r="AS53" s="51"/>
      <c r="AT53" s="52" t="s">
        <v>363</v>
      </c>
      <c r="AU53" s="364"/>
      <c r="AV53" s="53"/>
      <c r="AW53" s="61" t="s">
        <v>399</v>
      </c>
      <c r="AX53" s="53" t="s">
        <v>365</v>
      </c>
      <c r="AY53" s="89"/>
      <c r="AZ53" s="89"/>
      <c r="BA53" s="111"/>
      <c r="BB53" s="111"/>
      <c r="BC53" s="111"/>
      <c r="BD53" s="111"/>
      <c r="BE53" s="111"/>
      <c r="BF53" s="111"/>
      <c r="BG53" s="111"/>
      <c r="BH53" s="111"/>
      <c r="BI53" s="111"/>
      <c r="BJ53" s="111"/>
      <c r="BK53" s="111"/>
      <c r="BL53" s="111"/>
      <c r="BO53" s="51"/>
      <c r="BP53" s="52" t="s">
        <v>363</v>
      </c>
      <c r="BQ53" s="364"/>
      <c r="BR53" s="53"/>
      <c r="BS53" s="61" t="s">
        <v>399</v>
      </c>
      <c r="BT53" s="53" t="s">
        <v>365</v>
      </c>
      <c r="BU53" s="89"/>
      <c r="BV53" s="89"/>
      <c r="BW53" s="111"/>
      <c r="BX53" s="111"/>
      <c r="BY53" s="111"/>
      <c r="BZ53" s="111"/>
      <c r="CA53" s="111"/>
      <c r="CB53" s="111"/>
      <c r="CC53" s="111"/>
      <c r="CD53" s="111"/>
      <c r="CE53" s="111"/>
      <c r="CF53" s="111"/>
      <c r="CG53" s="111"/>
      <c r="CH53" s="111"/>
    </row>
    <row r="54" spans="1:86" ht="30.2" customHeight="1">
      <c r="A54" s="252"/>
      <c r="B54" s="153" t="s">
        <v>366</v>
      </c>
      <c r="C54" s="370"/>
      <c r="D54" s="76"/>
      <c r="E54" s="136" t="s">
        <v>441</v>
      </c>
      <c r="F54" s="78" t="s">
        <v>367</v>
      </c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108"/>
      <c r="U54" s="36"/>
      <c r="V54" s="36"/>
      <c r="W54" s="252"/>
      <c r="X54" s="52" t="s">
        <v>366</v>
      </c>
      <c r="Y54" s="364"/>
      <c r="Z54" s="76"/>
      <c r="AA54" s="136" t="s">
        <v>441</v>
      </c>
      <c r="AB54" s="544" t="s">
        <v>367</v>
      </c>
      <c r="AC54" s="89"/>
      <c r="AD54" s="89"/>
      <c r="AE54" s="89"/>
      <c r="AF54" s="89"/>
      <c r="AG54" s="89"/>
      <c r="AH54" s="89"/>
      <c r="AI54" s="89"/>
      <c r="AJ54" s="89"/>
      <c r="AK54" s="89"/>
      <c r="AL54" s="89"/>
      <c r="AM54" s="89"/>
      <c r="AN54" s="89"/>
      <c r="AO54" s="89"/>
      <c r="AP54" s="111"/>
      <c r="AS54" s="51"/>
      <c r="AT54" s="52" t="s">
        <v>366</v>
      </c>
      <c r="AU54" s="364"/>
      <c r="AV54" s="53"/>
      <c r="AW54" s="61" t="s">
        <v>441</v>
      </c>
      <c r="AX54" s="53" t="s">
        <v>367</v>
      </c>
      <c r="AY54" s="89"/>
      <c r="AZ54" s="89"/>
      <c r="BA54" s="111"/>
      <c r="BB54" s="111"/>
      <c r="BC54" s="111"/>
      <c r="BD54" s="111"/>
      <c r="BE54" s="111"/>
      <c r="BF54" s="111"/>
      <c r="BG54" s="111"/>
      <c r="BH54" s="111"/>
      <c r="BI54" s="111"/>
      <c r="BJ54" s="111"/>
      <c r="BK54" s="111"/>
      <c r="BL54" s="111"/>
      <c r="BO54" s="51"/>
      <c r="BP54" s="52" t="s">
        <v>366</v>
      </c>
      <c r="BQ54" s="364"/>
      <c r="BR54" s="53"/>
      <c r="BS54" s="61" t="s">
        <v>441</v>
      </c>
      <c r="BT54" s="53" t="s">
        <v>367</v>
      </c>
      <c r="BU54" s="89"/>
      <c r="BV54" s="89"/>
      <c r="BW54" s="111"/>
      <c r="BX54" s="111"/>
      <c r="BY54" s="111"/>
      <c r="BZ54" s="111"/>
      <c r="CA54" s="111"/>
      <c r="CB54" s="111"/>
      <c r="CC54" s="111"/>
      <c r="CD54" s="111"/>
      <c r="CE54" s="111"/>
      <c r="CF54" s="111"/>
      <c r="CG54" s="111"/>
      <c r="CH54" s="111"/>
    </row>
    <row r="55" spans="1:86" ht="16.5">
      <c r="A55" s="73"/>
      <c r="B55" s="351" t="s">
        <v>104</v>
      </c>
      <c r="C55" s="374"/>
      <c r="D55" s="85"/>
      <c r="E55" s="86"/>
      <c r="F55" s="86">
        <f>F7+F17</f>
        <v>100</v>
      </c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73"/>
      <c r="U55" s="36"/>
      <c r="V55" s="36"/>
      <c r="W55" s="73"/>
      <c r="X55" s="55" t="s">
        <v>104</v>
      </c>
      <c r="Y55" s="365"/>
      <c r="Z55" s="85"/>
      <c r="AA55" s="86"/>
      <c r="AB55" s="86">
        <f>AB7+AB17</f>
        <v>100</v>
      </c>
      <c r="AC55" s="139"/>
      <c r="AD55" s="139"/>
      <c r="AE55" s="139"/>
      <c r="AF55" s="139"/>
      <c r="AG55" s="139"/>
      <c r="AH55" s="139"/>
      <c r="AI55" s="139"/>
      <c r="AJ55" s="139"/>
      <c r="AK55" s="139"/>
      <c r="AL55" s="139"/>
      <c r="AM55" s="139"/>
      <c r="AN55" s="139"/>
      <c r="AO55" s="139"/>
      <c r="AP55" s="168"/>
      <c r="AS55" s="54"/>
      <c r="AT55" s="55" t="str">
        <f ca="1">T.TOLIS!AT55</f>
        <v>TOTAL BOBOT</v>
      </c>
      <c r="AU55" s="365"/>
      <c r="AV55" s="129"/>
      <c r="AW55" s="55"/>
      <c r="AX55" s="139">
        <f>AX7+AX17</f>
        <v>100</v>
      </c>
      <c r="AY55" s="139"/>
      <c r="AZ55" s="139"/>
      <c r="BA55" s="168"/>
      <c r="BB55" s="168"/>
      <c r="BC55" s="168"/>
      <c r="BD55" s="168"/>
      <c r="BE55" s="168"/>
      <c r="BF55" s="168"/>
      <c r="BG55" s="168"/>
      <c r="BH55" s="168"/>
      <c r="BI55" s="168"/>
      <c r="BJ55" s="168"/>
      <c r="BK55" s="168"/>
      <c r="BL55" s="168"/>
      <c r="BO55" s="54"/>
      <c r="BP55" s="55" t="str">
        <f ca="1">T.TOLIS!BP55</f>
        <v>TOTAL BOBOT</v>
      </c>
      <c r="BQ55" s="365"/>
      <c r="BR55" s="129"/>
      <c r="BS55" s="55"/>
      <c r="BT55" s="139">
        <f>BT7+BT17</f>
        <v>100</v>
      </c>
      <c r="BU55" s="139"/>
      <c r="BV55" s="139"/>
      <c r="BW55" s="514">
        <f>SUM(BW8:BW54)</f>
        <v>93.509664262453157</v>
      </c>
      <c r="BX55" s="514">
        <f t="shared" ref="BX55:CH55" si="60">SUM(BX8:BX54)</f>
        <v>91.83773214289721</v>
      </c>
      <c r="BY55" s="514">
        <f t="shared" si="60"/>
        <v>98.203141636163991</v>
      </c>
      <c r="BZ55" s="514">
        <f t="shared" si="60"/>
        <v>98.38687320007341</v>
      </c>
      <c r="CA55" s="514">
        <f t="shared" si="60"/>
        <v>97.766357600203037</v>
      </c>
      <c r="CB55" s="514">
        <f t="shared" si="60"/>
        <v>101.75355060860031</v>
      </c>
      <c r="CC55" s="514">
        <f t="shared" si="60"/>
        <v>102.51721680991102</v>
      </c>
      <c r="CD55" s="514">
        <f t="shared" si="60"/>
        <v>103.24070568441657</v>
      </c>
      <c r="CE55" s="514">
        <f t="shared" si="60"/>
        <v>103.91968020459123</v>
      </c>
      <c r="CF55" s="514">
        <f t="shared" si="60"/>
        <v>103.934846481566</v>
      </c>
      <c r="CG55" s="514">
        <f t="shared" si="60"/>
        <v>70.511936825486885</v>
      </c>
      <c r="CH55" s="514">
        <f t="shared" si="60"/>
        <v>70.680882754673959</v>
      </c>
    </row>
    <row r="56" spans="1:86">
      <c r="A56"/>
      <c r="B56" s="352"/>
      <c r="C56" s="366"/>
      <c r="D56"/>
      <c r="E56" s="105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W56"/>
      <c r="Z56"/>
      <c r="AA56" s="105"/>
      <c r="AB56"/>
    </row>
    <row r="57" spans="1:86" customFormat="1">
      <c r="A57" s="114"/>
      <c r="B57" s="353" t="s">
        <v>368</v>
      </c>
      <c r="C57" s="375"/>
      <c r="D57" s="4">
        <f>COUNTA(D8:D54)</f>
        <v>31</v>
      </c>
      <c r="E57" s="114"/>
      <c r="F57" s="4"/>
      <c r="G57" s="116"/>
      <c r="H57" s="116"/>
      <c r="I57" s="116"/>
      <c r="J57" s="116"/>
      <c r="K57" s="116"/>
      <c r="L57" s="116"/>
      <c r="M57" s="116"/>
      <c r="N57" s="116"/>
      <c r="O57" s="116"/>
      <c r="P57" s="116"/>
      <c r="Q57" s="116"/>
      <c r="R57" s="116"/>
      <c r="S57" s="116"/>
      <c r="T57" s="116"/>
    </row>
    <row r="58" spans="1:86" customFormat="1">
      <c r="B58" s="352"/>
      <c r="C58" s="366"/>
      <c r="E58" s="105"/>
    </row>
    <row r="59" spans="1:86" customFormat="1">
      <c r="A59" s="117" t="s">
        <v>369</v>
      </c>
      <c r="B59" s="354"/>
      <c r="C59" s="376"/>
      <c r="D59" s="119"/>
      <c r="E59" s="119"/>
      <c r="F59" s="119"/>
      <c r="G59" s="119"/>
      <c r="H59" s="119"/>
      <c r="I59" s="119"/>
      <c r="J59" s="119"/>
      <c r="K59" s="119"/>
      <c r="L59" s="119"/>
      <c r="M59" s="119"/>
      <c r="Q59" s="119"/>
      <c r="S59" s="119"/>
    </row>
    <row r="60" spans="1:86" customFormat="1" ht="30">
      <c r="A60" s="119">
        <v>3</v>
      </c>
      <c r="B60" s="355" t="s">
        <v>370</v>
      </c>
      <c r="C60" s="376"/>
      <c r="D60" s="119"/>
      <c r="E60" s="119"/>
      <c r="F60" s="119"/>
      <c r="G60" s="119"/>
      <c r="H60" s="119"/>
      <c r="I60" s="119"/>
      <c r="J60" s="119"/>
      <c r="K60" s="119"/>
      <c r="L60" s="119"/>
      <c r="M60" s="119"/>
      <c r="Q60" s="119"/>
      <c r="S60" s="119"/>
    </row>
    <row r="61" spans="1:86" customFormat="1" ht="30">
      <c r="A61" s="119">
        <v>1</v>
      </c>
      <c r="B61" s="355" t="s">
        <v>371</v>
      </c>
      <c r="C61" s="376"/>
      <c r="D61" s="119"/>
      <c r="E61" s="119"/>
      <c r="F61" s="119"/>
      <c r="G61" s="119"/>
      <c r="H61" s="119"/>
      <c r="I61" s="119"/>
      <c r="J61" s="119"/>
      <c r="K61" s="119"/>
      <c r="L61" s="119"/>
      <c r="M61" s="119"/>
      <c r="Q61" s="119"/>
      <c r="S61" s="119"/>
    </row>
    <row r="62" spans="1:86" customFormat="1">
      <c r="A62" s="119"/>
      <c r="B62" s="354"/>
      <c r="C62" s="376"/>
      <c r="D62" s="119"/>
      <c r="E62" s="119"/>
      <c r="F62" s="119"/>
      <c r="G62" s="119"/>
      <c r="H62" s="119"/>
      <c r="I62" s="119"/>
      <c r="J62" s="119"/>
      <c r="K62" s="119"/>
      <c r="L62" s="119"/>
      <c r="M62" s="119"/>
      <c r="Q62" s="119"/>
      <c r="S62" s="119"/>
      <c r="W62" s="119"/>
      <c r="Z62" s="119"/>
      <c r="AA62" s="119"/>
      <c r="AB62" s="119"/>
    </row>
    <row r="63" spans="1:86" customFormat="1">
      <c r="A63" s="119"/>
      <c r="B63" s="354"/>
      <c r="C63" s="376"/>
      <c r="D63" s="119"/>
      <c r="E63" s="119"/>
      <c r="F63" s="119"/>
      <c r="G63" s="119"/>
      <c r="H63" s="119"/>
      <c r="I63" s="119"/>
      <c r="J63" s="119"/>
      <c r="K63" s="119"/>
      <c r="L63" s="119"/>
      <c r="M63" s="119"/>
      <c r="Q63" s="119"/>
      <c r="S63" s="119"/>
      <c r="W63" s="119"/>
      <c r="Z63" s="119"/>
      <c r="AA63" s="119"/>
      <c r="AB63" s="119"/>
    </row>
    <row r="64" spans="1:86" customFormat="1">
      <c r="A64" s="121"/>
      <c r="B64" s="356"/>
      <c r="C64" s="376"/>
      <c r="D64" s="121"/>
      <c r="E64" s="121"/>
      <c r="F64" s="121"/>
      <c r="G64" s="121"/>
      <c r="H64" s="121"/>
      <c r="I64" s="121"/>
      <c r="J64" s="121"/>
      <c r="K64" s="121"/>
      <c r="L64" s="121"/>
      <c r="M64" s="121"/>
      <c r="W64" s="121"/>
      <c r="Z64" s="121"/>
      <c r="AA64" s="121"/>
      <c r="AB64" s="121"/>
    </row>
    <row r="65" spans="1:30" customFormat="1">
      <c r="B65" s="352"/>
      <c r="C65" s="366"/>
      <c r="E65" s="105"/>
      <c r="Q65" s="121"/>
      <c r="S65" s="121"/>
      <c r="AA65" s="105"/>
    </row>
    <row r="66" spans="1:30" customFormat="1">
      <c r="A66" s="28"/>
      <c r="B66" s="357"/>
      <c r="C66" s="377"/>
      <c r="D66" s="28"/>
      <c r="E66" s="37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W66" s="28"/>
      <c r="Z66" s="28"/>
      <c r="AA66" s="37"/>
      <c r="AB66" s="30"/>
    </row>
    <row r="67" spans="1:30" s="31" customFormat="1">
      <c r="A67" s="28"/>
      <c r="B67" s="357"/>
      <c r="C67" s="377"/>
      <c r="D67" s="28"/>
      <c r="E67" s="28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W67" s="28"/>
      <c r="X67" s="30"/>
      <c r="Y67" s="30"/>
      <c r="Z67" s="28"/>
      <c r="AA67" s="28"/>
      <c r="AB67" s="30"/>
      <c r="AC67" s="30"/>
      <c r="AD67" s="30"/>
    </row>
  </sheetData>
  <mergeCells count="34">
    <mergeCell ref="BW4:CH4"/>
    <mergeCell ref="BP6:BQ6"/>
    <mergeCell ref="BR4:BR5"/>
    <mergeCell ref="BS4:BS5"/>
    <mergeCell ref="BT4:BT5"/>
    <mergeCell ref="BU4:BU5"/>
    <mergeCell ref="BV4:BV5"/>
    <mergeCell ref="AZ4:AZ5"/>
    <mergeCell ref="BA4:BL4"/>
    <mergeCell ref="AT6:AU6"/>
    <mergeCell ref="BO4:BO5"/>
    <mergeCell ref="BP4:BQ5"/>
    <mergeCell ref="AT4:AU5"/>
    <mergeCell ref="AV4:AV5"/>
    <mergeCell ref="AW4:AW5"/>
    <mergeCell ref="AX4:AX5"/>
    <mergeCell ref="AY4:AY5"/>
    <mergeCell ref="AC4:AC5"/>
    <mergeCell ref="AD4:AD5"/>
    <mergeCell ref="AE4:AP4"/>
    <mergeCell ref="X6:Y6"/>
    <mergeCell ref="AS4:AS5"/>
    <mergeCell ref="W4:W5"/>
    <mergeCell ref="X4:Y5"/>
    <mergeCell ref="Z4:Z5"/>
    <mergeCell ref="AA4:AA5"/>
    <mergeCell ref="AB4:AB5"/>
    <mergeCell ref="I4:T4"/>
    <mergeCell ref="A4:A5"/>
    <mergeCell ref="B4:C5"/>
    <mergeCell ref="D4:D5"/>
    <mergeCell ref="E4:E5"/>
    <mergeCell ref="F4:F5"/>
    <mergeCell ref="G4:H4"/>
  </mergeCells>
  <conditionalFormatting sqref="A60">
    <cfRule type="iconSet" priority="44">
      <iconSet iconSet="3ArrowsGray" showValue="0">
        <cfvo type="percent" val="0"/>
        <cfvo type="num" val="2"/>
        <cfvo type="num" val="3"/>
      </iconSet>
    </cfRule>
  </conditionalFormatting>
  <conditionalFormatting sqref="A61">
    <cfRule type="iconSet" priority="43">
      <iconSet iconSet="3ArrowsGray" showValue="0">
        <cfvo type="percent" val="0"/>
        <cfvo type="num" val="2"/>
        <cfvo type="num" val="3"/>
      </iconSet>
    </cfRule>
  </conditionalFormatting>
  <conditionalFormatting sqref="C8">
    <cfRule type="iconSet" priority="54">
      <iconSet iconSet="3ArrowsGray" showValue="0">
        <cfvo type="percent" val="0"/>
        <cfvo type="num" val="2"/>
        <cfvo type="num" val="3"/>
      </iconSet>
    </cfRule>
    <cfRule type="iconSet" priority="58">
      <iconSet iconSet="3ArrowsGray" showValue="0">
        <cfvo type="percent" val="0"/>
        <cfvo type="num" val="2"/>
        <cfvo type="num" val="3"/>
      </iconSet>
    </cfRule>
  </conditionalFormatting>
  <conditionalFormatting sqref="C9">
    <cfRule type="iconSet" priority="53">
      <iconSet iconSet="3ArrowsGray" showValue="0">
        <cfvo type="percent" val="0"/>
        <cfvo type="num" val="2"/>
        <cfvo type="num" val="3"/>
      </iconSet>
    </cfRule>
  </conditionalFormatting>
  <conditionalFormatting sqref="C10:C16">
    <cfRule type="iconSet" priority="48455">
      <iconSet iconSet="3ArrowsGray" showValue="0">
        <cfvo type="percent" val="0"/>
        <cfvo type="num" val="2"/>
        <cfvo type="num" val="3"/>
      </iconSet>
    </cfRule>
    <cfRule type="iconSet" priority="48454">
      <iconSet iconSet="3ArrowsGray" showValue="0">
        <cfvo type="percent" val="0"/>
        <cfvo type="num" val="2"/>
        <cfvo type="num" val="3"/>
      </iconSet>
    </cfRule>
  </conditionalFormatting>
  <conditionalFormatting sqref="C18">
    <cfRule type="iconSet" priority="17">
      <iconSet iconSet="3ArrowsGray" showValue="0">
        <cfvo type="percent" val="0"/>
        <cfvo type="num" val="2"/>
        <cfvo type="num" val="3"/>
      </iconSet>
    </cfRule>
    <cfRule type="iconSet" priority="18">
      <iconSet iconSet="3ArrowsGray" showValue="0">
        <cfvo type="percent" val="0"/>
        <cfvo type="num" val="2"/>
        <cfvo type="num" val="3"/>
      </iconSet>
    </cfRule>
  </conditionalFormatting>
  <conditionalFormatting sqref="C19:C34 C36:C49">
    <cfRule type="iconSet" priority="47702">
      <iconSet iconSet="3ArrowsGray" showValue="0">
        <cfvo type="percent" val="0"/>
        <cfvo type="num" val="2"/>
        <cfvo type="num" val="3"/>
      </iconSet>
    </cfRule>
    <cfRule type="iconSet" priority="47703">
      <iconSet iconSet="3ArrowsGray" showValue="0">
        <cfvo type="percent" val="0"/>
        <cfvo type="num" val="2"/>
        <cfvo type="num" val="3"/>
      </iconSet>
    </cfRule>
  </conditionalFormatting>
  <conditionalFormatting sqref="C35">
    <cfRule type="iconSet" priority="15">
      <iconSet iconSet="3ArrowsGray" showValue="0">
        <cfvo type="percent" val="0"/>
        <cfvo type="num" val="2"/>
        <cfvo type="num" val="3"/>
      </iconSet>
    </cfRule>
    <cfRule type="iconSet" priority="16">
      <iconSet iconSet="3ArrowsGray" showValue="0">
        <cfvo type="percent" val="0"/>
        <cfvo type="num" val="2"/>
        <cfvo type="num" val="3"/>
      </iconSet>
    </cfRule>
  </conditionalFormatting>
  <conditionalFormatting sqref="C50">
    <cfRule type="iconSet" priority="47704">
      <iconSet iconSet="3ArrowsGray" showValue="0">
        <cfvo type="percent" val="0"/>
        <cfvo type="num" val="2"/>
        <cfvo type="num" val="3"/>
      </iconSet>
    </cfRule>
  </conditionalFormatting>
  <conditionalFormatting sqref="C50:C54">
    <cfRule type="iconSet" priority="47705">
      <iconSet iconSet="3ArrowsGray" showValue="0">
        <cfvo type="percent" val="0"/>
        <cfvo type="num" val="2"/>
        <cfvo type="num" val="3"/>
      </iconSet>
    </cfRule>
  </conditionalFormatting>
  <conditionalFormatting sqref="C56">
    <cfRule type="iconSet" priority="46">
      <iconSet iconSet="3ArrowsGray" showValue="0">
        <cfvo type="percent" val="0"/>
        <cfvo type="num" val="2"/>
        <cfvo type="num" val="3"/>
      </iconSet>
    </cfRule>
  </conditionalFormatting>
  <conditionalFormatting sqref="C57">
    <cfRule type="iconSet" priority="49">
      <iconSet iconSet="3ArrowsGray" showValue="0">
        <cfvo type="percent" val="0"/>
        <cfvo type="num" val="2"/>
        <cfvo type="num" val="3"/>
      </iconSet>
    </cfRule>
  </conditionalFormatting>
  <conditionalFormatting sqref="D56">
    <cfRule type="iconSet" priority="48">
      <iconSet iconSet="3ArrowsGray" showValue="0">
        <cfvo type="percent" val="0"/>
        <cfvo type="num" val="2"/>
        <cfvo type="num" val="3"/>
      </iconSet>
    </cfRule>
    <cfRule type="iconSet" priority="39">
      <iconSet iconSet="3ArrowsGray" showValue="0">
        <cfvo type="percent" val="0"/>
        <cfvo type="num" val="2"/>
        <cfvo type="num" val="3"/>
      </iconSet>
    </cfRule>
  </conditionalFormatting>
  <conditionalFormatting sqref="E56">
    <cfRule type="iconSet" priority="47">
      <iconSet iconSet="3ArrowsGray" showValue="0">
        <cfvo type="percent" val="0"/>
        <cfvo type="num" val="2"/>
        <cfvo type="num" val="3"/>
      </iconSet>
    </cfRule>
  </conditionalFormatting>
  <conditionalFormatting sqref="G56:H56">
    <cfRule type="iconSet" priority="56">
      <iconSet iconSet="3ArrowsGray" showValue="0">
        <cfvo type="percent" val="0"/>
        <cfvo type="num" val="2"/>
        <cfvo type="num" val="3"/>
      </iconSet>
    </cfRule>
  </conditionalFormatting>
  <conditionalFormatting sqref="G57:H57">
    <cfRule type="iconSet" priority="55">
      <iconSet iconSet="3ArrowsGray" showValue="0">
        <cfvo type="percent" val="0"/>
        <cfvo type="num" val="2"/>
        <cfvo type="num" val="3"/>
      </iconSet>
    </cfRule>
  </conditionalFormatting>
  <conditionalFormatting sqref="I56:T56">
    <cfRule type="iconSet" priority="45">
      <iconSet iconSet="3ArrowsGray" showValue="0">
        <cfvo type="percent" val="0"/>
        <cfvo type="num" val="2"/>
        <cfvo type="num" val="3"/>
      </iconSet>
    </cfRule>
  </conditionalFormatting>
  <conditionalFormatting sqref="I57:T57">
    <cfRule type="iconSet" priority="40">
      <iconSet iconSet="3ArrowsGray" showValue="0">
        <cfvo type="percent" val="0"/>
        <cfvo type="num" val="2"/>
        <cfvo type="num" val="3"/>
      </iconSet>
    </cfRule>
    <cfRule type="iconSet" priority="41">
      <iconSet iconSet="3ArrowsGray" showValue="0">
        <cfvo type="percent" val="0"/>
        <cfvo type="num" val="2"/>
        <cfvo type="num" val="3"/>
      </iconSet>
    </cfRule>
  </conditionalFormatting>
  <conditionalFormatting sqref="Y8:Y16">
    <cfRule type="iconSet" priority="14">
      <iconSet iconSet="3ArrowsGray" showValue="0">
        <cfvo type="percent" val="0"/>
        <cfvo type="num" val="2"/>
        <cfvo type="num" val="3"/>
      </iconSet>
    </cfRule>
    <cfRule type="iconSet" priority="13">
      <iconSet iconSet="3ArrowsGray" showValue="0">
        <cfvo type="percent" val="0"/>
        <cfvo type="num" val="2"/>
        <cfvo type="num" val="3"/>
      </iconSet>
    </cfRule>
  </conditionalFormatting>
  <conditionalFormatting sqref="Y18:Y54">
    <cfRule type="iconSet" priority="12">
      <iconSet iconSet="3ArrowsGray" showValue="0">
        <cfvo type="percent" val="0"/>
        <cfvo type="num" val="2"/>
        <cfvo type="num" val="3"/>
      </iconSet>
    </cfRule>
  </conditionalFormatting>
  <conditionalFormatting sqref="Z56">
    <cfRule type="iconSet" priority="11">
      <iconSet iconSet="3ArrowsGray" showValue="0">
        <cfvo type="percent" val="0"/>
        <cfvo type="num" val="2"/>
        <cfvo type="num" val="3"/>
      </iconSet>
    </cfRule>
    <cfRule type="iconSet" priority="9">
      <iconSet iconSet="3ArrowsGray" showValue="0">
        <cfvo type="percent" val="0"/>
        <cfvo type="num" val="2"/>
        <cfvo type="num" val="3"/>
      </iconSet>
    </cfRule>
  </conditionalFormatting>
  <conditionalFormatting sqref="AA56">
    <cfRule type="iconSet" priority="10">
      <iconSet iconSet="3ArrowsGray" showValue="0">
        <cfvo type="percent" val="0"/>
        <cfvo type="num" val="2"/>
        <cfvo type="num" val="3"/>
      </iconSet>
    </cfRule>
  </conditionalFormatting>
  <conditionalFormatting sqref="AU8:AU16">
    <cfRule type="iconSet" priority="6">
      <iconSet iconSet="3ArrowsGray" showValue="0">
        <cfvo type="percent" val="0"/>
        <cfvo type="num" val="2"/>
        <cfvo type="num" val="3"/>
      </iconSet>
    </cfRule>
    <cfRule type="iconSet" priority="5">
      <iconSet iconSet="3ArrowsGray" showValue="0">
        <cfvo type="percent" val="0"/>
        <cfvo type="num" val="2"/>
        <cfvo type="num" val="3"/>
      </iconSet>
    </cfRule>
  </conditionalFormatting>
  <conditionalFormatting sqref="AU18:AU54">
    <cfRule type="iconSet" priority="4">
      <iconSet iconSet="3ArrowsGray" showValue="0">
        <cfvo type="percent" val="0"/>
        <cfvo type="num" val="2"/>
        <cfvo type="num" val="3"/>
      </iconSet>
    </cfRule>
  </conditionalFormatting>
  <conditionalFormatting sqref="BQ8:BQ16">
    <cfRule type="iconSet" priority="3">
      <iconSet iconSet="3ArrowsGray" showValue="0">
        <cfvo type="percent" val="0"/>
        <cfvo type="num" val="2"/>
        <cfvo type="num" val="3"/>
      </iconSet>
    </cfRule>
    <cfRule type="iconSet" priority="2">
      <iconSet iconSet="3ArrowsGray" showValue="0">
        <cfvo type="percent" val="0"/>
        <cfvo type="num" val="2"/>
        <cfvo type="num" val="3"/>
      </iconSet>
    </cfRule>
  </conditionalFormatting>
  <conditionalFormatting sqref="BQ18:BQ54">
    <cfRule type="iconSet" priority="1">
      <iconSet iconSet="3ArrowsGray" showValue="0">
        <cfvo type="percent" val="0"/>
        <cfvo type="num" val="2"/>
        <cfvo type="num" val="3"/>
      </iconSet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52" fitToHeight="0" orientation="landscape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0F021-11FB-46A1-8F23-01159CFE4888}">
  <dimension ref="A1:CY279"/>
  <sheetViews>
    <sheetView workbookViewId="0">
      <selection activeCell="B14" sqref="B14"/>
    </sheetView>
  </sheetViews>
  <sheetFormatPr defaultRowHeight="15"/>
  <cols>
    <col min="1" max="1" width="28.140625" customWidth="1"/>
    <col min="3" max="31" width="8.85546875" customWidth="1"/>
    <col min="32" max="33" width="9.5703125" bestFit="1" customWidth="1"/>
    <col min="35" max="35" width="30.5703125" customWidth="1"/>
    <col min="50" max="50" width="16" customWidth="1"/>
    <col min="67" max="67" width="9.42578125" bestFit="1" customWidth="1"/>
    <col min="68" max="68" width="9.7109375" bestFit="1" customWidth="1"/>
    <col min="70" max="70" width="18.140625" customWidth="1"/>
    <col min="71" max="71" width="19.140625" customWidth="1"/>
    <col min="84" max="84" width="13.7109375" customWidth="1"/>
    <col min="85" max="85" width="14.42578125" bestFit="1" customWidth="1"/>
    <col min="98" max="98" width="15.85546875" bestFit="1" customWidth="1"/>
    <col min="99" max="99" width="12.7109375" bestFit="1" customWidth="1"/>
  </cols>
  <sheetData>
    <row r="1" spans="1:103" ht="23.25">
      <c r="A1" s="441" t="s">
        <v>90</v>
      </c>
      <c r="AJ1" s="827" t="s">
        <v>446</v>
      </c>
      <c r="AK1" s="827"/>
      <c r="AL1" s="827"/>
      <c r="AM1" s="827"/>
      <c r="AN1" s="827"/>
      <c r="AO1" s="827"/>
      <c r="AP1" s="827"/>
      <c r="AQ1" s="827"/>
      <c r="AR1" s="827"/>
      <c r="AS1" s="827"/>
      <c r="AT1" s="827"/>
      <c r="AU1" s="827"/>
      <c r="AV1" s="827"/>
      <c r="BA1" s="827" t="s">
        <v>446</v>
      </c>
      <c r="BB1" s="827"/>
      <c r="BC1" s="827"/>
      <c r="BD1" s="827"/>
      <c r="BE1" s="827"/>
      <c r="BF1" s="827"/>
      <c r="BG1" s="827"/>
      <c r="BH1" s="827"/>
      <c r="BI1" s="827"/>
      <c r="BJ1" s="827"/>
      <c r="BK1" s="827"/>
      <c r="BL1" s="827"/>
      <c r="BM1" s="827"/>
    </row>
    <row r="2" spans="1:103">
      <c r="A2" t="s">
        <v>447</v>
      </c>
      <c r="E2" s="21" t="s">
        <v>100</v>
      </c>
      <c r="G2">
        <v>1</v>
      </c>
      <c r="H2">
        <v>2</v>
      </c>
      <c r="I2">
        <v>3</v>
      </c>
      <c r="J2">
        <v>4</v>
      </c>
      <c r="K2">
        <v>5</v>
      </c>
      <c r="L2">
        <v>6</v>
      </c>
      <c r="M2">
        <v>7</v>
      </c>
      <c r="N2">
        <v>8</v>
      </c>
      <c r="O2">
        <v>9</v>
      </c>
      <c r="P2">
        <v>10</v>
      </c>
      <c r="Q2">
        <v>11</v>
      </c>
      <c r="R2">
        <v>12</v>
      </c>
      <c r="T2" s="21" t="s">
        <v>254</v>
      </c>
      <c r="V2">
        <v>1</v>
      </c>
      <c r="W2">
        <v>2</v>
      </c>
      <c r="X2">
        <v>3</v>
      </c>
      <c r="Y2">
        <v>4</v>
      </c>
      <c r="Z2">
        <v>5</v>
      </c>
      <c r="AA2">
        <v>6</v>
      </c>
      <c r="AB2">
        <v>7</v>
      </c>
      <c r="AC2">
        <v>8</v>
      </c>
      <c r="AD2">
        <v>9</v>
      </c>
      <c r="AE2">
        <v>10</v>
      </c>
      <c r="AF2">
        <v>11</v>
      </c>
      <c r="AG2">
        <v>12</v>
      </c>
      <c r="AI2" s="21" t="s">
        <v>102</v>
      </c>
      <c r="AK2">
        <v>1</v>
      </c>
      <c r="AL2">
        <v>2</v>
      </c>
      <c r="AM2">
        <v>3</v>
      </c>
      <c r="AN2">
        <v>4</v>
      </c>
      <c r="AO2">
        <v>5</v>
      </c>
      <c r="AP2">
        <v>6</v>
      </c>
      <c r="AQ2">
        <v>7</v>
      </c>
      <c r="AR2">
        <v>8</v>
      </c>
      <c r="AS2">
        <v>9</v>
      </c>
      <c r="AT2">
        <v>10</v>
      </c>
      <c r="AU2">
        <v>11</v>
      </c>
      <c r="AV2">
        <v>12</v>
      </c>
      <c r="AX2" s="21" t="s">
        <v>99</v>
      </c>
      <c r="AY2" s="21"/>
      <c r="BA2">
        <v>1</v>
      </c>
      <c r="BB2">
        <v>2</v>
      </c>
      <c r="BC2">
        <v>3</v>
      </c>
      <c r="BD2">
        <v>4</v>
      </c>
      <c r="BE2">
        <v>5</v>
      </c>
      <c r="BF2">
        <v>6</v>
      </c>
      <c r="BG2">
        <v>7</v>
      </c>
      <c r="BH2">
        <v>8</v>
      </c>
      <c r="BI2">
        <v>9</v>
      </c>
      <c r="BJ2">
        <v>10</v>
      </c>
      <c r="BK2">
        <v>11</v>
      </c>
      <c r="BL2">
        <v>12</v>
      </c>
      <c r="BO2" s="141"/>
      <c r="BP2" s="832" t="s">
        <v>472</v>
      </c>
      <c r="BQ2" s="832"/>
      <c r="BR2" s="832"/>
      <c r="BS2" s="832"/>
      <c r="BT2" s="832"/>
      <c r="BU2" s="832"/>
      <c r="BV2" s="832"/>
      <c r="BW2" s="832"/>
      <c r="BX2" s="832"/>
      <c r="BY2" s="832"/>
      <c r="BZ2" s="832"/>
      <c r="CA2" s="832"/>
      <c r="CB2" s="832"/>
      <c r="CC2" s="832"/>
      <c r="CF2" s="832" t="s">
        <v>473</v>
      </c>
      <c r="CG2" s="832"/>
      <c r="CH2" s="832"/>
      <c r="CI2" s="832"/>
      <c r="CJ2" s="832"/>
      <c r="CK2" s="832"/>
      <c r="CL2" s="832"/>
      <c r="CM2" s="832"/>
      <c r="CN2" s="832"/>
      <c r="CO2" s="832"/>
      <c r="CP2" s="832"/>
      <c r="CQ2" s="832"/>
      <c r="CR2" s="832"/>
      <c r="CS2" s="832"/>
    </row>
    <row r="3" spans="1:103" ht="15.75" thickBot="1">
      <c r="A3" t="s">
        <v>448</v>
      </c>
      <c r="B3" t="s">
        <v>449</v>
      </c>
      <c r="C3" t="s">
        <v>450</v>
      </c>
      <c r="E3" s="21" t="s">
        <v>451</v>
      </c>
      <c r="G3" s="438">
        <f>DATE(2025,G2+1,0)</f>
        <v>45688</v>
      </c>
      <c r="H3" s="438">
        <f t="shared" ref="H3:R3" si="0">DATE(2025,H2+1,0)</f>
        <v>45716</v>
      </c>
      <c r="I3" s="438">
        <f t="shared" si="0"/>
        <v>45747</v>
      </c>
      <c r="J3" s="438">
        <f t="shared" si="0"/>
        <v>45777</v>
      </c>
      <c r="K3" s="438">
        <f t="shared" si="0"/>
        <v>45808</v>
      </c>
      <c r="L3" s="438">
        <f t="shared" si="0"/>
        <v>45838</v>
      </c>
      <c r="M3" s="438">
        <f t="shared" si="0"/>
        <v>45869</v>
      </c>
      <c r="N3" s="438">
        <f t="shared" si="0"/>
        <v>45900</v>
      </c>
      <c r="O3" s="438">
        <f t="shared" si="0"/>
        <v>45930</v>
      </c>
      <c r="P3" s="438">
        <f t="shared" si="0"/>
        <v>45961</v>
      </c>
      <c r="Q3" s="438">
        <f t="shared" si="0"/>
        <v>45991</v>
      </c>
      <c r="R3" s="438">
        <f t="shared" si="0"/>
        <v>46022</v>
      </c>
      <c r="T3" s="21" t="s">
        <v>451</v>
      </c>
      <c r="V3" s="438">
        <f>DATE(2025,V2+1,0)</f>
        <v>45688</v>
      </c>
      <c r="W3" s="438">
        <f t="shared" ref="W3" si="1">DATE(2025,W2+1,0)</f>
        <v>45716</v>
      </c>
      <c r="X3" s="438">
        <f t="shared" ref="X3" si="2">DATE(2025,X2+1,0)</f>
        <v>45747</v>
      </c>
      <c r="Y3" s="438">
        <f t="shared" ref="Y3" si="3">DATE(2025,Y2+1,0)</f>
        <v>45777</v>
      </c>
      <c r="Z3" s="438">
        <f t="shared" ref="Z3" si="4">DATE(2025,Z2+1,0)</f>
        <v>45808</v>
      </c>
      <c r="AA3" s="438">
        <f t="shared" ref="AA3" si="5">DATE(2025,AA2+1,0)</f>
        <v>45838</v>
      </c>
      <c r="AB3" s="438">
        <f t="shared" ref="AB3" si="6">DATE(2025,AB2+1,0)</f>
        <v>45869</v>
      </c>
      <c r="AC3" s="438">
        <f t="shared" ref="AC3" si="7">DATE(2025,AC2+1,0)</f>
        <v>45900</v>
      </c>
      <c r="AD3" s="438">
        <f t="shared" ref="AD3" si="8">DATE(2025,AD2+1,0)</f>
        <v>45930</v>
      </c>
      <c r="AE3" s="438">
        <f t="shared" ref="AE3" si="9">DATE(2025,AE2+1,0)</f>
        <v>45961</v>
      </c>
      <c r="AF3" s="438">
        <f t="shared" ref="AF3" si="10">DATE(2025,AF2+1,0)</f>
        <v>45991</v>
      </c>
      <c r="AG3" s="438">
        <f t="shared" ref="AG3" si="11">DATE(2025,AG2+1,0)</f>
        <v>46022</v>
      </c>
      <c r="AI3" s="21" t="s">
        <v>451</v>
      </c>
      <c r="AK3" s="438">
        <f>DATE(2025,AK2+1,0)</f>
        <v>45688</v>
      </c>
      <c r="AL3" s="438">
        <f t="shared" ref="AL3" si="12">DATE(2025,AL2+1,0)</f>
        <v>45716</v>
      </c>
      <c r="AM3" s="438">
        <f t="shared" ref="AM3" si="13">DATE(2025,AM2+1,0)</f>
        <v>45747</v>
      </c>
      <c r="AN3" s="438">
        <f t="shared" ref="AN3" si="14">DATE(2025,AN2+1,0)</f>
        <v>45777</v>
      </c>
      <c r="AO3" s="438">
        <f t="shared" ref="AO3" si="15">DATE(2025,AO2+1,0)</f>
        <v>45808</v>
      </c>
      <c r="AP3" s="438">
        <f t="shared" ref="AP3" si="16">DATE(2025,AP2+1,0)</f>
        <v>45838</v>
      </c>
      <c r="AQ3" s="438">
        <f t="shared" ref="AQ3" si="17">DATE(2025,AQ2+1,0)</f>
        <v>45869</v>
      </c>
      <c r="AR3" s="438">
        <f t="shared" ref="AR3" si="18">DATE(2025,AR2+1,0)</f>
        <v>45900</v>
      </c>
      <c r="AS3" s="438">
        <f t="shared" ref="AS3" si="19">DATE(2025,AS2+1,0)</f>
        <v>45930</v>
      </c>
      <c r="AT3" s="438">
        <f t="shared" ref="AT3" si="20">DATE(2025,AT2+1,0)</f>
        <v>45961</v>
      </c>
      <c r="AU3" s="438">
        <f t="shared" ref="AU3" si="21">DATE(2025,AU2+1,0)</f>
        <v>45991</v>
      </c>
      <c r="AV3" s="438">
        <f t="shared" ref="AV3" si="22">DATE(2025,AV2+1,0)</f>
        <v>46022</v>
      </c>
      <c r="AW3" s="438"/>
      <c r="AX3" s="21" t="s">
        <v>451</v>
      </c>
      <c r="AY3" s="21"/>
      <c r="BA3" s="438">
        <f>DATE(2025,BA2+1,0)</f>
        <v>45688</v>
      </c>
      <c r="BB3" s="438">
        <f t="shared" ref="BB3" si="23">DATE(2025,BB2+1,0)</f>
        <v>45716</v>
      </c>
      <c r="BC3" s="438">
        <f t="shared" ref="BC3" si="24">DATE(2025,BC2+1,0)</f>
        <v>45747</v>
      </c>
      <c r="BD3" s="438">
        <f t="shared" ref="BD3" si="25">DATE(2025,BD2+1,0)</f>
        <v>45777</v>
      </c>
      <c r="BE3" s="438">
        <f t="shared" ref="BE3" si="26">DATE(2025,BE2+1,0)</f>
        <v>45808</v>
      </c>
      <c r="BF3" s="438">
        <f t="shared" ref="BF3" si="27">DATE(2025,BF2+1,0)</f>
        <v>45838</v>
      </c>
      <c r="BG3" s="438">
        <f t="shared" ref="BG3" si="28">DATE(2025,BG2+1,0)</f>
        <v>45869</v>
      </c>
      <c r="BH3" s="438">
        <f t="shared" ref="BH3" si="29">DATE(2025,BH2+1,0)</f>
        <v>45900</v>
      </c>
      <c r="BI3" s="438">
        <f t="shared" ref="BI3" si="30">DATE(2025,BI2+1,0)</f>
        <v>45930</v>
      </c>
      <c r="BJ3" s="438">
        <f t="shared" ref="BJ3" si="31">DATE(2025,BJ2+1,0)</f>
        <v>45961</v>
      </c>
      <c r="BK3" s="438">
        <f t="shared" ref="BK3" si="32">DATE(2025,BK2+1,0)</f>
        <v>45991</v>
      </c>
      <c r="BL3" s="438">
        <f t="shared" ref="BL3" si="33">DATE(2025,BL2+1,0)</f>
        <v>46022</v>
      </c>
      <c r="BM3" s="438"/>
      <c r="BN3" s="438"/>
      <c r="BO3" s="141"/>
      <c r="BP3" s="439">
        <f>DBRD!$R$11</f>
        <v>45961</v>
      </c>
      <c r="BQ3" s="105" t="s">
        <v>452</v>
      </c>
      <c r="BR3" s="21"/>
      <c r="BS3" s="105" t="s">
        <v>453</v>
      </c>
      <c r="BT3" s="105" t="s">
        <v>454</v>
      </c>
      <c r="BU3" s="105" t="s">
        <v>455</v>
      </c>
      <c r="BX3" s="828" t="s">
        <v>453</v>
      </c>
      <c r="BY3" s="105" t="s">
        <v>9</v>
      </c>
      <c r="BZ3">
        <f>COUNT(BS4:BS10)</f>
        <v>6</v>
      </c>
      <c r="CB3" t="s">
        <v>453</v>
      </c>
      <c r="CC3">
        <f>SUM(BZ3:BZ4)</f>
        <v>33</v>
      </c>
      <c r="CH3">
        <v>1</v>
      </c>
      <c r="CI3">
        <v>2</v>
      </c>
      <c r="CJ3">
        <v>3</v>
      </c>
      <c r="CK3">
        <v>4</v>
      </c>
      <c r="CL3">
        <v>5</v>
      </c>
      <c r="CM3">
        <v>6</v>
      </c>
      <c r="CN3">
        <v>7</v>
      </c>
      <c r="CO3">
        <v>8</v>
      </c>
      <c r="CP3">
        <v>9</v>
      </c>
      <c r="CQ3">
        <v>10</v>
      </c>
      <c r="CR3">
        <v>11</v>
      </c>
      <c r="CS3">
        <v>12</v>
      </c>
    </row>
    <row r="4" spans="1:103" ht="15.75" thickBot="1">
      <c r="A4" t="str" cm="1">
        <f t="array" ref="A4:A44">_xlfn._xlws.FILTER('UP3'!$B$7:$B$70,'UP3'!$C$7:$C$70&gt;0)</f>
        <v>Penjualan Tenaga Listrik</v>
      </c>
      <c r="B4" t="e" cm="1">
        <f t="array" ref="B4:B44">SEARCH(".",_xlfn.ANCHORARRAY(A4))</f>
        <v>#VALUE!</v>
      </c>
      <c r="C4" t="str" cm="1">
        <f t="array" ref="C4:C44">IF(ISERROR(_xlfn.ANCHORARRAY(B4))=TRUE,_xlfn.ANCHORARRAY(A4),RIGHT(_xlfn.ANCHORARRAY(A4),LEN(_xlfn.ANCHORARRAY(A4))-_xlfn.ANCHORARRAY(B4)-1))</f>
        <v>Penjualan Tenaga Listrik</v>
      </c>
      <c r="D4" s="105" t="s">
        <v>456</v>
      </c>
      <c r="E4" t="str" cm="1">
        <f t="array" ref="E4:E44">_xlfn.ANCHORARRAY(C4)</f>
        <v>Penjualan Tenaga Listrik</v>
      </c>
      <c r="G4" cm="1">
        <f t="array" ref="G4:G44">INDEX(T.UP3!I$7:I$69,MATCH(_xlfn.ANCHORARRAY($A4),T.UP3!$B$7:$B$69,0))</f>
        <v>18.739999999999998</v>
      </c>
      <c r="H4" cm="1">
        <f t="array" ref="H4:H44">INDEX(T.UP3!J$7:J$69,MATCH(_xlfn.ANCHORARRAY($A4),T.UP3!$B$7:$B$69,0))</f>
        <v>36.549999999999997</v>
      </c>
      <c r="I4" cm="1">
        <f t="array" ref="I4:I44">INDEX(T.UP3!K$7:K$69,MATCH(_xlfn.ANCHORARRAY($A4),T.UP3!$B$7:$B$69,0))</f>
        <v>56.39</v>
      </c>
      <c r="J4" cm="1">
        <f t="array" ref="J4:J44">INDEX(T.UP3!L$7:L$69,MATCH(_xlfn.ANCHORARRAY($A4),T.UP3!$B$7:$B$69,0))</f>
        <v>75.55</v>
      </c>
      <c r="K4" cm="1">
        <f t="array" ref="K4:K44">INDEX(T.UP3!M$7:M$69,MATCH(_xlfn.ANCHORARRAY($A4),T.UP3!$B$7:$B$69,0))</f>
        <v>95.22</v>
      </c>
      <c r="L4" cm="1">
        <f t="array" ref="L4:L44">INDEX(T.UP3!N$7:N$69,MATCH(_xlfn.ANCHORARRAY($A4),T.UP3!$B$7:$B$69,0))</f>
        <v>113.73</v>
      </c>
      <c r="M4" cm="1">
        <f t="array" ref="M4:M44">INDEX(T.UP3!O$7:O$69,MATCH(_xlfn.ANCHORARRAY($A4),T.UP3!$B$7:$B$69,0))</f>
        <v>132.49</v>
      </c>
      <c r="N4" cm="1">
        <f t="array" ref="N4:N44">INDEX(T.UP3!P$7:P$69,MATCH(_xlfn.ANCHORARRAY($A4),T.UP3!$B$7:$B$69,0))</f>
        <v>151.71</v>
      </c>
      <c r="O4" cm="1">
        <f t="array" ref="O4:O44">INDEX(T.UP3!Q$7:Q$69,MATCH(_xlfn.ANCHORARRAY($A4),T.UP3!$B$7:$B$69,0))</f>
        <v>171.15</v>
      </c>
      <c r="P4" cm="1">
        <f t="array" ref="P4:P44">INDEX(T.UP3!R$7:R$69,MATCH(_xlfn.ANCHORARRAY($A4),T.UP3!$B$7:$B$69,0))</f>
        <v>191.42</v>
      </c>
      <c r="Q4" cm="1">
        <f t="array" ref="Q4:Q44">INDEX(T.UP3!S$7:S$69,MATCH(_xlfn.ANCHORARRAY($A4),T.UP3!$B$7:$B$69,0))</f>
        <v>211.32</v>
      </c>
      <c r="R4" cm="1">
        <f t="array" ref="R4:R44">INDEX(T.UP3!T$7:T$69,MATCH(_xlfn.ANCHORARRAY($A4),T.UP3!$B$7:$B$69,0))</f>
        <v>231.47</v>
      </c>
      <c r="T4" t="str" cm="1">
        <f t="array" ref="T4:T44">_xlfn.ANCHORARRAY(C4)</f>
        <v>Penjualan Tenaga Listrik</v>
      </c>
      <c r="V4" cm="1">
        <f t="array" ref="V4:V44">INDEX('R.UP3'!I$7:I$70,MATCH(_xlfn.ANCHORARRAY($A4),'R.UP3'!$B$7:$B$70,0))</f>
        <v>22.980830736000001</v>
      </c>
      <c r="W4" cm="1">
        <f t="array" ref="W4:W44">INDEX('R.UP3'!J$7:J$70,MATCH(_xlfn.ANCHORARRAY($A4),'R.UP3'!$B$7:$B$70,0))</f>
        <v>42.202825991000005</v>
      </c>
      <c r="X4" cm="1">
        <f t="array" ref="X4:X44">INDEX('R.UP3'!K$7:K$70,MATCH(_xlfn.ANCHORARRAY($A4),'R.UP3'!$B$7:$B$70,0))</f>
        <v>60.926308253999998</v>
      </c>
      <c r="Y4" cm="1">
        <f t="array" ref="Y4:Y44">INDEX('R.UP3'!L$7:L$70,MATCH(_xlfn.ANCHORARRAY($A4),'R.UP3'!$B$7:$B$70,0))</f>
        <v>76.412118610000007</v>
      </c>
      <c r="Z4" cm="1">
        <f t="array" ref="Z4:Z44">INDEX('R.UP3'!M$7:M$70,MATCH(_xlfn.ANCHORARRAY($A4),'R.UP3'!$B$7:$B$70,0))</f>
        <v>93.906393210000005</v>
      </c>
      <c r="AA4" cm="1">
        <f t="array" ref="AA4:AA44">INDEX('R.UP3'!N$7:N$70,MATCH(_xlfn.ANCHORARRAY($A4),'R.UP3'!$B$7:$B$70,0))</f>
        <v>111.651567363</v>
      </c>
      <c r="AB4" cm="1">
        <f t="array" ref="AB4:AB44">INDEX('R.UP3'!O$7:O$70,MATCH(_xlfn.ANCHORARRAY($A4),'R.UP3'!$B$7:$B$70,0))</f>
        <v>129.839321754</v>
      </c>
      <c r="AC4" cm="1">
        <f t="array" ref="AC4:AC44">INDEX('R.UP3'!P$7:P$70,MATCH(_xlfn.ANCHORARRAY($A4),'R.UP3'!$B$7:$B$70,0))</f>
        <v>148.05997696200001</v>
      </c>
      <c r="AD4" cm="1">
        <f t="array" ref="AD4:AD44">INDEX('R.UP3'!Q$7:Q$70,MATCH(_xlfn.ANCHORARRAY($A4),'R.UP3'!$B$7:$B$70,0))</f>
        <v>166.35580660400001</v>
      </c>
      <c r="AE4" cm="1">
        <f t="array" ref="AE4:AE44">INDEX('R.UP3'!R$7:R$70,MATCH(_xlfn.ANCHORARRAY($A4),'R.UP3'!$B$7:$B$70,0))</f>
        <v>185.536898264</v>
      </c>
      <c r="AF4" cm="1">
        <f t="array" ref="AF4:AF44">INDEX('R.UP3'!S$7:S$70,MATCH(_xlfn.ANCHORARRAY($A4),'R.UP3'!$B$7:$B$70,0))</f>
        <v>185.536898264</v>
      </c>
      <c r="AG4" cm="1">
        <f t="array" ref="AG4:AG44">INDEX('R.UP3'!T$7:T$70,MATCH(_xlfn.ANCHORARRAY($A4),'R.UP3'!$B$7:$B$70,0))</f>
        <v>185.536898264</v>
      </c>
      <c r="AI4" t="str">
        <f t="shared" ref="AI4:AI44" si="34">$C4</f>
        <v>Penjualan Tenaga Listrik</v>
      </c>
      <c r="AK4" s="440">
        <f>IF(V4/G4*100&gt;110,110,V4/G4*100)</f>
        <v>110</v>
      </c>
      <c r="AL4" s="440">
        <f t="shared" ref="AL4:AV4" si="35">IF(W4/H4*100&gt;110,110,W4/H4*100)</f>
        <v>110</v>
      </c>
      <c r="AM4" s="440">
        <f t="shared" si="35"/>
        <v>108.04452607554531</v>
      </c>
      <c r="AN4" s="440">
        <f t="shared" si="35"/>
        <v>101.14112324288551</v>
      </c>
      <c r="AO4" s="440">
        <f t="shared" si="35"/>
        <v>98.620450756143669</v>
      </c>
      <c r="AP4" s="440">
        <f t="shared" si="35"/>
        <v>98.172485151675019</v>
      </c>
      <c r="AQ4" s="440">
        <f t="shared" si="35"/>
        <v>97.999337122801705</v>
      </c>
      <c r="AR4" s="440">
        <f t="shared" si="35"/>
        <v>97.594078809570888</v>
      </c>
      <c r="AS4" s="440">
        <f t="shared" si="35"/>
        <v>97.198835293017822</v>
      </c>
      <c r="AT4" s="440">
        <f t="shared" si="35"/>
        <v>96.926600284191835</v>
      </c>
      <c r="AU4" s="440">
        <f t="shared" si="35"/>
        <v>87.799024353586987</v>
      </c>
      <c r="AV4" s="440">
        <f t="shared" si="35"/>
        <v>80.15591578347086</v>
      </c>
      <c r="AW4" s="443"/>
      <c r="AX4" t="str">
        <f t="shared" ref="AX4:AX44" si="36">$C4</f>
        <v>Penjualan Tenaga Listrik</v>
      </c>
      <c r="AY4" s="105" t="s">
        <v>452</v>
      </c>
      <c r="AZ4" s="442">
        <v>14</v>
      </c>
      <c r="BA4" s="440">
        <f>ROUNDDOWN(AK4/100*$AZ4,2)</f>
        <v>15.4</v>
      </c>
      <c r="BB4" s="440">
        <f t="shared" ref="BB4:BB44" si="37">ROUNDDOWN(AL4/100*$AZ4,2)</f>
        <v>15.4</v>
      </c>
      <c r="BC4" s="440">
        <f t="shared" ref="BC4:BC44" si="38">ROUNDDOWN(AM4/100*$AZ4,2)</f>
        <v>15.12</v>
      </c>
      <c r="BD4" s="440">
        <f t="shared" ref="BD4:BD44" si="39">ROUNDDOWN(AN4/100*$AZ4,2)</f>
        <v>14.15</v>
      </c>
      <c r="BE4" s="440">
        <f t="shared" ref="BE4:BE44" si="40">ROUNDDOWN(AO4/100*$AZ4,2)</f>
        <v>13.8</v>
      </c>
      <c r="BF4" s="440">
        <f t="shared" ref="BF4:BF44" si="41">ROUNDDOWN(AP4/100*$AZ4,2)</f>
        <v>13.74</v>
      </c>
      <c r="BG4" s="440">
        <f t="shared" ref="BG4:BG44" si="42">ROUNDDOWN(AQ4/100*$AZ4,2)</f>
        <v>13.71</v>
      </c>
      <c r="BH4" s="440">
        <f t="shared" ref="BH4:BH44" si="43">ROUNDDOWN(AR4/100*$AZ4,2)</f>
        <v>13.66</v>
      </c>
      <c r="BI4" s="440">
        <f t="shared" ref="BI4:BI44" si="44">ROUNDDOWN(AS4/100*$AZ4,2)</f>
        <v>13.6</v>
      </c>
      <c r="BJ4" s="440">
        <f t="shared" ref="BJ4:BJ44" si="45">ROUNDDOWN(AT4/100*$AZ4,2)</f>
        <v>13.56</v>
      </c>
      <c r="BK4" s="440">
        <f t="shared" ref="BK4:BK44" si="46">ROUNDDOWN(AU4/100*$AZ4,2)</f>
        <v>12.29</v>
      </c>
      <c r="BL4" s="440">
        <f t="shared" ref="BL4:BL44" si="47">ROUNDDOWN(AV4/100*$AZ4,2)</f>
        <v>11.22</v>
      </c>
      <c r="BM4" s="443"/>
      <c r="BN4" s="443"/>
      <c r="BO4" s="141"/>
      <c r="BQ4" s="444" cm="1">
        <f t="array" ref="BQ4">INDEX(AK4:AV4,MATCH(MONTH($BP$3),MONTH($AK$3:$AV$3),0))</f>
        <v>96.926600284191835</v>
      </c>
      <c r="BR4" t="str" cm="1">
        <f t="array" ref="BR4:BR44">_xlfn.ANCHORARRAY(C4)</f>
        <v>Penjualan Tenaga Listrik</v>
      </c>
      <c r="BS4" s="443" t="str" cm="1">
        <f t="array" ref="BS4:BS44">IF(BQ4:BQ44&gt;=100,BQ4:BQ44,"")</f>
        <v/>
      </c>
      <c r="BT4" s="443">
        <f t="shared" ref="BT4:BT44" si="48">IF(BQ4&lt;100,IF(BQ4&gt;=95,BQ4,""),"")</f>
        <v>96.926600284191835</v>
      </c>
      <c r="BU4" s="443" t="str" cm="1">
        <f t="array" ref="BU4:BU42">IF(BQ4:BQ42&lt;95,BQ4:BQ42,"")</f>
        <v/>
      </c>
      <c r="BV4" s="440">
        <f>BQ4/100</f>
        <v>0.96926600284191833</v>
      </c>
      <c r="BX4" s="828"/>
      <c r="BY4" s="105" t="s">
        <v>457</v>
      </c>
      <c r="BZ4">
        <f>COUNT(BS11:BS42)</f>
        <v>27</v>
      </c>
      <c r="CB4" t="s">
        <v>454</v>
      </c>
      <c r="CC4">
        <f>SUM(BZ5:BZ6)</f>
        <v>3</v>
      </c>
      <c r="CF4" s="475" t="s">
        <v>468</v>
      </c>
      <c r="CG4" s="471" t="s">
        <v>452</v>
      </c>
      <c r="CH4" s="472" t="str">
        <f>DBRD!$R$61</f>
        <v>Pencapaian Rata-Rata Saldo Tanggal 20 diluar Konsumen Instansi (Kementerian &amp; Lembaga)</v>
      </c>
      <c r="CI4" s="473"/>
      <c r="CJ4" s="473"/>
      <c r="CK4" s="473"/>
      <c r="CL4" s="473"/>
      <c r="CM4" s="473"/>
      <c r="CN4" s="473"/>
      <c r="CO4" s="473"/>
      <c r="CP4" s="473"/>
      <c r="CQ4" s="473"/>
      <c r="CR4" s="473"/>
      <c r="CS4" s="474"/>
    </row>
    <row r="5" spans="1:103">
      <c r="A5" t="str">
        <v>a. SAIDI Sesuai Kewenangannya</v>
      </c>
      <c r="B5">
        <v>2</v>
      </c>
      <c r="C5" t="str">
        <v>SAIDI Sesuai Kewenangannya</v>
      </c>
      <c r="D5" s="105" t="s">
        <v>456</v>
      </c>
      <c r="E5" t="str">
        <v>SAIDI Sesuai Kewenangannya</v>
      </c>
      <c r="G5">
        <v>23.39</v>
      </c>
      <c r="H5">
        <v>46.78</v>
      </c>
      <c r="I5">
        <v>70.17</v>
      </c>
      <c r="J5">
        <v>93.56</v>
      </c>
      <c r="K5">
        <v>116.95</v>
      </c>
      <c r="L5">
        <v>140.34</v>
      </c>
      <c r="M5">
        <v>163.72</v>
      </c>
      <c r="N5">
        <v>187.11</v>
      </c>
      <c r="O5">
        <v>210.5</v>
      </c>
      <c r="P5">
        <v>233.89</v>
      </c>
      <c r="Q5">
        <v>257.27999999999997</v>
      </c>
      <c r="R5">
        <v>280.67</v>
      </c>
      <c r="T5" t="str">
        <v>SAIDI Sesuai Kewenangannya</v>
      </c>
      <c r="V5">
        <v>12.366708627002435</v>
      </c>
      <c r="W5">
        <v>14.217818098417473</v>
      </c>
      <c r="X5">
        <v>15.90798980700673</v>
      </c>
      <c r="Y5">
        <v>30.880917162575816</v>
      </c>
      <c r="Z5">
        <v>82.702127067631139</v>
      </c>
      <c r="AA5">
        <v>122.59170408678104</v>
      </c>
      <c r="AB5">
        <v>145.52251005165829</v>
      </c>
      <c r="AC5">
        <v>149.85371016749113</v>
      </c>
      <c r="AD5">
        <v>159.21375563345018</v>
      </c>
      <c r="AE5">
        <v>196.05711720474355</v>
      </c>
      <c r="AF5">
        <v>0</v>
      </c>
      <c r="AG5">
        <v>0</v>
      </c>
      <c r="AI5" t="str">
        <f t="shared" si="34"/>
        <v>SAIDI Sesuai Kewenangannya</v>
      </c>
      <c r="AK5" s="440">
        <f>IF((2-(V5/G5))*100&gt;110,110,(2-(V5/G5))*100)</f>
        <v>110</v>
      </c>
      <c r="AL5" s="440">
        <f t="shared" ref="AL5:AV6" si="49">IF((2-(W5/H5))*100&gt;110,110,(2-(W5/H5))*100)</f>
        <v>110</v>
      </c>
      <c r="AM5" s="440">
        <f t="shared" si="49"/>
        <v>110</v>
      </c>
      <c r="AN5" s="440">
        <f t="shared" si="49"/>
        <v>110</v>
      </c>
      <c r="AO5" s="440">
        <f t="shared" si="49"/>
        <v>110</v>
      </c>
      <c r="AP5" s="440">
        <f t="shared" si="49"/>
        <v>110</v>
      </c>
      <c r="AQ5" s="440">
        <f t="shared" si="49"/>
        <v>110</v>
      </c>
      <c r="AR5" s="440">
        <f t="shared" si="49"/>
        <v>110</v>
      </c>
      <c r="AS5" s="440">
        <f t="shared" si="49"/>
        <v>110</v>
      </c>
      <c r="AT5" s="440">
        <f t="shared" si="49"/>
        <v>110</v>
      </c>
      <c r="AU5" s="440">
        <f t="shared" si="49"/>
        <v>110</v>
      </c>
      <c r="AV5" s="440">
        <f t="shared" si="49"/>
        <v>110</v>
      </c>
      <c r="AW5" s="443"/>
      <c r="AX5" t="str">
        <f t="shared" si="36"/>
        <v>SAIDI Sesuai Kewenangannya</v>
      </c>
      <c r="AY5" s="105" t="s">
        <v>452</v>
      </c>
      <c r="AZ5" s="442">
        <f>14/3</f>
        <v>4.666666666666667</v>
      </c>
      <c r="BA5" s="440">
        <f t="shared" ref="BA5:BA44" si="50">ROUNDDOWN(AK5/100*$AZ5,2)</f>
        <v>5.13</v>
      </c>
      <c r="BB5" s="440">
        <f t="shared" si="37"/>
        <v>5.13</v>
      </c>
      <c r="BC5" s="440">
        <f t="shared" si="38"/>
        <v>5.13</v>
      </c>
      <c r="BD5" s="440">
        <f t="shared" si="39"/>
        <v>5.13</v>
      </c>
      <c r="BE5" s="440">
        <f t="shared" si="40"/>
        <v>5.13</v>
      </c>
      <c r="BF5" s="440">
        <f t="shared" si="41"/>
        <v>5.13</v>
      </c>
      <c r="BG5" s="440">
        <f t="shared" si="42"/>
        <v>5.13</v>
      </c>
      <c r="BH5" s="440">
        <f t="shared" si="43"/>
        <v>5.13</v>
      </c>
      <c r="BI5" s="440">
        <f t="shared" si="44"/>
        <v>5.13</v>
      </c>
      <c r="BJ5" s="440">
        <f t="shared" si="45"/>
        <v>5.13</v>
      </c>
      <c r="BK5" s="440">
        <f t="shared" si="46"/>
        <v>5.13</v>
      </c>
      <c r="BL5" s="440">
        <f t="shared" si="47"/>
        <v>5.13</v>
      </c>
      <c r="BM5" s="443"/>
      <c r="BN5" s="443"/>
      <c r="BO5" s="141"/>
      <c r="BQ5" s="444" cm="1">
        <f t="array" ref="BQ5">INDEX(AK5:AV5,MATCH(MONTH($BP$3),MONTH($AK$3:$AV$3),0))</f>
        <v>110</v>
      </c>
      <c r="BR5" t="str">
        <v>SAIDI Sesuai Kewenangannya</v>
      </c>
      <c r="BS5" s="443">
        <v>110</v>
      </c>
      <c r="BT5" s="443" t="str">
        <f t="shared" si="48"/>
        <v/>
      </c>
      <c r="BU5" s="443" t="str">
        <v/>
      </c>
      <c r="BV5" s="440">
        <f t="shared" ref="BV5:BV42" si="51">BQ5/100</f>
        <v>1.1000000000000001</v>
      </c>
      <c r="BX5" s="828" t="s">
        <v>454</v>
      </c>
      <c r="BY5" s="105" t="s">
        <v>9</v>
      </c>
      <c r="BZ5">
        <f>COUNT(BT4:BT10)</f>
        <v>1</v>
      </c>
      <c r="CB5" t="s">
        <v>455</v>
      </c>
      <c r="CC5">
        <f>SUM(BZ7:BZ8)</f>
        <v>3</v>
      </c>
      <c r="CF5" s="433"/>
      <c r="CH5" s="438">
        <f t="shared" ref="CH5:CS5" si="52">DATE(2025,CH3+1,0)</f>
        <v>45688</v>
      </c>
      <c r="CI5" s="438">
        <f t="shared" si="52"/>
        <v>45716</v>
      </c>
      <c r="CJ5" s="438">
        <f t="shared" si="52"/>
        <v>45747</v>
      </c>
      <c r="CK5" s="438">
        <f t="shared" si="52"/>
        <v>45777</v>
      </c>
      <c r="CL5" s="438">
        <f t="shared" si="52"/>
        <v>45808</v>
      </c>
      <c r="CM5" s="438">
        <f t="shared" si="52"/>
        <v>45838</v>
      </c>
      <c r="CN5" s="438">
        <f t="shared" si="52"/>
        <v>45869</v>
      </c>
      <c r="CO5" s="438">
        <f t="shared" si="52"/>
        <v>45900</v>
      </c>
      <c r="CP5" s="438">
        <f t="shared" si="52"/>
        <v>45930</v>
      </c>
      <c r="CQ5" s="438">
        <f t="shared" si="52"/>
        <v>45961</v>
      </c>
      <c r="CR5" s="438">
        <f t="shared" si="52"/>
        <v>45991</v>
      </c>
      <c r="CS5" s="464">
        <f t="shared" si="52"/>
        <v>46022</v>
      </c>
    </row>
    <row r="6" spans="1:103" ht="15.75" thickBot="1">
      <c r="A6" t="str">
        <v>b. SAIFI Sesuai Kewenangannya</v>
      </c>
      <c r="B6">
        <v>2</v>
      </c>
      <c r="C6" t="str">
        <v>SAIFI Sesuai Kewenangannya</v>
      </c>
      <c r="D6" s="105" t="s">
        <v>456</v>
      </c>
      <c r="E6" t="str">
        <v>SAIFI Sesuai Kewenangannya</v>
      </c>
      <c r="G6">
        <v>0.25</v>
      </c>
      <c r="H6">
        <v>0.49</v>
      </c>
      <c r="I6">
        <v>0.74</v>
      </c>
      <c r="J6">
        <v>0.99</v>
      </c>
      <c r="K6">
        <v>1.24</v>
      </c>
      <c r="L6">
        <v>1.48</v>
      </c>
      <c r="M6">
        <v>1.73</v>
      </c>
      <c r="N6">
        <v>1.98</v>
      </c>
      <c r="O6">
        <v>2.2200000000000002</v>
      </c>
      <c r="P6">
        <v>2.4700000000000002</v>
      </c>
      <c r="Q6">
        <v>2.72</v>
      </c>
      <c r="R6">
        <v>2.97</v>
      </c>
      <c r="T6" t="str">
        <v>SAIFI Sesuai Kewenangannya</v>
      </c>
      <c r="V6">
        <v>0.14652677048122328</v>
      </c>
      <c r="W6">
        <v>0.17056140261461228</v>
      </c>
      <c r="X6">
        <v>0.28323684728938825</v>
      </c>
      <c r="Y6">
        <v>0.48270813924748562</v>
      </c>
      <c r="Z6">
        <v>0.95578936719105667</v>
      </c>
      <c r="AA6">
        <v>1.2958186175580222</v>
      </c>
      <c r="AB6">
        <v>1.5608290494497543</v>
      </c>
      <c r="AC6">
        <v>1.5900798533510785</v>
      </c>
      <c r="AD6">
        <v>1.7486104156234352</v>
      </c>
      <c r="AE6">
        <v>2.1759567543301785</v>
      </c>
      <c r="AF6">
        <v>0</v>
      </c>
      <c r="AG6">
        <v>0</v>
      </c>
      <c r="AI6" t="str">
        <f t="shared" si="34"/>
        <v>SAIFI Sesuai Kewenangannya</v>
      </c>
      <c r="AK6" s="440">
        <f t="shared" ref="AK6" si="53">IF((2-(V6/G6))*100&gt;110,110,(2-(V6/G6))*100)</f>
        <v>110</v>
      </c>
      <c r="AL6" s="440">
        <f t="shared" si="49"/>
        <v>110</v>
      </c>
      <c r="AM6" s="440">
        <f t="shared" si="49"/>
        <v>110</v>
      </c>
      <c r="AN6" s="440">
        <f t="shared" si="49"/>
        <v>110</v>
      </c>
      <c r="AO6" s="440">
        <f t="shared" si="49"/>
        <v>110</v>
      </c>
      <c r="AP6" s="440">
        <f t="shared" si="49"/>
        <v>110</v>
      </c>
      <c r="AQ6" s="440">
        <f t="shared" si="49"/>
        <v>109.77866766186391</v>
      </c>
      <c r="AR6" s="440">
        <f t="shared" si="49"/>
        <v>110</v>
      </c>
      <c r="AS6" s="440">
        <f t="shared" si="49"/>
        <v>110</v>
      </c>
      <c r="AT6" s="440">
        <f t="shared" si="49"/>
        <v>110</v>
      </c>
      <c r="AU6" s="440">
        <f t="shared" si="49"/>
        <v>110</v>
      </c>
      <c r="AV6" s="440">
        <f t="shared" si="49"/>
        <v>110</v>
      </c>
      <c r="AW6" s="443"/>
      <c r="AX6" t="str">
        <f t="shared" si="36"/>
        <v>SAIFI Sesuai Kewenangannya</v>
      </c>
      <c r="AY6" s="105" t="s">
        <v>452</v>
      </c>
      <c r="AZ6" s="442">
        <f t="shared" ref="AZ6:AZ7" si="54">14/3</f>
        <v>4.666666666666667</v>
      </c>
      <c r="BA6" s="440">
        <f t="shared" si="50"/>
        <v>5.13</v>
      </c>
      <c r="BB6" s="440">
        <f t="shared" si="37"/>
        <v>5.13</v>
      </c>
      <c r="BC6" s="440">
        <f t="shared" si="38"/>
        <v>5.13</v>
      </c>
      <c r="BD6" s="440">
        <f t="shared" si="39"/>
        <v>5.13</v>
      </c>
      <c r="BE6" s="440">
        <f t="shared" si="40"/>
        <v>5.13</v>
      </c>
      <c r="BF6" s="440">
        <f t="shared" si="41"/>
        <v>5.13</v>
      </c>
      <c r="BG6" s="440">
        <f t="shared" si="42"/>
        <v>5.12</v>
      </c>
      <c r="BH6" s="440">
        <f t="shared" si="43"/>
        <v>5.13</v>
      </c>
      <c r="BI6" s="440">
        <f t="shared" si="44"/>
        <v>5.13</v>
      </c>
      <c r="BJ6" s="440">
        <f t="shared" si="45"/>
        <v>5.13</v>
      </c>
      <c r="BK6" s="440">
        <f t="shared" si="46"/>
        <v>5.13</v>
      </c>
      <c r="BL6" s="440">
        <f t="shared" si="47"/>
        <v>5.13</v>
      </c>
      <c r="BM6" s="443"/>
      <c r="BN6" s="443"/>
      <c r="BO6" s="141"/>
      <c r="BQ6" s="444" cm="1">
        <f t="array" ref="BQ6">INDEX(AK6:AV6,MATCH(MONTH($BP$3),MONTH($AK$3:$AV$3),0))</f>
        <v>110</v>
      </c>
      <c r="BR6" t="str">
        <v>SAIFI Sesuai Kewenangannya</v>
      </c>
      <c r="BS6" s="443">
        <v>110</v>
      </c>
      <c r="BT6" s="443" t="str">
        <f t="shared" si="48"/>
        <v/>
      </c>
      <c r="BU6" s="443" t="str">
        <v/>
      </c>
      <c r="BV6" s="440">
        <f t="shared" si="51"/>
        <v>1.1000000000000001</v>
      </c>
      <c r="BX6" s="828"/>
      <c r="BY6" s="105" t="s">
        <v>457</v>
      </c>
      <c r="BZ6">
        <f>COUNT(BT11:BT42)</f>
        <v>2</v>
      </c>
      <c r="CF6" s="830" t="s">
        <v>7</v>
      </c>
      <c r="CG6" t="s">
        <v>100</v>
      </c>
      <c r="CH6" s="465">
        <f>INDEX(_xlfn.ANCHORARRAY(G$4),MATCH($CH$4,_xlfn.ANCHORARRAY($E$4),0))</f>
        <v>1175</v>
      </c>
      <c r="CI6" s="465">
        <f t="shared" ref="CI6:CS6" si="55">INDEX(_xlfn.ANCHORARRAY(H$4),MATCH($CH$4,_xlfn.ANCHORARRAY($E$4),0))</f>
        <v>1175</v>
      </c>
      <c r="CJ6" s="465">
        <f t="shared" si="55"/>
        <v>1175</v>
      </c>
      <c r="CK6" s="465">
        <f t="shared" si="55"/>
        <v>1175</v>
      </c>
      <c r="CL6" s="465">
        <f t="shared" si="55"/>
        <v>1175</v>
      </c>
      <c r="CM6" s="465">
        <f t="shared" si="55"/>
        <v>1175</v>
      </c>
      <c r="CN6" s="465">
        <f t="shared" si="55"/>
        <v>1175</v>
      </c>
      <c r="CO6" s="465">
        <f t="shared" si="55"/>
        <v>1175</v>
      </c>
      <c r="CP6" s="465">
        <f t="shared" si="55"/>
        <v>1175</v>
      </c>
      <c r="CQ6" s="465">
        <f t="shared" si="55"/>
        <v>1175</v>
      </c>
      <c r="CR6" s="465">
        <f t="shared" si="55"/>
        <v>1175</v>
      </c>
      <c r="CS6" s="466">
        <f t="shared" si="55"/>
        <v>1175</v>
      </c>
    </row>
    <row r="7" spans="1:103">
      <c r="A7" t="str">
        <v>c. ENS</v>
      </c>
      <c r="B7">
        <v>2</v>
      </c>
      <c r="C7" t="str">
        <v>ENS</v>
      </c>
      <c r="D7" s="105" t="s">
        <v>456</v>
      </c>
      <c r="E7" t="str">
        <v>ENS</v>
      </c>
      <c r="G7">
        <v>8.99</v>
      </c>
      <c r="H7">
        <v>17.98</v>
      </c>
      <c r="I7">
        <v>26.97</v>
      </c>
      <c r="J7">
        <v>35.96</v>
      </c>
      <c r="K7">
        <v>44.94</v>
      </c>
      <c r="L7">
        <v>53.93</v>
      </c>
      <c r="M7">
        <v>62.92</v>
      </c>
      <c r="N7">
        <v>71.91</v>
      </c>
      <c r="O7">
        <v>80.900000000000006</v>
      </c>
      <c r="P7">
        <v>89.89</v>
      </c>
      <c r="Q7">
        <v>98.88</v>
      </c>
      <c r="R7">
        <v>107.87</v>
      </c>
      <c r="T7" t="str">
        <v>ENS</v>
      </c>
      <c r="V7">
        <v>5.444</v>
      </c>
      <c r="W7">
        <v>6.6289999999999996</v>
      </c>
      <c r="X7">
        <v>7.3599999999999994</v>
      </c>
      <c r="Y7">
        <v>13.033999999999999</v>
      </c>
      <c r="Z7">
        <v>27.391999999999999</v>
      </c>
      <c r="AA7">
        <v>37.920999999999999</v>
      </c>
      <c r="AB7">
        <v>44.24</v>
      </c>
      <c r="AC7">
        <v>46.248000000000005</v>
      </c>
      <c r="AD7">
        <v>50.782000000000004</v>
      </c>
      <c r="AE7">
        <v>60.972000000000001</v>
      </c>
      <c r="AF7">
        <v>0</v>
      </c>
      <c r="AG7">
        <v>0</v>
      </c>
      <c r="AI7" t="str">
        <f t="shared" si="34"/>
        <v>ENS</v>
      </c>
      <c r="AK7" s="440">
        <f>IF(((G7-(V7-G7))/G7)*100&gt;110,110,((G7-(V7-G7))/G7)*100)</f>
        <v>110</v>
      </c>
      <c r="AL7" s="440">
        <f t="shared" ref="AL7:AV7" si="56">IF(((H7-(W7-H7))/H7)*100&gt;110,110,((H7-(W7-H7))/H7)*100)</f>
        <v>110</v>
      </c>
      <c r="AM7" s="440">
        <f t="shared" si="56"/>
        <v>110</v>
      </c>
      <c r="AN7" s="440">
        <f t="shared" si="56"/>
        <v>110</v>
      </c>
      <c r="AO7" s="440">
        <f t="shared" si="56"/>
        <v>110</v>
      </c>
      <c r="AP7" s="440">
        <f t="shared" si="56"/>
        <v>110</v>
      </c>
      <c r="AQ7" s="440">
        <f t="shared" si="56"/>
        <v>110</v>
      </c>
      <c r="AR7" s="440">
        <f t="shared" si="56"/>
        <v>110</v>
      </c>
      <c r="AS7" s="440">
        <f t="shared" si="56"/>
        <v>110</v>
      </c>
      <c r="AT7" s="440">
        <f t="shared" si="56"/>
        <v>110</v>
      </c>
      <c r="AU7" s="440">
        <f t="shared" si="56"/>
        <v>110</v>
      </c>
      <c r="AV7" s="440">
        <f t="shared" si="56"/>
        <v>110</v>
      </c>
      <c r="AW7" s="443"/>
      <c r="AX7" t="str">
        <f t="shared" si="36"/>
        <v>ENS</v>
      </c>
      <c r="AY7" s="105" t="s">
        <v>452</v>
      </c>
      <c r="AZ7" s="442">
        <f t="shared" si="54"/>
        <v>4.666666666666667</v>
      </c>
      <c r="BA7" s="440">
        <f t="shared" si="50"/>
        <v>5.13</v>
      </c>
      <c r="BB7" s="440">
        <f t="shared" si="37"/>
        <v>5.13</v>
      </c>
      <c r="BC7" s="440">
        <f t="shared" si="38"/>
        <v>5.13</v>
      </c>
      <c r="BD7" s="440">
        <f t="shared" si="39"/>
        <v>5.13</v>
      </c>
      <c r="BE7" s="440">
        <f t="shared" si="40"/>
        <v>5.13</v>
      </c>
      <c r="BF7" s="440">
        <f t="shared" si="41"/>
        <v>5.13</v>
      </c>
      <c r="BG7" s="440">
        <f t="shared" si="42"/>
        <v>5.13</v>
      </c>
      <c r="BH7" s="440">
        <f t="shared" si="43"/>
        <v>5.13</v>
      </c>
      <c r="BI7" s="440">
        <f t="shared" si="44"/>
        <v>5.13</v>
      </c>
      <c r="BJ7" s="440">
        <f t="shared" si="45"/>
        <v>5.13</v>
      </c>
      <c r="BK7" s="440">
        <f t="shared" si="46"/>
        <v>5.13</v>
      </c>
      <c r="BL7" s="440">
        <f t="shared" si="47"/>
        <v>5.13</v>
      </c>
      <c r="BM7" s="443"/>
      <c r="BN7" s="443"/>
      <c r="BO7" s="141"/>
      <c r="BQ7" s="444" cm="1">
        <f t="array" ref="BQ7">INDEX(AK7:AV7,MATCH(MONTH($BP$3),MONTH($AK$3:$AV$3),0))</f>
        <v>110</v>
      </c>
      <c r="BR7" t="str">
        <v>ENS</v>
      </c>
      <c r="BS7" s="443">
        <v>110</v>
      </c>
      <c r="BT7" s="443" t="str">
        <f t="shared" si="48"/>
        <v/>
      </c>
      <c r="BU7" s="443" t="str">
        <v/>
      </c>
      <c r="BV7" s="440">
        <f t="shared" si="51"/>
        <v>1.1000000000000001</v>
      </c>
      <c r="BX7" s="828" t="s">
        <v>455</v>
      </c>
      <c r="BY7" s="105" t="s">
        <v>9</v>
      </c>
      <c r="BZ7">
        <f>COUNT(BU4:BU10)</f>
        <v>0</v>
      </c>
      <c r="CF7" s="830"/>
      <c r="CG7" t="s">
        <v>254</v>
      </c>
      <c r="CH7" s="465">
        <f>INDEX(_xlfn.ANCHORARRAY(V$4),MATCH($CH$4,_xlfn.ANCHORARRAY($T$4),0))</f>
        <v>1281.87806</v>
      </c>
      <c r="CI7" s="465">
        <f t="shared" ref="CI7:CS7" si="57">INDEX(_xlfn.ANCHORARRAY(W$4),MATCH($CH$4,_xlfn.ANCHORARRAY($T$4),0))</f>
        <v>1083.2909414999999</v>
      </c>
      <c r="CJ7" s="465">
        <f t="shared" si="57"/>
        <v>1022.1397566666666</v>
      </c>
      <c r="CK7" s="465">
        <f t="shared" si="57"/>
        <v>1028.3136465</v>
      </c>
      <c r="CL7" s="465">
        <f t="shared" si="57"/>
        <v>1095.9366248000001</v>
      </c>
      <c r="CM7" s="465">
        <f t="shared" si="57"/>
        <v>1111.3078128333334</v>
      </c>
      <c r="CN7" s="465">
        <f t="shared" si="57"/>
        <v>1088.9630380000001</v>
      </c>
      <c r="CO7" s="465">
        <f t="shared" si="57"/>
        <v>1029.1045273750001</v>
      </c>
      <c r="CP7" s="465">
        <f t="shared" si="57"/>
        <v>1001.4119882222224</v>
      </c>
      <c r="CQ7" s="465">
        <f t="shared" si="57"/>
        <v>1001.4119882222224</v>
      </c>
      <c r="CR7" s="465">
        <f t="shared" si="57"/>
        <v>1001.4119882222224</v>
      </c>
      <c r="CS7" s="465">
        <f t="shared" si="57"/>
        <v>1001.4119882222224</v>
      </c>
      <c r="CT7" s="476">
        <f>DBRD!R97</f>
        <v>45838</v>
      </c>
      <c r="CU7" s="477" t="s">
        <v>102</v>
      </c>
      <c r="CV7" t="s">
        <v>476</v>
      </c>
      <c r="CW7" t="s">
        <v>477</v>
      </c>
      <c r="CX7" t="s">
        <v>455</v>
      </c>
    </row>
    <row r="8" spans="1:103" ht="15.75" thickBot="1">
      <c r="A8" t="str">
        <v>a. Susut Distribusi Tanpa E-min (sesuai kewenangan)</v>
      </c>
      <c r="B8">
        <v>2</v>
      </c>
      <c r="C8" t="str">
        <v>Susut Distribusi Tanpa E-min (sesuai kewenangan)</v>
      </c>
      <c r="D8" s="105" t="s">
        <v>456</v>
      </c>
      <c r="E8" t="str">
        <v>Susut Distribusi Tanpa E-min (sesuai kewenangan)</v>
      </c>
      <c r="G8">
        <v>9.9499999999999993</v>
      </c>
      <c r="H8">
        <v>9.9499999999999993</v>
      </c>
      <c r="I8">
        <v>9.9499999999999993</v>
      </c>
      <c r="J8">
        <v>9.77</v>
      </c>
      <c r="K8">
        <v>9.59</v>
      </c>
      <c r="L8">
        <v>9.41</v>
      </c>
      <c r="M8">
        <v>9.34</v>
      </c>
      <c r="N8">
        <v>9.27</v>
      </c>
      <c r="O8">
        <v>9.1999999999999993</v>
      </c>
      <c r="P8">
        <v>9.14</v>
      </c>
      <c r="Q8">
        <v>9.07</v>
      </c>
      <c r="R8">
        <v>9</v>
      </c>
      <c r="T8" t="str">
        <v>Susut Distribusi Tanpa E-min (sesuai kewenangan)</v>
      </c>
      <c r="V8">
        <v>-15.682737184229497</v>
      </c>
      <c r="W8">
        <v>-10.228821067310426</v>
      </c>
      <c r="X8">
        <v>-2.8846078747913642</v>
      </c>
      <c r="Y8">
        <v>3.5063857291321998</v>
      </c>
      <c r="Z8">
        <v>6.3999484078289566</v>
      </c>
      <c r="AA8">
        <v>6.9996588694363426</v>
      </c>
      <c r="AB8">
        <v>7.6587322275420009</v>
      </c>
      <c r="AC8">
        <v>7.929049915654077</v>
      </c>
      <c r="AD8">
        <v>8.2084941236385731</v>
      </c>
      <c r="AE8">
        <v>8.2408737165638186</v>
      </c>
      <c r="AF8">
        <v>0</v>
      </c>
      <c r="AG8">
        <v>0</v>
      </c>
      <c r="AI8" t="str">
        <f t="shared" si="34"/>
        <v>Susut Distribusi Tanpa E-min (sesuai kewenangan)</v>
      </c>
      <c r="AK8" s="440">
        <f t="shared" ref="AK8" si="58">IF((2-(V8/G8))*100&gt;110,110,(2-(V8/G8))*100)</f>
        <v>110</v>
      </c>
      <c r="AL8" s="440">
        <f t="shared" ref="AL8" si="59">IF((2-(W8/H8))*100&gt;110,110,(2-(W8/H8))*100)</f>
        <v>110</v>
      </c>
      <c r="AM8" s="440">
        <f t="shared" ref="AM8" si="60">IF((2-(X8/I8))*100&gt;110,110,(2-(X8/I8))*100)</f>
        <v>110</v>
      </c>
      <c r="AN8" s="440">
        <f t="shared" ref="AN8" si="61">IF((2-(Y8/J8))*100&gt;110,110,(2-(Y8/J8))*100)</f>
        <v>110</v>
      </c>
      <c r="AO8" s="440">
        <f t="shared" ref="AO8" si="62">IF((2-(Z8/K8))*100&gt;110,110,(2-(Z8/K8))*100)</f>
        <v>110</v>
      </c>
      <c r="AP8" s="440">
        <f t="shared" ref="AP8" si="63">IF((2-(AA8/L8))*100&gt;110,110,(2-(AA8/L8))*100)</f>
        <v>110</v>
      </c>
      <c r="AQ8" s="440">
        <f t="shared" ref="AQ8" si="64">IF((2-(AB8/M8))*100&gt;110,110,(2-(AB8/M8))*100)</f>
        <v>110</v>
      </c>
      <c r="AR8" s="440">
        <f t="shared" ref="AR8" si="65">IF((2-(AC8/N8))*100&gt;110,110,(2-(AC8/N8))*100)</f>
        <v>110</v>
      </c>
      <c r="AS8" s="440">
        <f t="shared" ref="AS8" si="66">IF((2-(AD8/O8))*100&gt;110,110,(2-(AD8/O8))*100)</f>
        <v>110</v>
      </c>
      <c r="AT8" s="440">
        <f t="shared" ref="AT8" si="67">IF((2-(AE8/P8))*100&gt;110,110,(2-(AE8/P8))*100)</f>
        <v>109.83726787129302</v>
      </c>
      <c r="AU8" s="440">
        <f t="shared" ref="AU8" si="68">IF((2-(AF8/Q8))*100&gt;110,110,(2-(AF8/Q8))*100)</f>
        <v>110</v>
      </c>
      <c r="AV8" s="440">
        <f t="shared" ref="AV8" si="69">IF((2-(AG8/R8))*100&gt;110,110,(2-(AG8/R8))*100)</f>
        <v>110</v>
      </c>
      <c r="AW8" s="443"/>
      <c r="AX8" t="str">
        <f t="shared" si="36"/>
        <v>Susut Distribusi Tanpa E-min (sesuai kewenangan)</v>
      </c>
      <c r="AY8" s="105" t="s">
        <v>452</v>
      </c>
      <c r="AZ8" s="442">
        <f>12/3</f>
        <v>4</v>
      </c>
      <c r="BA8" s="440">
        <f t="shared" si="50"/>
        <v>4.4000000000000004</v>
      </c>
      <c r="BB8" s="440">
        <f t="shared" si="37"/>
        <v>4.4000000000000004</v>
      </c>
      <c r="BC8" s="440">
        <f t="shared" si="38"/>
        <v>4.4000000000000004</v>
      </c>
      <c r="BD8" s="440">
        <f t="shared" si="39"/>
        <v>4.4000000000000004</v>
      </c>
      <c r="BE8" s="440">
        <f t="shared" si="40"/>
        <v>4.4000000000000004</v>
      </c>
      <c r="BF8" s="440">
        <f t="shared" si="41"/>
        <v>4.4000000000000004</v>
      </c>
      <c r="BG8" s="440">
        <f t="shared" si="42"/>
        <v>4.4000000000000004</v>
      </c>
      <c r="BH8" s="440">
        <f t="shared" si="43"/>
        <v>4.4000000000000004</v>
      </c>
      <c r="BI8" s="440">
        <f t="shared" si="44"/>
        <v>4.4000000000000004</v>
      </c>
      <c r="BJ8" s="440">
        <f t="shared" si="45"/>
        <v>4.3899999999999997</v>
      </c>
      <c r="BK8" s="440">
        <f t="shared" si="46"/>
        <v>4.4000000000000004</v>
      </c>
      <c r="BL8" s="440">
        <f t="shared" si="47"/>
        <v>4.4000000000000004</v>
      </c>
      <c r="BM8" s="443"/>
      <c r="BN8" s="443"/>
      <c r="BO8" s="141"/>
      <c r="BQ8" s="444" cm="1">
        <f t="array" ref="BQ8">INDEX(AK8:AV8,MATCH(MONTH($BP$3),MONTH($AK$3:$AV$3),0))</f>
        <v>109.83726787129302</v>
      </c>
      <c r="BR8" t="str">
        <v>Susut Distribusi Tanpa E-min (sesuai kewenangan)</v>
      </c>
      <c r="BS8" s="443">
        <v>109.83726787129302</v>
      </c>
      <c r="BT8" s="443" t="str">
        <f t="shared" si="48"/>
        <v/>
      </c>
      <c r="BU8" s="443" t="str">
        <v/>
      </c>
      <c r="BV8" s="440">
        <f t="shared" si="51"/>
        <v>1.0983726787129302</v>
      </c>
      <c r="BX8" s="828"/>
      <c r="BY8" s="105" t="s">
        <v>457</v>
      </c>
      <c r="BZ8">
        <f>COUNT(BU11:BU42)</f>
        <v>3</v>
      </c>
      <c r="CF8" s="831"/>
      <c r="CG8" s="436" t="s">
        <v>102</v>
      </c>
      <c r="CH8" s="467">
        <f>INDEX(AK$4:AK$44,MATCH($CH$4,$AI$4:$AI$44,0))</f>
        <v>90.903994893617025</v>
      </c>
      <c r="CI8" s="467">
        <f t="shared" ref="CI8:CS8" si="70">INDEX(AL$4:AL$44,MATCH($CH$4,$AI$4:$AI$44,0))</f>
        <v>107.80502625531916</v>
      </c>
      <c r="CJ8" s="467">
        <f t="shared" si="70"/>
        <v>110</v>
      </c>
      <c r="CK8" s="467">
        <f t="shared" si="70"/>
        <v>110</v>
      </c>
      <c r="CL8" s="467">
        <f t="shared" si="70"/>
        <v>106.72879788936169</v>
      </c>
      <c r="CM8" s="467">
        <f t="shared" si="70"/>
        <v>105.42061167375887</v>
      </c>
      <c r="CN8" s="467">
        <f t="shared" si="70"/>
        <v>107.32229463829785</v>
      </c>
      <c r="CO8" s="467">
        <f t="shared" si="70"/>
        <v>110</v>
      </c>
      <c r="CP8" s="467">
        <f t="shared" si="70"/>
        <v>110</v>
      </c>
      <c r="CQ8" s="467">
        <f t="shared" si="70"/>
        <v>110</v>
      </c>
      <c r="CR8" s="467">
        <f t="shared" si="70"/>
        <v>110</v>
      </c>
      <c r="CS8" s="467">
        <f t="shared" si="70"/>
        <v>110</v>
      </c>
      <c r="CT8" s="478" t="str">
        <f>CF6</f>
        <v>UP3 TOLITOLI</v>
      </c>
      <c r="CU8" s="480" cm="1">
        <f t="array" ref="CU8">INDEX(CH8:CS8,MATCH(MONTH($CT$7),MONTH($CH$5:$CS$5)))</f>
        <v>105.42061167375887</v>
      </c>
      <c r="CV8" s="482">
        <f>IF(CU8&gt;=100,CU8,0)</f>
        <v>105.42061167375887</v>
      </c>
      <c r="CW8" s="440">
        <f t="shared" ref="CW8:CW9" si="71">IF(OR(CV8&lt;&gt;0,CX8&lt;&gt;0)=TRUE,0,CU8)</f>
        <v>0</v>
      </c>
      <c r="CX8" s="443">
        <f>IF(CU8&lt;95,CU8,0)</f>
        <v>0</v>
      </c>
      <c r="CY8" s="482">
        <f>110-SUM(CV8:CX8)</f>
        <v>4.5793883262411299</v>
      </c>
    </row>
    <row r="9" spans="1:103">
      <c r="A9" t="str">
        <v>b. Penyelesaian Temuan P2TL</v>
      </c>
      <c r="B9">
        <v>2</v>
      </c>
      <c r="C9" t="str">
        <v>Penyelesaian Temuan P2TL</v>
      </c>
      <c r="D9" s="105" t="s">
        <v>456</v>
      </c>
      <c r="E9" t="str">
        <v>Penyelesaian Temuan P2TL</v>
      </c>
      <c r="G9">
        <v>6.67</v>
      </c>
      <c r="H9">
        <v>13.33</v>
      </c>
      <c r="I9">
        <v>20</v>
      </c>
      <c r="J9">
        <v>26.67</v>
      </c>
      <c r="K9">
        <v>33.33</v>
      </c>
      <c r="L9">
        <v>40</v>
      </c>
      <c r="M9">
        <v>50</v>
      </c>
      <c r="N9">
        <v>60</v>
      </c>
      <c r="O9">
        <v>70</v>
      </c>
      <c r="P9">
        <v>80</v>
      </c>
      <c r="Q9">
        <v>90</v>
      </c>
      <c r="R9">
        <v>100</v>
      </c>
      <c r="T9" t="str">
        <v>Penyelesaian Temuan P2TL</v>
      </c>
      <c r="V9">
        <v>5.8059061761727984</v>
      </c>
      <c r="W9">
        <v>6.7500843739453256</v>
      </c>
      <c r="X9">
        <v>15.173742828214648</v>
      </c>
      <c r="Y9">
        <v>21.76044549443132</v>
      </c>
      <c r="Z9">
        <v>29.091596355045564</v>
      </c>
      <c r="AA9">
        <v>49.917819777252781</v>
      </c>
      <c r="AB9">
        <v>69.343266959163017</v>
      </c>
      <c r="AC9">
        <v>80.308133648329402</v>
      </c>
      <c r="AD9">
        <v>91.575632804589944</v>
      </c>
      <c r="AE9">
        <v>98.245663179210254</v>
      </c>
      <c r="AF9">
        <v>98.245663179210254</v>
      </c>
      <c r="AG9">
        <v>98.245663179210254</v>
      </c>
      <c r="AI9" t="str">
        <f t="shared" si="34"/>
        <v>Penyelesaian Temuan P2TL</v>
      </c>
      <c r="AK9" s="440">
        <f t="shared" ref="AK9:AV9" si="72">IF(V9/G9*100&gt;110,110,V9/G9*100)</f>
        <v>87.045070107538209</v>
      </c>
      <c r="AL9" s="440">
        <f t="shared" si="72"/>
        <v>50.638292377684358</v>
      </c>
      <c r="AM9" s="440">
        <f t="shared" si="72"/>
        <v>75.868714141073241</v>
      </c>
      <c r="AN9" s="440">
        <f t="shared" si="72"/>
        <v>81.591471670158683</v>
      </c>
      <c r="AO9" s="440">
        <f t="shared" si="72"/>
        <v>87.283517416878382</v>
      </c>
      <c r="AP9" s="440">
        <f t="shared" si="72"/>
        <v>110</v>
      </c>
      <c r="AQ9" s="440">
        <f t="shared" si="72"/>
        <v>110</v>
      </c>
      <c r="AR9" s="440">
        <f t="shared" si="72"/>
        <v>110</v>
      </c>
      <c r="AS9" s="440">
        <f t="shared" si="72"/>
        <v>110</v>
      </c>
      <c r="AT9" s="440">
        <f t="shared" si="72"/>
        <v>110</v>
      </c>
      <c r="AU9" s="440">
        <f t="shared" si="72"/>
        <v>109.16184797690028</v>
      </c>
      <c r="AV9" s="440">
        <f t="shared" si="72"/>
        <v>98.245663179210254</v>
      </c>
      <c r="AW9" s="443"/>
      <c r="AX9" t="str">
        <f t="shared" si="36"/>
        <v>Penyelesaian Temuan P2TL</v>
      </c>
      <c r="AY9" s="105" t="s">
        <v>452</v>
      </c>
      <c r="AZ9" s="442">
        <f t="shared" ref="AZ9:AZ10" si="73">12/3</f>
        <v>4</v>
      </c>
      <c r="BA9" s="440">
        <f t="shared" si="50"/>
        <v>3.48</v>
      </c>
      <c r="BB9" s="440">
        <f t="shared" si="37"/>
        <v>2.02</v>
      </c>
      <c r="BC9" s="440">
        <f t="shared" si="38"/>
        <v>3.03</v>
      </c>
      <c r="BD9" s="440">
        <f t="shared" si="39"/>
        <v>3.26</v>
      </c>
      <c r="BE9" s="440">
        <f t="shared" si="40"/>
        <v>3.49</v>
      </c>
      <c r="BF9" s="440">
        <f t="shared" si="41"/>
        <v>4.4000000000000004</v>
      </c>
      <c r="BG9" s="440">
        <f t="shared" si="42"/>
        <v>4.4000000000000004</v>
      </c>
      <c r="BH9" s="440">
        <f t="shared" si="43"/>
        <v>4.4000000000000004</v>
      </c>
      <c r="BI9" s="440">
        <f t="shared" si="44"/>
        <v>4.4000000000000004</v>
      </c>
      <c r="BJ9" s="440">
        <f t="shared" si="45"/>
        <v>4.4000000000000004</v>
      </c>
      <c r="BK9" s="440">
        <f t="shared" si="46"/>
        <v>4.3600000000000003</v>
      </c>
      <c r="BL9" s="440">
        <f t="shared" si="47"/>
        <v>3.92</v>
      </c>
      <c r="BM9" s="443"/>
      <c r="BN9" s="443"/>
      <c r="BO9" s="141"/>
      <c r="BQ9" s="444" cm="1">
        <f t="array" ref="BQ9">INDEX(AK9:AV9,MATCH(MONTH($BP$3),MONTH($AK$3:$AV$3),0))</f>
        <v>110</v>
      </c>
      <c r="BR9" t="str">
        <v>Penyelesaian Temuan P2TL</v>
      </c>
      <c r="BS9" s="443">
        <v>110</v>
      </c>
      <c r="BT9" s="443" t="str">
        <f t="shared" si="48"/>
        <v/>
      </c>
      <c r="BU9" s="443" t="str">
        <v/>
      </c>
      <c r="BV9" s="440">
        <f t="shared" si="51"/>
        <v>1.1000000000000001</v>
      </c>
      <c r="CF9" s="829" t="s">
        <v>475</v>
      </c>
      <c r="CG9" s="431" t="s">
        <v>462</v>
      </c>
      <c r="CH9" s="469" t="e">
        <f>INDEX(AK$67:AK$96,MATCH($CH$4,_xlfn.ANCHORARRAY($AI$67),0))</f>
        <v>#N/A</v>
      </c>
      <c r="CI9" s="469" t="e">
        <f t="shared" ref="CI9:CS9" si="74">INDEX(AL$67:AL$96,MATCH($CH$4,_xlfn.ANCHORARRAY($AI$67),0))</f>
        <v>#N/A</v>
      </c>
      <c r="CJ9" s="469" t="e">
        <f t="shared" si="74"/>
        <v>#N/A</v>
      </c>
      <c r="CK9" s="469" t="e">
        <f t="shared" si="74"/>
        <v>#N/A</v>
      </c>
      <c r="CL9" s="469" t="e">
        <f t="shared" si="74"/>
        <v>#N/A</v>
      </c>
      <c r="CM9" s="469" t="e">
        <f t="shared" si="74"/>
        <v>#N/A</v>
      </c>
      <c r="CN9" s="469" t="e">
        <f t="shared" si="74"/>
        <v>#N/A</v>
      </c>
      <c r="CO9" s="469" t="e">
        <f t="shared" si="74"/>
        <v>#N/A</v>
      </c>
      <c r="CP9" s="469" t="e">
        <f t="shared" si="74"/>
        <v>#N/A</v>
      </c>
      <c r="CQ9" s="469" t="e">
        <f t="shared" si="74"/>
        <v>#N/A</v>
      </c>
      <c r="CR9" s="469" t="e">
        <f t="shared" si="74"/>
        <v>#N/A</v>
      </c>
      <c r="CS9" s="469" t="e">
        <f t="shared" si="74"/>
        <v>#N/A</v>
      </c>
      <c r="CT9" s="478" t="str">
        <f>CG9</f>
        <v>KC TOLIS</v>
      </c>
      <c r="CU9" s="480" t="e" cm="1">
        <f t="array" ref="CU9">INDEX(CH9:CS9,MATCH(MONTH($CT$7),MONTH($CH$5:$CS$5)))</f>
        <v>#N/A</v>
      </c>
      <c r="CV9" s="482" t="e">
        <f t="shared" ref="CV9:CV13" si="75">IF(CU9&gt;=100,CU9,0)</f>
        <v>#N/A</v>
      </c>
      <c r="CW9" s="440" t="e">
        <f t="shared" si="71"/>
        <v>#N/A</v>
      </c>
      <c r="CX9" s="443" t="e">
        <f t="shared" ref="CX9:CX13" si="76">IF(CU9&lt;95,CU9,0)</f>
        <v>#N/A</v>
      </c>
      <c r="CY9" s="482" t="e">
        <f t="shared" ref="CY9:CY13" si="77">110-SUM(CV9:CX9)</f>
        <v>#N/A</v>
      </c>
    </row>
    <row r="10" spans="1:103">
      <c r="A10" t="str">
        <v>c. Penyelesaian Ganti Meter</v>
      </c>
      <c r="B10">
        <v>2</v>
      </c>
      <c r="C10" t="str">
        <v>Penyelesaian Ganti Meter</v>
      </c>
      <c r="D10" s="105" t="s">
        <v>456</v>
      </c>
      <c r="E10" t="str">
        <v>Penyelesaian Ganti Meter</v>
      </c>
      <c r="G10">
        <v>437</v>
      </c>
      <c r="H10">
        <v>869</v>
      </c>
      <c r="I10">
        <v>1300</v>
      </c>
      <c r="J10">
        <v>1732</v>
      </c>
      <c r="K10">
        <v>1947</v>
      </c>
      <c r="L10">
        <v>2158</v>
      </c>
      <c r="M10">
        <v>2801</v>
      </c>
      <c r="N10">
        <v>3444</v>
      </c>
      <c r="O10">
        <v>4087</v>
      </c>
      <c r="P10">
        <v>4727</v>
      </c>
      <c r="Q10">
        <v>4727</v>
      </c>
      <c r="R10">
        <v>4727</v>
      </c>
      <c r="T10" t="str">
        <v>Penyelesaian Ganti Meter</v>
      </c>
      <c r="V10">
        <v>23</v>
      </c>
      <c r="W10">
        <v>280</v>
      </c>
      <c r="X10">
        <v>1417</v>
      </c>
      <c r="Y10">
        <v>2174</v>
      </c>
      <c r="Z10">
        <v>2760</v>
      </c>
      <c r="AA10">
        <v>3127</v>
      </c>
      <c r="AB10">
        <v>3539</v>
      </c>
      <c r="AC10">
        <v>3699</v>
      </c>
      <c r="AD10">
        <v>4655</v>
      </c>
      <c r="AE10">
        <v>4735</v>
      </c>
      <c r="AF10">
        <v>4735</v>
      </c>
      <c r="AG10">
        <v>4735</v>
      </c>
      <c r="AI10" t="str">
        <f t="shared" si="34"/>
        <v>Penyelesaian Ganti Meter</v>
      </c>
      <c r="AK10" s="440">
        <f t="shared" ref="AK10" si="78">IF(V10/G10*100&gt;110,110,V10/G10*100)</f>
        <v>5.2631578947368416</v>
      </c>
      <c r="AL10" s="440">
        <f t="shared" ref="AL10" si="79">IF(W10/H10*100&gt;110,110,W10/H10*100)</f>
        <v>32.22094361334868</v>
      </c>
      <c r="AM10" s="440">
        <f t="shared" ref="AM10" si="80">IF(X10/I10*100&gt;110,110,X10/I10*100)</f>
        <v>109.00000000000001</v>
      </c>
      <c r="AN10" s="440">
        <f t="shared" ref="AN10" si="81">IF(Y10/J10*100&gt;110,110,Y10/J10*100)</f>
        <v>110</v>
      </c>
      <c r="AO10" s="440">
        <f t="shared" ref="AO10" si="82">IF(Z10/K10*100&gt;110,110,Z10/K10*100)</f>
        <v>110</v>
      </c>
      <c r="AP10" s="440">
        <f t="shared" ref="AP10" si="83">IF(AA10/L10*100&gt;110,110,AA10/L10*100)</f>
        <v>110</v>
      </c>
      <c r="AQ10" s="440">
        <f t="shared" ref="AQ10" si="84">IF(AB10/M10*100&gt;110,110,AB10/M10*100)</f>
        <v>110</v>
      </c>
      <c r="AR10" s="440">
        <f t="shared" ref="AR10" si="85">IF(AC10/N10*100&gt;110,110,AC10/N10*100)</f>
        <v>107.40418118466899</v>
      </c>
      <c r="AS10" s="440">
        <f t="shared" ref="AS10" si="86">IF(AD10/O10*100&gt;110,110,AD10/O10*100)</f>
        <v>110</v>
      </c>
      <c r="AT10" s="440">
        <f t="shared" ref="AT10" si="87">IF(AE10/P10*100&gt;110,110,AE10/P10*100)</f>
        <v>100.16924053310767</v>
      </c>
      <c r="AU10" s="440">
        <f t="shared" ref="AU10" si="88">IF(AF10/Q10*100&gt;110,110,AF10/Q10*100)</f>
        <v>100.16924053310767</v>
      </c>
      <c r="AV10" s="440">
        <f t="shared" ref="AV10" si="89">IF(AG10/R10*100&gt;110,110,AG10/R10*100)</f>
        <v>100.16924053310767</v>
      </c>
      <c r="AW10" s="443"/>
      <c r="AX10" t="str">
        <f t="shared" si="36"/>
        <v>Penyelesaian Ganti Meter</v>
      </c>
      <c r="AY10" s="105" t="s">
        <v>452</v>
      </c>
      <c r="AZ10" s="442">
        <f t="shared" si="73"/>
        <v>4</v>
      </c>
      <c r="BA10" s="440">
        <f t="shared" si="50"/>
        <v>0.21</v>
      </c>
      <c r="BB10" s="440">
        <f t="shared" si="37"/>
        <v>1.28</v>
      </c>
      <c r="BC10" s="440">
        <f t="shared" si="38"/>
        <v>4.3600000000000003</v>
      </c>
      <c r="BD10" s="440">
        <f t="shared" si="39"/>
        <v>4.4000000000000004</v>
      </c>
      <c r="BE10" s="440">
        <f t="shared" si="40"/>
        <v>4.4000000000000004</v>
      </c>
      <c r="BF10" s="440">
        <f t="shared" si="41"/>
        <v>4.4000000000000004</v>
      </c>
      <c r="BG10" s="440">
        <f t="shared" si="42"/>
        <v>4.4000000000000004</v>
      </c>
      <c r="BH10" s="440">
        <f t="shared" si="43"/>
        <v>4.29</v>
      </c>
      <c r="BI10" s="440">
        <f t="shared" si="44"/>
        <v>4.4000000000000004</v>
      </c>
      <c r="BJ10" s="440">
        <f t="shared" si="45"/>
        <v>4</v>
      </c>
      <c r="BK10" s="440">
        <f t="shared" si="46"/>
        <v>4</v>
      </c>
      <c r="BL10" s="440">
        <f t="shared" si="47"/>
        <v>4</v>
      </c>
      <c r="BM10" s="443"/>
      <c r="BN10" s="443"/>
      <c r="BO10" s="141"/>
      <c r="BQ10" s="444" cm="1">
        <f t="array" ref="BQ10">INDEX(AK10:AV10,MATCH(MONTH($BP$3),MONTH($AK$3:$AV$3),0))</f>
        <v>100.16924053310767</v>
      </c>
      <c r="BR10" t="str">
        <v>Penyelesaian Ganti Meter</v>
      </c>
      <c r="BS10" s="443">
        <v>100.16924053310767</v>
      </c>
      <c r="BT10" s="443" t="str">
        <f t="shared" si="48"/>
        <v/>
      </c>
      <c r="BU10" s="443" t="str">
        <v/>
      </c>
      <c r="BV10" s="440">
        <f t="shared" si="51"/>
        <v>1.0016924053310767</v>
      </c>
      <c r="CF10" s="830"/>
      <c r="CG10" t="s">
        <v>4</v>
      </c>
      <c r="CH10" s="465" t="e">
        <f>INDEX(AK$115:AK$144,MATCH($CH$4,_xlfn.ANCHORARRAY($AI$115),0))</f>
        <v>#N/A</v>
      </c>
      <c r="CI10" s="465" t="e">
        <f t="shared" ref="CI10:CS10" si="90">INDEX(AL$115:AL$144,MATCH($CH$4,_xlfn.ANCHORARRAY($AI$115),0))</f>
        <v>#N/A</v>
      </c>
      <c r="CJ10" s="465" t="e">
        <f t="shared" si="90"/>
        <v>#N/A</v>
      </c>
      <c r="CK10" s="465" t="e">
        <f t="shared" si="90"/>
        <v>#N/A</v>
      </c>
      <c r="CL10" s="465" t="e">
        <f t="shared" si="90"/>
        <v>#N/A</v>
      </c>
      <c r="CM10" s="465" t="e">
        <f t="shared" si="90"/>
        <v>#N/A</v>
      </c>
      <c r="CN10" s="465" t="e">
        <f t="shared" si="90"/>
        <v>#N/A</v>
      </c>
      <c r="CO10" s="465" t="e">
        <f t="shared" si="90"/>
        <v>#N/A</v>
      </c>
      <c r="CP10" s="465" t="e">
        <f t="shared" si="90"/>
        <v>#N/A</v>
      </c>
      <c r="CQ10" s="465" t="e">
        <f t="shared" si="90"/>
        <v>#N/A</v>
      </c>
      <c r="CR10" s="465" t="e">
        <f t="shared" si="90"/>
        <v>#N/A</v>
      </c>
      <c r="CS10" s="465" t="e">
        <f t="shared" si="90"/>
        <v>#N/A</v>
      </c>
      <c r="CT10" s="478" t="str">
        <f t="shared" ref="CT10:CT18" si="91">CG10</f>
        <v>ULP BANGKIR</v>
      </c>
      <c r="CU10" s="480" t="e" cm="1">
        <f t="array" ref="CU10">INDEX(CH10:CS10,MATCH(MONTH($CT$7),MONTH($CH$5:$CS$5)))</f>
        <v>#N/A</v>
      </c>
      <c r="CV10" s="482" t="e">
        <f t="shared" si="75"/>
        <v>#N/A</v>
      </c>
      <c r="CW10" s="440" t="e">
        <f>IF(OR(CV10&lt;&gt;0,CX10&lt;&gt;0)=TRUE,0,CU10)</f>
        <v>#N/A</v>
      </c>
      <c r="CX10" s="443" t="e">
        <f t="shared" si="76"/>
        <v>#N/A</v>
      </c>
      <c r="CY10" s="482" t="e">
        <f t="shared" si="77"/>
        <v>#N/A</v>
      </c>
    </row>
    <row r="11" spans="1:103">
      <c r="A11" t="str">
        <v>a. Gangguan TM &gt; 5 Menit</v>
      </c>
      <c r="B11">
        <v>2</v>
      </c>
      <c r="C11" t="str">
        <v>Gangguan TM &gt; 5 Menit</v>
      </c>
      <c r="D11" s="105" t="s">
        <v>456</v>
      </c>
      <c r="E11" t="str">
        <v>Gangguan TM &gt; 5 Menit</v>
      </c>
      <c r="G11">
        <v>15</v>
      </c>
      <c r="H11">
        <v>29</v>
      </c>
      <c r="I11">
        <v>45</v>
      </c>
      <c r="J11">
        <v>59</v>
      </c>
      <c r="K11">
        <v>74</v>
      </c>
      <c r="L11">
        <v>88</v>
      </c>
      <c r="M11">
        <v>103</v>
      </c>
      <c r="N11">
        <v>119</v>
      </c>
      <c r="O11">
        <v>134</v>
      </c>
      <c r="P11">
        <v>148</v>
      </c>
      <c r="Q11">
        <v>163</v>
      </c>
      <c r="R11">
        <v>166</v>
      </c>
      <c r="T11" t="str">
        <v>Gangguan TM &gt; 5 Menit</v>
      </c>
      <c r="V11">
        <v>5</v>
      </c>
      <c r="W11">
        <v>10</v>
      </c>
      <c r="X11">
        <v>32</v>
      </c>
      <c r="Y11">
        <v>40</v>
      </c>
      <c r="Z11">
        <v>66</v>
      </c>
      <c r="AA11">
        <v>73</v>
      </c>
      <c r="AB11">
        <v>87</v>
      </c>
      <c r="AC11">
        <v>87</v>
      </c>
      <c r="AD11">
        <v>98</v>
      </c>
      <c r="AE11">
        <v>115</v>
      </c>
      <c r="AF11">
        <v>115</v>
      </c>
      <c r="AG11">
        <v>115</v>
      </c>
      <c r="AI11" t="str">
        <f t="shared" si="34"/>
        <v>Gangguan TM &gt; 5 Menit</v>
      </c>
      <c r="AK11" s="440">
        <f t="shared" ref="AK11:AV11" si="92">IF(((G11-(V11-G11))/G11)*100&gt;110,110,((G11-(V11-G11))/G11)*100)</f>
        <v>110</v>
      </c>
      <c r="AL11" s="440">
        <f t="shared" si="92"/>
        <v>110</v>
      </c>
      <c r="AM11" s="440">
        <f t="shared" si="92"/>
        <v>110</v>
      </c>
      <c r="AN11" s="440">
        <f t="shared" si="92"/>
        <v>110</v>
      </c>
      <c r="AO11" s="440">
        <f t="shared" si="92"/>
        <v>110</v>
      </c>
      <c r="AP11" s="440">
        <f t="shared" si="92"/>
        <v>110</v>
      </c>
      <c r="AQ11" s="440">
        <f t="shared" si="92"/>
        <v>110</v>
      </c>
      <c r="AR11" s="440">
        <f t="shared" si="92"/>
        <v>110</v>
      </c>
      <c r="AS11" s="440">
        <f t="shared" si="92"/>
        <v>110</v>
      </c>
      <c r="AT11" s="440">
        <f t="shared" si="92"/>
        <v>110</v>
      </c>
      <c r="AU11" s="440">
        <f t="shared" si="92"/>
        <v>110</v>
      </c>
      <c r="AV11" s="440">
        <f t="shared" si="92"/>
        <v>110</v>
      </c>
      <c r="AW11" s="443"/>
      <c r="AX11" t="str">
        <f t="shared" si="36"/>
        <v>Gangguan TM &gt; 5 Menit</v>
      </c>
      <c r="AY11" s="105" t="s">
        <v>452</v>
      </c>
      <c r="AZ11" s="442">
        <f>6/3</f>
        <v>2</v>
      </c>
      <c r="BA11" s="440">
        <f t="shared" si="50"/>
        <v>2.2000000000000002</v>
      </c>
      <c r="BB11" s="440">
        <f t="shared" si="37"/>
        <v>2.2000000000000002</v>
      </c>
      <c r="BC11" s="440">
        <f t="shared" si="38"/>
        <v>2.2000000000000002</v>
      </c>
      <c r="BD11" s="440">
        <f t="shared" si="39"/>
        <v>2.2000000000000002</v>
      </c>
      <c r="BE11" s="440">
        <f t="shared" si="40"/>
        <v>2.2000000000000002</v>
      </c>
      <c r="BF11" s="440">
        <f t="shared" si="41"/>
        <v>2.2000000000000002</v>
      </c>
      <c r="BG11" s="440">
        <f t="shared" si="42"/>
        <v>2.2000000000000002</v>
      </c>
      <c r="BH11" s="440">
        <f t="shared" si="43"/>
        <v>2.2000000000000002</v>
      </c>
      <c r="BI11" s="440">
        <f t="shared" si="44"/>
        <v>2.2000000000000002</v>
      </c>
      <c r="BJ11" s="440">
        <f t="shared" si="45"/>
        <v>2.2000000000000002</v>
      </c>
      <c r="BK11" s="440">
        <f t="shared" si="46"/>
        <v>2.2000000000000002</v>
      </c>
      <c r="BL11" s="440">
        <f t="shared" si="47"/>
        <v>2.2000000000000002</v>
      </c>
      <c r="BM11" s="443"/>
      <c r="BN11" s="443"/>
      <c r="BO11" s="141"/>
      <c r="BQ11" s="444" cm="1">
        <f t="array" ref="BQ11">INDEX(AK11:AV11,MATCH(MONTH($BP$3),MONTH($AK$3:$AV$3),0))</f>
        <v>110</v>
      </c>
      <c r="BR11" t="str">
        <v>Gangguan TM &gt; 5 Menit</v>
      </c>
      <c r="BS11" s="443">
        <v>110</v>
      </c>
      <c r="BT11" s="443" t="str">
        <f t="shared" si="48"/>
        <v/>
      </c>
      <c r="BU11" s="443" t="str">
        <v/>
      </c>
      <c r="BV11" s="440">
        <f t="shared" si="51"/>
        <v>1.1000000000000001</v>
      </c>
      <c r="BX11" s="832" t="s">
        <v>458</v>
      </c>
      <c r="BY11" s="832"/>
      <c r="BZ11" s="832"/>
      <c r="CA11" s="832"/>
      <c r="CB11" s="832"/>
      <c r="CC11" s="832"/>
      <c r="CD11" s="832"/>
      <c r="CF11" s="830"/>
      <c r="CG11" t="s">
        <v>6</v>
      </c>
      <c r="CH11" s="465" t="e">
        <f>INDEX(AK$205:AK$234,MATCH($CH$4,_xlfn.ANCHORARRAY($AI$205),0))</f>
        <v>#N/A</v>
      </c>
      <c r="CI11" s="465" t="e">
        <f t="shared" ref="CI11:CS11" si="93">INDEX(AL$205:AL$234,MATCH($CH$4,_xlfn.ANCHORARRAY($AI$205),0))</f>
        <v>#N/A</v>
      </c>
      <c r="CJ11" s="465" t="e">
        <f t="shared" si="93"/>
        <v>#N/A</v>
      </c>
      <c r="CK11" s="465" t="e">
        <f t="shared" si="93"/>
        <v>#N/A</v>
      </c>
      <c r="CL11" s="465" t="e">
        <f t="shared" si="93"/>
        <v>#N/A</v>
      </c>
      <c r="CM11" s="465" t="e">
        <f t="shared" si="93"/>
        <v>#N/A</v>
      </c>
      <c r="CN11" s="465" t="e">
        <f t="shared" si="93"/>
        <v>#N/A</v>
      </c>
      <c r="CO11" s="465" t="e">
        <f t="shared" si="93"/>
        <v>#N/A</v>
      </c>
      <c r="CP11" s="465" t="e">
        <f t="shared" si="93"/>
        <v>#N/A</v>
      </c>
      <c r="CQ11" s="465" t="e">
        <f t="shared" si="93"/>
        <v>#N/A</v>
      </c>
      <c r="CR11" s="465" t="e">
        <f t="shared" si="93"/>
        <v>#N/A</v>
      </c>
      <c r="CS11" s="465" t="e">
        <f t="shared" si="93"/>
        <v>#N/A</v>
      </c>
      <c r="CT11" s="478" t="str">
        <f t="shared" si="91"/>
        <v>ULP KOTARAYA</v>
      </c>
      <c r="CU11" s="480" t="e" cm="1">
        <f t="array" ref="CU11">INDEX(CH11:CS11,MATCH(MONTH($CT$7),MONTH($CH$5:$CS$5)))</f>
        <v>#N/A</v>
      </c>
      <c r="CV11" s="482" t="e">
        <f t="shared" si="75"/>
        <v>#N/A</v>
      </c>
      <c r="CW11" s="440" t="e">
        <f t="shared" ref="CW11:CW13" si="94">IF(OR(CV11&lt;&gt;0,CX11&lt;&gt;0)=TRUE,0,CU11)</f>
        <v>#N/A</v>
      </c>
      <c r="CX11" s="443" t="e">
        <f t="shared" si="76"/>
        <v>#N/A</v>
      </c>
      <c r="CY11" s="482" t="e">
        <f t="shared" si="77"/>
        <v>#N/A</v>
      </c>
    </row>
    <row r="12" spans="1:103">
      <c r="A12" t="str">
        <v>b. Gangguan TM ≤ 5 Menit</v>
      </c>
      <c r="B12">
        <v>2</v>
      </c>
      <c r="C12" t="str">
        <v>Gangguan TM ≤ 5 Menit</v>
      </c>
      <c r="D12" s="105" t="s">
        <v>456</v>
      </c>
      <c r="E12" t="str">
        <v>Gangguan TM ≤ 5 Menit</v>
      </c>
      <c r="G12">
        <v>17</v>
      </c>
      <c r="H12">
        <v>31</v>
      </c>
      <c r="I12">
        <v>48</v>
      </c>
      <c r="J12">
        <v>65</v>
      </c>
      <c r="K12">
        <v>79</v>
      </c>
      <c r="L12">
        <v>96</v>
      </c>
      <c r="M12">
        <v>113</v>
      </c>
      <c r="N12">
        <v>128</v>
      </c>
      <c r="O12">
        <v>144</v>
      </c>
      <c r="P12">
        <v>161</v>
      </c>
      <c r="Q12">
        <v>177</v>
      </c>
      <c r="R12">
        <v>191</v>
      </c>
      <c r="T12" t="str">
        <v>Gangguan TM ≤ 5 Menit</v>
      </c>
      <c r="V12">
        <v>1</v>
      </c>
      <c r="W12">
        <v>18</v>
      </c>
      <c r="X12">
        <v>21</v>
      </c>
      <c r="Y12">
        <v>22</v>
      </c>
      <c r="Z12">
        <v>57</v>
      </c>
      <c r="AA12">
        <v>76</v>
      </c>
      <c r="AB12">
        <v>93</v>
      </c>
      <c r="AC12">
        <v>96</v>
      </c>
      <c r="AD12">
        <v>112</v>
      </c>
      <c r="AE12">
        <v>135</v>
      </c>
      <c r="AF12">
        <v>135</v>
      </c>
      <c r="AG12">
        <v>135</v>
      </c>
      <c r="AI12" t="str">
        <f t="shared" si="34"/>
        <v>Gangguan TM ≤ 5 Menit</v>
      </c>
      <c r="AK12" s="440">
        <f t="shared" ref="AK12" si="95">IF((2-(V12/G12))*100&gt;110,110,(2-(V12/G12))*100)</f>
        <v>110</v>
      </c>
      <c r="AL12" s="440">
        <f t="shared" ref="AL12" si="96">IF((2-(W12/H12))*100&gt;110,110,(2-(W12/H12))*100)</f>
        <v>110</v>
      </c>
      <c r="AM12" s="440">
        <f t="shared" ref="AM12" si="97">IF((2-(X12/I12))*100&gt;110,110,(2-(X12/I12))*100)</f>
        <v>110</v>
      </c>
      <c r="AN12" s="440">
        <f t="shared" ref="AN12" si="98">IF((2-(Y12/J12))*100&gt;110,110,(2-(Y12/J12))*100)</f>
        <v>110</v>
      </c>
      <c r="AO12" s="440">
        <f t="shared" ref="AO12" si="99">IF((2-(Z12/K12))*100&gt;110,110,(2-(Z12/K12))*100)</f>
        <v>110</v>
      </c>
      <c r="AP12" s="440">
        <f t="shared" ref="AP12" si="100">IF((2-(AA12/L12))*100&gt;110,110,(2-(AA12/L12))*100)</f>
        <v>110</v>
      </c>
      <c r="AQ12" s="440">
        <f t="shared" ref="AQ12" si="101">IF((2-(AB12/M12))*100&gt;110,110,(2-(AB12/M12))*100)</f>
        <v>110</v>
      </c>
      <c r="AR12" s="440">
        <f t="shared" ref="AR12" si="102">IF((2-(AC12/N12))*100&gt;110,110,(2-(AC12/N12))*100)</f>
        <v>110</v>
      </c>
      <c r="AS12" s="440">
        <f t="shared" ref="AS12" si="103">IF((2-(AD12/O12))*100&gt;110,110,(2-(AD12/O12))*100)</f>
        <v>110</v>
      </c>
      <c r="AT12" s="440">
        <f t="shared" ref="AT12" si="104">IF((2-(AE12/P12))*100&gt;110,110,(2-(AE12/P12))*100)</f>
        <v>110</v>
      </c>
      <c r="AU12" s="440">
        <f t="shared" ref="AU12" si="105">IF((2-(AF12/Q12))*100&gt;110,110,(2-(AF12/Q12))*100)</f>
        <v>110</v>
      </c>
      <c r="AV12" s="440">
        <f t="shared" ref="AV12" si="106">IF((2-(AG12/R12))*100&gt;110,110,(2-(AG12/R12))*100)</f>
        <v>110</v>
      </c>
      <c r="AW12" s="443"/>
      <c r="AX12" t="str">
        <f t="shared" si="36"/>
        <v>Gangguan TM ≤ 5 Menit</v>
      </c>
      <c r="AY12" s="105" t="s">
        <v>452</v>
      </c>
      <c r="AZ12" s="442">
        <f t="shared" ref="AZ12:AZ13" si="107">6/3</f>
        <v>2</v>
      </c>
      <c r="BA12" s="440">
        <f t="shared" si="50"/>
        <v>2.2000000000000002</v>
      </c>
      <c r="BB12" s="440">
        <f t="shared" si="37"/>
        <v>2.2000000000000002</v>
      </c>
      <c r="BC12" s="440">
        <f t="shared" si="38"/>
        <v>2.2000000000000002</v>
      </c>
      <c r="BD12" s="440">
        <f t="shared" si="39"/>
        <v>2.2000000000000002</v>
      </c>
      <c r="BE12" s="440">
        <f t="shared" si="40"/>
        <v>2.2000000000000002</v>
      </c>
      <c r="BF12" s="440">
        <f t="shared" si="41"/>
        <v>2.2000000000000002</v>
      </c>
      <c r="BG12" s="440">
        <f t="shared" si="42"/>
        <v>2.2000000000000002</v>
      </c>
      <c r="BH12" s="440">
        <f t="shared" si="43"/>
        <v>2.2000000000000002</v>
      </c>
      <c r="BI12" s="440">
        <f t="shared" si="44"/>
        <v>2.2000000000000002</v>
      </c>
      <c r="BJ12" s="440">
        <f t="shared" si="45"/>
        <v>2.2000000000000002</v>
      </c>
      <c r="BK12" s="440">
        <f t="shared" si="46"/>
        <v>2.2000000000000002</v>
      </c>
      <c r="BL12" s="440">
        <f t="shared" si="47"/>
        <v>2.2000000000000002</v>
      </c>
      <c r="BM12" s="443"/>
      <c r="BN12" s="443"/>
      <c r="BO12" s="141"/>
      <c r="BQ12" s="444" cm="1">
        <f t="array" ref="BQ12">INDEX(AK12:AV12,MATCH(MONTH($BP$3),MONTH($AK$3:$AV$3),0))</f>
        <v>110</v>
      </c>
      <c r="BR12" t="str">
        <v>Gangguan TM ≤ 5 Menit</v>
      </c>
      <c r="BS12" s="443">
        <v>110</v>
      </c>
      <c r="BT12" s="443" t="str">
        <f t="shared" si="48"/>
        <v/>
      </c>
      <c r="BU12" s="443" t="str">
        <v/>
      </c>
      <c r="BV12" s="440">
        <f t="shared" si="51"/>
        <v>1.1000000000000001</v>
      </c>
      <c r="BY12" s="105" t="s">
        <v>454</v>
      </c>
      <c r="BZ12" s="105" t="s">
        <v>455</v>
      </c>
      <c r="CB12" t="s">
        <v>459</v>
      </c>
      <c r="CC12" s="105" t="s">
        <v>99</v>
      </c>
      <c r="CD12" s="105" t="s">
        <v>460</v>
      </c>
      <c r="CF12" s="830"/>
      <c r="CG12" t="s">
        <v>3</v>
      </c>
      <c r="CH12" s="465" t="e">
        <f>INDEX(AK$160:AK$189,MATCH($CH$4,_xlfn.ANCHORARRAY($AI$160),0))</f>
        <v>#N/A</v>
      </c>
      <c r="CI12" s="465" t="e">
        <f t="shared" ref="CI12:CS12" si="108">INDEX(AL$160:AL$189,MATCH($CH$4,_xlfn.ANCHORARRAY($AI$160),0))</f>
        <v>#N/A</v>
      </c>
      <c r="CJ12" s="465" t="e">
        <f t="shared" si="108"/>
        <v>#N/A</v>
      </c>
      <c r="CK12" s="465" t="e">
        <f t="shared" si="108"/>
        <v>#N/A</v>
      </c>
      <c r="CL12" s="465" t="e">
        <f t="shared" si="108"/>
        <v>#N/A</v>
      </c>
      <c r="CM12" s="465" t="e">
        <f t="shared" si="108"/>
        <v>#N/A</v>
      </c>
      <c r="CN12" s="465" t="e">
        <f t="shared" si="108"/>
        <v>#N/A</v>
      </c>
      <c r="CO12" s="465" t="e">
        <f t="shared" si="108"/>
        <v>#N/A</v>
      </c>
      <c r="CP12" s="465" t="e">
        <f t="shared" si="108"/>
        <v>#N/A</v>
      </c>
      <c r="CQ12" s="465" t="e">
        <f t="shared" si="108"/>
        <v>#N/A</v>
      </c>
      <c r="CR12" s="465" t="e">
        <f t="shared" si="108"/>
        <v>#N/A</v>
      </c>
      <c r="CS12" s="465" t="e">
        <f t="shared" si="108"/>
        <v>#N/A</v>
      </c>
      <c r="CT12" s="478" t="str">
        <f t="shared" si="91"/>
        <v>ULP LEOK</v>
      </c>
      <c r="CU12" s="480" t="e" cm="1">
        <f t="array" ref="CU12">INDEX(CH12:CS12,MATCH(MONTH($CT$7),MONTH($CH$5:$CS$5)))</f>
        <v>#N/A</v>
      </c>
      <c r="CV12" s="482" t="e">
        <f t="shared" si="75"/>
        <v>#N/A</v>
      </c>
      <c r="CW12" s="440" t="e">
        <f t="shared" si="94"/>
        <v>#N/A</v>
      </c>
      <c r="CX12" s="443" t="e">
        <f t="shared" si="76"/>
        <v>#N/A</v>
      </c>
      <c r="CY12" s="482" t="e">
        <f t="shared" si="77"/>
        <v>#N/A</v>
      </c>
    </row>
    <row r="13" spans="1:103" ht="15.75" thickBot="1">
      <c r="A13" t="str">
        <v>c. Kerusakan Peralatan Distribusi (PHB TM dan Trafo) Sesuai Kewenangan</v>
      </c>
      <c r="B13">
        <v>2</v>
      </c>
      <c r="C13" t="str">
        <v>Kerusakan Peralatan Distribusi (PHB TM dan Trafo) Sesuai Kewenangan</v>
      </c>
      <c r="D13" s="105" t="s">
        <v>456</v>
      </c>
      <c r="E13" t="str">
        <v>Kerusakan Peralatan Distribusi (PHB TM dan Trafo) Sesuai Kewenangan</v>
      </c>
      <c r="G13">
        <v>0</v>
      </c>
      <c r="H13">
        <v>0</v>
      </c>
      <c r="I13">
        <v>5</v>
      </c>
      <c r="J13">
        <v>5</v>
      </c>
      <c r="K13">
        <v>5</v>
      </c>
      <c r="L13">
        <v>5</v>
      </c>
      <c r="M13">
        <v>5</v>
      </c>
      <c r="N13">
        <v>5</v>
      </c>
      <c r="O13">
        <v>5</v>
      </c>
      <c r="P13">
        <v>5</v>
      </c>
      <c r="Q13">
        <v>5</v>
      </c>
      <c r="R13">
        <v>5</v>
      </c>
      <c r="T13" t="str">
        <v>Kerusakan Peralatan Distribusi (PHB TM dan Trafo) Sesuai Kewenangan</v>
      </c>
      <c r="V13">
        <v>0</v>
      </c>
      <c r="W13">
        <v>0</v>
      </c>
      <c r="X13">
        <v>0</v>
      </c>
      <c r="Y13">
        <v>0</v>
      </c>
      <c r="Z13">
        <v>1</v>
      </c>
      <c r="AA13">
        <v>2</v>
      </c>
      <c r="AB13">
        <v>3</v>
      </c>
      <c r="AC13">
        <v>3</v>
      </c>
      <c r="AD13">
        <v>3</v>
      </c>
      <c r="AE13">
        <v>3</v>
      </c>
      <c r="AF13">
        <v>3</v>
      </c>
      <c r="AG13">
        <v>3</v>
      </c>
      <c r="AI13" t="str">
        <f t="shared" si="34"/>
        <v>Kerusakan Peralatan Distribusi (PHB TM dan Trafo) Sesuai Kewenangan</v>
      </c>
      <c r="AK13" s="440">
        <f t="shared" ref="AK13" si="109">IFERROR(IF((2-(V13/G13))*100&gt;110,110,(2-(V13/G13))*100),100)</f>
        <v>100</v>
      </c>
      <c r="AL13" s="440">
        <f>IFERROR(IF((2-(W13/H13))*100&gt;110,110,(2-(W13/H13))*100),100)</f>
        <v>100</v>
      </c>
      <c r="AM13" s="440">
        <f t="shared" ref="AM13:AV14" si="110">IFERROR(IF((2-(X13/I13))*100&gt;110,110,(2-(X13/I13))*100),100)</f>
        <v>110</v>
      </c>
      <c r="AN13" s="440">
        <f t="shared" si="110"/>
        <v>110</v>
      </c>
      <c r="AO13" s="440">
        <f t="shared" si="110"/>
        <v>110</v>
      </c>
      <c r="AP13" s="440">
        <f t="shared" si="110"/>
        <v>110</v>
      </c>
      <c r="AQ13" s="440">
        <f t="shared" si="110"/>
        <v>110</v>
      </c>
      <c r="AR13" s="440">
        <f t="shared" si="110"/>
        <v>110</v>
      </c>
      <c r="AS13" s="440">
        <f t="shared" si="110"/>
        <v>110</v>
      </c>
      <c r="AT13" s="440">
        <f t="shared" si="110"/>
        <v>110</v>
      </c>
      <c r="AU13" s="440">
        <f t="shared" si="110"/>
        <v>110</v>
      </c>
      <c r="AV13" s="440">
        <f t="shared" si="110"/>
        <v>110</v>
      </c>
      <c r="AW13" s="443"/>
      <c r="AX13" t="str">
        <f t="shared" si="36"/>
        <v>Kerusakan Peralatan Distribusi (PHB TM dan Trafo) Sesuai Kewenangan</v>
      </c>
      <c r="AY13" s="105" t="s">
        <v>452</v>
      </c>
      <c r="AZ13" s="442">
        <f t="shared" si="107"/>
        <v>2</v>
      </c>
      <c r="BA13" s="440">
        <f t="shared" si="50"/>
        <v>2</v>
      </c>
      <c r="BB13" s="440">
        <f t="shared" si="37"/>
        <v>2</v>
      </c>
      <c r="BC13" s="440">
        <f t="shared" si="38"/>
        <v>2.2000000000000002</v>
      </c>
      <c r="BD13" s="440">
        <f t="shared" si="39"/>
        <v>2.2000000000000002</v>
      </c>
      <c r="BE13" s="440">
        <f t="shared" si="40"/>
        <v>2.2000000000000002</v>
      </c>
      <c r="BF13" s="440">
        <f t="shared" si="41"/>
        <v>2.2000000000000002</v>
      </c>
      <c r="BG13" s="440">
        <f t="shared" si="42"/>
        <v>2.2000000000000002</v>
      </c>
      <c r="BH13" s="440">
        <f t="shared" si="43"/>
        <v>2.2000000000000002</v>
      </c>
      <c r="BI13" s="440">
        <f t="shared" si="44"/>
        <v>2.2000000000000002</v>
      </c>
      <c r="BJ13" s="440">
        <f t="shared" si="45"/>
        <v>2.2000000000000002</v>
      </c>
      <c r="BK13" s="440">
        <f t="shared" si="46"/>
        <v>2.2000000000000002</v>
      </c>
      <c r="BL13" s="440">
        <f t="shared" si="47"/>
        <v>2.2000000000000002</v>
      </c>
      <c r="BM13" s="443"/>
      <c r="BN13" s="443"/>
      <c r="BO13" s="141"/>
      <c r="BQ13" s="444" cm="1">
        <f t="array" ref="BQ13">INDEX(AK13:AV13,MATCH(MONTH($BP$3),MONTH($AK$3:$AV$3),0))</f>
        <v>110</v>
      </c>
      <c r="BR13" t="str">
        <v>Kerusakan Peralatan Distribusi (PHB TM dan Trafo) Sesuai Kewenangan</v>
      </c>
      <c r="BS13" s="443">
        <v>110</v>
      </c>
      <c r="BT13" s="443" t="str">
        <f t="shared" si="48"/>
        <v/>
      </c>
      <c r="BU13" s="443" t="str">
        <v/>
      </c>
      <c r="BV13" s="440">
        <f t="shared" si="51"/>
        <v>1.1000000000000001</v>
      </c>
      <c r="BX13" s="181" t="str" cm="1">
        <f t="array" ref="BX13:BX18">_xlfn._xlws.FILTER($BR$4:$BR$42,$BQ$4:$BQ$42&lt;100)</f>
        <v>Penjualan Tenaga Listrik</v>
      </c>
      <c r="BY13" s="440">
        <f>IFERROR(IF(ISNUMBER(INDEX($BT$4:$BT$42,MATCH(BX13,$BR$4:$BR$42,0))) = FALSE, NA(),INDEX($BT$4:$BT$42,MATCH(BX13,$BR$4:$BR$42,0))),NA())</f>
        <v>96.926600284191835</v>
      </c>
      <c r="BZ13" s="440" t="e">
        <f>IFERROR(IF(ISNUMBER(INDEX(_xlfn.ANCHORARRAY($BU$4),MATCH(BX13,$BR$4:$BR$42,0))) = FALSE, NA(),INDEX(_xlfn.ANCHORARRAY($BU$4),MATCH(BX13,$BR$4:$BR$42,0))),NA())</f>
        <v>#N/A</v>
      </c>
      <c r="CA13" s="447">
        <f>IF(ISERROR(BY13),BZ13,BY13)</f>
        <v>96.926600284191835</v>
      </c>
      <c r="CB13" s="448">
        <f>IFERROR(100-CA13,NA())</f>
        <v>3.073399715808165</v>
      </c>
      <c r="CC13" s="105">
        <f>IFERROR(INDEX($AZ$4:$AZ$44,MATCH(BX13,$AX$4:$AX$44,0)),NA())</f>
        <v>14</v>
      </c>
      <c r="CD13" s="448">
        <f>IFERROR((100-CA13)/100*CC13,NA())</f>
        <v>0.43027596021314313</v>
      </c>
      <c r="CF13" s="831"/>
      <c r="CG13" s="436" t="s">
        <v>5</v>
      </c>
      <c r="CH13" s="467" t="e">
        <f>INDEX(AK$250:AK$279,MATCH($CH$4,_xlfn.ANCHORARRAY($AI$250),0))</f>
        <v>#N/A</v>
      </c>
      <c r="CI13" s="467" t="e">
        <f t="shared" ref="CI13:CS13" si="111">INDEX(AL$250:AL$279,MATCH($CH$4,_xlfn.ANCHORARRAY($AI$250),0))</f>
        <v>#N/A</v>
      </c>
      <c r="CJ13" s="467" t="e">
        <f t="shared" si="111"/>
        <v>#N/A</v>
      </c>
      <c r="CK13" s="467" t="e">
        <f t="shared" si="111"/>
        <v>#N/A</v>
      </c>
      <c r="CL13" s="467" t="e">
        <f t="shared" si="111"/>
        <v>#N/A</v>
      </c>
      <c r="CM13" s="467" t="e">
        <f t="shared" si="111"/>
        <v>#N/A</v>
      </c>
      <c r="CN13" s="467" t="e">
        <f t="shared" si="111"/>
        <v>#N/A</v>
      </c>
      <c r="CO13" s="467" t="e">
        <f t="shared" si="111"/>
        <v>#N/A</v>
      </c>
      <c r="CP13" s="467" t="e">
        <f t="shared" si="111"/>
        <v>#N/A</v>
      </c>
      <c r="CQ13" s="467" t="e">
        <f t="shared" si="111"/>
        <v>#N/A</v>
      </c>
      <c r="CR13" s="467" t="e">
        <f t="shared" si="111"/>
        <v>#N/A</v>
      </c>
      <c r="CS13" s="467" t="e">
        <f t="shared" si="111"/>
        <v>#N/A</v>
      </c>
      <c r="CT13" s="479" t="str">
        <f t="shared" si="91"/>
        <v>ULP MOUTONG</v>
      </c>
      <c r="CU13" s="481" t="e" cm="1">
        <f t="array" ref="CU13">INDEX(CH13:CS13,MATCH(MONTH($CT$7),MONTH($CH$5:$CS$5)))</f>
        <v>#N/A</v>
      </c>
      <c r="CV13" s="482" t="e">
        <f t="shared" si="75"/>
        <v>#N/A</v>
      </c>
      <c r="CW13" s="440" t="e">
        <f t="shared" si="94"/>
        <v>#N/A</v>
      </c>
      <c r="CX13" s="443" t="e">
        <f t="shared" si="76"/>
        <v>#N/A</v>
      </c>
      <c r="CY13" s="482" t="e">
        <f t="shared" si="77"/>
        <v>#N/A</v>
      </c>
    </row>
    <row r="14" spans="1:103">
      <c r="A14" t="str">
        <v>a. Feedback Rating Negatif pada PLN Mobile - Gangguan</v>
      </c>
      <c r="B14">
        <v>2</v>
      </c>
      <c r="C14" t="str">
        <v>Feedback Rating Negatif pada PLN Mobile - Gangguan</v>
      </c>
      <c r="D14" s="105" t="s">
        <v>456</v>
      </c>
      <c r="E14" t="str">
        <v>Feedback Rating Negatif pada PLN Mobile - Gangguan</v>
      </c>
      <c r="G14">
        <v>0.09</v>
      </c>
      <c r="H14">
        <v>0.09</v>
      </c>
      <c r="I14">
        <v>0.09</v>
      </c>
      <c r="J14">
        <v>0.09</v>
      </c>
      <c r="K14">
        <v>0.09</v>
      </c>
      <c r="L14">
        <v>0.09</v>
      </c>
      <c r="M14">
        <v>0.09</v>
      </c>
      <c r="N14">
        <v>0.09</v>
      </c>
      <c r="O14">
        <v>0.09</v>
      </c>
      <c r="P14">
        <v>0.09</v>
      </c>
      <c r="Q14">
        <v>0.09</v>
      </c>
      <c r="R14">
        <v>0.09</v>
      </c>
      <c r="T14" t="str">
        <v>Feedback Rating Negatif pada PLN Mobile - Gangguan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I14" t="str">
        <f t="shared" si="34"/>
        <v>Feedback Rating Negatif pada PLN Mobile - Gangguan</v>
      </c>
      <c r="AK14" s="440">
        <f t="shared" ref="AK14" si="112">IFERROR(IF((2-(V14/G14))*100&gt;110,110,(2-(V14/G14))*100),100)</f>
        <v>110</v>
      </c>
      <c r="AL14" s="440">
        <f t="shared" ref="AL14" si="113">IFERROR(IF((2-(W14/H14))*100&gt;110,110,(2-(W14/H14))*100),100)</f>
        <v>110</v>
      </c>
      <c r="AM14" s="440">
        <f t="shared" si="110"/>
        <v>110</v>
      </c>
      <c r="AN14" s="440">
        <f t="shared" si="110"/>
        <v>110</v>
      </c>
      <c r="AO14" s="440">
        <f t="shared" si="110"/>
        <v>110</v>
      </c>
      <c r="AP14" s="440">
        <f t="shared" si="110"/>
        <v>110</v>
      </c>
      <c r="AQ14" s="440">
        <f t="shared" si="110"/>
        <v>110</v>
      </c>
      <c r="AR14" s="440">
        <f t="shared" si="110"/>
        <v>110</v>
      </c>
      <c r="AS14" s="440">
        <f t="shared" si="110"/>
        <v>110</v>
      </c>
      <c r="AT14" s="440">
        <f t="shared" si="110"/>
        <v>110</v>
      </c>
      <c r="AU14" s="440">
        <f t="shared" si="110"/>
        <v>110</v>
      </c>
      <c r="AV14" s="440">
        <f t="shared" si="110"/>
        <v>110</v>
      </c>
      <c r="AW14" s="443"/>
      <c r="AX14" t="str">
        <f t="shared" si="36"/>
        <v>Feedback Rating Negatif pada PLN Mobile - Gangguan</v>
      </c>
      <c r="AY14" s="105" t="s">
        <v>452</v>
      </c>
      <c r="AZ14" s="442">
        <f>6/4</f>
        <v>1.5</v>
      </c>
      <c r="BA14" s="440">
        <f t="shared" si="50"/>
        <v>1.65</v>
      </c>
      <c r="BB14" s="440">
        <f t="shared" si="37"/>
        <v>1.65</v>
      </c>
      <c r="BC14" s="440">
        <f t="shared" si="38"/>
        <v>1.65</v>
      </c>
      <c r="BD14" s="440">
        <f t="shared" si="39"/>
        <v>1.65</v>
      </c>
      <c r="BE14" s="440">
        <f t="shared" si="40"/>
        <v>1.65</v>
      </c>
      <c r="BF14" s="440">
        <f t="shared" si="41"/>
        <v>1.65</v>
      </c>
      <c r="BG14" s="440">
        <f t="shared" si="42"/>
        <v>1.65</v>
      </c>
      <c r="BH14" s="440">
        <f t="shared" si="43"/>
        <v>1.65</v>
      </c>
      <c r="BI14" s="440">
        <f t="shared" si="44"/>
        <v>1.65</v>
      </c>
      <c r="BJ14" s="440">
        <f t="shared" si="45"/>
        <v>1.65</v>
      </c>
      <c r="BK14" s="440">
        <f t="shared" si="46"/>
        <v>1.65</v>
      </c>
      <c r="BL14" s="440">
        <f t="shared" si="47"/>
        <v>1.65</v>
      </c>
      <c r="BM14" s="443"/>
      <c r="BN14" s="443"/>
      <c r="BO14" s="141"/>
      <c r="BQ14" s="444" cm="1">
        <f t="array" ref="BQ14">INDEX(AK14:AV14,MATCH(MONTH($BP$3),MONTH($AK$3:$AV$3),0))</f>
        <v>110</v>
      </c>
      <c r="BR14" t="str">
        <v>Feedback Rating Negatif pada PLN Mobile - Gangguan</v>
      </c>
      <c r="BS14" s="443">
        <v>110</v>
      </c>
      <c r="BT14" s="443" t="str">
        <f t="shared" si="48"/>
        <v/>
      </c>
      <c r="BU14" s="443" t="str">
        <v/>
      </c>
      <c r="BV14" s="440">
        <f t="shared" si="51"/>
        <v>1.1000000000000001</v>
      </c>
      <c r="BX14" s="181" t="str">
        <v>Penambahan Daya Tersambung</v>
      </c>
      <c r="BY14" s="440" t="e">
        <f t="shared" ref="BY14:BY41" si="114">IFERROR(IF(ISNUMBER(INDEX($BT$4:$BT$42,MATCH(BX14,$BR$4:$BR$42,0))) = FALSE, NA(),INDEX($BT$4:$BT$42,MATCH(BX14,$BR$4:$BR$42,0))),NA())</f>
        <v>#N/A</v>
      </c>
      <c r="BZ14" s="440">
        <f t="shared" ref="BZ14:BZ41" si="115">IFERROR(IF(ISNUMBER(INDEX(_xlfn.ANCHORARRAY($BU$4),MATCH(BX14,$BR$4:$BR$42,0))) = FALSE, NA(),INDEX(_xlfn.ANCHORARRAY($BU$4),MATCH(BX14,$BR$4:$BR$42,0))),NA())</f>
        <v>68.3459468550286</v>
      </c>
      <c r="CA14" s="447">
        <f t="shared" ref="CA14:CA41" si="116">IF(ISERROR(BY14),BZ14,BY14)</f>
        <v>68.3459468550286</v>
      </c>
      <c r="CB14" s="448">
        <f t="shared" ref="CB14:CB41" si="117">IFERROR(100-CA14,NA())</f>
        <v>31.6540531449714</v>
      </c>
      <c r="CC14" s="105">
        <f t="shared" ref="CC14:CC41" si="118">IFERROR(INDEX($AZ$4:$AZ$44,MATCH(BX14,$AX$4:$AX$44,0)),NA())</f>
        <v>2</v>
      </c>
      <c r="CD14" s="448">
        <f t="shared" ref="CD14:CD41" si="119">IFERROR((100-CA14)/100*CC14,NA())</f>
        <v>0.633081062899428</v>
      </c>
      <c r="CF14" s="829" t="s">
        <v>478</v>
      </c>
      <c r="CG14" s="431" t="s">
        <v>462</v>
      </c>
      <c r="CH14" s="469" t="e">
        <f>INDEX(_xlfn.ANCHORARRAY(V$67),MATCH($CH$4,_xlfn.ANCHORARRAY($T$67),0))</f>
        <v>#N/A</v>
      </c>
      <c r="CI14" s="469" t="e">
        <f t="shared" ref="CI14:CS14" si="120">INDEX(_xlfn.ANCHORARRAY(W$67),MATCH($CH$4,_xlfn.ANCHORARRAY($T$67),0))</f>
        <v>#N/A</v>
      </c>
      <c r="CJ14" s="469" t="e">
        <f t="shared" si="120"/>
        <v>#N/A</v>
      </c>
      <c r="CK14" s="469" t="e">
        <f t="shared" si="120"/>
        <v>#N/A</v>
      </c>
      <c r="CL14" s="469" t="e">
        <f t="shared" si="120"/>
        <v>#N/A</v>
      </c>
      <c r="CM14" s="469" t="e">
        <f t="shared" si="120"/>
        <v>#N/A</v>
      </c>
      <c r="CN14" s="469" t="e">
        <f t="shared" si="120"/>
        <v>#N/A</v>
      </c>
      <c r="CO14" s="469" t="e">
        <f t="shared" si="120"/>
        <v>#N/A</v>
      </c>
      <c r="CP14" s="469" t="e">
        <f t="shared" si="120"/>
        <v>#N/A</v>
      </c>
      <c r="CQ14" s="469" t="e">
        <f t="shared" si="120"/>
        <v>#N/A</v>
      </c>
      <c r="CR14" s="469" t="e">
        <f t="shared" si="120"/>
        <v>#N/A</v>
      </c>
      <c r="CS14" s="470" t="e">
        <f t="shared" si="120"/>
        <v>#N/A</v>
      </c>
      <c r="CT14" s="478" t="str">
        <f>CG14</f>
        <v>KC TOLIS</v>
      </c>
      <c r="CU14" s="626" t="e" cm="1">
        <f t="array" ref="CU14">INDEX(CH14:CS14,MATCH(MONTH($CT$7),MONTH($CH$5:$CS$5)))</f>
        <v>#N/A</v>
      </c>
    </row>
    <row r="15" spans="1:103">
      <c r="A15" t="str">
        <v>b. Pengaduan Gangguan Berulang pada PLN Mobile</v>
      </c>
      <c r="B15">
        <v>2</v>
      </c>
      <c r="C15" t="str">
        <v>Pengaduan Gangguan Berulang pada PLN Mobile</v>
      </c>
      <c r="D15" s="105" t="s">
        <v>456</v>
      </c>
      <c r="E15" t="str">
        <v>Pengaduan Gangguan Berulang pada PLN Mobile</v>
      </c>
      <c r="G15">
        <v>0.04</v>
      </c>
      <c r="H15">
        <v>0.04</v>
      </c>
      <c r="I15">
        <v>0.04</v>
      </c>
      <c r="J15">
        <v>0.04</v>
      </c>
      <c r="K15">
        <v>0.04</v>
      </c>
      <c r="L15">
        <v>0.04</v>
      </c>
      <c r="M15">
        <v>0.04</v>
      </c>
      <c r="N15">
        <v>0.04</v>
      </c>
      <c r="O15">
        <v>0.04</v>
      </c>
      <c r="P15">
        <v>0.04</v>
      </c>
      <c r="Q15">
        <v>0.04</v>
      </c>
      <c r="R15">
        <v>0.04</v>
      </c>
      <c r="T15" t="str">
        <v>Pengaduan Gangguan Berulang pada PLN Mobile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4.9086982132338502E-3</v>
      </c>
      <c r="AI15" t="str">
        <f t="shared" si="34"/>
        <v>Pengaduan Gangguan Berulang pada PLN Mobile</v>
      </c>
      <c r="AK15" s="440">
        <f t="shared" ref="AK15" si="121">IFERROR(IF((2-(V15/G15))*100&gt;110,110,(2-(V15/G15))*100),100)</f>
        <v>110</v>
      </c>
      <c r="AL15" s="440">
        <f t="shared" ref="AL15" si="122">IFERROR(IF((2-(W15/H15))*100&gt;110,110,(2-(W15/H15))*100),100)</f>
        <v>110</v>
      </c>
      <c r="AM15" s="440">
        <f t="shared" ref="AM15" si="123">IFERROR(IF((2-(X15/I15))*100&gt;110,110,(2-(X15/I15))*100),100)</f>
        <v>110</v>
      </c>
      <c r="AN15" s="440">
        <f t="shared" ref="AN15" si="124">IFERROR(IF((2-(Y15/J15))*100&gt;110,110,(2-(Y15/J15))*100),100)</f>
        <v>110</v>
      </c>
      <c r="AO15" s="440">
        <f t="shared" ref="AO15" si="125">IFERROR(IF((2-(Z15/K15))*100&gt;110,110,(2-(Z15/K15))*100),100)</f>
        <v>110</v>
      </c>
      <c r="AP15" s="440">
        <f t="shared" ref="AP15" si="126">IFERROR(IF((2-(AA15/L15))*100&gt;110,110,(2-(AA15/L15))*100),100)</f>
        <v>110</v>
      </c>
      <c r="AQ15" s="440">
        <f t="shared" ref="AQ15" si="127">IFERROR(IF((2-(AB15/M15))*100&gt;110,110,(2-(AB15/M15))*100),100)</f>
        <v>110</v>
      </c>
      <c r="AR15" s="440">
        <f t="shared" ref="AR15" si="128">IFERROR(IF((2-(AC15/N15))*100&gt;110,110,(2-(AC15/N15))*100),100)</f>
        <v>110</v>
      </c>
      <c r="AS15" s="440">
        <f t="shared" ref="AS15" si="129">IFERROR(IF((2-(AD15/O15))*100&gt;110,110,(2-(AD15/O15))*100),100)</f>
        <v>110</v>
      </c>
      <c r="AT15" s="440">
        <f t="shared" ref="AT15" si="130">IFERROR(IF((2-(AE15/P15))*100&gt;110,110,(2-(AE15/P15))*100),100)</f>
        <v>110</v>
      </c>
      <c r="AU15" s="440">
        <f t="shared" ref="AU15" si="131">IFERROR(IF((2-(AF15/Q15))*100&gt;110,110,(2-(AF15/Q15))*100),100)</f>
        <v>110</v>
      </c>
      <c r="AV15" s="440">
        <f t="shared" ref="AV15" si="132">IFERROR(IF((2-(AG15/R15))*100&gt;110,110,(2-(AG15/R15))*100),100)</f>
        <v>110</v>
      </c>
      <c r="AW15" s="443"/>
      <c r="AX15" t="str">
        <f t="shared" si="36"/>
        <v>Pengaduan Gangguan Berulang pada PLN Mobile</v>
      </c>
      <c r="AY15" s="105" t="s">
        <v>452</v>
      </c>
      <c r="AZ15" s="442">
        <f t="shared" ref="AZ15:AZ17" si="133">6/4</f>
        <v>1.5</v>
      </c>
      <c r="BA15" s="440">
        <f t="shared" si="50"/>
        <v>1.65</v>
      </c>
      <c r="BB15" s="440">
        <f t="shared" si="37"/>
        <v>1.65</v>
      </c>
      <c r="BC15" s="440">
        <f t="shared" si="38"/>
        <v>1.65</v>
      </c>
      <c r="BD15" s="440">
        <f t="shared" si="39"/>
        <v>1.65</v>
      </c>
      <c r="BE15" s="440">
        <f t="shared" si="40"/>
        <v>1.65</v>
      </c>
      <c r="BF15" s="440">
        <f t="shared" si="41"/>
        <v>1.65</v>
      </c>
      <c r="BG15" s="440">
        <f t="shared" si="42"/>
        <v>1.65</v>
      </c>
      <c r="BH15" s="440">
        <f t="shared" si="43"/>
        <v>1.65</v>
      </c>
      <c r="BI15" s="440">
        <f t="shared" si="44"/>
        <v>1.65</v>
      </c>
      <c r="BJ15" s="440">
        <f t="shared" si="45"/>
        <v>1.65</v>
      </c>
      <c r="BK15" s="440">
        <f t="shared" si="46"/>
        <v>1.65</v>
      </c>
      <c r="BL15" s="440">
        <f t="shared" si="47"/>
        <v>1.65</v>
      </c>
      <c r="BM15" s="443"/>
      <c r="BN15" s="443"/>
      <c r="BO15" s="141"/>
      <c r="BQ15" s="444" cm="1">
        <f t="array" ref="BQ15">INDEX(AK15:AV15,MATCH(MONTH($BP$3),MONTH($AK$3:$AV$3),0))</f>
        <v>110</v>
      </c>
      <c r="BR15" t="str">
        <v>Pengaduan Gangguan Berulang pada PLN Mobile</v>
      </c>
      <c r="BS15" s="443">
        <v>110</v>
      </c>
      <c r="BT15" s="443" t="str">
        <f t="shared" si="48"/>
        <v/>
      </c>
      <c r="BU15" s="443" t="str">
        <v/>
      </c>
      <c r="BV15" s="440">
        <f t="shared" si="51"/>
        <v>1.1000000000000001</v>
      </c>
      <c r="BX15" s="181" t="str">
        <v>Penambahan Jumlah Pelanggan</v>
      </c>
      <c r="BY15" s="440" t="e">
        <f t="shared" si="114"/>
        <v>#N/A</v>
      </c>
      <c r="BZ15" s="440">
        <f t="shared" si="115"/>
        <v>50.787219263718455</v>
      </c>
      <c r="CA15" s="447">
        <f t="shared" si="116"/>
        <v>50.787219263718455</v>
      </c>
      <c r="CB15" s="448">
        <f t="shared" si="117"/>
        <v>49.212780736281545</v>
      </c>
      <c r="CC15" s="105">
        <f t="shared" si="118"/>
        <v>2</v>
      </c>
      <c r="CD15" s="448">
        <f t="shared" si="119"/>
        <v>0.98425561472563095</v>
      </c>
      <c r="CF15" s="830"/>
      <c r="CG15" t="s">
        <v>4</v>
      </c>
      <c r="CH15" s="465" t="e">
        <f>INDEX(_xlfn.ANCHORARRAY(V$115),MATCH($CH$4,_xlfn.ANCHORARRAY($T$115),0))</f>
        <v>#N/A</v>
      </c>
      <c r="CI15" s="465" t="e">
        <f t="shared" ref="CI15:CS15" si="134">INDEX(_xlfn.ANCHORARRAY(W$115),MATCH($CH$4,_xlfn.ANCHORARRAY($T$115),0))</f>
        <v>#N/A</v>
      </c>
      <c r="CJ15" s="465" t="e">
        <f t="shared" si="134"/>
        <v>#N/A</v>
      </c>
      <c r="CK15" s="465" t="e">
        <f t="shared" si="134"/>
        <v>#N/A</v>
      </c>
      <c r="CL15" s="465" t="e">
        <f t="shared" si="134"/>
        <v>#N/A</v>
      </c>
      <c r="CM15" s="465" t="e">
        <f t="shared" si="134"/>
        <v>#N/A</v>
      </c>
      <c r="CN15" s="465" t="e">
        <f t="shared" si="134"/>
        <v>#N/A</v>
      </c>
      <c r="CO15" s="465" t="e">
        <f t="shared" si="134"/>
        <v>#N/A</v>
      </c>
      <c r="CP15" s="465" t="e">
        <f t="shared" si="134"/>
        <v>#N/A</v>
      </c>
      <c r="CQ15" s="465" t="e">
        <f t="shared" si="134"/>
        <v>#N/A</v>
      </c>
      <c r="CR15" s="465" t="e">
        <f t="shared" si="134"/>
        <v>#N/A</v>
      </c>
      <c r="CS15" s="466" t="e">
        <f t="shared" si="134"/>
        <v>#N/A</v>
      </c>
      <c r="CT15" s="478" t="str">
        <f t="shared" si="91"/>
        <v>ULP BANGKIR</v>
      </c>
      <c r="CU15" s="626" t="e" cm="1">
        <f t="array" ref="CU15">INDEX(CH15:CS15,MATCH(MONTH($CT$7),MONTH($CH$5:$CS$5)))</f>
        <v>#N/A</v>
      </c>
    </row>
    <row r="16" spans="1:103">
      <c r="A16" t="str">
        <v>c. Rating PLN Mobile</v>
      </c>
      <c r="B16">
        <v>2</v>
      </c>
      <c r="C16" t="str">
        <v>Rating PLN Mobile</v>
      </c>
      <c r="D16" s="105" t="s">
        <v>456</v>
      </c>
      <c r="E16" t="str">
        <v>Rating PLN Mobile</v>
      </c>
      <c r="G16">
        <v>4.9000000000000004</v>
      </c>
      <c r="H16">
        <v>4.9000000000000004</v>
      </c>
      <c r="I16">
        <v>4.9000000000000004</v>
      </c>
      <c r="J16">
        <v>4.9000000000000004</v>
      </c>
      <c r="K16">
        <v>4.9000000000000004</v>
      </c>
      <c r="L16">
        <v>4.9000000000000004</v>
      </c>
      <c r="M16">
        <v>4.9000000000000004</v>
      </c>
      <c r="N16">
        <v>4.9000000000000004</v>
      </c>
      <c r="O16">
        <v>4.9000000000000004</v>
      </c>
      <c r="P16">
        <v>4.9000000000000004</v>
      </c>
      <c r="Q16">
        <v>4.9000000000000004</v>
      </c>
      <c r="R16">
        <v>4.9000000000000004</v>
      </c>
      <c r="T16" t="str">
        <v>Rating PLN Mobile</v>
      </c>
      <c r="V16">
        <v>4.91</v>
      </c>
      <c r="W16">
        <v>4.91</v>
      </c>
      <c r="X16">
        <v>4.91</v>
      </c>
      <c r="Y16">
        <v>4.91</v>
      </c>
      <c r="Z16">
        <v>4.9000000000000004</v>
      </c>
      <c r="AA16">
        <v>4.9000000000000004</v>
      </c>
      <c r="AB16">
        <v>4.9000000000000004</v>
      </c>
      <c r="AC16">
        <v>4.9000000000000004</v>
      </c>
      <c r="AD16">
        <v>4.9000000000000004</v>
      </c>
      <c r="AE16">
        <v>4.9000000000000004</v>
      </c>
      <c r="AF16">
        <v>4.9000000000000004</v>
      </c>
      <c r="AG16">
        <v>4.9000000000000004</v>
      </c>
      <c r="AI16" t="str">
        <f t="shared" si="34"/>
        <v>Rating PLN Mobile</v>
      </c>
      <c r="AK16" s="440">
        <f t="shared" ref="AK16:AV16" si="135">IF(V16/G16*100&gt;110,110,V16/G16*100)</f>
        <v>100.20408163265306</v>
      </c>
      <c r="AL16" s="440">
        <f t="shared" si="135"/>
        <v>100.20408163265306</v>
      </c>
      <c r="AM16" s="440">
        <f t="shared" si="135"/>
        <v>100.20408163265306</v>
      </c>
      <c r="AN16" s="440">
        <f t="shared" si="135"/>
        <v>100.20408163265306</v>
      </c>
      <c r="AO16" s="440">
        <f t="shared" si="135"/>
        <v>100</v>
      </c>
      <c r="AP16" s="440">
        <f t="shared" si="135"/>
        <v>100</v>
      </c>
      <c r="AQ16" s="440">
        <f t="shared" si="135"/>
        <v>100</v>
      </c>
      <c r="AR16" s="440">
        <f t="shared" si="135"/>
        <v>100</v>
      </c>
      <c r="AS16" s="440">
        <f t="shared" si="135"/>
        <v>100</v>
      </c>
      <c r="AT16" s="440">
        <f t="shared" si="135"/>
        <v>100</v>
      </c>
      <c r="AU16" s="440">
        <f t="shared" si="135"/>
        <v>100</v>
      </c>
      <c r="AV16" s="440">
        <f t="shared" si="135"/>
        <v>100</v>
      </c>
      <c r="AW16" s="443"/>
      <c r="AX16" t="str">
        <f t="shared" si="36"/>
        <v>Rating PLN Mobile</v>
      </c>
      <c r="AY16" s="105" t="s">
        <v>452</v>
      </c>
      <c r="AZ16" s="442">
        <f t="shared" si="133"/>
        <v>1.5</v>
      </c>
      <c r="BA16" s="440">
        <f t="shared" si="50"/>
        <v>1.5</v>
      </c>
      <c r="BB16" s="440">
        <f t="shared" si="37"/>
        <v>1.5</v>
      </c>
      <c r="BC16" s="440">
        <f t="shared" si="38"/>
        <v>1.5</v>
      </c>
      <c r="BD16" s="440">
        <f t="shared" si="39"/>
        <v>1.5</v>
      </c>
      <c r="BE16" s="440">
        <f t="shared" si="40"/>
        <v>1.5</v>
      </c>
      <c r="BF16" s="440">
        <f t="shared" si="41"/>
        <v>1.5</v>
      </c>
      <c r="BG16" s="440">
        <f t="shared" si="42"/>
        <v>1.5</v>
      </c>
      <c r="BH16" s="440">
        <f t="shared" si="43"/>
        <v>1.5</v>
      </c>
      <c r="BI16" s="440">
        <f t="shared" si="44"/>
        <v>1.5</v>
      </c>
      <c r="BJ16" s="440">
        <f t="shared" si="45"/>
        <v>1.5</v>
      </c>
      <c r="BK16" s="440">
        <f t="shared" si="46"/>
        <v>1.5</v>
      </c>
      <c r="BL16" s="440">
        <f t="shared" si="47"/>
        <v>1.5</v>
      </c>
      <c r="BM16" s="443"/>
      <c r="BN16" s="443"/>
      <c r="BO16" s="141"/>
      <c r="BQ16" s="444" cm="1">
        <f t="array" ref="BQ16">INDEX(AK16:AV16,MATCH(MONTH($BP$3),MONTH($AK$3:$AV$3),0))</f>
        <v>100</v>
      </c>
      <c r="BR16" t="str">
        <v>Rating PLN Mobile</v>
      </c>
      <c r="BS16" s="443">
        <v>100</v>
      </c>
      <c r="BT16" s="443" t="str">
        <f t="shared" si="48"/>
        <v/>
      </c>
      <c r="BU16" s="443" t="str">
        <v/>
      </c>
      <c r="BV16" s="440">
        <f t="shared" si="51"/>
        <v>1</v>
      </c>
      <c r="BX16" s="181" t="str">
        <v>Pencapaian Saldo Rata-Rata Akhir Bulan diluar Konsumen Instansi (Kementerian &amp; Lembaga)</v>
      </c>
      <c r="BY16" s="440">
        <f t="shared" si="114"/>
        <v>98.641414189401601</v>
      </c>
      <c r="BZ16" s="440" t="e">
        <f t="shared" si="115"/>
        <v>#N/A</v>
      </c>
      <c r="CA16" s="447">
        <f t="shared" si="116"/>
        <v>98.641414189401601</v>
      </c>
      <c r="CB16" s="448">
        <f t="shared" si="117"/>
        <v>1.3585858105983988</v>
      </c>
      <c r="CC16" s="105">
        <f t="shared" si="118"/>
        <v>2</v>
      </c>
      <c r="CD16" s="448">
        <f t="shared" si="119"/>
        <v>2.7171716211967976E-2</v>
      </c>
      <c r="CF16" s="830"/>
      <c r="CG16" t="s">
        <v>6</v>
      </c>
      <c r="CH16" s="465" t="e">
        <f>INDEX(_xlfn.ANCHORARRAY(V$205),MATCH($CH$4,_xlfn.ANCHORARRAY($T$205),0))</f>
        <v>#N/A</v>
      </c>
      <c r="CI16" s="465" t="e">
        <f t="shared" ref="CI16:CS16" si="136">INDEX(_xlfn.ANCHORARRAY(W$205),MATCH($CH$4,_xlfn.ANCHORARRAY($T$205),0))</f>
        <v>#N/A</v>
      </c>
      <c r="CJ16" s="465" t="e">
        <f t="shared" si="136"/>
        <v>#N/A</v>
      </c>
      <c r="CK16" s="465" t="e">
        <f t="shared" si="136"/>
        <v>#N/A</v>
      </c>
      <c r="CL16" s="465" t="e">
        <f t="shared" si="136"/>
        <v>#N/A</v>
      </c>
      <c r="CM16" s="465" t="e">
        <f t="shared" si="136"/>
        <v>#N/A</v>
      </c>
      <c r="CN16" s="465" t="e">
        <f t="shared" si="136"/>
        <v>#N/A</v>
      </c>
      <c r="CO16" s="465" t="e">
        <f t="shared" si="136"/>
        <v>#N/A</v>
      </c>
      <c r="CP16" s="465" t="e">
        <f t="shared" si="136"/>
        <v>#N/A</v>
      </c>
      <c r="CQ16" s="465" t="e">
        <f t="shared" si="136"/>
        <v>#N/A</v>
      </c>
      <c r="CR16" s="465" t="e">
        <f t="shared" si="136"/>
        <v>#N/A</v>
      </c>
      <c r="CS16" s="466" t="e">
        <f t="shared" si="136"/>
        <v>#N/A</v>
      </c>
      <c r="CT16" s="478" t="str">
        <f t="shared" si="91"/>
        <v>ULP KOTARAYA</v>
      </c>
      <c r="CU16" s="626" t="e" cm="1">
        <f t="array" ref="CU16">INDEX(CH16:CS16,MATCH(MONTH($CT$7),MONTH($CH$5:$CS$5)))</f>
        <v>#N/A</v>
      </c>
    </row>
    <row r="17" spans="1:99">
      <c r="A17" t="str">
        <v>d. Jumlah Kali Transaksi Keuangan melalui PLN Mobile</v>
      </c>
      <c r="B17">
        <v>2</v>
      </c>
      <c r="C17" t="str">
        <v>Jumlah Kali Transaksi Keuangan melalui PLN Mobile</v>
      </c>
      <c r="D17" s="105" t="s">
        <v>456</v>
      </c>
      <c r="E17" t="str">
        <v>Jumlah Kali Transaksi Keuangan melalui PLN Mobile</v>
      </c>
      <c r="G17">
        <v>5386</v>
      </c>
      <c r="H17">
        <v>10253</v>
      </c>
      <c r="I17">
        <v>15641</v>
      </c>
      <c r="J17">
        <v>20855</v>
      </c>
      <c r="K17">
        <v>26242</v>
      </c>
      <c r="L17">
        <v>31455</v>
      </c>
      <c r="M17">
        <v>36754</v>
      </c>
      <c r="N17">
        <v>42054</v>
      </c>
      <c r="O17">
        <v>47183</v>
      </c>
      <c r="P17">
        <v>52481</v>
      </c>
      <c r="Q17">
        <v>57609</v>
      </c>
      <c r="R17">
        <v>62908</v>
      </c>
      <c r="T17" t="str">
        <v>Jumlah Kali Transaksi Keuangan melalui PLN Mobile</v>
      </c>
      <c r="V17">
        <v>2781</v>
      </c>
      <c r="W17">
        <v>6163</v>
      </c>
      <c r="X17">
        <v>16349</v>
      </c>
      <c r="Y17">
        <v>26667</v>
      </c>
      <c r="Z17">
        <v>36549</v>
      </c>
      <c r="AA17">
        <v>45061</v>
      </c>
      <c r="AB17">
        <v>53566</v>
      </c>
      <c r="AC17">
        <v>60672</v>
      </c>
      <c r="AD17">
        <v>68090</v>
      </c>
      <c r="AE17">
        <v>75000</v>
      </c>
      <c r="AF17">
        <v>0</v>
      </c>
      <c r="AG17">
        <v>0</v>
      </c>
      <c r="AI17" t="str">
        <f t="shared" si="34"/>
        <v>Jumlah Kali Transaksi Keuangan melalui PLN Mobile</v>
      </c>
      <c r="AK17" s="440">
        <f t="shared" ref="AK17" si="137">IF(V17/G17*100&gt;110,110,V17/G17*100)</f>
        <v>51.633865577422945</v>
      </c>
      <c r="AL17" s="440">
        <f t="shared" ref="AL17" si="138">IF(W17/H17*100&gt;110,110,W17/H17*100)</f>
        <v>60.10923632107675</v>
      </c>
      <c r="AM17" s="440">
        <f t="shared" ref="AM17" si="139">IF(X17/I17*100&gt;110,110,X17/I17*100)</f>
        <v>104.52656479764721</v>
      </c>
      <c r="AN17" s="440">
        <f t="shared" ref="AN17" si="140">IF(Y17/J17*100&gt;110,110,Y17/J17*100)</f>
        <v>110</v>
      </c>
      <c r="AO17" s="440">
        <f t="shared" ref="AO17" si="141">IF(Z17/K17*100&gt;110,110,Z17/K17*100)</f>
        <v>110</v>
      </c>
      <c r="AP17" s="440">
        <f t="shared" ref="AP17" si="142">IF(AA17/L17*100&gt;110,110,AA17/L17*100)</f>
        <v>110</v>
      </c>
      <c r="AQ17" s="440">
        <f t="shared" ref="AQ17" si="143">IF(AB17/M17*100&gt;110,110,AB17/M17*100)</f>
        <v>110</v>
      </c>
      <c r="AR17" s="440">
        <f t="shared" ref="AR17" si="144">IF(AC17/N17*100&gt;110,110,AC17/N17*100)</f>
        <v>110</v>
      </c>
      <c r="AS17" s="440">
        <f t="shared" ref="AS17" si="145">IF(AD17/O17*100&gt;110,110,AD17/O17*100)</f>
        <v>110</v>
      </c>
      <c r="AT17" s="440">
        <f t="shared" ref="AT17" si="146">IF(AE17/P17*100&gt;110,110,AE17/P17*100)</f>
        <v>110</v>
      </c>
      <c r="AU17" s="440">
        <f t="shared" ref="AU17" si="147">IF(AF17/Q17*100&gt;110,110,AF17/Q17*100)</f>
        <v>0</v>
      </c>
      <c r="AV17" s="440">
        <f t="shared" ref="AV17" si="148">IF(AG17/R17*100&gt;110,110,AG17/R17*100)</f>
        <v>0</v>
      </c>
      <c r="AW17" s="443"/>
      <c r="AX17" t="str">
        <f t="shared" si="36"/>
        <v>Jumlah Kali Transaksi Keuangan melalui PLN Mobile</v>
      </c>
      <c r="AY17" s="105" t="s">
        <v>452</v>
      </c>
      <c r="AZ17" s="442">
        <f t="shared" si="133"/>
        <v>1.5</v>
      </c>
      <c r="BA17" s="440">
        <f t="shared" si="50"/>
        <v>0.77</v>
      </c>
      <c r="BB17" s="440">
        <f t="shared" si="37"/>
        <v>0.9</v>
      </c>
      <c r="BC17" s="440">
        <f t="shared" si="38"/>
        <v>1.56</v>
      </c>
      <c r="BD17" s="440">
        <f t="shared" si="39"/>
        <v>1.65</v>
      </c>
      <c r="BE17" s="440">
        <f t="shared" si="40"/>
        <v>1.65</v>
      </c>
      <c r="BF17" s="440">
        <f t="shared" si="41"/>
        <v>1.65</v>
      </c>
      <c r="BG17" s="440">
        <f t="shared" si="42"/>
        <v>1.65</v>
      </c>
      <c r="BH17" s="440">
        <f t="shared" si="43"/>
        <v>1.65</v>
      </c>
      <c r="BI17" s="440">
        <f t="shared" si="44"/>
        <v>1.65</v>
      </c>
      <c r="BJ17" s="440">
        <f t="shared" si="45"/>
        <v>1.65</v>
      </c>
      <c r="BK17" s="440">
        <f t="shared" si="46"/>
        <v>0</v>
      </c>
      <c r="BL17" s="440">
        <f t="shared" si="47"/>
        <v>0</v>
      </c>
      <c r="BM17" s="443"/>
      <c r="BN17" s="443"/>
      <c r="BO17" s="141"/>
      <c r="BQ17" s="444" cm="1">
        <f t="array" ref="BQ17">INDEX(AK17:AV17,MATCH(MONTH($BP$3),MONTH($AK$3:$AV$3),0))</f>
        <v>110</v>
      </c>
      <c r="BR17" t="str">
        <v>Jumlah Kali Transaksi Keuangan melalui PLN Mobile</v>
      </c>
      <c r="BS17" s="443">
        <v>110</v>
      </c>
      <c r="BT17" s="443" t="str">
        <f t="shared" si="48"/>
        <v/>
      </c>
      <c r="BU17" s="443" t="str">
        <v/>
      </c>
      <c r="BV17" s="440">
        <f t="shared" si="51"/>
        <v>1.1000000000000001</v>
      </c>
      <c r="BX17" s="181" t="str">
        <v>Pengendalian Penggunaan Anggaran Investasi sesuai RKAP</v>
      </c>
      <c r="BY17" s="440">
        <f t="shared" si="114"/>
        <v>95.05263157894737</v>
      </c>
      <c r="BZ17" s="440" t="e">
        <f t="shared" si="115"/>
        <v>#N/A</v>
      </c>
      <c r="CA17" s="447">
        <f t="shared" si="116"/>
        <v>95.05263157894737</v>
      </c>
      <c r="CB17" s="448">
        <f t="shared" si="117"/>
        <v>4.9473684210526301</v>
      </c>
      <c r="CC17" s="105">
        <f t="shared" si="118"/>
        <v>2</v>
      </c>
      <c r="CD17" s="448">
        <f t="shared" si="119"/>
        <v>9.8947368421052603E-2</v>
      </c>
      <c r="CF17" s="830"/>
      <c r="CG17" t="s">
        <v>3</v>
      </c>
      <c r="CH17" s="465" t="e">
        <f>INDEX(_xlfn.ANCHORARRAY(V$160),MATCH($CH$4,_xlfn.ANCHORARRAY($T$160),0))</f>
        <v>#N/A</v>
      </c>
      <c r="CI17" s="465" t="e">
        <f t="shared" ref="CI17:CS17" si="149">INDEX(_xlfn.ANCHORARRAY(W$160),MATCH($CH$4,_xlfn.ANCHORARRAY($T$160),0))</f>
        <v>#N/A</v>
      </c>
      <c r="CJ17" s="465" t="e">
        <f t="shared" si="149"/>
        <v>#N/A</v>
      </c>
      <c r="CK17" s="465" t="e">
        <f t="shared" si="149"/>
        <v>#N/A</v>
      </c>
      <c r="CL17" s="465" t="e">
        <f t="shared" si="149"/>
        <v>#N/A</v>
      </c>
      <c r="CM17" s="465" t="e">
        <f t="shared" si="149"/>
        <v>#N/A</v>
      </c>
      <c r="CN17" s="465" t="e">
        <f t="shared" si="149"/>
        <v>#N/A</v>
      </c>
      <c r="CO17" s="465" t="e">
        <f t="shared" si="149"/>
        <v>#N/A</v>
      </c>
      <c r="CP17" s="465" t="e">
        <f t="shared" si="149"/>
        <v>#N/A</v>
      </c>
      <c r="CQ17" s="465" t="e">
        <f t="shared" si="149"/>
        <v>#N/A</v>
      </c>
      <c r="CR17" s="465" t="e">
        <f t="shared" si="149"/>
        <v>#N/A</v>
      </c>
      <c r="CS17" s="466" t="e">
        <f t="shared" si="149"/>
        <v>#N/A</v>
      </c>
      <c r="CT17" s="478" t="str">
        <f t="shared" si="91"/>
        <v>ULP LEOK</v>
      </c>
      <c r="CU17" s="626" t="e" cm="1">
        <f t="array" ref="CU17">INDEX(CH17:CS17,MATCH(MONTH($CT$7),MONTH($CH$5:$CS$5)))</f>
        <v>#N/A</v>
      </c>
    </row>
    <row r="18" spans="1:99" ht="15.75" thickBot="1">
      <c r="A18" t="str">
        <v>a. Response Time atas Gangguan (diluar Clear Tamper)</v>
      </c>
      <c r="B18">
        <v>2</v>
      </c>
      <c r="C18" t="str">
        <v>Response Time atas Gangguan (diluar Clear Tamper)</v>
      </c>
      <c r="D18" s="105" t="s">
        <v>456</v>
      </c>
      <c r="E18" t="str">
        <v>Response Time atas Gangguan (diluar Clear Tamper)</v>
      </c>
      <c r="G18">
        <v>30</v>
      </c>
      <c r="H18">
        <v>30</v>
      </c>
      <c r="I18">
        <v>30</v>
      </c>
      <c r="J18">
        <v>30</v>
      </c>
      <c r="K18">
        <v>30</v>
      </c>
      <c r="L18">
        <v>30</v>
      </c>
      <c r="M18">
        <v>30</v>
      </c>
      <c r="N18">
        <v>30</v>
      </c>
      <c r="O18">
        <v>30</v>
      </c>
      <c r="P18">
        <v>30</v>
      </c>
      <c r="Q18">
        <v>30</v>
      </c>
      <c r="R18">
        <v>30</v>
      </c>
      <c r="T18" t="str">
        <v>Response Time atas Gangguan (diluar Clear Tamper)</v>
      </c>
      <c r="V18">
        <v>8.1972562755399867</v>
      </c>
      <c r="W18">
        <v>8.1895472049853559</v>
      </c>
      <c r="X18">
        <v>8.1517234042283491</v>
      </c>
      <c r="Y18">
        <v>8.1290916049582798</v>
      </c>
      <c r="Z18">
        <v>9.2132732839666236</v>
      </c>
      <c r="AA18">
        <v>9.3707533111591559</v>
      </c>
      <c r="AB18">
        <v>9.4832390448681085</v>
      </c>
      <c r="AC18">
        <v>9.7132346993555974</v>
      </c>
      <c r="AD18">
        <v>9.9645423134519469</v>
      </c>
      <c r="AE18">
        <v>10.140176089784086</v>
      </c>
      <c r="AF18">
        <v>10.140176089784086</v>
      </c>
      <c r="AG18">
        <v>10.140176089784086</v>
      </c>
      <c r="AI18" t="str">
        <f t="shared" si="34"/>
        <v>Response Time atas Gangguan (diluar Clear Tamper)</v>
      </c>
      <c r="AK18" s="440">
        <f t="shared" ref="AK18" si="150">IFERROR(IF((2-(V18/G18))*100&gt;110,110,(2-(V18/G18))*100),100)</f>
        <v>110</v>
      </c>
      <c r="AL18" s="440">
        <f t="shared" ref="AL18" si="151">IFERROR(IF((2-(W18/H18))*100&gt;110,110,(2-(W18/H18))*100),100)</f>
        <v>110</v>
      </c>
      <c r="AM18" s="440">
        <f t="shared" ref="AM18" si="152">IFERROR(IF((2-(X18/I18))*100&gt;110,110,(2-(X18/I18))*100),100)</f>
        <v>110</v>
      </c>
      <c r="AN18" s="440">
        <f t="shared" ref="AN18" si="153">IFERROR(IF((2-(Y18/J18))*100&gt;110,110,(2-(Y18/J18))*100),100)</f>
        <v>110</v>
      </c>
      <c r="AO18" s="440">
        <f t="shared" ref="AO18" si="154">IFERROR(IF((2-(Z18/K18))*100&gt;110,110,(2-(Z18/K18))*100),100)</f>
        <v>110</v>
      </c>
      <c r="AP18" s="440">
        <f t="shared" ref="AP18" si="155">IFERROR(IF((2-(AA18/L18))*100&gt;110,110,(2-(AA18/L18))*100),100)</f>
        <v>110</v>
      </c>
      <c r="AQ18" s="440">
        <f t="shared" ref="AQ18" si="156">IFERROR(IF((2-(AB18/M18))*100&gt;110,110,(2-(AB18/M18))*100),100)</f>
        <v>110</v>
      </c>
      <c r="AR18" s="440">
        <f t="shared" ref="AR18" si="157">IFERROR(IF((2-(AC18/N18))*100&gt;110,110,(2-(AC18/N18))*100),100)</f>
        <v>110</v>
      </c>
      <c r="AS18" s="440">
        <f t="shared" ref="AS18" si="158">IFERROR(IF((2-(AD18/O18))*100&gt;110,110,(2-(AD18/O18))*100),100)</f>
        <v>110</v>
      </c>
      <c r="AT18" s="440">
        <f t="shared" ref="AT18" si="159">IFERROR(IF((2-(AE18/P18))*100&gt;110,110,(2-(AE18/P18))*100),100)</f>
        <v>110</v>
      </c>
      <c r="AU18" s="440">
        <f t="shared" ref="AU18" si="160">IFERROR(IF((2-(AF18/Q18))*100&gt;110,110,(2-(AF18/Q18))*100),100)</f>
        <v>110</v>
      </c>
      <c r="AV18" s="440">
        <f t="shared" ref="AV18" si="161">IFERROR(IF((2-(AG18/R18))*100&gt;110,110,(2-(AG18/R18))*100),100)</f>
        <v>110</v>
      </c>
      <c r="AW18" s="443"/>
      <c r="AX18" t="str">
        <f t="shared" si="36"/>
        <v>Response Time atas Gangguan (diluar Clear Tamper)</v>
      </c>
      <c r="AY18" s="105" t="s">
        <v>452</v>
      </c>
      <c r="AZ18" s="442">
        <f>3/2</f>
        <v>1.5</v>
      </c>
      <c r="BA18" s="440">
        <f t="shared" si="50"/>
        <v>1.65</v>
      </c>
      <c r="BB18" s="440">
        <f t="shared" si="37"/>
        <v>1.65</v>
      </c>
      <c r="BC18" s="440">
        <f t="shared" si="38"/>
        <v>1.65</v>
      </c>
      <c r="BD18" s="440">
        <f t="shared" si="39"/>
        <v>1.65</v>
      </c>
      <c r="BE18" s="440">
        <f t="shared" si="40"/>
        <v>1.65</v>
      </c>
      <c r="BF18" s="440">
        <f t="shared" si="41"/>
        <v>1.65</v>
      </c>
      <c r="BG18" s="440">
        <f t="shared" si="42"/>
        <v>1.65</v>
      </c>
      <c r="BH18" s="440">
        <f t="shared" si="43"/>
        <v>1.65</v>
      </c>
      <c r="BI18" s="440">
        <f t="shared" si="44"/>
        <v>1.65</v>
      </c>
      <c r="BJ18" s="440">
        <f t="shared" si="45"/>
        <v>1.65</v>
      </c>
      <c r="BK18" s="440">
        <f t="shared" si="46"/>
        <v>1.65</v>
      </c>
      <c r="BL18" s="440">
        <f t="shared" si="47"/>
        <v>1.65</v>
      </c>
      <c r="BM18" s="443"/>
      <c r="BN18" s="443"/>
      <c r="BO18" s="141"/>
      <c r="BQ18" s="444" cm="1">
        <f t="array" ref="BQ18">INDEX(AK18:AV18,MATCH(MONTH($BP$3),MONTH($AK$3:$AV$3),0))</f>
        <v>110</v>
      </c>
      <c r="BR18" t="str">
        <v>Response Time atas Gangguan (diluar Clear Tamper)</v>
      </c>
      <c r="BS18" s="443">
        <v>110</v>
      </c>
      <c r="BT18" s="443" t="str">
        <f t="shared" si="48"/>
        <v/>
      </c>
      <c r="BU18" s="443" t="str">
        <v/>
      </c>
      <c r="BV18" s="440">
        <f t="shared" si="51"/>
        <v>1.1000000000000001</v>
      </c>
      <c r="BX18" s="181" t="str">
        <v>Produktivitas Unit</v>
      </c>
      <c r="BY18" s="440" t="e">
        <f t="shared" si="114"/>
        <v>#N/A</v>
      </c>
      <c r="BZ18" s="440">
        <f t="shared" si="115"/>
        <v>90</v>
      </c>
      <c r="CA18" s="447">
        <f t="shared" si="116"/>
        <v>90</v>
      </c>
      <c r="CB18" s="448">
        <f t="shared" si="117"/>
        <v>10</v>
      </c>
      <c r="CC18" s="105">
        <f t="shared" si="118"/>
        <v>1</v>
      </c>
      <c r="CD18" s="448">
        <f t="shared" si="119"/>
        <v>0.1</v>
      </c>
      <c r="CF18" s="831"/>
      <c r="CG18" s="436" t="s">
        <v>5</v>
      </c>
      <c r="CH18" s="467" t="e">
        <f>INDEX(_xlfn.ANCHORARRAY(V$250),MATCH($CH$4,_xlfn.ANCHORARRAY($T$250),0))</f>
        <v>#N/A</v>
      </c>
      <c r="CI18" s="467" t="e">
        <f t="shared" ref="CI18:CS18" si="162">INDEX(_xlfn.ANCHORARRAY(W$250),MATCH($CH$4,_xlfn.ANCHORARRAY($T$250),0))</f>
        <v>#N/A</v>
      </c>
      <c r="CJ18" s="467" t="e">
        <f t="shared" si="162"/>
        <v>#N/A</v>
      </c>
      <c r="CK18" s="467" t="e">
        <f t="shared" si="162"/>
        <v>#N/A</v>
      </c>
      <c r="CL18" s="467" t="e">
        <f t="shared" si="162"/>
        <v>#N/A</v>
      </c>
      <c r="CM18" s="467" t="e">
        <f t="shared" si="162"/>
        <v>#N/A</v>
      </c>
      <c r="CN18" s="467" t="e">
        <f t="shared" si="162"/>
        <v>#N/A</v>
      </c>
      <c r="CO18" s="467" t="e">
        <f t="shared" si="162"/>
        <v>#N/A</v>
      </c>
      <c r="CP18" s="467" t="e">
        <f t="shared" si="162"/>
        <v>#N/A</v>
      </c>
      <c r="CQ18" s="467" t="e">
        <f t="shared" si="162"/>
        <v>#N/A</v>
      </c>
      <c r="CR18" s="467" t="e">
        <f t="shared" si="162"/>
        <v>#N/A</v>
      </c>
      <c r="CS18" s="468" t="e">
        <f t="shared" si="162"/>
        <v>#N/A</v>
      </c>
      <c r="CT18" s="479" t="str">
        <f t="shared" si="91"/>
        <v>ULP MOUTONG</v>
      </c>
      <c r="CU18" s="560" t="e" cm="1">
        <f t="array" ref="CU18">INDEX(CH18:CS18,MATCH(MONTH($CT$7),MONTH($CH$5:$CS$5)))</f>
        <v>#N/A</v>
      </c>
    </row>
    <row r="19" spans="1:99">
      <c r="A19" t="str">
        <v>b. Success Rate Auto Dispatch Gangguan Individual (diluar Clear Tamper)</v>
      </c>
      <c r="B19">
        <v>2</v>
      </c>
      <c r="C19" t="str">
        <v>Success Rate Auto Dispatch Gangguan Individual (diluar Clear Tamper)</v>
      </c>
      <c r="D19" s="105" t="s">
        <v>456</v>
      </c>
      <c r="E19" t="str">
        <v>Success Rate Auto Dispatch Gangguan Individual (diluar Clear Tamper)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T19" t="str">
        <v>Success Rate Auto Dispatch Gangguan Individual (diluar Clear Tamper)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I19" t="str">
        <f t="shared" si="34"/>
        <v>Success Rate Auto Dispatch Gangguan Individual (diluar Clear Tamper)</v>
      </c>
      <c r="AK19" s="440">
        <f t="shared" ref="AK19:AK30" si="163">IFERROR(IF(V19/G19*100&gt;110,110,V19/G19*100),100)</f>
        <v>100</v>
      </c>
      <c r="AL19" s="440">
        <f t="shared" ref="AL19:AV19" si="164">IFERROR(IF(W19/H19*100&gt;110,110,W19/H19*100),100)</f>
        <v>100</v>
      </c>
      <c r="AM19" s="440">
        <f t="shared" si="164"/>
        <v>100</v>
      </c>
      <c r="AN19" s="440">
        <f t="shared" si="164"/>
        <v>100</v>
      </c>
      <c r="AO19" s="440">
        <f t="shared" si="164"/>
        <v>100</v>
      </c>
      <c r="AP19" s="440">
        <f t="shared" si="164"/>
        <v>100</v>
      </c>
      <c r="AQ19" s="440">
        <f t="shared" si="164"/>
        <v>100</v>
      </c>
      <c r="AR19" s="440">
        <f t="shared" si="164"/>
        <v>100</v>
      </c>
      <c r="AS19" s="440">
        <f t="shared" si="164"/>
        <v>100</v>
      </c>
      <c r="AT19" s="440">
        <f t="shared" si="164"/>
        <v>100</v>
      </c>
      <c r="AU19" s="440">
        <f t="shared" si="164"/>
        <v>100</v>
      </c>
      <c r="AV19" s="440">
        <f t="shared" si="164"/>
        <v>100</v>
      </c>
      <c r="AW19" s="443"/>
      <c r="AX19" t="str">
        <f t="shared" si="36"/>
        <v>Success Rate Auto Dispatch Gangguan Individual (diluar Clear Tamper)</v>
      </c>
      <c r="AY19" s="105" t="s">
        <v>452</v>
      </c>
      <c r="AZ19" s="442">
        <f>3/2</f>
        <v>1.5</v>
      </c>
      <c r="BA19" s="440">
        <f t="shared" si="50"/>
        <v>1.5</v>
      </c>
      <c r="BB19" s="440">
        <f t="shared" si="37"/>
        <v>1.5</v>
      </c>
      <c r="BC19" s="440">
        <f t="shared" si="38"/>
        <v>1.5</v>
      </c>
      <c r="BD19" s="440">
        <f t="shared" si="39"/>
        <v>1.5</v>
      </c>
      <c r="BE19" s="440">
        <f t="shared" si="40"/>
        <v>1.5</v>
      </c>
      <c r="BF19" s="440">
        <f t="shared" si="41"/>
        <v>1.5</v>
      </c>
      <c r="BG19" s="440">
        <f t="shared" si="42"/>
        <v>1.5</v>
      </c>
      <c r="BH19" s="440">
        <f t="shared" si="43"/>
        <v>1.5</v>
      </c>
      <c r="BI19" s="440">
        <f t="shared" si="44"/>
        <v>1.5</v>
      </c>
      <c r="BJ19" s="440">
        <f t="shared" si="45"/>
        <v>1.5</v>
      </c>
      <c r="BK19" s="440">
        <f t="shared" si="46"/>
        <v>1.5</v>
      </c>
      <c r="BL19" s="440">
        <f t="shared" si="47"/>
        <v>1.5</v>
      </c>
      <c r="BM19" s="443"/>
      <c r="BN19" s="443"/>
      <c r="BO19" s="141"/>
      <c r="BQ19" s="444" cm="1">
        <f t="array" ref="BQ19">INDEX(AK19:AV19,MATCH(MONTH($BP$3),MONTH($AK$3:$AV$3),0))</f>
        <v>100</v>
      </c>
      <c r="BR19" t="str">
        <v>Success Rate Auto Dispatch Gangguan Individual (diluar Clear Tamper)</v>
      </c>
      <c r="BS19" s="443">
        <v>100</v>
      </c>
      <c r="BT19" s="443" t="str">
        <f t="shared" si="48"/>
        <v/>
      </c>
      <c r="BU19" s="443" t="str">
        <v/>
      </c>
      <c r="BV19" s="440">
        <f t="shared" si="51"/>
        <v>1</v>
      </c>
      <c r="BY19" s="440" t="e">
        <f t="shared" si="114"/>
        <v>#N/A</v>
      </c>
      <c r="BZ19" s="440" t="e">
        <f t="shared" si="115"/>
        <v>#N/A</v>
      </c>
      <c r="CA19" s="447" t="e">
        <f t="shared" si="116"/>
        <v>#N/A</v>
      </c>
      <c r="CB19" s="448" t="e">
        <f t="shared" si="117"/>
        <v>#N/A</v>
      </c>
      <c r="CC19" s="105" t="e">
        <f t="shared" si="118"/>
        <v>#N/A</v>
      </c>
      <c r="CD19" s="448" t="e">
        <f t="shared" si="119"/>
        <v>#N/A</v>
      </c>
    </row>
    <row r="20" spans="1:99">
      <c r="A20" t="str">
        <v>a. Recovery Time Gangguan Meluas TM</v>
      </c>
      <c r="B20">
        <v>2</v>
      </c>
      <c r="C20" t="str">
        <v>Recovery Time Gangguan Meluas TM</v>
      </c>
      <c r="D20" s="105" t="s">
        <v>456</v>
      </c>
      <c r="E20" t="str">
        <v>Recovery Time Gangguan Meluas TM</v>
      </c>
      <c r="G20">
        <v>100</v>
      </c>
      <c r="H20">
        <v>100</v>
      </c>
      <c r="I20">
        <v>100</v>
      </c>
      <c r="J20">
        <v>100</v>
      </c>
      <c r="K20">
        <v>100</v>
      </c>
      <c r="L20">
        <v>100</v>
      </c>
      <c r="M20">
        <v>100</v>
      </c>
      <c r="N20">
        <v>100</v>
      </c>
      <c r="O20">
        <v>100</v>
      </c>
      <c r="P20">
        <v>100</v>
      </c>
      <c r="Q20">
        <v>100</v>
      </c>
      <c r="R20">
        <v>100</v>
      </c>
      <c r="T20" t="str">
        <v>Recovery Time Gangguan Meluas TM</v>
      </c>
      <c r="V20">
        <v>92.25</v>
      </c>
      <c r="W20">
        <v>90.5</v>
      </c>
      <c r="X20">
        <v>110</v>
      </c>
      <c r="Y20">
        <v>110</v>
      </c>
      <c r="Z20">
        <v>110</v>
      </c>
      <c r="AA20">
        <v>110</v>
      </c>
      <c r="AB20">
        <v>110</v>
      </c>
      <c r="AC20">
        <v>110</v>
      </c>
      <c r="AD20">
        <v>110</v>
      </c>
      <c r="AE20">
        <v>110</v>
      </c>
      <c r="AF20">
        <v>0</v>
      </c>
      <c r="AG20">
        <v>0</v>
      </c>
      <c r="AI20" t="str">
        <f t="shared" si="34"/>
        <v>Recovery Time Gangguan Meluas TM</v>
      </c>
      <c r="AK20" s="440">
        <f t="shared" si="163"/>
        <v>92.25</v>
      </c>
      <c r="AL20" s="440">
        <f t="shared" ref="AL20" si="165">IFERROR(IF(W20/H20*100&gt;110,110,W20/H20*100),100)</f>
        <v>90.5</v>
      </c>
      <c r="AM20" s="440">
        <f t="shared" ref="AM20" si="166">IFERROR(IF(X20/I20*100&gt;110,110,X20/I20*100),100)</f>
        <v>110.00000000000001</v>
      </c>
      <c r="AN20" s="440">
        <f t="shared" ref="AN20" si="167">IFERROR(IF(Y20/J20*100&gt;110,110,Y20/J20*100),100)</f>
        <v>110.00000000000001</v>
      </c>
      <c r="AO20" s="440">
        <f t="shared" ref="AO20" si="168">IFERROR(IF(Z20/K20*100&gt;110,110,Z20/K20*100),100)</f>
        <v>110.00000000000001</v>
      </c>
      <c r="AP20" s="440">
        <f t="shared" ref="AP20" si="169">IFERROR(IF(AA20/L20*100&gt;110,110,AA20/L20*100),100)</f>
        <v>110.00000000000001</v>
      </c>
      <c r="AQ20" s="440">
        <f t="shared" ref="AQ20" si="170">IFERROR(IF(AB20/M20*100&gt;110,110,AB20/M20*100),100)</f>
        <v>110.00000000000001</v>
      </c>
      <c r="AR20" s="440">
        <f t="shared" ref="AR20" si="171">IFERROR(IF(AC20/N20*100&gt;110,110,AC20/N20*100),100)</f>
        <v>110.00000000000001</v>
      </c>
      <c r="AS20" s="440">
        <f t="shared" ref="AS20" si="172">IFERROR(IF(AD20/O20*100&gt;110,110,AD20/O20*100),100)</f>
        <v>110.00000000000001</v>
      </c>
      <c r="AT20" s="440">
        <f t="shared" ref="AT20" si="173">IFERROR(IF(AE20/P20*100&gt;110,110,AE20/P20*100),100)</f>
        <v>110.00000000000001</v>
      </c>
      <c r="AU20" s="440">
        <f t="shared" ref="AU20" si="174">IFERROR(IF(AF20/Q20*100&gt;110,110,AF20/Q20*100),100)</f>
        <v>0</v>
      </c>
      <c r="AV20" s="440">
        <f t="shared" ref="AV20" si="175">IFERROR(IF(AG20/R20*100&gt;110,110,AG20/R20*100),100)</f>
        <v>0</v>
      </c>
      <c r="AW20" s="443"/>
      <c r="AX20" t="str">
        <f t="shared" si="36"/>
        <v>Recovery Time Gangguan Meluas TM</v>
      </c>
      <c r="AY20" s="105" t="s">
        <v>452</v>
      </c>
      <c r="AZ20" s="442">
        <f>4/2</f>
        <v>2</v>
      </c>
      <c r="BA20" s="440">
        <f t="shared" si="50"/>
        <v>1.84</v>
      </c>
      <c r="BB20" s="440">
        <f t="shared" si="37"/>
        <v>1.81</v>
      </c>
      <c r="BC20" s="440">
        <f t="shared" si="38"/>
        <v>2.2000000000000002</v>
      </c>
      <c r="BD20" s="440">
        <f t="shared" si="39"/>
        <v>2.2000000000000002</v>
      </c>
      <c r="BE20" s="440">
        <f t="shared" si="40"/>
        <v>2.2000000000000002</v>
      </c>
      <c r="BF20" s="440">
        <f t="shared" si="41"/>
        <v>2.2000000000000002</v>
      </c>
      <c r="BG20" s="440">
        <f t="shared" si="42"/>
        <v>2.2000000000000002</v>
      </c>
      <c r="BH20" s="440">
        <f t="shared" si="43"/>
        <v>2.2000000000000002</v>
      </c>
      <c r="BI20" s="440">
        <f t="shared" si="44"/>
        <v>2.2000000000000002</v>
      </c>
      <c r="BJ20" s="440">
        <f t="shared" si="45"/>
        <v>2.2000000000000002</v>
      </c>
      <c r="BK20" s="440">
        <f t="shared" si="46"/>
        <v>0</v>
      </c>
      <c r="BL20" s="440">
        <f t="shared" si="47"/>
        <v>0</v>
      </c>
      <c r="BM20" s="443"/>
      <c r="BN20" s="443"/>
      <c r="BO20" s="141"/>
      <c r="BQ20" s="444" cm="1">
        <f t="array" ref="BQ20">INDEX(AK20:AV20,MATCH(MONTH($BP$3),MONTH($AK$3:$AV$3),0))</f>
        <v>110.00000000000001</v>
      </c>
      <c r="BR20" t="str">
        <v>Recovery Time Gangguan Meluas TM</v>
      </c>
      <c r="BS20" s="443">
        <v>110.00000000000001</v>
      </c>
      <c r="BT20" s="443" t="str">
        <f t="shared" si="48"/>
        <v/>
      </c>
      <c r="BU20" s="443" t="str">
        <v/>
      </c>
      <c r="BV20" s="440">
        <f t="shared" si="51"/>
        <v>1.1000000000000001</v>
      </c>
      <c r="BY20" s="440" t="e">
        <f t="shared" si="114"/>
        <v>#N/A</v>
      </c>
      <c r="BZ20" s="440" t="e">
        <f t="shared" si="115"/>
        <v>#N/A</v>
      </c>
      <c r="CA20" s="447" t="e">
        <f t="shared" si="116"/>
        <v>#N/A</v>
      </c>
      <c r="CB20" s="448" t="e">
        <f t="shared" si="117"/>
        <v>#N/A</v>
      </c>
      <c r="CC20" s="105" t="e">
        <f t="shared" si="118"/>
        <v>#N/A</v>
      </c>
      <c r="CD20" s="448" t="e">
        <f t="shared" si="119"/>
        <v>#N/A</v>
      </c>
    </row>
    <row r="21" spans="1:99">
      <c r="A21" t="str">
        <v>b. Penormalan Siaga 1 Gangguan TM</v>
      </c>
      <c r="B21">
        <v>2</v>
      </c>
      <c r="C21" t="str">
        <v>Penormalan Siaga 1 Gangguan TM</v>
      </c>
      <c r="D21" s="105" t="s">
        <v>456</v>
      </c>
      <c r="E21" t="str">
        <v>Penormalan Siaga 1 Gangguan TM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100</v>
      </c>
      <c r="O21">
        <v>100</v>
      </c>
      <c r="P21">
        <v>100</v>
      </c>
      <c r="Q21">
        <v>100</v>
      </c>
      <c r="R21">
        <v>100</v>
      </c>
      <c r="T21" t="str">
        <v>Penormalan Siaga 1 Gangguan TM</v>
      </c>
      <c r="V21">
        <v>110</v>
      </c>
      <c r="W21">
        <v>110</v>
      </c>
      <c r="X21">
        <v>110</v>
      </c>
      <c r="Y21">
        <v>110</v>
      </c>
      <c r="Z21">
        <v>110</v>
      </c>
      <c r="AA21">
        <v>110</v>
      </c>
      <c r="AB21">
        <v>110</v>
      </c>
      <c r="AC21">
        <v>110</v>
      </c>
      <c r="AD21">
        <v>110</v>
      </c>
      <c r="AE21">
        <v>110</v>
      </c>
      <c r="AF21">
        <v>0</v>
      </c>
      <c r="AG21">
        <v>0</v>
      </c>
      <c r="AI21" t="str">
        <f t="shared" si="34"/>
        <v>Penormalan Siaga 1 Gangguan TM</v>
      </c>
      <c r="AK21" s="440">
        <f t="shared" si="163"/>
        <v>110.00000000000001</v>
      </c>
      <c r="AL21" s="440">
        <f t="shared" ref="AL21" si="176">IFERROR(IF(W21/H21*100&gt;110,110,W21/H21*100),100)</f>
        <v>110.00000000000001</v>
      </c>
      <c r="AM21" s="440">
        <f t="shared" ref="AM21" si="177">IFERROR(IF(X21/I21*100&gt;110,110,X21/I21*100),100)</f>
        <v>110.00000000000001</v>
      </c>
      <c r="AN21" s="440">
        <f t="shared" ref="AN21" si="178">IFERROR(IF(Y21/J21*100&gt;110,110,Y21/J21*100),100)</f>
        <v>110.00000000000001</v>
      </c>
      <c r="AO21" s="440">
        <f t="shared" ref="AO21" si="179">IFERROR(IF(Z21/K21*100&gt;110,110,Z21/K21*100),100)</f>
        <v>110.00000000000001</v>
      </c>
      <c r="AP21" s="440">
        <f t="shared" ref="AP21" si="180">IFERROR(IF(AA21/L21*100&gt;110,110,AA21/L21*100),100)</f>
        <v>110.00000000000001</v>
      </c>
      <c r="AQ21" s="440">
        <f t="shared" ref="AQ21" si="181">IFERROR(IF(AB21/M21*100&gt;110,110,AB21/M21*100),100)</f>
        <v>110.00000000000001</v>
      </c>
      <c r="AR21" s="440">
        <f t="shared" ref="AR21" si="182">IFERROR(IF(AC21/N21*100&gt;110,110,AC21/N21*100),100)</f>
        <v>110.00000000000001</v>
      </c>
      <c r="AS21" s="440">
        <f t="shared" ref="AS21" si="183">IFERROR(IF(AD21/O21*100&gt;110,110,AD21/O21*100),100)</f>
        <v>110.00000000000001</v>
      </c>
      <c r="AT21" s="440">
        <f t="shared" ref="AT21" si="184">IFERROR(IF(AE21/P21*100&gt;110,110,AE21/P21*100),100)</f>
        <v>110.00000000000001</v>
      </c>
      <c r="AU21" s="440">
        <f t="shared" ref="AU21" si="185">IFERROR(IF(AF21/Q21*100&gt;110,110,AF21/Q21*100),100)</f>
        <v>0</v>
      </c>
      <c r="AV21" s="440">
        <f t="shared" ref="AV21" si="186">IFERROR(IF(AG21/R21*100&gt;110,110,AG21/R21*100),100)</f>
        <v>0</v>
      </c>
      <c r="AW21" s="443"/>
      <c r="AX21" t="str">
        <f t="shared" si="36"/>
        <v>Penormalan Siaga 1 Gangguan TM</v>
      </c>
      <c r="AY21" s="105" t="s">
        <v>452</v>
      </c>
      <c r="AZ21" s="442">
        <f>4/2</f>
        <v>2</v>
      </c>
      <c r="BA21" s="440">
        <f t="shared" si="50"/>
        <v>2.2000000000000002</v>
      </c>
      <c r="BB21" s="440">
        <f t="shared" si="37"/>
        <v>2.2000000000000002</v>
      </c>
      <c r="BC21" s="440">
        <f t="shared" si="38"/>
        <v>2.2000000000000002</v>
      </c>
      <c r="BD21" s="440">
        <f t="shared" si="39"/>
        <v>2.2000000000000002</v>
      </c>
      <c r="BE21" s="440">
        <f t="shared" si="40"/>
        <v>2.2000000000000002</v>
      </c>
      <c r="BF21" s="440">
        <f t="shared" si="41"/>
        <v>2.2000000000000002</v>
      </c>
      <c r="BG21" s="440">
        <f t="shared" si="42"/>
        <v>2.2000000000000002</v>
      </c>
      <c r="BH21" s="440">
        <f t="shared" si="43"/>
        <v>2.2000000000000002</v>
      </c>
      <c r="BI21" s="440">
        <f t="shared" si="44"/>
        <v>2.2000000000000002</v>
      </c>
      <c r="BJ21" s="440">
        <f t="shared" si="45"/>
        <v>2.2000000000000002</v>
      </c>
      <c r="BK21" s="440">
        <f t="shared" si="46"/>
        <v>0</v>
      </c>
      <c r="BL21" s="440">
        <f t="shared" si="47"/>
        <v>0</v>
      </c>
      <c r="BM21" s="443"/>
      <c r="BN21" s="443"/>
      <c r="BO21" s="141"/>
      <c r="BQ21" s="444" cm="1">
        <f t="array" ref="BQ21">INDEX(AK21:AV21,MATCH(MONTH($BP$3),MONTH($AK$3:$AV$3),0))</f>
        <v>110.00000000000001</v>
      </c>
      <c r="BR21" t="str">
        <v>Penormalan Siaga 1 Gangguan TM</v>
      </c>
      <c r="BS21" s="443">
        <v>110.00000000000001</v>
      </c>
      <c r="BT21" s="443" t="str">
        <f t="shared" si="48"/>
        <v/>
      </c>
      <c r="BU21" s="443" t="str">
        <v/>
      </c>
      <c r="BV21" s="440">
        <f t="shared" si="51"/>
        <v>1.1000000000000001</v>
      </c>
      <c r="BY21" s="440" t="e">
        <f t="shared" si="114"/>
        <v>#N/A</v>
      </c>
      <c r="BZ21" s="440" t="e">
        <f t="shared" si="115"/>
        <v>#N/A</v>
      </c>
      <c r="CA21" s="447" t="e">
        <f t="shared" si="116"/>
        <v>#N/A</v>
      </c>
      <c r="CB21" s="448" t="e">
        <f t="shared" si="117"/>
        <v>#N/A</v>
      </c>
      <c r="CC21" s="105" t="e">
        <f t="shared" si="118"/>
        <v>#N/A</v>
      </c>
      <c r="CD21" s="448" t="e">
        <f t="shared" si="119"/>
        <v>#N/A</v>
      </c>
    </row>
    <row r="22" spans="1:99">
      <c r="A22" t="str">
        <v>a. Pengembangan EAM Distribusi</v>
      </c>
      <c r="B22">
        <v>2</v>
      </c>
      <c r="C22" t="str">
        <v>Pengembangan EAM Distribusi</v>
      </c>
      <c r="D22" s="105" t="s">
        <v>456</v>
      </c>
      <c r="E22" t="str">
        <v>Pengembangan EAM Distribusi</v>
      </c>
      <c r="G22">
        <v>100</v>
      </c>
      <c r="H22">
        <v>100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T22" t="str">
        <v>Pengembangan EAM Distribusi</v>
      </c>
      <c r="V22">
        <v>99.06</v>
      </c>
      <c r="W22">
        <v>116.19</v>
      </c>
      <c r="X22">
        <v>118.81</v>
      </c>
      <c r="Y22">
        <v>120.77</v>
      </c>
      <c r="Z22">
        <v>121.31</v>
      </c>
      <c r="AA22">
        <v>121.31</v>
      </c>
      <c r="AB22">
        <v>98.6</v>
      </c>
      <c r="AC22">
        <v>101.98</v>
      </c>
      <c r="AD22">
        <v>101.95</v>
      </c>
      <c r="AE22">
        <v>101.95</v>
      </c>
      <c r="AF22">
        <v>0</v>
      </c>
      <c r="AG22">
        <v>0</v>
      </c>
      <c r="AI22" t="str">
        <f t="shared" si="34"/>
        <v>Pengembangan EAM Distribusi</v>
      </c>
      <c r="AK22" s="440">
        <f t="shared" si="163"/>
        <v>99.06</v>
      </c>
      <c r="AL22" s="440">
        <f t="shared" ref="AL22" si="187">IFERROR(IF(W22/H22*100&gt;110,110,W22/H22*100),100)</f>
        <v>110</v>
      </c>
      <c r="AM22" s="440">
        <f t="shared" ref="AM22" si="188">IFERROR(IF(X22/I22*100&gt;110,110,X22/I22*100),100)</f>
        <v>110</v>
      </c>
      <c r="AN22" s="440">
        <f t="shared" ref="AN22" si="189">IFERROR(IF(Y22/J22*100&gt;110,110,Y22/J22*100),100)</f>
        <v>110</v>
      </c>
      <c r="AO22" s="440">
        <f t="shared" ref="AO22" si="190">IFERROR(IF(Z22/K22*100&gt;110,110,Z22/K22*100),100)</f>
        <v>110</v>
      </c>
      <c r="AP22" s="440">
        <f t="shared" ref="AP22" si="191">IFERROR(IF(AA22/L22*100&gt;110,110,AA22/L22*100),100)</f>
        <v>110</v>
      </c>
      <c r="AQ22" s="440">
        <f t="shared" ref="AQ22" si="192">IFERROR(IF(AB22/M22*100&gt;110,110,AB22/M22*100),100)</f>
        <v>98.6</v>
      </c>
      <c r="AR22" s="440">
        <f t="shared" ref="AR22" si="193">IFERROR(IF(AC22/N22*100&gt;110,110,AC22/N22*100),100)</f>
        <v>101.98</v>
      </c>
      <c r="AS22" s="440">
        <f t="shared" ref="AS22" si="194">IFERROR(IF(AD22/O22*100&gt;110,110,AD22/O22*100),100)</f>
        <v>101.95</v>
      </c>
      <c r="AT22" s="440">
        <f t="shared" ref="AT22" si="195">IFERROR(IF(AE22/P22*100&gt;110,110,AE22/P22*100),100)</f>
        <v>101.95</v>
      </c>
      <c r="AU22" s="440">
        <f t="shared" ref="AU22" si="196">IFERROR(IF(AF22/Q22*100&gt;110,110,AF22/Q22*100),100)</f>
        <v>0</v>
      </c>
      <c r="AV22" s="440">
        <f t="shared" ref="AV22" si="197">IFERROR(IF(AG22/R22*100&gt;110,110,AG22/R22*100),100)</f>
        <v>0</v>
      </c>
      <c r="AW22" s="443"/>
      <c r="AX22" t="str">
        <f t="shared" si="36"/>
        <v>Pengembangan EAM Distribusi</v>
      </c>
      <c r="AY22" s="105" t="s">
        <v>452</v>
      </c>
      <c r="AZ22" s="442">
        <f>6</f>
        <v>6</v>
      </c>
      <c r="BA22" s="440">
        <f t="shared" si="50"/>
        <v>5.94</v>
      </c>
      <c r="BB22" s="440">
        <f t="shared" si="37"/>
        <v>6.6</v>
      </c>
      <c r="BC22" s="440">
        <f t="shared" si="38"/>
        <v>6.6</v>
      </c>
      <c r="BD22" s="440">
        <f t="shared" si="39"/>
        <v>6.6</v>
      </c>
      <c r="BE22" s="440">
        <f t="shared" si="40"/>
        <v>6.6</v>
      </c>
      <c r="BF22" s="440">
        <f t="shared" si="41"/>
        <v>6.6</v>
      </c>
      <c r="BG22" s="440">
        <f t="shared" si="42"/>
        <v>5.91</v>
      </c>
      <c r="BH22" s="440">
        <f t="shared" si="43"/>
        <v>6.11</v>
      </c>
      <c r="BI22" s="440">
        <f t="shared" si="44"/>
        <v>6.11</v>
      </c>
      <c r="BJ22" s="440">
        <f t="shared" si="45"/>
        <v>6.11</v>
      </c>
      <c r="BK22" s="440">
        <f t="shared" si="46"/>
        <v>0</v>
      </c>
      <c r="BL22" s="440">
        <f t="shared" si="47"/>
        <v>0</v>
      </c>
      <c r="BM22" s="443"/>
      <c r="BN22" s="443"/>
      <c r="BO22" s="141"/>
      <c r="BQ22" s="444" cm="1">
        <f t="array" ref="BQ22">INDEX(AK22:AV22,MATCH(MONTH($BP$3),MONTH($AK$3:$AV$3),0))</f>
        <v>101.95</v>
      </c>
      <c r="BR22" t="str">
        <v>Pengembangan EAM Distribusi</v>
      </c>
      <c r="BS22" s="443">
        <v>101.95</v>
      </c>
      <c r="BT22" s="443" t="str">
        <f t="shared" si="48"/>
        <v/>
      </c>
      <c r="BU22" s="443" t="str">
        <v/>
      </c>
      <c r="BV22" s="440">
        <f t="shared" si="51"/>
        <v>1.0195000000000001</v>
      </c>
      <c r="BY22" s="440" t="e">
        <f t="shared" si="114"/>
        <v>#N/A</v>
      </c>
      <c r="BZ22" s="440" t="e">
        <f t="shared" si="115"/>
        <v>#N/A</v>
      </c>
      <c r="CA22" s="447" t="e">
        <f t="shared" si="116"/>
        <v>#N/A</v>
      </c>
      <c r="CB22" s="448" t="e">
        <f t="shared" si="117"/>
        <v>#N/A</v>
      </c>
      <c r="CC22" s="105" t="e">
        <f t="shared" si="118"/>
        <v>#N/A</v>
      </c>
      <c r="CD22" s="448" t="e">
        <f t="shared" si="119"/>
        <v>#N/A</v>
      </c>
    </row>
    <row r="23" spans="1:99">
      <c r="A23" t="str">
        <v>a. Penambahan Daya Tersambung</v>
      </c>
      <c r="B23">
        <v>2</v>
      </c>
      <c r="C23" t="str">
        <v>Penambahan Daya Tersambung</v>
      </c>
      <c r="D23" s="105" t="s">
        <v>456</v>
      </c>
      <c r="E23" t="str">
        <v>Penambahan Daya Tersambung</v>
      </c>
      <c r="G23">
        <v>0.72</v>
      </c>
      <c r="H23">
        <v>1.47</v>
      </c>
      <c r="I23">
        <v>2.2599999999999998</v>
      </c>
      <c r="J23">
        <v>3.01</v>
      </c>
      <c r="K23">
        <v>4.18</v>
      </c>
      <c r="L23">
        <v>5.3</v>
      </c>
      <c r="M23">
        <v>6.46</v>
      </c>
      <c r="N23">
        <v>7.62</v>
      </c>
      <c r="O23">
        <v>8.75</v>
      </c>
      <c r="P23">
        <v>9.91</v>
      </c>
      <c r="Q23">
        <v>11.03</v>
      </c>
      <c r="R23">
        <v>13.36</v>
      </c>
      <c r="T23" t="str">
        <v>Penambahan Daya Tersambung</v>
      </c>
      <c r="V23">
        <v>0.75440000000000007</v>
      </c>
      <c r="W23">
        <v>1.274</v>
      </c>
      <c r="X23">
        <v>1.82315</v>
      </c>
      <c r="Y23">
        <v>2.3200833333333333</v>
      </c>
      <c r="Z23">
        <v>2.4581833333333334</v>
      </c>
      <c r="AA23">
        <v>2.9414333333333333</v>
      </c>
      <c r="AB23">
        <v>3.5287333333333333</v>
      </c>
      <c r="AC23">
        <v>4.2161333333333335</v>
      </c>
      <c r="AD23">
        <v>5.7844333333333333</v>
      </c>
      <c r="AE23">
        <v>6.773083333333334</v>
      </c>
      <c r="AF23">
        <v>0</v>
      </c>
      <c r="AG23">
        <v>0</v>
      </c>
      <c r="AI23" t="str">
        <f t="shared" si="34"/>
        <v>Penambahan Daya Tersambung</v>
      </c>
      <c r="AK23" s="440">
        <f t="shared" si="163"/>
        <v>104.77777777777779</v>
      </c>
      <c r="AL23" s="440">
        <f t="shared" ref="AL23" si="198">IFERROR(IF(W23/H23*100&gt;110,110,W23/H23*100),100)</f>
        <v>86.666666666666671</v>
      </c>
      <c r="AM23" s="440">
        <f t="shared" ref="AM23" si="199">IFERROR(IF(X23/I23*100&gt;110,110,X23/I23*100),100)</f>
        <v>80.670353982300895</v>
      </c>
      <c r="AN23" s="440">
        <f t="shared" ref="AN23" si="200">IFERROR(IF(Y23/J23*100&gt;110,110,Y23/J23*100),100)</f>
        <v>77.079180509413064</v>
      </c>
      <c r="AO23" s="440">
        <f t="shared" ref="AO23" si="201">IFERROR(IF(Z23/K23*100&gt;110,110,Z23/K23*100),100)</f>
        <v>58.808213716108462</v>
      </c>
      <c r="AP23" s="440">
        <f t="shared" ref="AP23" si="202">IFERROR(IF(AA23/L23*100&gt;110,110,AA23/L23*100),100)</f>
        <v>55.49874213836479</v>
      </c>
      <c r="AQ23" s="440">
        <f t="shared" ref="AQ23" si="203">IFERROR(IF(AB23/M23*100&gt;110,110,AB23/M23*100),100)</f>
        <v>54.624355005159963</v>
      </c>
      <c r="AR23" s="440">
        <f t="shared" ref="AR23" si="204">IFERROR(IF(AC23/N23*100&gt;110,110,AC23/N23*100),100)</f>
        <v>55.329833770778656</v>
      </c>
      <c r="AS23" s="440">
        <f t="shared" ref="AS23" si="205">IFERROR(IF(AD23/O23*100&gt;110,110,AD23/O23*100),100)</f>
        <v>66.107809523809522</v>
      </c>
      <c r="AT23" s="440">
        <f t="shared" ref="AT23" si="206">IFERROR(IF(AE23/P23*100&gt;110,110,AE23/P23*100),100)</f>
        <v>68.3459468550286</v>
      </c>
      <c r="AU23" s="440">
        <f t="shared" ref="AU23" si="207">IFERROR(IF(AF23/Q23*100&gt;110,110,AF23/Q23*100),100)</f>
        <v>0</v>
      </c>
      <c r="AV23" s="440">
        <f t="shared" ref="AV23" si="208">IFERROR(IF(AG23/R23*100&gt;110,110,AG23/R23*100),100)</f>
        <v>0</v>
      </c>
      <c r="AW23" s="443"/>
      <c r="AX23" t="str">
        <f t="shared" si="36"/>
        <v>Penambahan Daya Tersambung</v>
      </c>
      <c r="AY23" s="105" t="s">
        <v>452</v>
      </c>
      <c r="AZ23" s="442">
        <v>2</v>
      </c>
      <c r="BA23" s="440">
        <f t="shared" si="50"/>
        <v>2.09</v>
      </c>
      <c r="BB23" s="440">
        <f t="shared" si="37"/>
        <v>1.73</v>
      </c>
      <c r="BC23" s="440">
        <f t="shared" si="38"/>
        <v>1.61</v>
      </c>
      <c r="BD23" s="440">
        <f t="shared" si="39"/>
        <v>1.54</v>
      </c>
      <c r="BE23" s="440">
        <f t="shared" si="40"/>
        <v>1.17</v>
      </c>
      <c r="BF23" s="440">
        <f t="shared" si="41"/>
        <v>1.1000000000000001</v>
      </c>
      <c r="BG23" s="440">
        <f t="shared" si="42"/>
        <v>1.0900000000000001</v>
      </c>
      <c r="BH23" s="440">
        <f t="shared" si="43"/>
        <v>1.1000000000000001</v>
      </c>
      <c r="BI23" s="440">
        <f t="shared" si="44"/>
        <v>1.32</v>
      </c>
      <c r="BJ23" s="440">
        <f t="shared" si="45"/>
        <v>1.36</v>
      </c>
      <c r="BK23" s="440">
        <f t="shared" si="46"/>
        <v>0</v>
      </c>
      <c r="BL23" s="440">
        <f t="shared" si="47"/>
        <v>0</v>
      </c>
      <c r="BM23" s="443"/>
      <c r="BN23" s="443"/>
      <c r="BO23" s="141"/>
      <c r="BQ23" s="444" cm="1">
        <f t="array" ref="BQ23">INDEX(AK23:AV23,MATCH(MONTH($BP$3),MONTH($AK$3:$AV$3),0))</f>
        <v>68.3459468550286</v>
      </c>
      <c r="BR23" t="str">
        <v>Penambahan Daya Tersambung</v>
      </c>
      <c r="BS23" s="443" t="str">
        <v/>
      </c>
      <c r="BT23" s="443" t="str">
        <f t="shared" si="48"/>
        <v/>
      </c>
      <c r="BU23" s="443">
        <v>68.3459468550286</v>
      </c>
      <c r="BV23" s="440">
        <f t="shared" si="51"/>
        <v>0.68345946855028605</v>
      </c>
      <c r="BY23" s="440" t="e">
        <f t="shared" si="114"/>
        <v>#N/A</v>
      </c>
      <c r="BZ23" s="440" t="e">
        <f t="shared" si="115"/>
        <v>#N/A</v>
      </c>
      <c r="CA23" s="447" t="e">
        <f t="shared" si="116"/>
        <v>#N/A</v>
      </c>
      <c r="CB23" s="448" t="e">
        <f t="shared" si="117"/>
        <v>#N/A</v>
      </c>
      <c r="CC23" s="105" t="e">
        <f t="shared" si="118"/>
        <v>#N/A</v>
      </c>
      <c r="CD23" s="448" t="e">
        <f t="shared" si="119"/>
        <v>#N/A</v>
      </c>
    </row>
    <row r="24" spans="1:99">
      <c r="A24" t="str">
        <v>b. Penambahan Jumlah Pelanggan</v>
      </c>
      <c r="B24">
        <v>2</v>
      </c>
      <c r="C24" t="str">
        <v>Penambahan Jumlah Pelanggan</v>
      </c>
      <c r="D24" s="105" t="s">
        <v>456</v>
      </c>
      <c r="E24" t="str">
        <v>Penambahan Jumlah Pelanggan</v>
      </c>
      <c r="G24">
        <v>631</v>
      </c>
      <c r="H24">
        <v>1283</v>
      </c>
      <c r="I24">
        <v>1968</v>
      </c>
      <c r="J24">
        <v>2626</v>
      </c>
      <c r="K24">
        <v>3639</v>
      </c>
      <c r="L24">
        <v>4619</v>
      </c>
      <c r="M24">
        <v>5632</v>
      </c>
      <c r="N24">
        <v>6645</v>
      </c>
      <c r="O24">
        <v>7625</v>
      </c>
      <c r="P24">
        <v>8638</v>
      </c>
      <c r="Q24">
        <v>9618</v>
      </c>
      <c r="R24">
        <v>10632</v>
      </c>
      <c r="T24" t="str">
        <v>Penambahan Jumlah Pelanggan</v>
      </c>
      <c r="V24">
        <v>498</v>
      </c>
      <c r="W24">
        <v>965</v>
      </c>
      <c r="X24">
        <v>1364</v>
      </c>
      <c r="Y24">
        <v>1792</v>
      </c>
      <c r="Z24">
        <v>2153</v>
      </c>
      <c r="AA24">
        <v>2561</v>
      </c>
      <c r="AB24">
        <v>2930</v>
      </c>
      <c r="AC24">
        <v>3293</v>
      </c>
      <c r="AD24">
        <v>3761</v>
      </c>
      <c r="AE24">
        <v>4387</v>
      </c>
      <c r="AF24">
        <v>0</v>
      </c>
      <c r="AG24">
        <v>0</v>
      </c>
      <c r="AI24" t="str">
        <f t="shared" si="34"/>
        <v>Penambahan Jumlah Pelanggan</v>
      </c>
      <c r="AK24" s="440">
        <f t="shared" si="163"/>
        <v>78.922345483359749</v>
      </c>
      <c r="AL24" s="440">
        <f t="shared" ref="AL24:AV30" si="209">IFERROR(IF(W24/H24*100&gt;110,110,W24/H24*100),100)</f>
        <v>75.214341387373338</v>
      </c>
      <c r="AM24" s="440">
        <f t="shared" si="209"/>
        <v>69.308943089430898</v>
      </c>
      <c r="AN24" s="440">
        <f t="shared" si="209"/>
        <v>68.240670220868239</v>
      </c>
      <c r="AO24" s="440">
        <f t="shared" si="209"/>
        <v>59.164605660895852</v>
      </c>
      <c r="AP24" s="440">
        <f t="shared" si="209"/>
        <v>55.444901493829832</v>
      </c>
      <c r="AQ24" s="440">
        <f t="shared" si="209"/>
        <v>52.024147727272727</v>
      </c>
      <c r="AR24" s="440">
        <f t="shared" si="209"/>
        <v>49.556057185854023</v>
      </c>
      <c r="AS24" s="440">
        <f t="shared" si="209"/>
        <v>49.324590163934431</v>
      </c>
      <c r="AT24" s="440">
        <f t="shared" si="209"/>
        <v>50.787219263718455</v>
      </c>
      <c r="AU24" s="440">
        <f t="shared" si="209"/>
        <v>0</v>
      </c>
      <c r="AV24" s="440">
        <f t="shared" si="209"/>
        <v>0</v>
      </c>
      <c r="AW24" s="443"/>
      <c r="AX24" t="str">
        <f t="shared" si="36"/>
        <v>Penambahan Jumlah Pelanggan</v>
      </c>
      <c r="AY24" s="105" t="s">
        <v>452</v>
      </c>
      <c r="AZ24" s="442">
        <v>2</v>
      </c>
      <c r="BA24" s="440">
        <f t="shared" si="50"/>
        <v>1.57</v>
      </c>
      <c r="BB24" s="440">
        <f t="shared" si="37"/>
        <v>1.5</v>
      </c>
      <c r="BC24" s="440">
        <f t="shared" si="38"/>
        <v>1.38</v>
      </c>
      <c r="BD24" s="440">
        <f t="shared" si="39"/>
        <v>1.36</v>
      </c>
      <c r="BE24" s="440">
        <f t="shared" si="40"/>
        <v>1.18</v>
      </c>
      <c r="BF24" s="440">
        <f t="shared" si="41"/>
        <v>1.1000000000000001</v>
      </c>
      <c r="BG24" s="440">
        <f t="shared" si="42"/>
        <v>1.04</v>
      </c>
      <c r="BH24" s="440">
        <f t="shared" si="43"/>
        <v>0.99</v>
      </c>
      <c r="BI24" s="440">
        <f t="shared" si="44"/>
        <v>0.98</v>
      </c>
      <c r="BJ24" s="440">
        <f t="shared" si="45"/>
        <v>1.01</v>
      </c>
      <c r="BK24" s="440">
        <f t="shared" si="46"/>
        <v>0</v>
      </c>
      <c r="BL24" s="440">
        <f t="shared" si="47"/>
        <v>0</v>
      </c>
      <c r="BM24" s="443"/>
      <c r="BN24" s="443"/>
      <c r="BO24" s="141"/>
      <c r="BQ24" s="444" cm="1">
        <f t="array" ref="BQ24">INDEX(AK24:AV24,MATCH(MONTH($BP$3),MONTH($AK$3:$AV$3),0))</f>
        <v>50.787219263718455</v>
      </c>
      <c r="BR24" t="str">
        <v>Penambahan Jumlah Pelanggan</v>
      </c>
      <c r="BS24" s="443" t="str">
        <v/>
      </c>
      <c r="BT24" s="443" t="str">
        <f t="shared" si="48"/>
        <v/>
      </c>
      <c r="BU24" s="443">
        <v>50.787219263718455</v>
      </c>
      <c r="BV24" s="440">
        <f t="shared" si="51"/>
        <v>0.50787219263718453</v>
      </c>
      <c r="BY24" s="440" t="e">
        <f t="shared" si="114"/>
        <v>#N/A</v>
      </c>
      <c r="BZ24" s="440" t="e">
        <f t="shared" si="115"/>
        <v>#N/A</v>
      </c>
      <c r="CA24" s="447" t="e">
        <f t="shared" si="116"/>
        <v>#N/A</v>
      </c>
      <c r="CB24" s="448" t="e">
        <f t="shared" si="117"/>
        <v>#N/A</v>
      </c>
      <c r="CC24" s="105" t="e">
        <f t="shared" si="118"/>
        <v>#N/A</v>
      </c>
      <c r="CD24" s="448" t="e">
        <f t="shared" si="119"/>
        <v>#N/A</v>
      </c>
    </row>
    <row r="25" spans="1:99">
      <c r="A25" t="str">
        <v>c. Jumlah Penambahan Pelanggan Produk Tematik</v>
      </c>
      <c r="B25">
        <v>2</v>
      </c>
      <c r="C25" t="str">
        <v>Jumlah Penambahan Pelanggan Produk Tematik</v>
      </c>
      <c r="D25" s="105" t="s">
        <v>456</v>
      </c>
      <c r="E25" t="str">
        <v>Jumlah Penambahan Pelanggan Produk Tematik</v>
      </c>
      <c r="G25">
        <v>100</v>
      </c>
      <c r="H25">
        <v>200</v>
      </c>
      <c r="I25">
        <v>300</v>
      </c>
      <c r="J25">
        <v>400</v>
      </c>
      <c r="K25">
        <v>500</v>
      </c>
      <c r="L25">
        <v>600</v>
      </c>
      <c r="M25">
        <v>666</v>
      </c>
      <c r="N25">
        <v>732</v>
      </c>
      <c r="O25">
        <v>798</v>
      </c>
      <c r="P25">
        <v>864</v>
      </c>
      <c r="Q25">
        <v>930</v>
      </c>
      <c r="R25">
        <v>996</v>
      </c>
      <c r="T25" t="str">
        <v>Jumlah Penambahan Pelanggan Produk Tematik</v>
      </c>
      <c r="V25">
        <v>126</v>
      </c>
      <c r="W25">
        <v>171</v>
      </c>
      <c r="X25">
        <v>251</v>
      </c>
      <c r="Y25">
        <v>251</v>
      </c>
      <c r="Z25">
        <v>347</v>
      </c>
      <c r="AA25">
        <v>507</v>
      </c>
      <c r="AB25">
        <v>599</v>
      </c>
      <c r="AC25">
        <v>744</v>
      </c>
      <c r="AD25">
        <v>814</v>
      </c>
      <c r="AE25">
        <v>939</v>
      </c>
      <c r="AF25">
        <v>0</v>
      </c>
      <c r="AG25">
        <v>0</v>
      </c>
      <c r="AI25" t="str">
        <f t="shared" si="34"/>
        <v>Jumlah Penambahan Pelanggan Produk Tematik</v>
      </c>
      <c r="AK25" s="440">
        <f t="shared" si="163"/>
        <v>110</v>
      </c>
      <c r="AL25" s="440">
        <f t="shared" si="209"/>
        <v>85.5</v>
      </c>
      <c r="AM25" s="440">
        <f t="shared" si="209"/>
        <v>83.666666666666671</v>
      </c>
      <c r="AN25" s="440">
        <f t="shared" si="209"/>
        <v>62.749999999999993</v>
      </c>
      <c r="AO25" s="440">
        <f t="shared" si="209"/>
        <v>69.399999999999991</v>
      </c>
      <c r="AP25" s="440">
        <f t="shared" si="209"/>
        <v>84.5</v>
      </c>
      <c r="AQ25" s="440">
        <f t="shared" si="209"/>
        <v>89.939939939939933</v>
      </c>
      <c r="AR25" s="440">
        <f t="shared" si="209"/>
        <v>101.63934426229508</v>
      </c>
      <c r="AS25" s="440">
        <f t="shared" si="209"/>
        <v>102.00501253132832</v>
      </c>
      <c r="AT25" s="440">
        <f t="shared" si="209"/>
        <v>108.68055555555556</v>
      </c>
      <c r="AU25" s="440">
        <f t="shared" si="209"/>
        <v>0</v>
      </c>
      <c r="AV25" s="440">
        <f t="shared" si="209"/>
        <v>0</v>
      </c>
      <c r="AW25" s="443"/>
      <c r="AX25" t="str">
        <f t="shared" si="36"/>
        <v>Jumlah Penambahan Pelanggan Produk Tematik</v>
      </c>
      <c r="AY25" s="105" t="s">
        <v>452</v>
      </c>
      <c r="AZ25" s="442">
        <v>1.5</v>
      </c>
      <c r="BA25" s="440">
        <f t="shared" si="50"/>
        <v>1.65</v>
      </c>
      <c r="BB25" s="440">
        <f t="shared" si="37"/>
        <v>1.28</v>
      </c>
      <c r="BC25" s="440">
        <f t="shared" si="38"/>
        <v>1.25</v>
      </c>
      <c r="BD25" s="440">
        <f t="shared" si="39"/>
        <v>0.94</v>
      </c>
      <c r="BE25" s="440">
        <f t="shared" si="40"/>
        <v>1.04</v>
      </c>
      <c r="BF25" s="440">
        <f t="shared" si="41"/>
        <v>1.26</v>
      </c>
      <c r="BG25" s="440">
        <f t="shared" si="42"/>
        <v>1.34</v>
      </c>
      <c r="BH25" s="440">
        <f t="shared" si="43"/>
        <v>1.52</v>
      </c>
      <c r="BI25" s="440">
        <f t="shared" si="44"/>
        <v>1.53</v>
      </c>
      <c r="BJ25" s="440">
        <f t="shared" si="45"/>
        <v>1.63</v>
      </c>
      <c r="BK25" s="440">
        <f t="shared" si="46"/>
        <v>0</v>
      </c>
      <c r="BL25" s="440">
        <f t="shared" si="47"/>
        <v>0</v>
      </c>
      <c r="BM25" s="443"/>
      <c r="BN25" s="443"/>
      <c r="BO25" s="141"/>
      <c r="BQ25" s="444" cm="1">
        <f t="array" ref="BQ25">INDEX(AK25:AV25,MATCH(MONTH($BP$3),MONTH($AK$3:$AV$3),0))</f>
        <v>108.68055555555556</v>
      </c>
      <c r="BR25" t="str">
        <v>Jumlah Penambahan Pelanggan Produk Tematik</v>
      </c>
      <c r="BS25" s="443">
        <v>108.68055555555556</v>
      </c>
      <c r="BT25" s="443" t="str">
        <f t="shared" si="48"/>
        <v/>
      </c>
      <c r="BU25" s="443" t="str">
        <v/>
      </c>
      <c r="BV25" s="440">
        <f t="shared" si="51"/>
        <v>1.0868055555555556</v>
      </c>
      <c r="BY25" s="440" t="e">
        <f t="shared" si="114"/>
        <v>#N/A</v>
      </c>
      <c r="BZ25" s="440" t="e">
        <f t="shared" si="115"/>
        <v>#N/A</v>
      </c>
      <c r="CA25" s="447" t="e">
        <f t="shared" si="116"/>
        <v>#N/A</v>
      </c>
      <c r="CB25" s="448" t="e">
        <f t="shared" si="117"/>
        <v>#N/A</v>
      </c>
      <c r="CC25" s="105" t="e">
        <f t="shared" si="118"/>
        <v>#N/A</v>
      </c>
      <c r="CD25" s="448" t="e">
        <f t="shared" si="119"/>
        <v>#N/A</v>
      </c>
    </row>
    <row r="26" spans="1:99">
      <c r="A26" t="str">
        <v>d. Implementasi Kesesuaian Sektor Bisnis sesuai KBLI 2020</v>
      </c>
      <c r="B26">
        <v>2</v>
      </c>
      <c r="C26" t="str">
        <v>Implementasi Kesesuaian Sektor Bisnis sesuai KBLI 2020</v>
      </c>
      <c r="D26" s="105" t="s">
        <v>456</v>
      </c>
      <c r="E26" t="str">
        <v>Implementasi Kesesuaian Sektor Bisnis sesuai KBLI 2020</v>
      </c>
      <c r="G26">
        <v>0</v>
      </c>
      <c r="H26">
        <v>0</v>
      </c>
      <c r="I26">
        <v>0</v>
      </c>
      <c r="J26">
        <v>7</v>
      </c>
      <c r="K26">
        <v>7</v>
      </c>
      <c r="L26">
        <v>7</v>
      </c>
      <c r="M26">
        <v>8</v>
      </c>
      <c r="N26">
        <v>8</v>
      </c>
      <c r="O26">
        <v>8</v>
      </c>
      <c r="P26">
        <v>8</v>
      </c>
      <c r="Q26">
        <v>8</v>
      </c>
      <c r="R26">
        <v>8</v>
      </c>
      <c r="T26" t="str">
        <v>Implementasi Kesesuaian Sektor Bisnis sesuai KBLI 2020</v>
      </c>
      <c r="V26">
        <v>0</v>
      </c>
      <c r="W26">
        <v>0</v>
      </c>
      <c r="X26">
        <v>0</v>
      </c>
      <c r="Y26">
        <v>7</v>
      </c>
      <c r="Z26">
        <v>7</v>
      </c>
      <c r="AA26">
        <v>7</v>
      </c>
      <c r="AB26">
        <v>8</v>
      </c>
      <c r="AC26">
        <v>8</v>
      </c>
      <c r="AD26">
        <v>8</v>
      </c>
      <c r="AE26">
        <v>8</v>
      </c>
      <c r="AF26">
        <v>0</v>
      </c>
      <c r="AG26">
        <v>0</v>
      </c>
      <c r="AI26" t="str">
        <f t="shared" si="34"/>
        <v>Implementasi Kesesuaian Sektor Bisnis sesuai KBLI 2020</v>
      </c>
      <c r="AK26" s="440">
        <f t="shared" si="163"/>
        <v>100</v>
      </c>
      <c r="AL26" s="440">
        <f t="shared" si="209"/>
        <v>100</v>
      </c>
      <c r="AM26" s="440">
        <f t="shared" si="209"/>
        <v>100</v>
      </c>
      <c r="AN26" s="440">
        <f t="shared" si="209"/>
        <v>100</v>
      </c>
      <c r="AO26" s="440">
        <f t="shared" si="209"/>
        <v>100</v>
      </c>
      <c r="AP26" s="440">
        <f t="shared" si="209"/>
        <v>100</v>
      </c>
      <c r="AQ26" s="440">
        <f t="shared" si="209"/>
        <v>100</v>
      </c>
      <c r="AR26" s="440">
        <f t="shared" si="209"/>
        <v>100</v>
      </c>
      <c r="AS26" s="440">
        <f t="shared" si="209"/>
        <v>100</v>
      </c>
      <c r="AT26" s="440">
        <f t="shared" si="209"/>
        <v>100</v>
      </c>
      <c r="AU26" s="440">
        <f t="shared" si="209"/>
        <v>0</v>
      </c>
      <c r="AV26" s="440">
        <f t="shared" si="209"/>
        <v>0</v>
      </c>
      <c r="AW26" s="443"/>
      <c r="AX26" t="str">
        <f t="shared" si="36"/>
        <v>Implementasi Kesesuaian Sektor Bisnis sesuai KBLI 2020</v>
      </c>
      <c r="AY26" s="105" t="s">
        <v>452</v>
      </c>
      <c r="AZ26" s="442">
        <v>1.5</v>
      </c>
      <c r="BA26" s="440">
        <f t="shared" si="50"/>
        <v>1.5</v>
      </c>
      <c r="BB26" s="440">
        <f t="shared" si="37"/>
        <v>1.5</v>
      </c>
      <c r="BC26" s="440">
        <f t="shared" si="38"/>
        <v>1.5</v>
      </c>
      <c r="BD26" s="440">
        <f t="shared" si="39"/>
        <v>1.5</v>
      </c>
      <c r="BE26" s="440">
        <f t="shared" si="40"/>
        <v>1.5</v>
      </c>
      <c r="BF26" s="440">
        <f t="shared" si="41"/>
        <v>1.5</v>
      </c>
      <c r="BG26" s="440">
        <f t="shared" si="42"/>
        <v>1.5</v>
      </c>
      <c r="BH26" s="440">
        <f t="shared" si="43"/>
        <v>1.5</v>
      </c>
      <c r="BI26" s="440">
        <f t="shared" si="44"/>
        <v>1.5</v>
      </c>
      <c r="BJ26" s="440">
        <f t="shared" si="45"/>
        <v>1.5</v>
      </c>
      <c r="BK26" s="440">
        <f t="shared" si="46"/>
        <v>0</v>
      </c>
      <c r="BL26" s="440">
        <f t="shared" si="47"/>
        <v>0</v>
      </c>
      <c r="BM26" s="443"/>
      <c r="BN26" s="443"/>
      <c r="BO26" s="141"/>
      <c r="BQ26" s="444" cm="1">
        <f t="array" ref="BQ26">INDEX(AK26:AV26,MATCH(MONTH($BP$3),MONTH($AK$3:$AV$3),0))</f>
        <v>100</v>
      </c>
      <c r="BR26" t="str">
        <v>Implementasi Kesesuaian Sektor Bisnis sesuai KBLI 2020</v>
      </c>
      <c r="BS26" s="443">
        <v>100</v>
      </c>
      <c r="BT26" s="443" t="str">
        <f t="shared" si="48"/>
        <v/>
      </c>
      <c r="BU26" s="443" t="str">
        <v/>
      </c>
      <c r="BV26" s="440">
        <f t="shared" si="51"/>
        <v>1</v>
      </c>
      <c r="BY26" s="440" t="e">
        <f t="shared" si="114"/>
        <v>#N/A</v>
      </c>
      <c r="BZ26" s="440" t="e">
        <f t="shared" si="115"/>
        <v>#N/A</v>
      </c>
      <c r="CA26" s="447" t="e">
        <f t="shared" si="116"/>
        <v>#N/A</v>
      </c>
      <c r="CB26" s="448" t="e">
        <f t="shared" si="117"/>
        <v>#N/A</v>
      </c>
      <c r="CC26" s="105" t="e">
        <f t="shared" si="118"/>
        <v>#N/A</v>
      </c>
      <c r="CD26" s="448" t="e">
        <f t="shared" si="119"/>
        <v>#N/A</v>
      </c>
    </row>
    <row r="27" spans="1:99">
      <c r="A27" t="str">
        <v>e. Penambahan Jumlah Pelanggan Rumah Tangga Lisdes</v>
      </c>
      <c r="B27">
        <v>2</v>
      </c>
      <c r="C27" t="str">
        <v>Penambahan Jumlah Pelanggan Rumah Tangga Lisdes</v>
      </c>
      <c r="D27" s="105" t="s">
        <v>456</v>
      </c>
      <c r="E27" t="str">
        <v>Penambahan Jumlah Pelanggan Rumah Tangga Lisdes</v>
      </c>
      <c r="G27">
        <v>3</v>
      </c>
      <c r="H27">
        <v>4</v>
      </c>
      <c r="I27">
        <v>4</v>
      </c>
      <c r="J27">
        <v>4</v>
      </c>
      <c r="K27">
        <v>8</v>
      </c>
      <c r="L27">
        <v>14</v>
      </c>
      <c r="M27">
        <v>38</v>
      </c>
      <c r="N27">
        <v>61</v>
      </c>
      <c r="O27">
        <v>99</v>
      </c>
      <c r="P27">
        <v>161</v>
      </c>
      <c r="Q27">
        <v>266</v>
      </c>
      <c r="R27">
        <v>441</v>
      </c>
      <c r="T27" t="str">
        <v>Penambahan Jumlah Pelanggan Rumah Tangga Lisdes</v>
      </c>
      <c r="V27">
        <v>50</v>
      </c>
      <c r="W27">
        <v>71</v>
      </c>
      <c r="X27">
        <v>87</v>
      </c>
      <c r="Y27">
        <v>113</v>
      </c>
      <c r="Z27">
        <v>134</v>
      </c>
      <c r="AA27">
        <v>142</v>
      </c>
      <c r="AB27">
        <v>150</v>
      </c>
      <c r="AC27">
        <v>159</v>
      </c>
      <c r="AD27">
        <v>169</v>
      </c>
      <c r="AE27">
        <v>186</v>
      </c>
      <c r="AF27">
        <v>0</v>
      </c>
      <c r="AG27">
        <v>0</v>
      </c>
      <c r="AI27" t="str">
        <f t="shared" si="34"/>
        <v>Penambahan Jumlah Pelanggan Rumah Tangga Lisdes</v>
      </c>
      <c r="AK27" s="440">
        <f t="shared" si="163"/>
        <v>110</v>
      </c>
      <c r="AL27" s="440">
        <f t="shared" si="209"/>
        <v>110</v>
      </c>
      <c r="AM27" s="440">
        <f t="shared" si="209"/>
        <v>110</v>
      </c>
      <c r="AN27" s="440">
        <f t="shared" si="209"/>
        <v>110</v>
      </c>
      <c r="AO27" s="440">
        <f t="shared" si="209"/>
        <v>110</v>
      </c>
      <c r="AP27" s="440">
        <f t="shared" si="209"/>
        <v>110</v>
      </c>
      <c r="AQ27" s="440">
        <f t="shared" si="209"/>
        <v>110</v>
      </c>
      <c r="AR27" s="440">
        <f t="shared" si="209"/>
        <v>110</v>
      </c>
      <c r="AS27" s="440">
        <f t="shared" si="209"/>
        <v>110</v>
      </c>
      <c r="AT27" s="440">
        <f t="shared" si="209"/>
        <v>110</v>
      </c>
      <c r="AU27" s="440">
        <f t="shared" si="209"/>
        <v>0</v>
      </c>
      <c r="AV27" s="440">
        <f t="shared" si="209"/>
        <v>0</v>
      </c>
      <c r="AW27" s="443"/>
      <c r="AX27" t="str">
        <f t="shared" si="36"/>
        <v>Penambahan Jumlah Pelanggan Rumah Tangga Lisdes</v>
      </c>
      <c r="AY27" s="105" t="s">
        <v>452</v>
      </c>
      <c r="AZ27" s="442">
        <v>1.5</v>
      </c>
      <c r="BA27" s="440">
        <f t="shared" si="50"/>
        <v>1.65</v>
      </c>
      <c r="BB27" s="440">
        <f t="shared" si="37"/>
        <v>1.65</v>
      </c>
      <c r="BC27" s="440">
        <f t="shared" si="38"/>
        <v>1.65</v>
      </c>
      <c r="BD27" s="440">
        <f t="shared" si="39"/>
        <v>1.65</v>
      </c>
      <c r="BE27" s="440">
        <f t="shared" si="40"/>
        <v>1.65</v>
      </c>
      <c r="BF27" s="440">
        <f t="shared" si="41"/>
        <v>1.65</v>
      </c>
      <c r="BG27" s="440">
        <f t="shared" si="42"/>
        <v>1.65</v>
      </c>
      <c r="BH27" s="440">
        <f t="shared" si="43"/>
        <v>1.65</v>
      </c>
      <c r="BI27" s="440">
        <f t="shared" si="44"/>
        <v>1.65</v>
      </c>
      <c r="BJ27" s="440">
        <f t="shared" si="45"/>
        <v>1.65</v>
      </c>
      <c r="BK27" s="440">
        <f t="shared" si="46"/>
        <v>0</v>
      </c>
      <c r="BL27" s="440">
        <f t="shared" si="47"/>
        <v>0</v>
      </c>
      <c r="BM27" s="443"/>
      <c r="BN27" s="443"/>
      <c r="BO27" s="141"/>
      <c r="BQ27" s="444" cm="1">
        <f t="array" ref="BQ27">INDEX(AK27:AV27,MATCH(MONTH($BP$3),MONTH($AK$3:$AV$3),0))</f>
        <v>110</v>
      </c>
      <c r="BR27" t="str">
        <v>Penambahan Jumlah Pelanggan Rumah Tangga Lisdes</v>
      </c>
      <c r="BS27" s="443">
        <v>110</v>
      </c>
      <c r="BT27" s="443" t="str">
        <f t="shared" si="48"/>
        <v/>
      </c>
      <c r="BU27" s="443" t="str">
        <v/>
      </c>
      <c r="BV27" s="440">
        <f t="shared" si="51"/>
        <v>1.1000000000000001</v>
      </c>
      <c r="BY27" s="440" t="e">
        <f t="shared" si="114"/>
        <v>#N/A</v>
      </c>
      <c r="BZ27" s="440" t="e">
        <f t="shared" si="115"/>
        <v>#N/A</v>
      </c>
      <c r="CA27" s="447" t="e">
        <f t="shared" si="116"/>
        <v>#N/A</v>
      </c>
      <c r="CB27" s="448" t="e">
        <f t="shared" si="117"/>
        <v>#N/A</v>
      </c>
      <c r="CC27" s="105" t="e">
        <f t="shared" si="118"/>
        <v>#N/A</v>
      </c>
      <c r="CD27" s="448" t="e">
        <f t="shared" si="119"/>
        <v>#N/A</v>
      </c>
    </row>
    <row r="28" spans="1:99">
      <c r="A28" t="str">
        <v>f. Peningkatan kWh Penjualan dari Pelanggan Rumah Tangga Lisdes</v>
      </c>
      <c r="B28">
        <v>2</v>
      </c>
      <c r="C28" t="str">
        <v>Peningkatan kWh Penjualan dari Pelanggan Rumah Tangga Lisdes</v>
      </c>
      <c r="D28" s="105" t="s">
        <v>456</v>
      </c>
      <c r="E28" t="str">
        <v>Peningkatan kWh Penjualan dari Pelanggan Rumah Tangga Lisdes</v>
      </c>
      <c r="G28">
        <v>121.5</v>
      </c>
      <c r="H28">
        <v>162</v>
      </c>
      <c r="I28">
        <v>162</v>
      </c>
      <c r="J28">
        <v>162</v>
      </c>
      <c r="K28">
        <v>324</v>
      </c>
      <c r="L28">
        <v>567</v>
      </c>
      <c r="M28">
        <v>5079.6769999999997</v>
      </c>
      <c r="N28">
        <v>8154.2190000000001</v>
      </c>
      <c r="O28">
        <v>13233.896000000001</v>
      </c>
      <c r="P28">
        <v>21521.791000000001</v>
      </c>
      <c r="Q28">
        <v>35557.740000000005</v>
      </c>
      <c r="R28">
        <v>58950.990000000005</v>
      </c>
      <c r="T28" t="str">
        <v>Peningkatan kWh Penjualan dari Pelanggan Rumah Tangga Lisdes</v>
      </c>
      <c r="V28">
        <v>12084.1</v>
      </c>
      <c r="W28">
        <v>23649.5</v>
      </c>
      <c r="X28">
        <v>25628.500000000007</v>
      </c>
      <c r="Y28">
        <v>29595.700000000004</v>
      </c>
      <c r="Z28">
        <v>36325.700000000004</v>
      </c>
      <c r="AA28">
        <v>42397.8</v>
      </c>
      <c r="AB28">
        <v>49790.899999999994</v>
      </c>
      <c r="AC28">
        <v>56666.3</v>
      </c>
      <c r="AD28">
        <v>64005.7</v>
      </c>
      <c r="AE28">
        <v>74417.7</v>
      </c>
      <c r="AF28">
        <v>0</v>
      </c>
      <c r="AG28">
        <v>0</v>
      </c>
      <c r="AI28" t="str">
        <f t="shared" si="34"/>
        <v>Peningkatan kWh Penjualan dari Pelanggan Rumah Tangga Lisdes</v>
      </c>
      <c r="AK28" s="440">
        <f t="shared" si="163"/>
        <v>110</v>
      </c>
      <c r="AL28" s="440">
        <f t="shared" si="209"/>
        <v>110</v>
      </c>
      <c r="AM28" s="440">
        <f t="shared" si="209"/>
        <v>110</v>
      </c>
      <c r="AN28" s="440">
        <f t="shared" si="209"/>
        <v>110</v>
      </c>
      <c r="AO28" s="440">
        <f t="shared" si="209"/>
        <v>110</v>
      </c>
      <c r="AP28" s="440">
        <f t="shared" si="209"/>
        <v>110</v>
      </c>
      <c r="AQ28" s="440">
        <f t="shared" si="209"/>
        <v>110</v>
      </c>
      <c r="AR28" s="440">
        <f t="shared" si="209"/>
        <v>110</v>
      </c>
      <c r="AS28" s="440">
        <f t="shared" si="209"/>
        <v>110</v>
      </c>
      <c r="AT28" s="440">
        <f t="shared" si="209"/>
        <v>110</v>
      </c>
      <c r="AU28" s="440">
        <f t="shared" si="209"/>
        <v>0</v>
      </c>
      <c r="AV28" s="440">
        <f t="shared" si="209"/>
        <v>0</v>
      </c>
      <c r="AW28" s="443"/>
      <c r="AX28" t="str">
        <f t="shared" si="36"/>
        <v>Peningkatan kWh Penjualan dari Pelanggan Rumah Tangga Lisdes</v>
      </c>
      <c r="AY28" s="105" t="s">
        <v>452</v>
      </c>
      <c r="AZ28" s="442">
        <v>1.5</v>
      </c>
      <c r="BA28" s="440">
        <f t="shared" si="50"/>
        <v>1.65</v>
      </c>
      <c r="BB28" s="440">
        <f t="shared" si="37"/>
        <v>1.65</v>
      </c>
      <c r="BC28" s="440">
        <f t="shared" si="38"/>
        <v>1.65</v>
      </c>
      <c r="BD28" s="440">
        <f t="shared" si="39"/>
        <v>1.65</v>
      </c>
      <c r="BE28" s="440">
        <f t="shared" si="40"/>
        <v>1.65</v>
      </c>
      <c r="BF28" s="440">
        <f t="shared" si="41"/>
        <v>1.65</v>
      </c>
      <c r="BG28" s="440">
        <f t="shared" si="42"/>
        <v>1.65</v>
      </c>
      <c r="BH28" s="440">
        <f t="shared" si="43"/>
        <v>1.65</v>
      </c>
      <c r="BI28" s="440">
        <f t="shared" si="44"/>
        <v>1.65</v>
      </c>
      <c r="BJ28" s="440">
        <f t="shared" si="45"/>
        <v>1.65</v>
      </c>
      <c r="BK28" s="440">
        <f t="shared" si="46"/>
        <v>0</v>
      </c>
      <c r="BL28" s="440">
        <f t="shared" si="47"/>
        <v>0</v>
      </c>
      <c r="BM28" s="443"/>
      <c r="BN28" s="443"/>
      <c r="BO28" s="141"/>
      <c r="BQ28" s="444" cm="1">
        <f t="array" ref="BQ28">INDEX(AK28:AV28,MATCH(MONTH($BP$3),MONTH($AK$3:$AV$3),0))</f>
        <v>110</v>
      </c>
      <c r="BR28" t="str">
        <v>Peningkatan kWh Penjualan dari Pelanggan Rumah Tangga Lisdes</v>
      </c>
      <c r="BS28" s="443">
        <v>110</v>
      </c>
      <c r="BT28" s="443" t="str">
        <f t="shared" si="48"/>
        <v/>
      </c>
      <c r="BU28" s="443" t="str">
        <v/>
      </c>
      <c r="BV28" s="440">
        <f t="shared" si="51"/>
        <v>1.1000000000000001</v>
      </c>
      <c r="BY28" s="440" t="e">
        <f t="shared" si="114"/>
        <v>#N/A</v>
      </c>
      <c r="BZ28" s="440" t="e">
        <f t="shared" si="115"/>
        <v>#N/A</v>
      </c>
      <c r="CA28" s="447" t="e">
        <f t="shared" si="116"/>
        <v>#N/A</v>
      </c>
      <c r="CB28" s="448" t="e">
        <f t="shared" si="117"/>
        <v>#N/A</v>
      </c>
      <c r="CC28" s="105" t="e">
        <f t="shared" si="118"/>
        <v>#N/A</v>
      </c>
      <c r="CD28" s="448" t="e">
        <f t="shared" si="119"/>
        <v>#N/A</v>
      </c>
    </row>
    <row r="29" spans="1:99">
      <c r="A29" t="str">
        <v>a. Jumlah Pengguna Swa Cam</v>
      </c>
      <c r="B29">
        <v>2</v>
      </c>
      <c r="C29" t="str">
        <v>Jumlah Pengguna Swa Cam</v>
      </c>
      <c r="D29" s="105" t="s">
        <v>456</v>
      </c>
      <c r="E29" t="str">
        <v>Jumlah Pengguna Swa Cam</v>
      </c>
      <c r="G29">
        <v>4728</v>
      </c>
      <c r="H29">
        <v>4728</v>
      </c>
      <c r="I29">
        <v>4728</v>
      </c>
      <c r="J29">
        <v>4728</v>
      </c>
      <c r="K29">
        <v>4728</v>
      </c>
      <c r="L29">
        <v>4728</v>
      </c>
      <c r="M29">
        <v>4728</v>
      </c>
      <c r="N29">
        <v>4728</v>
      </c>
      <c r="O29">
        <v>4728</v>
      </c>
      <c r="P29">
        <v>4728</v>
      </c>
      <c r="Q29">
        <v>4728</v>
      </c>
      <c r="R29">
        <v>4728</v>
      </c>
      <c r="T29" t="str">
        <v>Jumlah Pengguna Swa Cam</v>
      </c>
      <c r="V29">
        <v>10357</v>
      </c>
      <c r="W29">
        <v>8775</v>
      </c>
      <c r="X29">
        <v>9061</v>
      </c>
      <c r="Y29">
        <v>8210.25</v>
      </c>
      <c r="Z29">
        <v>7592.2</v>
      </c>
      <c r="AA29">
        <v>7340</v>
      </c>
      <c r="AB29">
        <v>5470</v>
      </c>
      <c r="AC29">
        <v>5376</v>
      </c>
      <c r="AD29">
        <v>5579</v>
      </c>
      <c r="AE29">
        <v>5532</v>
      </c>
      <c r="AF29">
        <v>0</v>
      </c>
      <c r="AG29">
        <v>0</v>
      </c>
      <c r="AI29" t="str">
        <f t="shared" si="34"/>
        <v>Jumlah Pengguna Swa Cam</v>
      </c>
      <c r="AK29" s="440">
        <f t="shared" si="163"/>
        <v>110</v>
      </c>
      <c r="AL29" s="440">
        <f t="shared" si="209"/>
        <v>110</v>
      </c>
      <c r="AM29" s="440">
        <f t="shared" si="209"/>
        <v>110</v>
      </c>
      <c r="AN29" s="440">
        <f t="shared" si="209"/>
        <v>110</v>
      </c>
      <c r="AO29" s="440">
        <f t="shared" si="209"/>
        <v>110</v>
      </c>
      <c r="AP29" s="440">
        <f t="shared" si="209"/>
        <v>110</v>
      </c>
      <c r="AQ29" s="440">
        <f t="shared" si="209"/>
        <v>110</v>
      </c>
      <c r="AR29" s="440">
        <f t="shared" si="209"/>
        <v>110</v>
      </c>
      <c r="AS29" s="440">
        <f t="shared" si="209"/>
        <v>110</v>
      </c>
      <c r="AT29" s="440">
        <f t="shared" si="209"/>
        <v>110</v>
      </c>
      <c r="AU29" s="440">
        <f t="shared" si="209"/>
        <v>0</v>
      </c>
      <c r="AV29" s="440">
        <f t="shared" si="209"/>
        <v>0</v>
      </c>
      <c r="AW29" s="443"/>
      <c r="AX29" t="str">
        <f t="shared" si="36"/>
        <v>Jumlah Pengguna Swa Cam</v>
      </c>
      <c r="AY29" s="105" t="s">
        <v>452</v>
      </c>
      <c r="AZ29" s="442">
        <f>4/2</f>
        <v>2</v>
      </c>
      <c r="BA29" s="440">
        <f t="shared" si="50"/>
        <v>2.2000000000000002</v>
      </c>
      <c r="BB29" s="440">
        <f t="shared" si="37"/>
        <v>2.2000000000000002</v>
      </c>
      <c r="BC29" s="440">
        <f t="shared" si="38"/>
        <v>2.2000000000000002</v>
      </c>
      <c r="BD29" s="440">
        <f t="shared" si="39"/>
        <v>2.2000000000000002</v>
      </c>
      <c r="BE29" s="440">
        <f t="shared" si="40"/>
        <v>2.2000000000000002</v>
      </c>
      <c r="BF29" s="440">
        <f t="shared" si="41"/>
        <v>2.2000000000000002</v>
      </c>
      <c r="BG29" s="440">
        <f t="shared" si="42"/>
        <v>2.2000000000000002</v>
      </c>
      <c r="BH29" s="440">
        <f t="shared" si="43"/>
        <v>2.2000000000000002</v>
      </c>
      <c r="BI29" s="440">
        <f t="shared" si="44"/>
        <v>2.2000000000000002</v>
      </c>
      <c r="BJ29" s="440">
        <f t="shared" si="45"/>
        <v>2.2000000000000002</v>
      </c>
      <c r="BK29" s="440">
        <f t="shared" si="46"/>
        <v>0</v>
      </c>
      <c r="BL29" s="440">
        <f t="shared" si="47"/>
        <v>0</v>
      </c>
      <c r="BM29" s="443"/>
      <c r="BN29" s="443"/>
      <c r="BO29" s="141"/>
      <c r="BQ29" s="444" cm="1">
        <f t="array" ref="BQ29">INDEX(AK29:AV29,MATCH(MONTH($BP$3),MONTH($AK$3:$AV$3),0))</f>
        <v>110</v>
      </c>
      <c r="BR29" t="str">
        <v>Jumlah Pengguna Swa Cam</v>
      </c>
      <c r="BS29" s="443">
        <v>110</v>
      </c>
      <c r="BT29" s="443" t="str">
        <f t="shared" si="48"/>
        <v/>
      </c>
      <c r="BU29" s="443" t="str">
        <v/>
      </c>
      <c r="BV29" s="440">
        <f t="shared" si="51"/>
        <v>1.1000000000000001</v>
      </c>
      <c r="BY29" s="440" t="e">
        <f t="shared" si="114"/>
        <v>#N/A</v>
      </c>
      <c r="BZ29" s="440" t="e">
        <f t="shared" si="115"/>
        <v>#N/A</v>
      </c>
      <c r="CA29" s="447" t="e">
        <f t="shared" si="116"/>
        <v>#N/A</v>
      </c>
      <c r="CB29" s="448" t="e">
        <f t="shared" si="117"/>
        <v>#N/A</v>
      </c>
      <c r="CC29" s="105" t="e">
        <f t="shared" si="118"/>
        <v>#N/A</v>
      </c>
      <c r="CD29" s="448" t="e">
        <f t="shared" si="119"/>
        <v>#N/A</v>
      </c>
    </row>
    <row r="30" spans="1:99">
      <c r="A30" t="str">
        <v>b. Tindak Lanjut LBKB (Laporan Bulanan Kelainan Baca Meter)</v>
      </c>
      <c r="B30">
        <v>2</v>
      </c>
      <c r="C30" t="str">
        <v>Tindak Lanjut LBKB (Laporan Bulanan Kelainan Baca Meter)</v>
      </c>
      <c r="D30" s="105" t="s">
        <v>456</v>
      </c>
      <c r="E30" t="str">
        <v>Tindak Lanjut LBKB (Laporan Bulanan Kelainan Baca Meter)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T30" t="str">
        <v>Tindak Lanjut LBKB (Laporan Bulanan Kelainan Baca Meter)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I30" t="str">
        <f t="shared" si="34"/>
        <v>Tindak Lanjut LBKB (Laporan Bulanan Kelainan Baca Meter)</v>
      </c>
      <c r="AK30" s="440">
        <f t="shared" si="163"/>
        <v>100</v>
      </c>
      <c r="AL30" s="440">
        <f t="shared" si="209"/>
        <v>100</v>
      </c>
      <c r="AM30" s="440">
        <f t="shared" si="209"/>
        <v>100</v>
      </c>
      <c r="AN30" s="440">
        <f t="shared" si="209"/>
        <v>100</v>
      </c>
      <c r="AO30" s="440">
        <f t="shared" si="209"/>
        <v>100</v>
      </c>
      <c r="AP30" s="440">
        <f t="shared" si="209"/>
        <v>100</v>
      </c>
      <c r="AQ30" s="440">
        <f t="shared" si="209"/>
        <v>100</v>
      </c>
      <c r="AR30" s="440">
        <f t="shared" si="209"/>
        <v>100</v>
      </c>
      <c r="AS30" s="440">
        <f t="shared" si="209"/>
        <v>100</v>
      </c>
      <c r="AT30" s="440">
        <f t="shared" si="209"/>
        <v>100</v>
      </c>
      <c r="AU30" s="440">
        <f t="shared" si="209"/>
        <v>100</v>
      </c>
      <c r="AV30" s="440">
        <f t="shared" si="209"/>
        <v>100</v>
      </c>
      <c r="AW30" s="443"/>
      <c r="AX30" t="str">
        <f t="shared" si="36"/>
        <v>Tindak Lanjut LBKB (Laporan Bulanan Kelainan Baca Meter)</v>
      </c>
      <c r="AY30" s="105" t="s">
        <v>452</v>
      </c>
      <c r="AZ30" s="442">
        <f>4/2</f>
        <v>2</v>
      </c>
      <c r="BA30" s="440">
        <f t="shared" si="50"/>
        <v>2</v>
      </c>
      <c r="BB30" s="440">
        <f t="shared" si="37"/>
        <v>2</v>
      </c>
      <c r="BC30" s="440">
        <f t="shared" si="38"/>
        <v>2</v>
      </c>
      <c r="BD30" s="440">
        <f t="shared" si="39"/>
        <v>2</v>
      </c>
      <c r="BE30" s="440">
        <f t="shared" si="40"/>
        <v>2</v>
      </c>
      <c r="BF30" s="440">
        <f t="shared" si="41"/>
        <v>2</v>
      </c>
      <c r="BG30" s="440">
        <f t="shared" si="42"/>
        <v>2</v>
      </c>
      <c r="BH30" s="440">
        <f t="shared" si="43"/>
        <v>2</v>
      </c>
      <c r="BI30" s="440">
        <f t="shared" si="44"/>
        <v>2</v>
      </c>
      <c r="BJ30" s="440">
        <f t="shared" si="45"/>
        <v>2</v>
      </c>
      <c r="BK30" s="440">
        <f t="shared" si="46"/>
        <v>2</v>
      </c>
      <c r="BL30" s="440">
        <f t="shared" si="47"/>
        <v>2</v>
      </c>
      <c r="BM30" s="443"/>
      <c r="BN30" s="443"/>
      <c r="BO30" s="141"/>
      <c r="BQ30" s="444" cm="1">
        <f t="array" ref="BQ30">INDEX(AK30:AV30,MATCH(MONTH($BP$3),MONTH($AK$3:$AV$3),0))</f>
        <v>100</v>
      </c>
      <c r="BR30" t="str">
        <v>Tindak Lanjut LBKB (Laporan Bulanan Kelainan Baca Meter)</v>
      </c>
      <c r="BS30" s="443">
        <v>100</v>
      </c>
      <c r="BT30" s="443" t="str">
        <f t="shared" si="48"/>
        <v/>
      </c>
      <c r="BU30" s="443" t="str">
        <v/>
      </c>
      <c r="BV30" s="440">
        <f t="shared" si="51"/>
        <v>1</v>
      </c>
      <c r="BY30" s="440" t="e">
        <f t="shared" si="114"/>
        <v>#N/A</v>
      </c>
      <c r="BZ30" s="440" t="e">
        <f t="shared" si="115"/>
        <v>#N/A</v>
      </c>
      <c r="CA30" s="447" t="e">
        <f t="shared" si="116"/>
        <v>#N/A</v>
      </c>
      <c r="CB30" s="448" t="e">
        <f t="shared" si="117"/>
        <v>#N/A</v>
      </c>
      <c r="CC30" s="105" t="e">
        <f t="shared" si="118"/>
        <v>#N/A</v>
      </c>
      <c r="CD30" s="448" t="e">
        <f t="shared" si="119"/>
        <v>#N/A</v>
      </c>
    </row>
    <row r="31" spans="1:99">
      <c r="A31" t="str">
        <v>a. Pencapaian Rata-Rata Saldo Tanggal 20 diluar Konsumen Instansi (Kementerian &amp; Lembaga)</v>
      </c>
      <c r="B31">
        <v>2</v>
      </c>
      <c r="C31" t="str">
        <v>Pencapaian Rata-Rata Saldo Tanggal 20 diluar Konsumen Instansi (Kementerian &amp; Lembaga)</v>
      </c>
      <c r="D31" s="105" t="s">
        <v>456</v>
      </c>
      <c r="E31" t="str">
        <v>Pencapaian Rata-Rata Saldo Tanggal 20 diluar Konsumen Instansi (Kementerian &amp; Lembaga)</v>
      </c>
      <c r="G31">
        <v>1175</v>
      </c>
      <c r="H31">
        <v>1175</v>
      </c>
      <c r="I31">
        <v>1175</v>
      </c>
      <c r="J31">
        <v>1175</v>
      </c>
      <c r="K31">
        <v>1175</v>
      </c>
      <c r="L31">
        <v>1175</v>
      </c>
      <c r="M31">
        <v>1175</v>
      </c>
      <c r="N31">
        <v>1175</v>
      </c>
      <c r="O31">
        <v>1175</v>
      </c>
      <c r="P31">
        <v>1175</v>
      </c>
      <c r="Q31">
        <v>1175</v>
      </c>
      <c r="R31">
        <v>1175</v>
      </c>
      <c r="T31" t="str">
        <v>Pencapaian Rata-Rata Saldo Tanggal 20 diluar Konsumen Instansi (Kementerian &amp; Lembaga)</v>
      </c>
      <c r="V31">
        <v>1281.87806</v>
      </c>
      <c r="W31">
        <v>1083.2909414999999</v>
      </c>
      <c r="X31">
        <v>1022.1397566666666</v>
      </c>
      <c r="Y31">
        <v>1028.3136465</v>
      </c>
      <c r="Z31">
        <v>1095.9366248000001</v>
      </c>
      <c r="AA31">
        <v>1111.3078128333334</v>
      </c>
      <c r="AB31">
        <v>1088.9630380000001</v>
      </c>
      <c r="AC31">
        <v>1029.1045273750001</v>
      </c>
      <c r="AD31">
        <v>1001.4119882222224</v>
      </c>
      <c r="AE31">
        <v>1001.4119882222224</v>
      </c>
      <c r="AF31">
        <v>1001.4119882222224</v>
      </c>
      <c r="AG31">
        <v>1001.4119882222224</v>
      </c>
      <c r="AI31" t="str">
        <f t="shared" si="34"/>
        <v>Pencapaian Rata-Rata Saldo Tanggal 20 diluar Konsumen Instansi (Kementerian &amp; Lembaga)</v>
      </c>
      <c r="AK31" s="440">
        <f t="shared" ref="AK31:AV32" si="210">IFERROR(IF((2-(V31/G31))*100&gt;110,110,(2-(V31/G31))*100),100)</f>
        <v>90.903994893617025</v>
      </c>
      <c r="AL31" s="440">
        <f t="shared" si="210"/>
        <v>107.80502625531916</v>
      </c>
      <c r="AM31" s="440">
        <f t="shared" si="210"/>
        <v>110</v>
      </c>
      <c r="AN31" s="440">
        <f t="shared" si="210"/>
        <v>110</v>
      </c>
      <c r="AO31" s="440">
        <f t="shared" si="210"/>
        <v>106.72879788936169</v>
      </c>
      <c r="AP31" s="440">
        <f t="shared" si="210"/>
        <v>105.42061167375887</v>
      </c>
      <c r="AQ31" s="440">
        <f t="shared" si="210"/>
        <v>107.32229463829785</v>
      </c>
      <c r="AR31" s="440">
        <f t="shared" si="210"/>
        <v>110</v>
      </c>
      <c r="AS31" s="440">
        <f t="shared" si="210"/>
        <v>110</v>
      </c>
      <c r="AT31" s="440">
        <f t="shared" si="210"/>
        <v>110</v>
      </c>
      <c r="AU31" s="440">
        <f t="shared" si="210"/>
        <v>110</v>
      </c>
      <c r="AV31" s="440">
        <f t="shared" si="210"/>
        <v>110</v>
      </c>
      <c r="AW31" s="443"/>
      <c r="AX31" t="str">
        <f t="shared" si="36"/>
        <v>Pencapaian Rata-Rata Saldo Tanggal 20 diluar Konsumen Instansi (Kementerian &amp; Lembaga)</v>
      </c>
      <c r="AY31" s="105" t="s">
        <v>452</v>
      </c>
      <c r="AZ31" s="442">
        <f t="shared" ref="AZ31:AZ36" si="211">6/3</f>
        <v>2</v>
      </c>
      <c r="BA31" s="440">
        <f t="shared" si="50"/>
        <v>1.81</v>
      </c>
      <c r="BB31" s="440">
        <f t="shared" si="37"/>
        <v>2.15</v>
      </c>
      <c r="BC31" s="440">
        <f t="shared" si="38"/>
        <v>2.2000000000000002</v>
      </c>
      <c r="BD31" s="440">
        <f t="shared" si="39"/>
        <v>2.2000000000000002</v>
      </c>
      <c r="BE31" s="440">
        <f t="shared" si="40"/>
        <v>2.13</v>
      </c>
      <c r="BF31" s="440">
        <f t="shared" si="41"/>
        <v>2.1</v>
      </c>
      <c r="BG31" s="440">
        <f t="shared" si="42"/>
        <v>2.14</v>
      </c>
      <c r="BH31" s="440">
        <f t="shared" si="43"/>
        <v>2.2000000000000002</v>
      </c>
      <c r="BI31" s="440">
        <f t="shared" si="44"/>
        <v>2.2000000000000002</v>
      </c>
      <c r="BJ31" s="440">
        <f t="shared" si="45"/>
        <v>2.2000000000000002</v>
      </c>
      <c r="BK31" s="440">
        <f t="shared" si="46"/>
        <v>2.2000000000000002</v>
      </c>
      <c r="BL31" s="440">
        <f t="shared" si="47"/>
        <v>2.2000000000000002</v>
      </c>
      <c r="BM31" s="443"/>
      <c r="BN31" s="443"/>
      <c r="BO31" s="141"/>
      <c r="BQ31" s="444" cm="1">
        <f t="array" ref="BQ31">INDEX(AK31:AV31,MATCH(MONTH($BP$3),MONTH($AK$3:$AV$3),0))</f>
        <v>110</v>
      </c>
      <c r="BR31" t="str">
        <v>Pencapaian Rata-Rata Saldo Tanggal 20 diluar Konsumen Instansi (Kementerian &amp; Lembaga)</v>
      </c>
      <c r="BS31" s="443">
        <v>110</v>
      </c>
      <c r="BT31" s="443" t="str">
        <f t="shared" si="48"/>
        <v/>
      </c>
      <c r="BU31" s="443" t="str">
        <v/>
      </c>
      <c r="BV31" s="440">
        <f t="shared" si="51"/>
        <v>1.1000000000000001</v>
      </c>
      <c r="BY31" s="440" t="e">
        <f t="shared" si="114"/>
        <v>#N/A</v>
      </c>
      <c r="BZ31" s="440" t="e">
        <f t="shared" si="115"/>
        <v>#N/A</v>
      </c>
      <c r="CA31" s="447" t="e">
        <f t="shared" si="116"/>
        <v>#N/A</v>
      </c>
      <c r="CB31" s="448" t="e">
        <f t="shared" si="117"/>
        <v>#N/A</v>
      </c>
      <c r="CC31" s="105" t="e">
        <f t="shared" si="118"/>
        <v>#N/A</v>
      </c>
      <c r="CD31" s="448" t="e">
        <f t="shared" si="119"/>
        <v>#N/A</v>
      </c>
    </row>
    <row r="32" spans="1:99">
      <c r="A32" t="str">
        <v>b. Pencapaian Saldo Rata-Rata Akhir Bulan diluar Konsumen Instansi (Kementerian &amp; Lembaga)</v>
      </c>
      <c r="B32">
        <v>2</v>
      </c>
      <c r="C32" t="str">
        <v>Pencapaian Saldo Rata-Rata Akhir Bulan diluar Konsumen Instansi (Kementerian &amp; Lembaga)</v>
      </c>
      <c r="D32" s="105" t="s">
        <v>456</v>
      </c>
      <c r="E32" t="str">
        <v>Pencapaian Saldo Rata-Rata Akhir Bulan diluar Konsumen Instansi (Kementerian &amp; Lembaga)</v>
      </c>
      <c r="G32">
        <v>286.27</v>
      </c>
      <c r="H32">
        <v>286.27</v>
      </c>
      <c r="I32">
        <v>286.27</v>
      </c>
      <c r="J32">
        <v>286.27</v>
      </c>
      <c r="K32">
        <v>286.27</v>
      </c>
      <c r="L32">
        <v>286.27</v>
      </c>
      <c r="M32">
        <v>286.27</v>
      </c>
      <c r="N32">
        <v>286.27</v>
      </c>
      <c r="O32">
        <v>286.27</v>
      </c>
      <c r="P32">
        <v>286.27</v>
      </c>
      <c r="Q32">
        <v>286.27</v>
      </c>
      <c r="R32">
        <v>286.27</v>
      </c>
      <c r="T32" t="str">
        <v>Pencapaian Saldo Rata-Rata Akhir Bulan diluar Konsumen Instansi (Kementerian &amp; Lembaga)</v>
      </c>
      <c r="V32">
        <v>568.75291700000002</v>
      </c>
      <c r="W32">
        <v>551.86737949999997</v>
      </c>
      <c r="X32">
        <v>507.71158633333334</v>
      </c>
      <c r="Y32">
        <v>521.94955825</v>
      </c>
      <c r="Z32">
        <v>502.51584860000003</v>
      </c>
      <c r="AA32">
        <v>472.08207300000004</v>
      </c>
      <c r="AB32">
        <v>406.4669252857143</v>
      </c>
      <c r="AC32">
        <v>356.950721875</v>
      </c>
      <c r="AD32">
        <v>321.95223111111113</v>
      </c>
      <c r="AE32">
        <v>290.15922360000002</v>
      </c>
      <c r="AF32">
        <v>290.15922360000002</v>
      </c>
      <c r="AG32">
        <v>290.15922360000002</v>
      </c>
      <c r="AI32" t="str">
        <f t="shared" si="34"/>
        <v>Pencapaian Saldo Rata-Rata Akhir Bulan diluar Konsumen Instansi (Kementerian &amp; Lembaga)</v>
      </c>
      <c r="AK32" s="440">
        <f t="shared" si="210"/>
        <v>1.3229059978342006</v>
      </c>
      <c r="AL32" s="440">
        <f t="shared" si="210"/>
        <v>7.2213716072239587</v>
      </c>
      <c r="AM32" s="440">
        <f t="shared" si="210"/>
        <v>22.645898510729957</v>
      </c>
      <c r="AN32" s="440">
        <f t="shared" si="210"/>
        <v>17.672282023963383</v>
      </c>
      <c r="AO32" s="440">
        <f t="shared" si="210"/>
        <v>24.46087658504208</v>
      </c>
      <c r="AP32" s="440">
        <f t="shared" si="210"/>
        <v>35.092020470185467</v>
      </c>
      <c r="AQ32" s="440">
        <f t="shared" si="210"/>
        <v>58.012741368039158</v>
      </c>
      <c r="AR32" s="440">
        <f t="shared" si="210"/>
        <v>75.309769841408453</v>
      </c>
      <c r="AS32" s="440">
        <f t="shared" si="210"/>
        <v>87.53546263628354</v>
      </c>
      <c r="AT32" s="440">
        <f t="shared" si="210"/>
        <v>98.641414189401601</v>
      </c>
      <c r="AU32" s="440">
        <f t="shared" si="210"/>
        <v>98.641414189401601</v>
      </c>
      <c r="AV32" s="440">
        <f t="shared" si="210"/>
        <v>98.641414189401601</v>
      </c>
      <c r="AW32" s="443"/>
      <c r="AX32" t="str">
        <f t="shared" si="36"/>
        <v>Pencapaian Saldo Rata-Rata Akhir Bulan diluar Konsumen Instansi (Kementerian &amp; Lembaga)</v>
      </c>
      <c r="AY32" s="105" t="s">
        <v>452</v>
      </c>
      <c r="AZ32" s="442">
        <f t="shared" si="211"/>
        <v>2</v>
      </c>
      <c r="BA32" s="440">
        <f t="shared" si="50"/>
        <v>0.02</v>
      </c>
      <c r="BB32" s="440">
        <f t="shared" si="37"/>
        <v>0.14000000000000001</v>
      </c>
      <c r="BC32" s="440">
        <f t="shared" si="38"/>
        <v>0.45</v>
      </c>
      <c r="BD32" s="440">
        <f t="shared" si="39"/>
        <v>0.35</v>
      </c>
      <c r="BE32" s="440">
        <f t="shared" si="40"/>
        <v>0.48</v>
      </c>
      <c r="BF32" s="440">
        <f t="shared" si="41"/>
        <v>0.7</v>
      </c>
      <c r="BG32" s="440">
        <f t="shared" si="42"/>
        <v>1.1599999999999999</v>
      </c>
      <c r="BH32" s="440">
        <f t="shared" si="43"/>
        <v>1.5</v>
      </c>
      <c r="BI32" s="440">
        <f t="shared" si="44"/>
        <v>1.75</v>
      </c>
      <c r="BJ32" s="440">
        <f t="shared" si="45"/>
        <v>1.97</v>
      </c>
      <c r="BK32" s="440">
        <f t="shared" si="46"/>
        <v>1.97</v>
      </c>
      <c r="BL32" s="440">
        <f t="shared" si="47"/>
        <v>1.97</v>
      </c>
      <c r="BM32" s="443"/>
      <c r="BN32" s="443"/>
      <c r="BO32" s="141"/>
      <c r="BQ32" s="444" cm="1">
        <f t="array" ref="BQ32">INDEX(AK32:AV32,MATCH(MONTH($BP$3),MONTH($AK$3:$AV$3),0))</f>
        <v>98.641414189401601</v>
      </c>
      <c r="BR32" t="str">
        <v>Pencapaian Saldo Rata-Rata Akhir Bulan diluar Konsumen Instansi (Kementerian &amp; Lembaga)</v>
      </c>
      <c r="BS32" s="443" t="str">
        <v/>
      </c>
      <c r="BT32" s="443">
        <f t="shared" si="48"/>
        <v>98.641414189401601</v>
      </c>
      <c r="BU32" s="443" t="str">
        <v/>
      </c>
      <c r="BV32" s="440">
        <f t="shared" si="51"/>
        <v>0.98641414189401599</v>
      </c>
      <c r="BY32" s="440" t="e">
        <f t="shared" si="114"/>
        <v>#N/A</v>
      </c>
      <c r="BZ32" s="440" t="e">
        <f t="shared" si="115"/>
        <v>#N/A</v>
      </c>
      <c r="CA32" s="447" t="e">
        <f t="shared" si="116"/>
        <v>#N/A</v>
      </c>
      <c r="CB32" s="448" t="e">
        <f t="shared" si="117"/>
        <v>#N/A</v>
      </c>
      <c r="CC32" s="105" t="e">
        <f t="shared" si="118"/>
        <v>#N/A</v>
      </c>
      <c r="CD32" s="448" t="e">
        <f t="shared" si="119"/>
        <v>#N/A</v>
      </c>
    </row>
    <row r="33" spans="1:82">
      <c r="A33" t="str">
        <v>c. Pencapaian Pelunasan PRR</v>
      </c>
      <c r="B33">
        <v>2</v>
      </c>
      <c r="C33" t="str">
        <v>Pencapaian Pelunasan PRR</v>
      </c>
      <c r="D33" s="105" t="s">
        <v>456</v>
      </c>
      <c r="E33" t="str">
        <v>Pencapaian Pelunasan PRR</v>
      </c>
      <c r="G33">
        <v>0.62</v>
      </c>
      <c r="H33">
        <v>1.24</v>
      </c>
      <c r="I33">
        <v>1.86</v>
      </c>
      <c r="J33">
        <v>2.48</v>
      </c>
      <c r="K33">
        <v>3.1</v>
      </c>
      <c r="L33">
        <v>3.73</v>
      </c>
      <c r="M33">
        <v>4.66</v>
      </c>
      <c r="N33">
        <v>5.59</v>
      </c>
      <c r="O33">
        <v>6.52</v>
      </c>
      <c r="P33">
        <v>7.45</v>
      </c>
      <c r="Q33">
        <v>8.3800000000000008</v>
      </c>
      <c r="R33">
        <v>9.31</v>
      </c>
      <c r="T33" t="str">
        <v>Pencapaian Pelunasan PRR</v>
      </c>
      <c r="V33">
        <v>0</v>
      </c>
      <c r="W33">
        <v>0</v>
      </c>
      <c r="X33">
        <v>2.5170159999999999</v>
      </c>
      <c r="Y33">
        <v>3.384001</v>
      </c>
      <c r="Z33">
        <v>11.555612</v>
      </c>
      <c r="AA33">
        <v>11.555612</v>
      </c>
      <c r="AB33">
        <v>11.555612</v>
      </c>
      <c r="AC33">
        <v>11.555612</v>
      </c>
      <c r="AD33">
        <v>16.879501000000001</v>
      </c>
      <c r="AE33">
        <v>16.981306</v>
      </c>
      <c r="AF33">
        <v>0</v>
      </c>
      <c r="AG33">
        <v>0</v>
      </c>
      <c r="AI33" t="str">
        <f t="shared" si="34"/>
        <v>Pencapaian Pelunasan PRR</v>
      </c>
      <c r="AK33" s="440">
        <f t="shared" ref="AK33:AV33" si="212">IFERROR(IF(V33/G33*100&gt;110,110,V33/G33*100),100)</f>
        <v>0</v>
      </c>
      <c r="AL33" s="440">
        <f t="shared" si="212"/>
        <v>0</v>
      </c>
      <c r="AM33" s="440">
        <f t="shared" si="212"/>
        <v>110</v>
      </c>
      <c r="AN33" s="440">
        <f t="shared" si="212"/>
        <v>110</v>
      </c>
      <c r="AO33" s="440">
        <f t="shared" si="212"/>
        <v>110</v>
      </c>
      <c r="AP33" s="440">
        <f t="shared" si="212"/>
        <v>110</v>
      </c>
      <c r="AQ33" s="440">
        <f t="shared" si="212"/>
        <v>110</v>
      </c>
      <c r="AR33" s="440">
        <f t="shared" si="212"/>
        <v>110</v>
      </c>
      <c r="AS33" s="440">
        <f t="shared" si="212"/>
        <v>110</v>
      </c>
      <c r="AT33" s="440">
        <f t="shared" si="212"/>
        <v>110</v>
      </c>
      <c r="AU33" s="440">
        <f t="shared" si="212"/>
        <v>0</v>
      </c>
      <c r="AV33" s="440">
        <f t="shared" si="212"/>
        <v>0</v>
      </c>
      <c r="AW33" s="443"/>
      <c r="AX33" t="str">
        <f t="shared" si="36"/>
        <v>Pencapaian Pelunasan PRR</v>
      </c>
      <c r="AY33" s="105" t="s">
        <v>452</v>
      </c>
      <c r="AZ33" s="442">
        <f t="shared" si="211"/>
        <v>2</v>
      </c>
      <c r="BA33" s="440">
        <f t="shared" si="50"/>
        <v>0</v>
      </c>
      <c r="BB33" s="440">
        <f t="shared" si="37"/>
        <v>0</v>
      </c>
      <c r="BC33" s="440">
        <f t="shared" si="38"/>
        <v>2.2000000000000002</v>
      </c>
      <c r="BD33" s="440">
        <f t="shared" si="39"/>
        <v>2.2000000000000002</v>
      </c>
      <c r="BE33" s="440">
        <f t="shared" si="40"/>
        <v>2.2000000000000002</v>
      </c>
      <c r="BF33" s="440">
        <f t="shared" si="41"/>
        <v>2.2000000000000002</v>
      </c>
      <c r="BG33" s="440">
        <f t="shared" si="42"/>
        <v>2.2000000000000002</v>
      </c>
      <c r="BH33" s="440">
        <f t="shared" si="43"/>
        <v>2.2000000000000002</v>
      </c>
      <c r="BI33" s="440">
        <f t="shared" si="44"/>
        <v>2.2000000000000002</v>
      </c>
      <c r="BJ33" s="440">
        <f t="shared" si="45"/>
        <v>2.2000000000000002</v>
      </c>
      <c r="BK33" s="440">
        <f t="shared" si="46"/>
        <v>0</v>
      </c>
      <c r="BL33" s="440">
        <f t="shared" si="47"/>
        <v>0</v>
      </c>
      <c r="BM33" s="443"/>
      <c r="BN33" s="443"/>
      <c r="BO33" s="141"/>
      <c r="BQ33" s="444" cm="1">
        <f t="array" ref="BQ33">INDEX(AK33:AV33,MATCH(MONTH($BP$3),MONTH($AK$3:$AV$3),0))</f>
        <v>110</v>
      </c>
      <c r="BR33" t="str">
        <v>Pencapaian Pelunasan PRR</v>
      </c>
      <c r="BS33" s="443">
        <v>110</v>
      </c>
      <c r="BT33" s="443" t="str">
        <f t="shared" si="48"/>
        <v/>
      </c>
      <c r="BU33" s="443" t="str">
        <v/>
      </c>
      <c r="BV33" s="440">
        <f t="shared" si="51"/>
        <v>1.1000000000000001</v>
      </c>
      <c r="BY33" s="440" t="e">
        <f t="shared" si="114"/>
        <v>#N/A</v>
      </c>
      <c r="BZ33" s="440" t="e">
        <f t="shared" si="115"/>
        <v>#N/A</v>
      </c>
      <c r="CA33" s="447" t="e">
        <f t="shared" si="116"/>
        <v>#N/A</v>
      </c>
      <c r="CB33" s="448" t="e">
        <f t="shared" si="117"/>
        <v>#N/A</v>
      </c>
      <c r="CC33" s="105" t="e">
        <f t="shared" si="118"/>
        <v>#N/A</v>
      </c>
      <c r="CD33" s="448" t="e">
        <f t="shared" si="119"/>
        <v>#N/A</v>
      </c>
    </row>
    <row r="34" spans="1:82">
      <c r="A34" t="str">
        <v>a. Pengendalian Penggunaan Anggaran Investasi sesuai RKAP</v>
      </c>
      <c r="B34">
        <v>2</v>
      </c>
      <c r="C34" t="str">
        <v>Pengendalian Penggunaan Anggaran Investasi sesuai RKAP</v>
      </c>
      <c r="D34" s="105" t="s">
        <v>456</v>
      </c>
      <c r="E34" t="str">
        <v>Pengendalian Penggunaan Anggaran Investasi sesuai RKAP</v>
      </c>
      <c r="G34" t="str">
        <v>95-100</v>
      </c>
      <c r="H34" t="str">
        <v>95-100</v>
      </c>
      <c r="I34" t="str">
        <v>95-100</v>
      </c>
      <c r="J34" t="str">
        <v>95-100</v>
      </c>
      <c r="K34" t="str">
        <v>95-100</v>
      </c>
      <c r="L34" t="str">
        <v>95-100</v>
      </c>
      <c r="M34" t="str">
        <v>95-100</v>
      </c>
      <c r="N34" t="str">
        <v>95-100</v>
      </c>
      <c r="O34" t="str">
        <v>95-100</v>
      </c>
      <c r="P34" t="str">
        <v>95-100</v>
      </c>
      <c r="Q34" t="str">
        <v>95-100</v>
      </c>
      <c r="R34" t="str">
        <v>95-100</v>
      </c>
      <c r="T34" t="str">
        <v>Pengendalian Penggunaan Anggaran Investasi sesuai RKAP</v>
      </c>
      <c r="V34">
        <v>100</v>
      </c>
      <c r="W34">
        <v>100</v>
      </c>
      <c r="X34">
        <v>39.549999999999997</v>
      </c>
      <c r="Y34">
        <v>58.86</v>
      </c>
      <c r="Z34">
        <v>71.11</v>
      </c>
      <c r="AA34">
        <v>99.43</v>
      </c>
      <c r="AB34">
        <v>100</v>
      </c>
      <c r="AC34">
        <v>93.28</v>
      </c>
      <c r="AD34">
        <v>96</v>
      </c>
      <c r="AE34">
        <v>90.3</v>
      </c>
      <c r="AF34">
        <v>0</v>
      </c>
      <c r="AG34">
        <v>0</v>
      </c>
      <c r="AI34" t="str">
        <f t="shared" si="34"/>
        <v>Pengendalian Penggunaan Anggaran Investasi sesuai RKAP</v>
      </c>
      <c r="AK34" s="440">
        <f t="shared" ref="AK34:AV34" si="213">MAX(0,_xlfn.IFS(V34&lt;95,V34/95,
AND(V34&gt;=95,V34&lt;=100),1+((V34-95)/(100-95))*0.1,V34&gt;
100,1-(V34-100)/(190-100)))*100</f>
        <v>110.00000000000001</v>
      </c>
      <c r="AL34" s="440">
        <f t="shared" si="213"/>
        <v>110.00000000000001</v>
      </c>
      <c r="AM34" s="440">
        <f t="shared" si="213"/>
        <v>41.631578947368418</v>
      </c>
      <c r="AN34" s="440">
        <f t="shared" si="213"/>
        <v>61.9578947368421</v>
      </c>
      <c r="AO34" s="440">
        <f t="shared" si="213"/>
        <v>74.852631578947367</v>
      </c>
      <c r="AP34" s="440">
        <f t="shared" si="213"/>
        <v>108.86000000000003</v>
      </c>
      <c r="AQ34" s="440">
        <f t="shared" si="213"/>
        <v>110.00000000000001</v>
      </c>
      <c r="AR34" s="440">
        <f t="shared" si="213"/>
        <v>98.189473684210526</v>
      </c>
      <c r="AS34" s="440">
        <f t="shared" si="213"/>
        <v>102</v>
      </c>
      <c r="AT34" s="440">
        <f t="shared" si="213"/>
        <v>95.05263157894737</v>
      </c>
      <c r="AU34" s="440">
        <f t="shared" si="213"/>
        <v>0</v>
      </c>
      <c r="AV34" s="440">
        <f t="shared" si="213"/>
        <v>0</v>
      </c>
      <c r="AW34" s="443"/>
      <c r="AX34" t="str">
        <f t="shared" si="36"/>
        <v>Pengendalian Penggunaan Anggaran Investasi sesuai RKAP</v>
      </c>
      <c r="AY34" s="105" t="s">
        <v>452</v>
      </c>
      <c r="AZ34" s="442">
        <f t="shared" si="211"/>
        <v>2</v>
      </c>
      <c r="BA34" s="440">
        <f t="shared" si="50"/>
        <v>2.2000000000000002</v>
      </c>
      <c r="BB34" s="440">
        <f t="shared" si="37"/>
        <v>2.2000000000000002</v>
      </c>
      <c r="BC34" s="440">
        <f t="shared" si="38"/>
        <v>0.83</v>
      </c>
      <c r="BD34" s="440">
        <f t="shared" si="39"/>
        <v>1.23</v>
      </c>
      <c r="BE34" s="440">
        <f t="shared" si="40"/>
        <v>1.49</v>
      </c>
      <c r="BF34" s="440">
        <f t="shared" si="41"/>
        <v>2.17</v>
      </c>
      <c r="BG34" s="440">
        <f t="shared" si="42"/>
        <v>2.2000000000000002</v>
      </c>
      <c r="BH34" s="440">
        <f t="shared" si="43"/>
        <v>1.96</v>
      </c>
      <c r="BI34" s="440">
        <f t="shared" si="44"/>
        <v>2.04</v>
      </c>
      <c r="BJ34" s="440">
        <f t="shared" si="45"/>
        <v>1.9</v>
      </c>
      <c r="BK34" s="440">
        <f t="shared" si="46"/>
        <v>0</v>
      </c>
      <c r="BL34" s="440">
        <f t="shared" si="47"/>
        <v>0</v>
      </c>
      <c r="BM34" s="443"/>
      <c r="BN34" s="443"/>
      <c r="BO34" s="141"/>
      <c r="BQ34" s="444" cm="1">
        <f t="array" ref="BQ34">INDEX(AK34:AV34,MATCH(MONTH($BP$3),MONTH($AK$3:$AV$3),0))</f>
        <v>95.05263157894737</v>
      </c>
      <c r="BR34" t="str">
        <v>Pengendalian Penggunaan Anggaran Investasi sesuai RKAP</v>
      </c>
      <c r="BS34" s="443" t="str">
        <v/>
      </c>
      <c r="BT34" s="443">
        <f t="shared" si="48"/>
        <v>95.05263157894737</v>
      </c>
      <c r="BU34" s="443" t="str">
        <v/>
      </c>
      <c r="BV34" s="440">
        <f t="shared" si="51"/>
        <v>0.95052631578947366</v>
      </c>
      <c r="BY34" s="440" t="e">
        <f t="shared" si="114"/>
        <v>#N/A</v>
      </c>
      <c r="BZ34" s="440" t="e">
        <f t="shared" si="115"/>
        <v>#N/A</v>
      </c>
      <c r="CA34" s="447" t="e">
        <f t="shared" si="116"/>
        <v>#N/A</v>
      </c>
      <c r="CB34" s="448" t="e">
        <f t="shared" si="117"/>
        <v>#N/A</v>
      </c>
      <c r="CC34" s="105" t="e">
        <f t="shared" si="118"/>
        <v>#N/A</v>
      </c>
      <c r="CD34" s="448" t="e">
        <f t="shared" si="119"/>
        <v>#N/A</v>
      </c>
    </row>
    <row r="35" spans="1:82">
      <c r="A35" t="str">
        <v>b. Usulan Penghapusan ATTB</v>
      </c>
      <c r="B35">
        <v>2</v>
      </c>
      <c r="C35" t="str">
        <v>Usulan Penghapusan ATTB</v>
      </c>
      <c r="D35" s="105" t="s">
        <v>456</v>
      </c>
      <c r="E35" t="str">
        <v>Usulan Penghapusan ATTB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3.16</v>
      </c>
      <c r="T35" t="str">
        <v>Usulan Penghapusan ATTB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I35" t="str">
        <f t="shared" si="34"/>
        <v>Usulan Penghapusan ATTB</v>
      </c>
      <c r="AK35" s="440">
        <f t="shared" ref="AK35:AK44" si="214">IFERROR(IF(V35/G35*100&gt;110,110,V35/G35*100),100)</f>
        <v>100</v>
      </c>
      <c r="AL35" s="440">
        <f t="shared" ref="AL35:AL44" si="215">IFERROR(IF(W35/H35*100&gt;110,110,W35/H35*100),100)</f>
        <v>100</v>
      </c>
      <c r="AM35" s="440">
        <f t="shared" ref="AM35:AM44" si="216">IFERROR(IF(X35/I35*100&gt;110,110,X35/I35*100),100)</f>
        <v>100</v>
      </c>
      <c r="AN35" s="440">
        <f t="shared" ref="AN35:AN44" si="217">IFERROR(IF(Y35/J35*100&gt;110,110,Y35/J35*100),100)</f>
        <v>100</v>
      </c>
      <c r="AO35" s="440">
        <f t="shared" ref="AO35:AO44" si="218">IFERROR(IF(Z35/K35*100&gt;110,110,Z35/K35*100),100)</f>
        <v>100</v>
      </c>
      <c r="AP35" s="440">
        <f t="shared" ref="AP35:AP44" si="219">IFERROR(IF(AA35/L35*100&gt;110,110,AA35/L35*100),100)</f>
        <v>100</v>
      </c>
      <c r="AQ35" s="440">
        <f t="shared" ref="AQ35:AQ44" si="220">IFERROR(IF(AB35/M35*100&gt;110,110,AB35/M35*100),100)</f>
        <v>100</v>
      </c>
      <c r="AR35" s="440">
        <f t="shared" ref="AR35:AR44" si="221">IFERROR(IF(AC35/N35*100&gt;110,110,AC35/N35*100),100)</f>
        <v>100</v>
      </c>
      <c r="AS35" s="440">
        <f t="shared" ref="AS35:AS44" si="222">IFERROR(IF(AD35/O35*100&gt;110,110,AD35/O35*100),100)</f>
        <v>100</v>
      </c>
      <c r="AT35" s="440">
        <f t="shared" ref="AT35:AT44" si="223">IFERROR(IF(AE35/P35*100&gt;110,110,AE35/P35*100),100)</f>
        <v>100</v>
      </c>
      <c r="AU35" s="440">
        <f t="shared" ref="AU35:AU44" si="224">IFERROR(IF(AF35/Q35*100&gt;110,110,AF35/Q35*100),100)</f>
        <v>100</v>
      </c>
      <c r="AV35" s="440">
        <f t="shared" ref="AV35:AV44" si="225">IFERROR(IF(AG35/R35*100&gt;110,110,AG35/R35*100),100)</f>
        <v>0</v>
      </c>
      <c r="AW35" s="443"/>
      <c r="AX35" t="str">
        <f t="shared" si="36"/>
        <v>Usulan Penghapusan ATTB</v>
      </c>
      <c r="AY35" s="105" t="s">
        <v>452</v>
      </c>
      <c r="AZ35" s="442">
        <f t="shared" si="211"/>
        <v>2</v>
      </c>
      <c r="BA35" s="440">
        <f t="shared" si="50"/>
        <v>2</v>
      </c>
      <c r="BB35" s="440">
        <f t="shared" si="37"/>
        <v>2</v>
      </c>
      <c r="BC35" s="440">
        <f t="shared" si="38"/>
        <v>2</v>
      </c>
      <c r="BD35" s="440">
        <f t="shared" si="39"/>
        <v>2</v>
      </c>
      <c r="BE35" s="440">
        <f t="shared" si="40"/>
        <v>2</v>
      </c>
      <c r="BF35" s="440">
        <f t="shared" si="41"/>
        <v>2</v>
      </c>
      <c r="BG35" s="440">
        <f t="shared" si="42"/>
        <v>2</v>
      </c>
      <c r="BH35" s="440">
        <f t="shared" si="43"/>
        <v>2</v>
      </c>
      <c r="BI35" s="440">
        <f t="shared" si="44"/>
        <v>2</v>
      </c>
      <c r="BJ35" s="440">
        <f t="shared" si="45"/>
        <v>2</v>
      </c>
      <c r="BK35" s="440">
        <f t="shared" si="46"/>
        <v>2</v>
      </c>
      <c r="BL35" s="440">
        <f t="shared" si="47"/>
        <v>0</v>
      </c>
      <c r="BM35" s="443"/>
      <c r="BN35" s="443"/>
      <c r="BO35" s="141"/>
      <c r="BQ35" s="444" cm="1">
        <f t="array" ref="BQ35">INDEX(AK35:AV35,MATCH(MONTH($BP$3),MONTH($AK$3:$AV$3),0))</f>
        <v>100</v>
      </c>
      <c r="BR35" t="str">
        <v>Usulan Penghapusan ATTB</v>
      </c>
      <c r="BS35" s="443">
        <v>100</v>
      </c>
      <c r="BT35" s="443" t="str">
        <f t="shared" si="48"/>
        <v/>
      </c>
      <c r="BU35" s="443" t="str">
        <v/>
      </c>
      <c r="BV35" s="440">
        <f t="shared" si="51"/>
        <v>1</v>
      </c>
      <c r="BY35" s="440" t="e">
        <f t="shared" si="114"/>
        <v>#N/A</v>
      </c>
      <c r="BZ35" s="440" t="e">
        <f t="shared" si="115"/>
        <v>#N/A</v>
      </c>
      <c r="CA35" s="447" t="e">
        <f t="shared" si="116"/>
        <v>#N/A</v>
      </c>
      <c r="CB35" s="448" t="e">
        <f t="shared" si="117"/>
        <v>#N/A</v>
      </c>
      <c r="CC35" s="105" t="e">
        <f t="shared" si="118"/>
        <v>#N/A</v>
      </c>
      <c r="CD35" s="448" t="e">
        <f t="shared" si="119"/>
        <v>#N/A</v>
      </c>
    </row>
    <row r="36" spans="1:82">
      <c r="A36" t="str">
        <v>c. Usulan Penghapusan PRR</v>
      </c>
      <c r="B36">
        <v>2</v>
      </c>
      <c r="C36" t="str">
        <v>Usulan Penghapusan PRR</v>
      </c>
      <c r="D36" s="105" t="s">
        <v>456</v>
      </c>
      <c r="E36" t="str">
        <v>Usulan Penghapusan PRR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34.29</v>
      </c>
      <c r="T36" t="str">
        <v>Usulan Penghapusan PRR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I36" t="str">
        <f t="shared" si="34"/>
        <v>Usulan Penghapusan PRR</v>
      </c>
      <c r="AK36" s="440">
        <f>IFERROR(IF(V36/G36*100&gt;110,110,V36/G36*100),110)</f>
        <v>110</v>
      </c>
      <c r="AL36" s="440">
        <f t="shared" ref="AL36:AV36" si="226">IFERROR(IF(W36/H36*100&gt;110,110,W36/H36*100),110)</f>
        <v>110</v>
      </c>
      <c r="AM36" s="440">
        <f t="shared" si="226"/>
        <v>110</v>
      </c>
      <c r="AN36" s="440">
        <f t="shared" si="226"/>
        <v>110</v>
      </c>
      <c r="AO36" s="440">
        <f t="shared" si="226"/>
        <v>110</v>
      </c>
      <c r="AP36" s="440">
        <f t="shared" si="226"/>
        <v>110</v>
      </c>
      <c r="AQ36" s="440">
        <f t="shared" si="226"/>
        <v>110</v>
      </c>
      <c r="AR36" s="440">
        <f t="shared" si="226"/>
        <v>110</v>
      </c>
      <c r="AS36" s="440">
        <f t="shared" si="226"/>
        <v>110</v>
      </c>
      <c r="AT36" s="440">
        <f t="shared" si="226"/>
        <v>110</v>
      </c>
      <c r="AU36" s="440">
        <f t="shared" si="226"/>
        <v>110</v>
      </c>
      <c r="AV36" s="440">
        <f t="shared" si="226"/>
        <v>0</v>
      </c>
      <c r="AW36" s="443"/>
      <c r="AX36" t="str">
        <f t="shared" si="36"/>
        <v>Usulan Penghapusan PRR</v>
      </c>
      <c r="AY36" s="105" t="s">
        <v>452</v>
      </c>
      <c r="AZ36" s="442">
        <f t="shared" si="211"/>
        <v>2</v>
      </c>
      <c r="BA36" s="440">
        <f t="shared" si="50"/>
        <v>2.2000000000000002</v>
      </c>
      <c r="BB36" s="440">
        <f t="shared" si="37"/>
        <v>2.2000000000000002</v>
      </c>
      <c r="BC36" s="440">
        <f t="shared" si="38"/>
        <v>2.2000000000000002</v>
      </c>
      <c r="BD36" s="440">
        <f t="shared" si="39"/>
        <v>2.2000000000000002</v>
      </c>
      <c r="BE36" s="440">
        <f t="shared" si="40"/>
        <v>2.2000000000000002</v>
      </c>
      <c r="BF36" s="440">
        <f t="shared" si="41"/>
        <v>2.2000000000000002</v>
      </c>
      <c r="BG36" s="440">
        <f t="shared" si="42"/>
        <v>2.2000000000000002</v>
      </c>
      <c r="BH36" s="440">
        <f t="shared" si="43"/>
        <v>2.2000000000000002</v>
      </c>
      <c r="BI36" s="440">
        <f t="shared" si="44"/>
        <v>2.2000000000000002</v>
      </c>
      <c r="BJ36" s="440">
        <f t="shared" si="45"/>
        <v>2.2000000000000002</v>
      </c>
      <c r="BK36" s="440">
        <f t="shared" si="46"/>
        <v>2.2000000000000002</v>
      </c>
      <c r="BL36" s="440">
        <f t="shared" si="47"/>
        <v>0</v>
      </c>
      <c r="BM36" s="443"/>
      <c r="BN36" s="443"/>
      <c r="BO36" s="141"/>
      <c r="BQ36" s="444" cm="1">
        <f t="array" ref="BQ36">INDEX(AK36:AV36,MATCH(MONTH($BP$3),MONTH($AK$3:$AV$3),0))</f>
        <v>110</v>
      </c>
      <c r="BR36" t="str">
        <v>Usulan Penghapusan PRR</v>
      </c>
      <c r="BS36" s="443">
        <v>110</v>
      </c>
      <c r="BT36" s="443" t="str">
        <f t="shared" si="48"/>
        <v/>
      </c>
      <c r="BU36" s="443" t="str">
        <v/>
      </c>
      <c r="BV36" s="440">
        <f t="shared" si="51"/>
        <v>1.1000000000000001</v>
      </c>
      <c r="BY36" s="440" t="e">
        <f t="shared" si="114"/>
        <v>#N/A</v>
      </c>
      <c r="BZ36" s="440" t="e">
        <f t="shared" si="115"/>
        <v>#N/A</v>
      </c>
      <c r="CA36" s="447" t="e">
        <f t="shared" si="116"/>
        <v>#N/A</v>
      </c>
      <c r="CB36" s="448" t="e">
        <f t="shared" si="117"/>
        <v>#N/A</v>
      </c>
      <c r="CC36" s="105" t="e">
        <f t="shared" si="118"/>
        <v>#N/A</v>
      </c>
      <c r="CD36" s="448" t="e">
        <f t="shared" si="119"/>
        <v>#N/A</v>
      </c>
    </row>
    <row r="37" spans="1:82">
      <c r="A37" t="str">
        <v>a. HCR, OCR, dan Produktivitas Pegawai</v>
      </c>
      <c r="B37">
        <v>2</v>
      </c>
      <c r="C37" t="str">
        <v>HCR, OCR, dan Produktivitas Pegawai</v>
      </c>
      <c r="D37" s="105" t="s">
        <v>456</v>
      </c>
      <c r="E37" t="str">
        <v>HCR, OCR, dan Produktivitas Pegawai</v>
      </c>
      <c r="G37">
        <v>0</v>
      </c>
      <c r="H37">
        <v>0</v>
      </c>
      <c r="I37">
        <v>0</v>
      </c>
      <c r="J37">
        <v>0</v>
      </c>
      <c r="K37">
        <v>0</v>
      </c>
      <c r="L37">
        <v>100</v>
      </c>
      <c r="M37">
        <v>100</v>
      </c>
      <c r="N37">
        <v>100</v>
      </c>
      <c r="O37">
        <v>100</v>
      </c>
      <c r="P37">
        <v>100</v>
      </c>
      <c r="Q37">
        <v>100</v>
      </c>
      <c r="R37">
        <v>100</v>
      </c>
      <c r="T37" t="str">
        <v>HCR, OCR, dan Produktivitas Pegawai</v>
      </c>
      <c r="V37">
        <v>100</v>
      </c>
      <c r="W37">
        <v>100</v>
      </c>
      <c r="X37">
        <v>100</v>
      </c>
      <c r="Y37">
        <v>100</v>
      </c>
      <c r="Z37">
        <v>100</v>
      </c>
      <c r="AA37">
        <v>108.55</v>
      </c>
      <c r="AB37">
        <v>108.55</v>
      </c>
      <c r="AC37">
        <v>108.55</v>
      </c>
      <c r="AD37">
        <v>100</v>
      </c>
      <c r="AE37">
        <v>100</v>
      </c>
      <c r="AF37">
        <v>100</v>
      </c>
      <c r="AG37">
        <v>100</v>
      </c>
      <c r="AI37" t="str">
        <f t="shared" si="34"/>
        <v>HCR, OCR, dan Produktivitas Pegawai</v>
      </c>
      <c r="AK37" s="440">
        <f t="shared" si="214"/>
        <v>100</v>
      </c>
      <c r="AL37" s="440">
        <f t="shared" si="215"/>
        <v>100</v>
      </c>
      <c r="AM37" s="440">
        <f t="shared" si="216"/>
        <v>100</v>
      </c>
      <c r="AN37" s="440">
        <f t="shared" si="217"/>
        <v>100</v>
      </c>
      <c r="AO37" s="440">
        <f t="shared" si="218"/>
        <v>100</v>
      </c>
      <c r="AP37" s="440">
        <f t="shared" si="219"/>
        <v>108.55</v>
      </c>
      <c r="AQ37" s="440">
        <f t="shared" si="220"/>
        <v>108.55</v>
      </c>
      <c r="AR37" s="440">
        <f t="shared" si="221"/>
        <v>108.55</v>
      </c>
      <c r="AS37" s="440">
        <f t="shared" si="222"/>
        <v>100</v>
      </c>
      <c r="AT37" s="440">
        <f t="shared" si="223"/>
        <v>100</v>
      </c>
      <c r="AU37" s="440">
        <f t="shared" si="224"/>
        <v>100</v>
      </c>
      <c r="AV37" s="440">
        <f t="shared" si="225"/>
        <v>100</v>
      </c>
      <c r="AW37" s="443"/>
      <c r="AX37" t="str">
        <f t="shared" si="36"/>
        <v>HCR, OCR, dan Produktivitas Pegawai</v>
      </c>
      <c r="AY37" s="105" t="s">
        <v>452</v>
      </c>
      <c r="AZ37" s="442">
        <v>2</v>
      </c>
      <c r="BA37" s="440">
        <f t="shared" si="50"/>
        <v>2</v>
      </c>
      <c r="BB37" s="440">
        <f t="shared" si="37"/>
        <v>2</v>
      </c>
      <c r="BC37" s="440">
        <f t="shared" si="38"/>
        <v>2</v>
      </c>
      <c r="BD37" s="440">
        <f t="shared" si="39"/>
        <v>2</v>
      </c>
      <c r="BE37" s="440">
        <f t="shared" si="40"/>
        <v>2</v>
      </c>
      <c r="BF37" s="440">
        <f t="shared" si="41"/>
        <v>2.17</v>
      </c>
      <c r="BG37" s="440">
        <f t="shared" si="42"/>
        <v>2.17</v>
      </c>
      <c r="BH37" s="440">
        <f t="shared" si="43"/>
        <v>2.17</v>
      </c>
      <c r="BI37" s="440">
        <f t="shared" si="44"/>
        <v>2</v>
      </c>
      <c r="BJ37" s="440">
        <f t="shared" si="45"/>
        <v>2</v>
      </c>
      <c r="BK37" s="440">
        <f t="shared" si="46"/>
        <v>2</v>
      </c>
      <c r="BL37" s="440">
        <f t="shared" si="47"/>
        <v>2</v>
      </c>
      <c r="BM37" s="443"/>
      <c r="BN37" s="443"/>
      <c r="BO37" s="141"/>
      <c r="BQ37" s="444" cm="1">
        <f t="array" ref="BQ37">INDEX(AK37:AV37,MATCH(MONTH($BP$3),MONTH($AK$3:$AV$3),0))</f>
        <v>100</v>
      </c>
      <c r="BR37" t="str">
        <v>HCR, OCR, dan Produktivitas Pegawai</v>
      </c>
      <c r="BS37" s="443">
        <v>100</v>
      </c>
      <c r="BT37" s="443" t="str">
        <f t="shared" si="48"/>
        <v/>
      </c>
      <c r="BU37" s="443" t="str">
        <v/>
      </c>
      <c r="BV37" s="440">
        <f t="shared" si="51"/>
        <v>1</v>
      </c>
      <c r="BY37" s="440" t="e">
        <f t="shared" si="114"/>
        <v>#N/A</v>
      </c>
      <c r="BZ37" s="440" t="e">
        <f t="shared" si="115"/>
        <v>#N/A</v>
      </c>
      <c r="CA37" s="447" t="e">
        <f t="shared" si="116"/>
        <v>#N/A</v>
      </c>
      <c r="CB37" s="448" t="e">
        <f t="shared" si="117"/>
        <v>#N/A</v>
      </c>
      <c r="CC37" s="105" t="e">
        <f t="shared" si="118"/>
        <v>#N/A</v>
      </c>
      <c r="CD37" s="448" t="e">
        <f t="shared" si="119"/>
        <v>#N/A</v>
      </c>
    </row>
    <row r="38" spans="1:82">
      <c r="A38" t="str">
        <v>b. Produktivitas Unit</v>
      </c>
      <c r="B38">
        <v>2</v>
      </c>
      <c r="C38" t="str">
        <v>Produktivitas Unit</v>
      </c>
      <c r="D38" s="105" t="s">
        <v>456</v>
      </c>
      <c r="E38" t="str">
        <v>Produktivitas Unit</v>
      </c>
      <c r="G38">
        <v>0</v>
      </c>
      <c r="H38">
        <v>0</v>
      </c>
      <c r="I38">
        <v>0</v>
      </c>
      <c r="J38">
        <v>0</v>
      </c>
      <c r="K38">
        <v>0</v>
      </c>
      <c r="L38">
        <v>100</v>
      </c>
      <c r="M38">
        <v>100</v>
      </c>
      <c r="N38">
        <v>100</v>
      </c>
      <c r="O38">
        <v>100</v>
      </c>
      <c r="P38">
        <v>100</v>
      </c>
      <c r="Q38">
        <v>100</v>
      </c>
      <c r="R38">
        <v>100</v>
      </c>
      <c r="T38" t="str">
        <v>Produktivitas Unit</v>
      </c>
      <c r="V38">
        <v>100</v>
      </c>
      <c r="W38">
        <v>100</v>
      </c>
      <c r="X38">
        <v>100</v>
      </c>
      <c r="Y38">
        <v>100</v>
      </c>
      <c r="Z38">
        <v>100</v>
      </c>
      <c r="AA38">
        <v>90</v>
      </c>
      <c r="AB38">
        <v>90</v>
      </c>
      <c r="AC38">
        <v>90</v>
      </c>
      <c r="AD38">
        <v>90</v>
      </c>
      <c r="AE38">
        <v>90</v>
      </c>
      <c r="AF38">
        <v>0</v>
      </c>
      <c r="AG38">
        <v>0</v>
      </c>
      <c r="AI38" t="str">
        <f t="shared" si="34"/>
        <v>Produktivitas Unit</v>
      </c>
      <c r="AK38" s="440">
        <f t="shared" si="214"/>
        <v>100</v>
      </c>
      <c r="AL38" s="440">
        <f t="shared" si="215"/>
        <v>100</v>
      </c>
      <c r="AM38" s="440">
        <f t="shared" si="216"/>
        <v>100</v>
      </c>
      <c r="AN38" s="440">
        <f t="shared" si="217"/>
        <v>100</v>
      </c>
      <c r="AO38" s="440">
        <f t="shared" si="218"/>
        <v>100</v>
      </c>
      <c r="AP38" s="440">
        <f t="shared" si="219"/>
        <v>90</v>
      </c>
      <c r="AQ38" s="440">
        <f t="shared" si="220"/>
        <v>90</v>
      </c>
      <c r="AR38" s="440">
        <f t="shared" si="221"/>
        <v>90</v>
      </c>
      <c r="AS38" s="440">
        <f t="shared" si="222"/>
        <v>90</v>
      </c>
      <c r="AT38" s="440">
        <f t="shared" si="223"/>
        <v>90</v>
      </c>
      <c r="AU38" s="440">
        <f t="shared" si="224"/>
        <v>0</v>
      </c>
      <c r="AV38" s="440">
        <f t="shared" si="225"/>
        <v>0</v>
      </c>
      <c r="AW38" s="443"/>
      <c r="AX38" t="str">
        <f t="shared" si="36"/>
        <v>Produktivitas Unit</v>
      </c>
      <c r="AY38" s="105" t="s">
        <v>452</v>
      </c>
      <c r="AZ38" s="442">
        <v>1</v>
      </c>
      <c r="BA38" s="440">
        <f t="shared" si="50"/>
        <v>1</v>
      </c>
      <c r="BB38" s="440">
        <f t="shared" si="37"/>
        <v>1</v>
      </c>
      <c r="BC38" s="440">
        <f t="shared" si="38"/>
        <v>1</v>
      </c>
      <c r="BD38" s="440">
        <f t="shared" si="39"/>
        <v>1</v>
      </c>
      <c r="BE38" s="440">
        <f t="shared" si="40"/>
        <v>1</v>
      </c>
      <c r="BF38" s="440">
        <f t="shared" si="41"/>
        <v>0.9</v>
      </c>
      <c r="BG38" s="440">
        <f t="shared" si="42"/>
        <v>0.9</v>
      </c>
      <c r="BH38" s="440">
        <f t="shared" si="43"/>
        <v>0.9</v>
      </c>
      <c r="BI38" s="440">
        <f t="shared" si="44"/>
        <v>0.9</v>
      </c>
      <c r="BJ38" s="440">
        <f t="shared" si="45"/>
        <v>0.9</v>
      </c>
      <c r="BK38" s="440">
        <f t="shared" si="46"/>
        <v>0</v>
      </c>
      <c r="BL38" s="440">
        <f t="shared" si="47"/>
        <v>0</v>
      </c>
      <c r="BM38" s="443"/>
      <c r="BN38" s="443"/>
      <c r="BO38" s="141"/>
      <c r="BQ38" s="444" cm="1">
        <f t="array" ref="BQ38">INDEX(AK38:AV38,MATCH(MONTH($BP$3),MONTH($AK$3:$AV$3),0))</f>
        <v>90</v>
      </c>
      <c r="BR38" t="str">
        <v>Produktivitas Unit</v>
      </c>
      <c r="BS38" s="443" t="str">
        <v/>
      </c>
      <c r="BT38" s="443" t="str">
        <f t="shared" si="48"/>
        <v/>
      </c>
      <c r="BU38" s="443">
        <v>90</v>
      </c>
      <c r="BV38" s="440">
        <f t="shared" si="51"/>
        <v>0.9</v>
      </c>
      <c r="BY38" s="440" t="e">
        <f t="shared" si="114"/>
        <v>#N/A</v>
      </c>
      <c r="BZ38" s="440" t="e">
        <f t="shared" si="115"/>
        <v>#N/A</v>
      </c>
      <c r="CA38" s="447" t="e">
        <f t="shared" si="116"/>
        <v>#N/A</v>
      </c>
      <c r="CB38" s="448" t="e">
        <f t="shared" si="117"/>
        <v>#N/A</v>
      </c>
      <c r="CC38" s="105" t="e">
        <f t="shared" si="118"/>
        <v>#N/A</v>
      </c>
      <c r="CD38" s="448" t="e">
        <f t="shared" si="119"/>
        <v>#N/A</v>
      </c>
    </row>
    <row r="39" spans="1:82">
      <c r="A39" t="str">
        <v>c. Pengelolaan Komunikasi dan TJSL</v>
      </c>
      <c r="B39">
        <v>2</v>
      </c>
      <c r="C39" t="str">
        <v>Pengelolaan Komunikasi dan TJSL</v>
      </c>
      <c r="D39" s="105" t="s">
        <v>456</v>
      </c>
      <c r="E39" t="str">
        <v>Pengelolaan Komunikasi dan TJSL</v>
      </c>
      <c r="G39">
        <v>100</v>
      </c>
      <c r="H39">
        <v>100</v>
      </c>
      <c r="I39">
        <v>100</v>
      </c>
      <c r="J39">
        <v>100</v>
      </c>
      <c r="K39">
        <v>100</v>
      </c>
      <c r="L39">
        <v>100</v>
      </c>
      <c r="M39">
        <v>100</v>
      </c>
      <c r="N39">
        <v>100</v>
      </c>
      <c r="O39">
        <v>100</v>
      </c>
      <c r="P39">
        <v>100</v>
      </c>
      <c r="Q39">
        <v>100</v>
      </c>
      <c r="R39">
        <v>100</v>
      </c>
      <c r="T39" t="str">
        <v>Pengelolaan Komunikasi dan TJSL</v>
      </c>
      <c r="V39">
        <v>100</v>
      </c>
      <c r="W39">
        <v>100</v>
      </c>
      <c r="X39">
        <v>100</v>
      </c>
      <c r="Y39">
        <v>100</v>
      </c>
      <c r="Z39">
        <v>100</v>
      </c>
      <c r="AA39">
        <v>107.83500000000001</v>
      </c>
      <c r="AB39">
        <v>110</v>
      </c>
      <c r="AC39">
        <v>107.84</v>
      </c>
      <c r="AD39">
        <v>110</v>
      </c>
      <c r="AE39">
        <v>110</v>
      </c>
      <c r="AF39">
        <v>110</v>
      </c>
      <c r="AG39">
        <v>110</v>
      </c>
      <c r="AI39" t="str">
        <f t="shared" si="34"/>
        <v>Pengelolaan Komunikasi dan TJSL</v>
      </c>
      <c r="AK39" s="440">
        <f t="shared" si="214"/>
        <v>100</v>
      </c>
      <c r="AL39" s="440">
        <f t="shared" si="215"/>
        <v>100</v>
      </c>
      <c r="AM39" s="440">
        <f t="shared" si="216"/>
        <v>100</v>
      </c>
      <c r="AN39" s="440">
        <f t="shared" si="217"/>
        <v>100</v>
      </c>
      <c r="AO39" s="440">
        <f t="shared" si="218"/>
        <v>100</v>
      </c>
      <c r="AP39" s="440">
        <f t="shared" si="219"/>
        <v>107.83500000000001</v>
      </c>
      <c r="AQ39" s="440">
        <f t="shared" si="220"/>
        <v>110.00000000000001</v>
      </c>
      <c r="AR39" s="440">
        <f t="shared" si="221"/>
        <v>107.84</v>
      </c>
      <c r="AS39" s="440">
        <f t="shared" si="222"/>
        <v>110.00000000000001</v>
      </c>
      <c r="AT39" s="440">
        <f t="shared" si="223"/>
        <v>110.00000000000001</v>
      </c>
      <c r="AU39" s="440">
        <f t="shared" si="224"/>
        <v>110.00000000000001</v>
      </c>
      <c r="AV39" s="440">
        <f t="shared" si="225"/>
        <v>110.00000000000001</v>
      </c>
      <c r="AW39" s="443"/>
      <c r="AX39" t="str">
        <f t="shared" si="36"/>
        <v>Pengelolaan Komunikasi dan TJSL</v>
      </c>
      <c r="AY39" s="105" t="s">
        <v>452</v>
      </c>
      <c r="AZ39" s="442">
        <v>1</v>
      </c>
      <c r="BA39" s="440">
        <f t="shared" si="50"/>
        <v>1</v>
      </c>
      <c r="BB39" s="440">
        <f t="shared" si="37"/>
        <v>1</v>
      </c>
      <c r="BC39" s="440">
        <f t="shared" si="38"/>
        <v>1</v>
      </c>
      <c r="BD39" s="440">
        <f t="shared" si="39"/>
        <v>1</v>
      </c>
      <c r="BE39" s="440">
        <f t="shared" si="40"/>
        <v>1</v>
      </c>
      <c r="BF39" s="440">
        <f t="shared" si="41"/>
        <v>1.07</v>
      </c>
      <c r="BG39" s="440">
        <f t="shared" si="42"/>
        <v>1.1000000000000001</v>
      </c>
      <c r="BH39" s="440">
        <f t="shared" si="43"/>
        <v>1.07</v>
      </c>
      <c r="BI39" s="440">
        <f t="shared" si="44"/>
        <v>1.1000000000000001</v>
      </c>
      <c r="BJ39" s="440">
        <f t="shared" si="45"/>
        <v>1.1000000000000001</v>
      </c>
      <c r="BK39" s="440">
        <f t="shared" si="46"/>
        <v>1.1000000000000001</v>
      </c>
      <c r="BL39" s="440">
        <f t="shared" si="47"/>
        <v>1.1000000000000001</v>
      </c>
      <c r="BM39" s="443"/>
      <c r="BN39" s="443"/>
      <c r="BO39" s="141"/>
      <c r="BQ39" s="444" cm="1">
        <f t="array" ref="BQ39">INDEX(AK39:AV39,MATCH(MONTH($BP$3),MONTH($AK$3:$AV$3),0))</f>
        <v>110.00000000000001</v>
      </c>
      <c r="BR39" t="str">
        <v>Pengelolaan Komunikasi dan TJSL</v>
      </c>
      <c r="BS39" s="443">
        <v>110.00000000000001</v>
      </c>
      <c r="BT39" s="443" t="str">
        <f t="shared" si="48"/>
        <v/>
      </c>
      <c r="BU39" s="443" t="str">
        <v/>
      </c>
      <c r="BV39" s="440">
        <f t="shared" si="51"/>
        <v>1.1000000000000001</v>
      </c>
      <c r="BY39" s="440" t="e">
        <f t="shared" si="114"/>
        <v>#N/A</v>
      </c>
      <c r="BZ39" s="440" t="e">
        <f t="shared" si="115"/>
        <v>#N/A</v>
      </c>
      <c r="CA39" s="447" t="e">
        <f t="shared" si="116"/>
        <v>#N/A</v>
      </c>
      <c r="CB39" s="448" t="e">
        <f t="shared" si="117"/>
        <v>#N/A</v>
      </c>
      <c r="CC39" s="105" t="e">
        <f t="shared" si="118"/>
        <v>#N/A</v>
      </c>
      <c r="CD39" s="448" t="e">
        <f t="shared" si="119"/>
        <v>#N/A</v>
      </c>
    </row>
    <row r="40" spans="1:82">
      <c r="A40" t="str">
        <v>d. Peningkatan Layanan dan Budaya K3</v>
      </c>
      <c r="B40">
        <v>2</v>
      </c>
      <c r="C40" t="str">
        <v>Peningkatan Layanan dan Budaya K3</v>
      </c>
      <c r="D40" s="105" t="s">
        <v>456</v>
      </c>
      <c r="E40" t="str">
        <v>Peningkatan Layanan dan Budaya K3</v>
      </c>
      <c r="G40">
        <v>100</v>
      </c>
      <c r="H40">
        <v>100</v>
      </c>
      <c r="I40">
        <v>100</v>
      </c>
      <c r="J40">
        <v>100</v>
      </c>
      <c r="K40">
        <v>100</v>
      </c>
      <c r="L40">
        <v>100</v>
      </c>
      <c r="M40">
        <v>100</v>
      </c>
      <c r="N40">
        <v>100</v>
      </c>
      <c r="O40">
        <v>100</v>
      </c>
      <c r="P40">
        <v>100</v>
      </c>
      <c r="Q40">
        <v>100</v>
      </c>
      <c r="R40">
        <v>100</v>
      </c>
      <c r="T40" t="str">
        <v>Peningkatan Layanan dan Budaya K3</v>
      </c>
      <c r="V40">
        <v>100</v>
      </c>
      <c r="W40">
        <v>100</v>
      </c>
      <c r="X40">
        <v>100</v>
      </c>
      <c r="Y40">
        <v>100</v>
      </c>
      <c r="Z40">
        <v>100</v>
      </c>
      <c r="AA40">
        <v>100</v>
      </c>
      <c r="AB40">
        <v>100</v>
      </c>
      <c r="AC40">
        <v>100</v>
      </c>
      <c r="AD40">
        <v>100</v>
      </c>
      <c r="AE40">
        <v>100</v>
      </c>
      <c r="AF40">
        <v>0</v>
      </c>
      <c r="AG40">
        <v>0</v>
      </c>
      <c r="AI40" t="str">
        <f t="shared" si="34"/>
        <v>Peningkatan Layanan dan Budaya K3</v>
      </c>
      <c r="AK40" s="440">
        <f t="shared" si="214"/>
        <v>100</v>
      </c>
      <c r="AL40" s="440">
        <f t="shared" si="215"/>
        <v>100</v>
      </c>
      <c r="AM40" s="440">
        <f t="shared" si="216"/>
        <v>100</v>
      </c>
      <c r="AN40" s="440">
        <f t="shared" si="217"/>
        <v>100</v>
      </c>
      <c r="AO40" s="440">
        <f t="shared" si="218"/>
        <v>100</v>
      </c>
      <c r="AP40" s="440">
        <f t="shared" si="219"/>
        <v>100</v>
      </c>
      <c r="AQ40" s="440">
        <f t="shared" si="220"/>
        <v>100</v>
      </c>
      <c r="AR40" s="440">
        <f t="shared" si="221"/>
        <v>100</v>
      </c>
      <c r="AS40" s="440">
        <f t="shared" si="222"/>
        <v>100</v>
      </c>
      <c r="AT40" s="440">
        <f t="shared" si="223"/>
        <v>100</v>
      </c>
      <c r="AU40" s="440">
        <f t="shared" si="224"/>
        <v>0</v>
      </c>
      <c r="AV40" s="440">
        <f t="shared" si="225"/>
        <v>0</v>
      </c>
      <c r="AW40" s="443"/>
      <c r="AX40" t="str">
        <f t="shared" si="36"/>
        <v>Peningkatan Layanan dan Budaya K3</v>
      </c>
      <c r="AY40" s="105" t="s">
        <v>452</v>
      </c>
      <c r="AZ40" s="442">
        <v>1</v>
      </c>
      <c r="BA40" s="440">
        <f t="shared" si="50"/>
        <v>1</v>
      </c>
      <c r="BB40" s="440">
        <f t="shared" si="37"/>
        <v>1</v>
      </c>
      <c r="BC40" s="440">
        <f t="shared" si="38"/>
        <v>1</v>
      </c>
      <c r="BD40" s="440">
        <f t="shared" si="39"/>
        <v>1</v>
      </c>
      <c r="BE40" s="440">
        <f t="shared" si="40"/>
        <v>1</v>
      </c>
      <c r="BF40" s="440">
        <f t="shared" si="41"/>
        <v>1</v>
      </c>
      <c r="BG40" s="440">
        <f t="shared" si="42"/>
        <v>1</v>
      </c>
      <c r="BH40" s="440">
        <f t="shared" si="43"/>
        <v>1</v>
      </c>
      <c r="BI40" s="440">
        <f t="shared" si="44"/>
        <v>1</v>
      </c>
      <c r="BJ40" s="440">
        <f t="shared" si="45"/>
        <v>1</v>
      </c>
      <c r="BK40" s="440">
        <f t="shared" si="46"/>
        <v>0</v>
      </c>
      <c r="BL40" s="440">
        <f t="shared" si="47"/>
        <v>0</v>
      </c>
      <c r="BM40" s="443"/>
      <c r="BN40" s="443"/>
      <c r="BO40" s="141"/>
      <c r="BQ40" s="444" cm="1">
        <f t="array" ref="BQ40">INDEX(AK40:AV40,MATCH(MONTH($BP$3),MONTH($AK$3:$AV$3),0))</f>
        <v>100</v>
      </c>
      <c r="BR40" t="str">
        <v>Peningkatan Layanan dan Budaya K3</v>
      </c>
      <c r="BS40" s="443">
        <v>100</v>
      </c>
      <c r="BT40" s="443" t="str">
        <f t="shared" si="48"/>
        <v/>
      </c>
      <c r="BU40" s="443" t="str">
        <v/>
      </c>
      <c r="BV40" s="440">
        <f t="shared" si="51"/>
        <v>1</v>
      </c>
      <c r="BY40" s="440" t="e">
        <f t="shared" si="114"/>
        <v>#N/A</v>
      </c>
      <c r="BZ40" s="440" t="e">
        <f t="shared" si="115"/>
        <v>#N/A</v>
      </c>
      <c r="CA40" s="447" t="e">
        <f t="shared" si="116"/>
        <v>#N/A</v>
      </c>
      <c r="CB40" s="448" t="e">
        <f t="shared" si="117"/>
        <v>#N/A</v>
      </c>
      <c r="CC40" s="105" t="e">
        <f t="shared" si="118"/>
        <v>#N/A</v>
      </c>
      <c r="CD40" s="448" t="e">
        <f t="shared" si="119"/>
        <v>#N/A</v>
      </c>
    </row>
    <row r="41" spans="1:82">
      <c r="A41" t="str">
        <v>a. Implementasi PLN Bisnis Ekselen</v>
      </c>
      <c r="B41">
        <v>2</v>
      </c>
      <c r="C41" t="str">
        <v>Implementasi PLN Bisnis Ekselen</v>
      </c>
      <c r="D41" s="105" t="s">
        <v>456</v>
      </c>
      <c r="E41" t="str">
        <v>Implementasi PLN Bisnis Ekselen</v>
      </c>
      <c r="G41">
        <v>100</v>
      </c>
      <c r="H41">
        <v>100</v>
      </c>
      <c r="I41">
        <v>100</v>
      </c>
      <c r="J41">
        <v>100</v>
      </c>
      <c r="K41">
        <v>100</v>
      </c>
      <c r="L41">
        <v>100</v>
      </c>
      <c r="M41">
        <v>100</v>
      </c>
      <c r="N41">
        <v>100</v>
      </c>
      <c r="O41">
        <v>100</v>
      </c>
      <c r="P41">
        <v>100</v>
      </c>
      <c r="Q41">
        <v>100</v>
      </c>
      <c r="R41">
        <v>100</v>
      </c>
      <c r="T41" t="str">
        <v>Implementasi PLN Bisnis Ekselen</v>
      </c>
      <c r="V41">
        <v>100</v>
      </c>
      <c r="W41">
        <v>100</v>
      </c>
      <c r="X41">
        <v>100</v>
      </c>
      <c r="Y41">
        <v>100</v>
      </c>
      <c r="Z41">
        <v>100</v>
      </c>
      <c r="AA41">
        <v>114.98</v>
      </c>
      <c r="AB41">
        <v>114.98</v>
      </c>
      <c r="AC41">
        <v>100</v>
      </c>
      <c r="AD41">
        <v>100</v>
      </c>
      <c r="AE41">
        <v>100</v>
      </c>
      <c r="AF41">
        <v>0</v>
      </c>
      <c r="AG41">
        <v>0</v>
      </c>
      <c r="AI41" t="str">
        <f t="shared" si="34"/>
        <v>Implementasi PLN Bisnis Ekselen</v>
      </c>
      <c r="AK41" s="440">
        <f t="shared" si="214"/>
        <v>100</v>
      </c>
      <c r="AL41" s="440">
        <f t="shared" si="215"/>
        <v>100</v>
      </c>
      <c r="AM41" s="440">
        <f t="shared" si="216"/>
        <v>100</v>
      </c>
      <c r="AN41" s="440">
        <f t="shared" si="217"/>
        <v>100</v>
      </c>
      <c r="AO41" s="440">
        <f t="shared" si="218"/>
        <v>100</v>
      </c>
      <c r="AP41" s="440">
        <f t="shared" si="219"/>
        <v>110</v>
      </c>
      <c r="AQ41" s="440">
        <f t="shared" si="220"/>
        <v>110</v>
      </c>
      <c r="AR41" s="440">
        <f t="shared" si="221"/>
        <v>100</v>
      </c>
      <c r="AS41" s="440">
        <f t="shared" si="222"/>
        <v>100</v>
      </c>
      <c r="AT41" s="440">
        <f t="shared" si="223"/>
        <v>100</v>
      </c>
      <c r="AU41" s="440">
        <f t="shared" si="224"/>
        <v>0</v>
      </c>
      <c r="AV41" s="440">
        <f t="shared" si="225"/>
        <v>0</v>
      </c>
      <c r="AW41" s="443"/>
      <c r="AX41" t="str">
        <f t="shared" si="36"/>
        <v>Implementasi PLN Bisnis Ekselen</v>
      </c>
      <c r="AY41" s="105" t="s">
        <v>452</v>
      </c>
      <c r="AZ41" s="442">
        <f>4/4</f>
        <v>1</v>
      </c>
      <c r="BA41" s="440">
        <f t="shared" si="50"/>
        <v>1</v>
      </c>
      <c r="BB41" s="440">
        <f t="shared" si="37"/>
        <v>1</v>
      </c>
      <c r="BC41" s="440">
        <f t="shared" si="38"/>
        <v>1</v>
      </c>
      <c r="BD41" s="440">
        <f t="shared" si="39"/>
        <v>1</v>
      </c>
      <c r="BE41" s="440">
        <f t="shared" si="40"/>
        <v>1</v>
      </c>
      <c r="BF41" s="440">
        <f t="shared" si="41"/>
        <v>1.1000000000000001</v>
      </c>
      <c r="BG41" s="440">
        <f t="shared" si="42"/>
        <v>1.1000000000000001</v>
      </c>
      <c r="BH41" s="440">
        <f t="shared" si="43"/>
        <v>1</v>
      </c>
      <c r="BI41" s="440">
        <f t="shared" si="44"/>
        <v>1</v>
      </c>
      <c r="BJ41" s="440">
        <f t="shared" si="45"/>
        <v>1</v>
      </c>
      <c r="BK41" s="440">
        <f t="shared" si="46"/>
        <v>0</v>
      </c>
      <c r="BL41" s="440">
        <f t="shared" si="47"/>
        <v>0</v>
      </c>
      <c r="BM41" s="443"/>
      <c r="BN41" s="443"/>
      <c r="BO41" s="141"/>
      <c r="BQ41" s="444" cm="1">
        <f t="array" ref="BQ41">INDEX(AK41:AV41,MATCH(MONTH($BP$3),MONTH($AK$3:$AV$3),0))</f>
        <v>100</v>
      </c>
      <c r="BR41" t="str">
        <v>Implementasi PLN Bisnis Ekselen</v>
      </c>
      <c r="BS41" s="443">
        <v>100</v>
      </c>
      <c r="BT41" s="443" t="str">
        <f t="shared" si="48"/>
        <v/>
      </c>
      <c r="BU41" s="443" t="str">
        <v/>
      </c>
      <c r="BV41" s="440">
        <f t="shared" si="51"/>
        <v>1</v>
      </c>
      <c r="BY41" s="440" t="e">
        <f t="shared" si="114"/>
        <v>#N/A</v>
      </c>
      <c r="BZ41" s="440" t="e">
        <f t="shared" si="115"/>
        <v>#N/A</v>
      </c>
      <c r="CA41" s="447" t="e">
        <f t="shared" si="116"/>
        <v>#N/A</v>
      </c>
      <c r="CB41" s="448" t="e">
        <f t="shared" si="117"/>
        <v>#N/A</v>
      </c>
      <c r="CC41" s="105" t="e">
        <f t="shared" si="118"/>
        <v>#N/A</v>
      </c>
      <c r="CD41" s="448" t="e">
        <f t="shared" si="119"/>
        <v>#N/A</v>
      </c>
    </row>
    <row r="42" spans="1:82">
      <c r="A42" t="str">
        <v>b. Maturity Level Gudang</v>
      </c>
      <c r="B42">
        <v>2</v>
      </c>
      <c r="C42" t="str">
        <v>Maturity Level Gudang</v>
      </c>
      <c r="D42" s="105" t="s">
        <v>456</v>
      </c>
      <c r="E42" t="str">
        <v>Maturity Level Gudang</v>
      </c>
      <c r="G42">
        <v>0</v>
      </c>
      <c r="H42">
        <v>2</v>
      </c>
      <c r="I42">
        <v>2.5</v>
      </c>
      <c r="J42">
        <v>2.65</v>
      </c>
      <c r="K42">
        <v>2.8</v>
      </c>
      <c r="L42">
        <v>3</v>
      </c>
      <c r="M42">
        <v>3.15</v>
      </c>
      <c r="N42">
        <v>3.3</v>
      </c>
      <c r="O42">
        <v>3.5</v>
      </c>
      <c r="P42">
        <v>3.65</v>
      </c>
      <c r="Q42">
        <v>3.8</v>
      </c>
      <c r="R42">
        <v>4</v>
      </c>
      <c r="T42" t="str">
        <v>Maturity Level Gudang</v>
      </c>
      <c r="V42">
        <v>0</v>
      </c>
      <c r="W42">
        <v>1.26</v>
      </c>
      <c r="X42">
        <v>2.5049999999999994</v>
      </c>
      <c r="Y42">
        <v>3.01</v>
      </c>
      <c r="Z42">
        <v>2.92</v>
      </c>
      <c r="AA42">
        <v>3.023333333333333</v>
      </c>
      <c r="AB42">
        <v>3.38</v>
      </c>
      <c r="AC42">
        <v>3.24</v>
      </c>
      <c r="AD42">
        <v>3.5</v>
      </c>
      <c r="AE42">
        <v>3.65</v>
      </c>
      <c r="AF42">
        <v>0</v>
      </c>
      <c r="AG42">
        <v>0</v>
      </c>
      <c r="AI42" t="str">
        <f t="shared" si="34"/>
        <v>Maturity Level Gudang</v>
      </c>
      <c r="AK42" s="440">
        <f t="shared" si="214"/>
        <v>100</v>
      </c>
      <c r="AL42" s="440">
        <f t="shared" si="215"/>
        <v>63</v>
      </c>
      <c r="AM42" s="440">
        <f t="shared" si="216"/>
        <v>100.19999999999997</v>
      </c>
      <c r="AN42" s="440">
        <f t="shared" si="217"/>
        <v>110</v>
      </c>
      <c r="AO42" s="440">
        <f t="shared" si="218"/>
        <v>104.28571428571429</v>
      </c>
      <c r="AP42" s="440">
        <f t="shared" si="219"/>
        <v>100.77777777777777</v>
      </c>
      <c r="AQ42" s="440">
        <f t="shared" si="220"/>
        <v>107.3015873015873</v>
      </c>
      <c r="AR42" s="440">
        <f t="shared" si="221"/>
        <v>98.181818181818187</v>
      </c>
      <c r="AS42" s="440">
        <f t="shared" si="222"/>
        <v>100</v>
      </c>
      <c r="AT42" s="440">
        <f t="shared" si="223"/>
        <v>100</v>
      </c>
      <c r="AU42" s="440">
        <f t="shared" si="224"/>
        <v>0</v>
      </c>
      <c r="AV42" s="440">
        <f t="shared" si="225"/>
        <v>0</v>
      </c>
      <c r="AW42" s="443"/>
      <c r="AX42" t="str">
        <f t="shared" si="36"/>
        <v>Maturity Level Gudang</v>
      </c>
      <c r="AY42" s="105" t="s">
        <v>452</v>
      </c>
      <c r="AZ42" s="442">
        <f>4/4</f>
        <v>1</v>
      </c>
      <c r="BA42" s="440">
        <f t="shared" si="50"/>
        <v>1</v>
      </c>
      <c r="BB42" s="440">
        <f t="shared" si="37"/>
        <v>0.63</v>
      </c>
      <c r="BC42" s="440">
        <f t="shared" si="38"/>
        <v>1</v>
      </c>
      <c r="BD42" s="440">
        <f t="shared" si="39"/>
        <v>1.1000000000000001</v>
      </c>
      <c r="BE42" s="440">
        <f t="shared" si="40"/>
        <v>1.04</v>
      </c>
      <c r="BF42" s="440">
        <f t="shared" si="41"/>
        <v>1</v>
      </c>
      <c r="BG42" s="440">
        <f t="shared" si="42"/>
        <v>1.07</v>
      </c>
      <c r="BH42" s="440">
        <f t="shared" si="43"/>
        <v>0.98</v>
      </c>
      <c r="BI42" s="440">
        <f t="shared" si="44"/>
        <v>1</v>
      </c>
      <c r="BJ42" s="440">
        <f t="shared" si="45"/>
        <v>1</v>
      </c>
      <c r="BK42" s="440">
        <f t="shared" si="46"/>
        <v>0</v>
      </c>
      <c r="BL42" s="440">
        <f t="shared" si="47"/>
        <v>0</v>
      </c>
      <c r="BM42" s="443"/>
      <c r="BN42" s="443"/>
      <c r="BO42" s="141"/>
      <c r="BQ42" s="444" cm="1">
        <f t="array" ref="BQ42">INDEX(AK42:AV42,MATCH(MONTH($BP$3),MONTH($AK$3:$AV$3),0))</f>
        <v>100</v>
      </c>
      <c r="BR42" t="str">
        <v>Maturity Level Gudang</v>
      </c>
      <c r="BS42" s="443">
        <v>100</v>
      </c>
      <c r="BT42" s="443" t="str">
        <f t="shared" si="48"/>
        <v/>
      </c>
      <c r="BU42" s="443" t="str">
        <v/>
      </c>
      <c r="BV42" s="440">
        <f t="shared" si="51"/>
        <v>1</v>
      </c>
      <c r="BX42" s="457" t="s">
        <v>456</v>
      </c>
      <c r="BY42" s="457" t="s">
        <v>456</v>
      </c>
      <c r="BZ42" s="457" t="s">
        <v>456</v>
      </c>
      <c r="CA42" s="457" t="s">
        <v>456</v>
      </c>
      <c r="CB42" s="457" t="s">
        <v>456</v>
      </c>
      <c r="CC42" s="457" t="s">
        <v>456</v>
      </c>
      <c r="CD42" s="457" t="s">
        <v>456</v>
      </c>
    </row>
    <row r="43" spans="1:82">
      <c r="A43" t="str">
        <v>c. Maturity Level Sustainbility</v>
      </c>
      <c r="B43">
        <v>2</v>
      </c>
      <c r="C43" t="str">
        <v>Maturity Level Sustainbility</v>
      </c>
      <c r="D43" s="105" t="s">
        <v>456</v>
      </c>
      <c r="E43" t="str">
        <v>Maturity Level Sustainbility</v>
      </c>
      <c r="G43">
        <v>100</v>
      </c>
      <c r="H43">
        <v>100</v>
      </c>
      <c r="I43">
        <v>100</v>
      </c>
      <c r="J43">
        <v>100</v>
      </c>
      <c r="K43">
        <v>100</v>
      </c>
      <c r="L43">
        <v>100</v>
      </c>
      <c r="M43">
        <v>100</v>
      </c>
      <c r="N43">
        <v>100</v>
      </c>
      <c r="O43">
        <v>100</v>
      </c>
      <c r="P43">
        <v>100</v>
      </c>
      <c r="Q43">
        <v>100</v>
      </c>
      <c r="R43">
        <v>100</v>
      </c>
      <c r="T43" t="str">
        <v>Maturity Level Sustainbility</v>
      </c>
      <c r="V43">
        <v>100</v>
      </c>
      <c r="W43">
        <v>100</v>
      </c>
      <c r="X43">
        <v>100</v>
      </c>
      <c r="Y43">
        <v>100</v>
      </c>
      <c r="Z43">
        <v>100</v>
      </c>
      <c r="AA43">
        <v>110</v>
      </c>
      <c r="AB43">
        <v>110</v>
      </c>
      <c r="AC43">
        <v>110</v>
      </c>
      <c r="AD43">
        <v>110</v>
      </c>
      <c r="AE43">
        <v>110</v>
      </c>
      <c r="AF43">
        <v>0</v>
      </c>
      <c r="AG43">
        <v>0</v>
      </c>
      <c r="AI43" t="str">
        <f t="shared" si="34"/>
        <v>Maturity Level Sustainbility</v>
      </c>
      <c r="AK43" s="440">
        <f t="shared" si="214"/>
        <v>100</v>
      </c>
      <c r="AL43" s="440">
        <f t="shared" si="215"/>
        <v>100</v>
      </c>
      <c r="AM43" s="440">
        <f t="shared" si="216"/>
        <v>100</v>
      </c>
      <c r="AN43" s="440">
        <f t="shared" si="217"/>
        <v>100</v>
      </c>
      <c r="AO43" s="440">
        <f t="shared" si="218"/>
        <v>100</v>
      </c>
      <c r="AP43" s="440">
        <f t="shared" si="219"/>
        <v>110.00000000000001</v>
      </c>
      <c r="AQ43" s="440">
        <f t="shared" si="220"/>
        <v>110.00000000000001</v>
      </c>
      <c r="AR43" s="440">
        <f t="shared" si="221"/>
        <v>110.00000000000001</v>
      </c>
      <c r="AS43" s="440">
        <f t="shared" si="222"/>
        <v>110.00000000000001</v>
      </c>
      <c r="AT43" s="440">
        <f t="shared" si="223"/>
        <v>110.00000000000001</v>
      </c>
      <c r="AU43" s="440">
        <f t="shared" si="224"/>
        <v>0</v>
      </c>
      <c r="AV43" s="440">
        <f t="shared" si="225"/>
        <v>0</v>
      </c>
      <c r="AX43" t="str">
        <f t="shared" si="36"/>
        <v>Maturity Level Sustainbility</v>
      </c>
      <c r="AY43" s="105" t="s">
        <v>452</v>
      </c>
      <c r="AZ43" s="442">
        <f>4/4</f>
        <v>1</v>
      </c>
      <c r="BA43" s="440">
        <f t="shared" si="50"/>
        <v>1</v>
      </c>
      <c r="BB43" s="440">
        <f t="shared" si="37"/>
        <v>1</v>
      </c>
      <c r="BC43" s="440">
        <f t="shared" si="38"/>
        <v>1</v>
      </c>
      <c r="BD43" s="440">
        <f t="shared" si="39"/>
        <v>1</v>
      </c>
      <c r="BE43" s="440">
        <f t="shared" si="40"/>
        <v>1</v>
      </c>
      <c r="BF43" s="440">
        <f t="shared" si="41"/>
        <v>1.1000000000000001</v>
      </c>
      <c r="BG43" s="440">
        <f t="shared" si="42"/>
        <v>1.1000000000000001</v>
      </c>
      <c r="BH43" s="440">
        <f t="shared" si="43"/>
        <v>1.1000000000000001</v>
      </c>
      <c r="BI43" s="440">
        <f t="shared" si="44"/>
        <v>1.1000000000000001</v>
      </c>
      <c r="BJ43" s="440">
        <f t="shared" si="45"/>
        <v>1.1000000000000001</v>
      </c>
      <c r="BK43" s="440">
        <f t="shared" si="46"/>
        <v>0</v>
      </c>
      <c r="BL43" s="440">
        <f t="shared" si="47"/>
        <v>0</v>
      </c>
      <c r="BQ43" s="444" cm="1">
        <f t="array" ref="BQ43">INDEX(AK43:AV43,MATCH(MONTH($BP$3),MONTH($AK$3:$AV$3),0))</f>
        <v>110.00000000000001</v>
      </c>
      <c r="BR43" t="str">
        <v>Maturity Level Sustainbility</v>
      </c>
      <c r="BS43" s="443">
        <v>110.00000000000001</v>
      </c>
      <c r="BT43" s="443" t="str">
        <f t="shared" si="48"/>
        <v/>
      </c>
    </row>
    <row r="44" spans="1:82">
      <c r="A44" t="str">
        <v>d. Implementasi Roadmap Perbaikan Penerapan Manajemen Risiko dan Pencapaian Perlakuan Risiko</v>
      </c>
      <c r="B44">
        <v>2</v>
      </c>
      <c r="C44" t="str">
        <v>Implementasi Roadmap Perbaikan Penerapan Manajemen Risiko dan Pencapaian Perlakuan Risiko</v>
      </c>
      <c r="D44" s="105" t="s">
        <v>456</v>
      </c>
      <c r="E44" t="str">
        <v>Implementasi Roadmap Perbaikan Penerapan Manajemen Risiko dan Pencapaian Perlakuan Risiko</v>
      </c>
      <c r="G44">
        <v>100</v>
      </c>
      <c r="H44">
        <v>100</v>
      </c>
      <c r="I44">
        <v>100</v>
      </c>
      <c r="J44">
        <v>100</v>
      </c>
      <c r="K44">
        <v>100</v>
      </c>
      <c r="L44">
        <v>100</v>
      </c>
      <c r="M44">
        <v>100</v>
      </c>
      <c r="N44">
        <v>100</v>
      </c>
      <c r="O44">
        <v>100</v>
      </c>
      <c r="P44">
        <v>100</v>
      </c>
      <c r="Q44">
        <v>100</v>
      </c>
      <c r="R44">
        <v>100</v>
      </c>
      <c r="T44" t="str">
        <v>Implementasi Roadmap Perbaikan Penerapan Manajemen Risiko dan Pencapaian Perlakuan Risiko</v>
      </c>
      <c r="V44">
        <v>100</v>
      </c>
      <c r="W44">
        <v>100</v>
      </c>
      <c r="X44">
        <v>100</v>
      </c>
      <c r="Y44">
        <v>100</v>
      </c>
      <c r="Z44">
        <v>100</v>
      </c>
      <c r="AA44">
        <v>100</v>
      </c>
      <c r="AB44">
        <v>100</v>
      </c>
      <c r="AC44">
        <v>100</v>
      </c>
      <c r="AD44">
        <v>100</v>
      </c>
      <c r="AE44">
        <v>100</v>
      </c>
      <c r="AF44">
        <v>0</v>
      </c>
      <c r="AG44">
        <v>0</v>
      </c>
      <c r="AI44" t="str">
        <f t="shared" si="34"/>
        <v>Implementasi Roadmap Perbaikan Penerapan Manajemen Risiko dan Pencapaian Perlakuan Risiko</v>
      </c>
      <c r="AK44" s="440">
        <f t="shared" si="214"/>
        <v>100</v>
      </c>
      <c r="AL44" s="440">
        <f t="shared" si="215"/>
        <v>100</v>
      </c>
      <c r="AM44" s="440">
        <f t="shared" si="216"/>
        <v>100</v>
      </c>
      <c r="AN44" s="440">
        <f t="shared" si="217"/>
        <v>100</v>
      </c>
      <c r="AO44" s="440">
        <f t="shared" si="218"/>
        <v>100</v>
      </c>
      <c r="AP44" s="440">
        <f t="shared" si="219"/>
        <v>100</v>
      </c>
      <c r="AQ44" s="440">
        <f t="shared" si="220"/>
        <v>100</v>
      </c>
      <c r="AR44" s="440">
        <f t="shared" si="221"/>
        <v>100</v>
      </c>
      <c r="AS44" s="440">
        <f t="shared" si="222"/>
        <v>100</v>
      </c>
      <c r="AT44" s="440">
        <f t="shared" si="223"/>
        <v>100</v>
      </c>
      <c r="AU44" s="440">
        <f t="shared" si="224"/>
        <v>0</v>
      </c>
      <c r="AV44" s="440">
        <f t="shared" si="225"/>
        <v>0</v>
      </c>
      <c r="AX44" t="str">
        <f t="shared" si="36"/>
        <v>Implementasi Roadmap Perbaikan Penerapan Manajemen Risiko dan Pencapaian Perlakuan Risiko</v>
      </c>
      <c r="AY44" s="105" t="s">
        <v>452</v>
      </c>
      <c r="AZ44" s="442">
        <f>4/4</f>
        <v>1</v>
      </c>
      <c r="BA44" s="440">
        <f t="shared" si="50"/>
        <v>1</v>
      </c>
      <c r="BB44" s="440">
        <f t="shared" si="37"/>
        <v>1</v>
      </c>
      <c r="BC44" s="440">
        <f t="shared" si="38"/>
        <v>1</v>
      </c>
      <c r="BD44" s="440">
        <f t="shared" si="39"/>
        <v>1</v>
      </c>
      <c r="BE44" s="440">
        <f t="shared" si="40"/>
        <v>1</v>
      </c>
      <c r="BF44" s="440">
        <f t="shared" si="41"/>
        <v>1</v>
      </c>
      <c r="BG44" s="440">
        <f t="shared" si="42"/>
        <v>1</v>
      </c>
      <c r="BH44" s="440">
        <f t="shared" si="43"/>
        <v>1</v>
      </c>
      <c r="BI44" s="440">
        <f t="shared" si="44"/>
        <v>1</v>
      </c>
      <c r="BJ44" s="440">
        <f t="shared" si="45"/>
        <v>1</v>
      </c>
      <c r="BK44" s="440">
        <f t="shared" si="46"/>
        <v>0</v>
      </c>
      <c r="BL44" s="440">
        <f t="shared" si="47"/>
        <v>0</v>
      </c>
      <c r="BQ44" s="444" cm="1">
        <f t="array" ref="BQ44">INDEX(AK44:AV44,MATCH(MONTH($BP$3),MONTH($AK$3:$AV$3),0))</f>
        <v>100</v>
      </c>
      <c r="BR44" t="str">
        <v>Implementasi Roadmap Perbaikan Penerapan Manajemen Risiko dan Pencapaian Perlakuan Risiko</v>
      </c>
      <c r="BS44" s="443">
        <v>100</v>
      </c>
      <c r="BT44" s="443" t="str">
        <f t="shared" si="48"/>
        <v/>
      </c>
    </row>
    <row r="45" spans="1:82">
      <c r="D45" s="105"/>
      <c r="AK45" s="440"/>
      <c r="AL45" s="440"/>
      <c r="AM45" s="440"/>
      <c r="AN45" s="440"/>
      <c r="AO45" s="440"/>
      <c r="AP45" s="440"/>
      <c r="AQ45" s="440"/>
      <c r="AR45" s="440"/>
      <c r="AS45" s="440"/>
      <c r="AT45" s="440"/>
      <c r="AU45" s="440"/>
      <c r="AV45" s="440"/>
      <c r="AY45" s="105"/>
      <c r="AZ45" s="442"/>
      <c r="BA45" s="440"/>
      <c r="BB45" s="440"/>
      <c r="BC45" s="440"/>
      <c r="BD45" s="440"/>
      <c r="BE45" s="440"/>
      <c r="BF45" s="440"/>
      <c r="BG45" s="440"/>
      <c r="BH45" s="440"/>
      <c r="BI45" s="440"/>
      <c r="BJ45" s="440"/>
      <c r="BK45" s="440"/>
      <c r="BL45" s="440"/>
    </row>
    <row r="46" spans="1:82">
      <c r="AX46" s="763" t="s">
        <v>461</v>
      </c>
      <c r="AY46" s="402"/>
      <c r="AZ46" s="402"/>
      <c r="BA46" s="446">
        <v>45688</v>
      </c>
      <c r="BB46" s="446">
        <v>45716</v>
      </c>
      <c r="BC46" s="446">
        <v>45747</v>
      </c>
      <c r="BD46" s="446">
        <v>45777</v>
      </c>
      <c r="BE46" s="446">
        <v>45808</v>
      </c>
      <c r="BF46" s="446">
        <v>45838</v>
      </c>
      <c r="BG46" s="446">
        <v>45869</v>
      </c>
      <c r="BH46" s="446">
        <v>45900</v>
      </c>
      <c r="BI46" s="446">
        <v>45930</v>
      </c>
      <c r="BJ46" s="446">
        <v>45961</v>
      </c>
      <c r="BK46" s="446">
        <v>45991</v>
      </c>
      <c r="BL46" s="446">
        <v>46022</v>
      </c>
      <c r="BP46" s="833" t="s">
        <v>107</v>
      </c>
      <c r="BQ46" s="833"/>
      <c r="BR46" s="833"/>
    </row>
    <row r="47" spans="1:82">
      <c r="AX47" s="763"/>
      <c r="AY47" s="402"/>
      <c r="AZ47" s="402">
        <v>2024</v>
      </c>
      <c r="BA47" s="402">
        <v>93.03</v>
      </c>
      <c r="BB47" s="402">
        <v>101.02</v>
      </c>
      <c r="BC47" s="402">
        <v>97.37</v>
      </c>
      <c r="BD47" s="402">
        <v>101.25</v>
      </c>
      <c r="BE47" s="402">
        <v>103.83</v>
      </c>
      <c r="BF47" s="402">
        <v>104.94</v>
      </c>
      <c r="BG47" s="402">
        <v>104.61</v>
      </c>
      <c r="BH47" s="402">
        <v>106.6</v>
      </c>
      <c r="BI47" s="402">
        <v>105.02</v>
      </c>
      <c r="BJ47" s="402">
        <v>105.61</v>
      </c>
      <c r="BK47" s="402">
        <v>106.87</v>
      </c>
      <c r="BL47" s="402">
        <v>107.09</v>
      </c>
      <c r="BP47" t="s">
        <v>107</v>
      </c>
      <c r="BQ47" t="s">
        <v>452</v>
      </c>
      <c r="BR47" cm="1">
        <f t="array" ref="BR47">INDEX($BA$49:$BL$49,MATCH(MONTH(BP3),MONTH($BA$46:$BL$46),0))</f>
        <v>103.02000000000002</v>
      </c>
    </row>
    <row r="48" spans="1:82">
      <c r="AX48" s="763"/>
      <c r="AY48" s="402"/>
      <c r="AZ48" s="402" t="s">
        <v>100</v>
      </c>
      <c r="BA48" s="402">
        <v>100</v>
      </c>
      <c r="BB48" s="402">
        <v>100</v>
      </c>
      <c r="BC48" s="402">
        <v>100</v>
      </c>
      <c r="BD48" s="402">
        <v>100</v>
      </c>
      <c r="BE48" s="402">
        <v>100</v>
      </c>
      <c r="BF48" s="402">
        <v>100</v>
      </c>
      <c r="BG48" s="402">
        <v>100</v>
      </c>
      <c r="BH48" s="402">
        <v>100</v>
      </c>
      <c r="BI48" s="402">
        <v>100</v>
      </c>
      <c r="BJ48" s="402">
        <v>100</v>
      </c>
      <c r="BK48" s="402">
        <v>100</v>
      </c>
      <c r="BL48" s="402">
        <v>100</v>
      </c>
    </row>
    <row r="49" spans="1:64">
      <c r="AX49" s="763"/>
      <c r="AY49" s="402"/>
      <c r="AZ49" s="402" t="s">
        <v>254</v>
      </c>
      <c r="BA49" s="445">
        <f t="shared" ref="BA49:BJ49" si="227">SUM(BA4:BA44)</f>
        <v>95.520000000000024</v>
      </c>
      <c r="BB49" s="445">
        <f t="shared" si="227"/>
        <v>95.180000000000035</v>
      </c>
      <c r="BC49" s="445">
        <f t="shared" si="227"/>
        <v>101.53000000000003</v>
      </c>
      <c r="BD49" s="445">
        <f t="shared" si="227"/>
        <v>100.92000000000002</v>
      </c>
      <c r="BE49" s="445">
        <f t="shared" si="227"/>
        <v>100.61000000000004</v>
      </c>
      <c r="BF49" s="445">
        <f t="shared" si="227"/>
        <v>102.7</v>
      </c>
      <c r="BG49" s="445">
        <f t="shared" si="227"/>
        <v>102.61000000000003</v>
      </c>
      <c r="BH49" s="445">
        <f t="shared" si="227"/>
        <v>102.74000000000001</v>
      </c>
      <c r="BI49" s="445">
        <f t="shared" si="227"/>
        <v>103.22000000000003</v>
      </c>
      <c r="BJ49" s="445">
        <f t="shared" si="227"/>
        <v>103.02000000000002</v>
      </c>
      <c r="BK49" s="445"/>
      <c r="BL49" s="445"/>
    </row>
    <row r="50" spans="1:64">
      <c r="AX50" s="264"/>
      <c r="BA50" s="463"/>
      <c r="BB50" s="463"/>
      <c r="BC50" s="463"/>
      <c r="BD50" s="463"/>
      <c r="BE50" s="463"/>
      <c r="BF50" s="463"/>
      <c r="BG50" s="463"/>
      <c r="BH50" s="463"/>
      <c r="BI50" s="463"/>
      <c r="BJ50" s="463"/>
      <c r="BK50" s="463"/>
      <c r="BL50" s="463"/>
    </row>
    <row r="51" spans="1:64">
      <c r="AX51" s="264"/>
      <c r="BA51" s="463"/>
      <c r="BB51" s="463"/>
      <c r="BC51" s="463"/>
      <c r="BD51" s="463"/>
      <c r="BE51" s="463"/>
      <c r="BF51" s="463"/>
      <c r="BG51" s="463"/>
      <c r="BH51" s="463"/>
      <c r="BI51" s="463"/>
      <c r="BJ51" s="463"/>
      <c r="BK51" s="463"/>
      <c r="BL51" s="463"/>
    </row>
    <row r="52" spans="1:64">
      <c r="AX52" s="264"/>
      <c r="BA52" s="463"/>
      <c r="BB52" s="463"/>
      <c r="BC52" s="463"/>
      <c r="BD52" s="463"/>
      <c r="BE52" s="463"/>
      <c r="BF52" s="463"/>
      <c r="BG52" s="463"/>
      <c r="BH52" s="463"/>
      <c r="BI52" s="463"/>
      <c r="BJ52" s="463"/>
      <c r="BK52" s="463"/>
      <c r="BL52" s="463"/>
    </row>
    <row r="53" spans="1:64">
      <c r="AX53" s="264"/>
      <c r="BA53" s="463"/>
      <c r="BB53" s="463"/>
      <c r="BC53" s="463"/>
      <c r="BD53" s="463"/>
      <c r="BE53" s="463"/>
      <c r="BF53" s="463"/>
      <c r="BG53" s="463"/>
      <c r="BH53" s="463"/>
      <c r="BI53" s="463"/>
      <c r="BJ53" s="463"/>
      <c r="BK53" s="463"/>
      <c r="BL53" s="463"/>
    </row>
    <row r="54" spans="1:64">
      <c r="AX54" s="264"/>
      <c r="BA54" s="463"/>
      <c r="BB54" s="463"/>
      <c r="BC54" s="463"/>
      <c r="BD54" s="463"/>
      <c r="BE54" s="463"/>
      <c r="BF54" s="463"/>
      <c r="BG54" s="463"/>
      <c r="BH54" s="463"/>
      <c r="BI54" s="463"/>
      <c r="BJ54" s="463"/>
      <c r="BK54" s="463"/>
      <c r="BL54" s="463"/>
    </row>
    <row r="55" spans="1:64">
      <c r="AX55" s="264"/>
      <c r="BA55" s="463"/>
      <c r="BB55" s="463"/>
      <c r="BC55" s="463"/>
      <c r="BD55" s="463"/>
      <c r="BE55" s="463"/>
      <c r="BF55" s="463"/>
      <c r="BG55" s="463"/>
      <c r="BH55" s="463"/>
      <c r="BI55" s="463"/>
      <c r="BJ55" s="463"/>
      <c r="BK55" s="463"/>
      <c r="BL55" s="463"/>
    </row>
    <row r="56" spans="1:64">
      <c r="AX56" s="264"/>
      <c r="BA56" s="463"/>
      <c r="BB56" s="463"/>
      <c r="BC56" s="463"/>
      <c r="BD56" s="463"/>
      <c r="BE56" s="463"/>
      <c r="BF56" s="463"/>
      <c r="BG56" s="463"/>
      <c r="BH56" s="463"/>
      <c r="BI56" s="463"/>
      <c r="BJ56" s="463"/>
      <c r="BK56" s="463"/>
      <c r="BL56" s="463"/>
    </row>
    <row r="57" spans="1:64">
      <c r="AX57" s="264"/>
      <c r="BA57" s="463"/>
      <c r="BB57" s="463"/>
      <c r="BC57" s="463"/>
      <c r="BD57" s="463"/>
      <c r="BE57" s="463"/>
      <c r="BF57" s="463"/>
      <c r="BG57" s="463"/>
      <c r="BH57" s="463"/>
      <c r="BI57" s="463"/>
      <c r="BJ57" s="463"/>
      <c r="BK57" s="463"/>
      <c r="BL57" s="463"/>
    </row>
    <row r="58" spans="1:64">
      <c r="AX58" s="264"/>
      <c r="BA58" s="463"/>
      <c r="BB58" s="463"/>
      <c r="BC58" s="463"/>
      <c r="BD58" s="463"/>
      <c r="BE58" s="463"/>
      <c r="BF58" s="463"/>
      <c r="BG58" s="463"/>
      <c r="BH58" s="463"/>
      <c r="BI58" s="463"/>
      <c r="BJ58" s="463"/>
      <c r="BK58" s="463"/>
      <c r="BL58" s="463"/>
    </row>
    <row r="59" spans="1:64">
      <c r="AX59" s="264"/>
      <c r="BA59" s="463"/>
      <c r="BB59" s="463"/>
      <c r="BC59" s="463"/>
      <c r="BD59" s="463"/>
      <c r="BE59" s="463"/>
      <c r="BF59" s="463"/>
      <c r="BG59" s="463"/>
      <c r="BH59" s="463"/>
      <c r="BI59" s="463"/>
      <c r="BJ59" s="463"/>
      <c r="BK59" s="463"/>
      <c r="BL59" s="463"/>
    </row>
    <row r="60" spans="1:64">
      <c r="AX60" s="264"/>
      <c r="BA60" s="463"/>
      <c r="BB60" s="463"/>
      <c r="BC60" s="463"/>
      <c r="BD60" s="463"/>
      <c r="BE60" s="463"/>
      <c r="BF60" s="463"/>
      <c r="BG60" s="463"/>
      <c r="BH60" s="463"/>
      <c r="BI60" s="463"/>
      <c r="BJ60" s="463"/>
      <c r="BK60" s="463"/>
      <c r="BL60" s="463"/>
    </row>
    <row r="61" spans="1:64">
      <c r="AX61" s="264"/>
      <c r="BA61" s="463"/>
      <c r="BB61" s="463"/>
      <c r="BC61" s="463"/>
      <c r="BD61" s="463"/>
      <c r="BE61" s="463"/>
      <c r="BF61" s="463"/>
      <c r="BG61" s="463"/>
      <c r="BH61" s="463"/>
      <c r="BI61" s="463"/>
      <c r="BJ61" s="463"/>
      <c r="BK61" s="463"/>
      <c r="BL61" s="463"/>
    </row>
    <row r="62" spans="1:64" ht="23.25" customHeight="1">
      <c r="A62" s="826" t="s">
        <v>462</v>
      </c>
      <c r="B62" s="826"/>
      <c r="C62" s="826"/>
      <c r="D62" s="826"/>
    </row>
    <row r="63" spans="1:64" ht="15" customHeight="1">
      <c r="A63" s="826"/>
      <c r="B63" s="826"/>
      <c r="C63" s="826"/>
      <c r="D63" s="826"/>
      <c r="AZ63" t="s">
        <v>100</v>
      </c>
      <c r="BA63" s="440">
        <v>100</v>
      </c>
      <c r="BB63" s="440">
        <v>100</v>
      </c>
      <c r="BC63" s="440">
        <v>100</v>
      </c>
      <c r="BD63" s="440">
        <v>100</v>
      </c>
      <c r="BE63" s="440">
        <v>100</v>
      </c>
      <c r="BF63" s="440">
        <v>100</v>
      </c>
      <c r="BG63" s="440">
        <v>100</v>
      </c>
      <c r="BH63" s="440">
        <v>100</v>
      </c>
      <c r="BI63" s="440">
        <v>100</v>
      </c>
      <c r="BJ63" s="440">
        <v>100</v>
      </c>
      <c r="BK63" s="440">
        <v>100</v>
      </c>
      <c r="BL63" s="440">
        <v>100</v>
      </c>
    </row>
    <row r="64" spans="1:64" ht="15" customHeight="1">
      <c r="A64" s="826"/>
      <c r="B64" s="826"/>
      <c r="C64" s="826"/>
      <c r="D64" s="826"/>
      <c r="AZ64" t="s">
        <v>254</v>
      </c>
      <c r="BA64" s="447">
        <f>SUM(BA67:BA96)</f>
        <v>72.37</v>
      </c>
      <c r="BB64" s="447">
        <f t="shared" ref="BB64:BI64" si="228">SUM(BB67:BB96)</f>
        <v>87.880000000000038</v>
      </c>
      <c r="BC64" s="447">
        <f t="shared" si="228"/>
        <v>98.72999999999999</v>
      </c>
      <c r="BD64" s="447">
        <f t="shared" si="228"/>
        <v>99.18</v>
      </c>
      <c r="BE64" s="447">
        <f t="shared" si="228"/>
        <v>98.450000000000017</v>
      </c>
      <c r="BF64" s="447">
        <f t="shared" si="228"/>
        <v>95.890000000000015</v>
      </c>
      <c r="BG64" s="447">
        <f t="shared" si="228"/>
        <v>98.030000000000015</v>
      </c>
      <c r="BH64" s="447">
        <f t="shared" si="228"/>
        <v>98.940000000000012</v>
      </c>
      <c r="BI64" s="447">
        <f t="shared" si="228"/>
        <v>98.67</v>
      </c>
      <c r="BJ64" s="447"/>
      <c r="BK64" s="447"/>
      <c r="BL64" s="447"/>
    </row>
    <row r="65" spans="1:64">
      <c r="E65" s="21" t="s">
        <v>100</v>
      </c>
      <c r="G65">
        <v>1</v>
      </c>
      <c r="H65">
        <v>2</v>
      </c>
      <c r="I65">
        <v>3</v>
      </c>
      <c r="J65">
        <v>4</v>
      </c>
      <c r="K65">
        <v>5</v>
      </c>
      <c r="L65">
        <v>6</v>
      </c>
      <c r="M65">
        <v>7</v>
      </c>
      <c r="N65">
        <v>8</v>
      </c>
      <c r="O65">
        <v>9</v>
      </c>
      <c r="P65">
        <v>10</v>
      </c>
      <c r="Q65">
        <v>11</v>
      </c>
      <c r="R65">
        <v>12</v>
      </c>
      <c r="T65" s="21" t="s">
        <v>254</v>
      </c>
      <c r="V65">
        <v>1</v>
      </c>
      <c r="W65">
        <v>2</v>
      </c>
      <c r="X65">
        <v>3</v>
      </c>
      <c r="Y65">
        <v>4</v>
      </c>
      <c r="Z65">
        <v>5</v>
      </c>
      <c r="AA65">
        <v>6</v>
      </c>
      <c r="AB65">
        <v>7</v>
      </c>
      <c r="AC65">
        <v>8</v>
      </c>
      <c r="AD65">
        <v>9</v>
      </c>
      <c r="AE65">
        <v>10</v>
      </c>
      <c r="AF65">
        <v>11</v>
      </c>
      <c r="AG65">
        <v>12</v>
      </c>
      <c r="AI65" s="21" t="s">
        <v>102</v>
      </c>
      <c r="AK65">
        <v>1</v>
      </c>
      <c r="AL65">
        <v>2</v>
      </c>
      <c r="AM65">
        <v>3</v>
      </c>
      <c r="AN65">
        <v>4</v>
      </c>
      <c r="AO65">
        <v>5</v>
      </c>
      <c r="AP65">
        <v>6</v>
      </c>
      <c r="AQ65">
        <v>7</v>
      </c>
      <c r="AR65">
        <v>8</v>
      </c>
      <c r="AS65">
        <v>9</v>
      </c>
      <c r="AT65">
        <v>10</v>
      </c>
      <c r="AU65">
        <v>11</v>
      </c>
      <c r="AV65">
        <v>12</v>
      </c>
      <c r="AX65" s="21" t="s">
        <v>99</v>
      </c>
      <c r="BA65">
        <v>1</v>
      </c>
      <c r="BB65">
        <v>2</v>
      </c>
      <c r="BC65">
        <v>3</v>
      </c>
      <c r="BD65">
        <v>4</v>
      </c>
      <c r="BE65">
        <v>5</v>
      </c>
      <c r="BF65">
        <v>6</v>
      </c>
      <c r="BG65">
        <v>7</v>
      </c>
      <c r="BH65">
        <v>8</v>
      </c>
      <c r="BI65">
        <v>9</v>
      </c>
      <c r="BJ65">
        <v>10</v>
      </c>
      <c r="BK65">
        <v>11</v>
      </c>
      <c r="BL65">
        <v>12</v>
      </c>
    </row>
    <row r="66" spans="1:64">
      <c r="A66" t="s">
        <v>448</v>
      </c>
      <c r="B66" t="s">
        <v>449</v>
      </c>
      <c r="C66" t="s">
        <v>450</v>
      </c>
      <c r="E66" s="21" t="s">
        <v>451</v>
      </c>
      <c r="G66" s="438">
        <f>DATE(2025,G65+1,0)</f>
        <v>45688</v>
      </c>
      <c r="H66" s="438">
        <f t="shared" ref="H66:R66" si="229">DATE(2025,H65+1,0)</f>
        <v>45716</v>
      </c>
      <c r="I66" s="438">
        <f t="shared" si="229"/>
        <v>45747</v>
      </c>
      <c r="J66" s="438">
        <f t="shared" si="229"/>
        <v>45777</v>
      </c>
      <c r="K66" s="438">
        <f t="shared" si="229"/>
        <v>45808</v>
      </c>
      <c r="L66" s="438">
        <f t="shared" si="229"/>
        <v>45838</v>
      </c>
      <c r="M66" s="438">
        <f t="shared" si="229"/>
        <v>45869</v>
      </c>
      <c r="N66" s="438">
        <f t="shared" si="229"/>
        <v>45900</v>
      </c>
      <c r="O66" s="438">
        <f t="shared" si="229"/>
        <v>45930</v>
      </c>
      <c r="P66" s="438">
        <f t="shared" si="229"/>
        <v>45961</v>
      </c>
      <c r="Q66" s="438">
        <f t="shared" si="229"/>
        <v>45991</v>
      </c>
      <c r="R66" s="438">
        <f t="shared" si="229"/>
        <v>46022</v>
      </c>
      <c r="T66" s="21" t="s">
        <v>451</v>
      </c>
      <c r="V66" s="438">
        <f>DATE(2025,V65+1,0)</f>
        <v>45688</v>
      </c>
      <c r="W66" s="438">
        <f t="shared" ref="W66:AG66" si="230">DATE(2025,W65+1,0)</f>
        <v>45716</v>
      </c>
      <c r="X66" s="438">
        <f t="shared" si="230"/>
        <v>45747</v>
      </c>
      <c r="Y66" s="438">
        <f t="shared" si="230"/>
        <v>45777</v>
      </c>
      <c r="Z66" s="438">
        <f t="shared" si="230"/>
        <v>45808</v>
      </c>
      <c r="AA66" s="438">
        <f t="shared" si="230"/>
        <v>45838</v>
      </c>
      <c r="AB66" s="438">
        <f t="shared" si="230"/>
        <v>45869</v>
      </c>
      <c r="AC66" s="438">
        <f t="shared" si="230"/>
        <v>45900</v>
      </c>
      <c r="AD66" s="438">
        <f t="shared" si="230"/>
        <v>45930</v>
      </c>
      <c r="AE66" s="438">
        <f t="shared" si="230"/>
        <v>45961</v>
      </c>
      <c r="AF66" s="438">
        <f t="shared" si="230"/>
        <v>45991</v>
      </c>
      <c r="AG66" s="438">
        <f t="shared" si="230"/>
        <v>46022</v>
      </c>
      <c r="AI66" s="21" t="s">
        <v>451</v>
      </c>
      <c r="AK66" s="438">
        <f>DATE(2025,AK65+1,0)</f>
        <v>45688</v>
      </c>
      <c r="AL66" s="438">
        <f t="shared" ref="AL66:AV66" si="231">DATE(2025,AL65+1,0)</f>
        <v>45716</v>
      </c>
      <c r="AM66" s="438">
        <f t="shared" si="231"/>
        <v>45747</v>
      </c>
      <c r="AN66" s="438">
        <f t="shared" si="231"/>
        <v>45777</v>
      </c>
      <c r="AO66" s="438">
        <f t="shared" si="231"/>
        <v>45808</v>
      </c>
      <c r="AP66" s="438">
        <f t="shared" si="231"/>
        <v>45838</v>
      </c>
      <c r="AQ66" s="438">
        <f t="shared" si="231"/>
        <v>45869</v>
      </c>
      <c r="AR66" s="438">
        <f t="shared" si="231"/>
        <v>45900</v>
      </c>
      <c r="AS66" s="438">
        <f t="shared" si="231"/>
        <v>45930</v>
      </c>
      <c r="AT66" s="438">
        <f t="shared" si="231"/>
        <v>45961</v>
      </c>
      <c r="AU66" s="438">
        <f t="shared" si="231"/>
        <v>45991</v>
      </c>
      <c r="AV66" s="438">
        <f t="shared" si="231"/>
        <v>46022</v>
      </c>
      <c r="AX66" s="21" t="s">
        <v>451</v>
      </c>
      <c r="BA66" s="438">
        <f>DATE(2025,BA65+1,0)</f>
        <v>45688</v>
      </c>
      <c r="BB66" s="438">
        <f t="shared" ref="BB66:BL66" si="232">DATE(2025,BB65+1,0)</f>
        <v>45716</v>
      </c>
      <c r="BC66" s="438">
        <f t="shared" si="232"/>
        <v>45747</v>
      </c>
      <c r="BD66" s="438">
        <f t="shared" si="232"/>
        <v>45777</v>
      </c>
      <c r="BE66" s="438">
        <f t="shared" si="232"/>
        <v>45808</v>
      </c>
      <c r="BF66" s="438">
        <f t="shared" si="232"/>
        <v>45838</v>
      </c>
      <c r="BG66" s="438">
        <f t="shared" si="232"/>
        <v>45869</v>
      </c>
      <c r="BH66" s="438">
        <f t="shared" si="232"/>
        <v>45900</v>
      </c>
      <c r="BI66" s="438">
        <f t="shared" si="232"/>
        <v>45930</v>
      </c>
      <c r="BJ66" s="438">
        <f t="shared" si="232"/>
        <v>45961</v>
      </c>
      <c r="BK66" s="438">
        <f t="shared" si="232"/>
        <v>45991</v>
      </c>
      <c r="BL66" s="438">
        <f t="shared" si="232"/>
        <v>46022</v>
      </c>
    </row>
    <row r="67" spans="1:64">
      <c r="A67" t="str" cm="1">
        <f t="array" ref="A67:A96">_xlfn._xlws.FILTER(ULP!$D$9:$D$58,ULP!$E$9:$E$58&gt;0)</f>
        <v>Penjualan Tenaga Listrik</v>
      </c>
      <c r="B67" t="e" cm="1">
        <f t="array" ref="B67:B96">SEARCH(".",_xlfn.ANCHORARRAY(A67))</f>
        <v>#VALUE!</v>
      </c>
      <c r="C67" t="str" cm="1">
        <f t="array" ref="C67:C96">IF(ISERROR(_xlfn.ANCHORARRAY(B67))=TRUE,_xlfn.ANCHORARRAY(A67),RIGHT(_xlfn.ANCHORARRAY(A67),LEN(_xlfn.ANCHORARRAY(A67))-_xlfn.ANCHORARRAY(B67)-1))</f>
        <v>Penjualan Tenaga Listrik</v>
      </c>
      <c r="D67" s="105" t="s">
        <v>456</v>
      </c>
      <c r="E67" t="str" cm="1">
        <f t="array" ref="E67:E96">_xlfn.ANCHORARRAY($C$67)</f>
        <v>Penjualan Tenaga Listrik</v>
      </c>
      <c r="G67" s="440" cm="1">
        <f t="array" ref="G67:G96">INDEX(T.TOLIS!I$7:I$55,MATCH(_xlfn.ANCHORARRAY($A$67),T.TOLIS!$B$7:$B$55,0))</f>
        <v>6.54</v>
      </c>
      <c r="H67" s="440" cm="1">
        <f t="array" ref="H67:H96">INDEX(T.TOLIS!J$7:J$55,MATCH(_xlfn.ANCHORARRAY($A$67),T.TOLIS!$B$7:$B$55,0))</f>
        <v>12.76</v>
      </c>
      <c r="I67" s="440" cm="1">
        <f t="array" ref="I67:I96">INDEX(T.TOLIS!K$7:K$55,MATCH(_xlfn.ANCHORARRAY($A$67),T.TOLIS!$B$7:$B$55,0))</f>
        <v>19.68</v>
      </c>
      <c r="J67" s="440" cm="1">
        <f t="array" ref="J67:J96">INDEX(T.TOLIS!L$7:L$55,MATCH(_xlfn.ANCHORARRAY($A$67),T.TOLIS!$B$7:$B$55,0))</f>
        <v>26.37</v>
      </c>
      <c r="K67" s="440" cm="1">
        <f t="array" ref="K67:K96">INDEX(T.TOLIS!M$7:M$55,MATCH(_xlfn.ANCHORARRAY($A$67),T.TOLIS!$B$7:$B$55,0))</f>
        <v>33.24</v>
      </c>
      <c r="L67" s="440" cm="1">
        <f t="array" ref="L67:L96">INDEX(T.TOLIS!N$7:N$55,MATCH(_xlfn.ANCHORARRAY($A$67),T.TOLIS!$B$7:$B$55,0))</f>
        <v>39.700000000000003</v>
      </c>
      <c r="M67" s="440" cm="1">
        <f t="array" ref="M67:M96">INDEX(T.TOLIS!O$7:O$55,MATCH(_xlfn.ANCHORARRAY($A$67),T.TOLIS!$B$7:$B$55,0))</f>
        <v>46.24</v>
      </c>
      <c r="N67" s="440" cm="1">
        <f t="array" ref="N67:N96">INDEX(T.TOLIS!P$7:P$55,MATCH(_xlfn.ANCHORARRAY($A$67),T.TOLIS!$B$7:$B$55,0))</f>
        <v>52.96</v>
      </c>
      <c r="O67" s="440" cm="1">
        <f t="array" ref="O67:O96">INDEX(T.TOLIS!Q$7:Q$55,MATCH(_xlfn.ANCHORARRAY($A$67),T.TOLIS!$B$7:$B$55,0))</f>
        <v>59.74</v>
      </c>
      <c r="P67" s="440" cm="1">
        <f t="array" ref="P67:P96">INDEX(T.TOLIS!R$7:R$55,MATCH(_xlfn.ANCHORARRAY($A$67),T.TOLIS!$B$7:$B$55,0))</f>
        <v>66.819999999999993</v>
      </c>
      <c r="Q67" s="440" cm="1">
        <f t="array" ref="Q67:Q96">INDEX(T.TOLIS!S$7:S$55,MATCH(_xlfn.ANCHORARRAY($A$67),T.TOLIS!$B$7:$B$55,0))</f>
        <v>73.760000000000005</v>
      </c>
      <c r="R67" s="440" cm="1">
        <f t="array" ref="R67:R96">INDEX(T.TOLIS!T$7:T$55,MATCH(_xlfn.ANCHORARRAY($A$67),T.TOLIS!$B$7:$B$55,0))</f>
        <v>80.8</v>
      </c>
      <c r="T67" t="str" cm="1">
        <f t="array" ref="T67:T96">_xlfn.ANCHORARRAY($C$67)</f>
        <v>Penjualan Tenaga Listrik</v>
      </c>
      <c r="V67" s="440" cm="1">
        <f t="array" ref="V67:V96">INDEX('R.TOLIS'!I$7:I$56,MATCH(_xlfn.ANCHORARRAY($A$67),'R.TOLIS'!$B$7:$B$56,0))</f>
        <v>7.5138379950000003</v>
      </c>
      <c r="W67" s="440" cm="1">
        <f t="array" ref="W67:W96">INDEX('R.TOLIS'!J$7:J$56,MATCH(_xlfn.ANCHORARRAY($A$67),'R.TOLIS'!$B$7:$B$56,0))</f>
        <v>14.121420571000002</v>
      </c>
      <c r="X67" s="440" cm="1">
        <f t="array" ref="X67:X96">INDEX('R.TOLIS'!K$7:K$56,MATCH(_xlfn.ANCHORARRAY($A$67),'R.TOLIS'!$B$7:$B$56,0))</f>
        <v>20.408071021000001</v>
      </c>
      <c r="Y67" s="440" cm="1">
        <f t="array" ref="Y67:Y96">INDEX('R.TOLIS'!L$7:L$56,MATCH(_xlfn.ANCHORARRAY($A$67),'R.TOLIS'!$B$7:$B$56,0))</f>
        <v>25.735401896000003</v>
      </c>
      <c r="Z67" s="440" cm="1">
        <f t="array" ref="Z67:Z96">INDEX('R.TOLIS'!M$7:M$56,MATCH(_xlfn.ANCHORARRAY($A$67),'R.TOLIS'!$B$7:$B$56,0))</f>
        <v>31.812937064000003</v>
      </c>
      <c r="AA67" s="440" cm="1">
        <f t="array" ref="AA67:AA96">INDEX('R.TOLIS'!N$7:N$56,MATCH(_xlfn.ANCHORARRAY($A$67),'R.TOLIS'!$B$7:$B$56,0))</f>
        <v>37.635657317000003</v>
      </c>
      <c r="AB67" s="440" cm="1">
        <f t="array" ref="AB67:AB96">INDEX('R.TOLIS'!O$7:O$56,MATCH(_xlfn.ANCHORARRAY($A$67),'R.TOLIS'!$B$7:$B$56,0))</f>
        <v>43.715482449000007</v>
      </c>
      <c r="AC67" s="440" cm="1">
        <f t="array" ref="AC67:AC96">INDEX('R.TOLIS'!P$7:P$56,MATCH(_xlfn.ANCHORARRAY($A$67),'R.TOLIS'!$B$7:$B$56,0))</f>
        <v>49.775069007000006</v>
      </c>
      <c r="AD67" s="440" cm="1">
        <f t="array" ref="AD67:AD96">INDEX('R.TOLIS'!Q$7:Q$56,MATCH(_xlfn.ANCHORARRAY($A$67),'R.TOLIS'!$B$7:$B$56,0))</f>
        <v>55.865174559000003</v>
      </c>
      <c r="AE67" s="440" cm="1">
        <f t="array" ref="AE67:AE96">INDEX('R.TOLIS'!R$7:R$56,MATCH(_xlfn.ANCHORARRAY($A$67),'R.TOLIS'!$B$7:$B$56,0))</f>
        <v>62.369689695000005</v>
      </c>
      <c r="AF67" s="440" cm="1">
        <f t="array" ref="AF67:AF96">INDEX('R.TOLIS'!S$7:S$56,MATCH(_xlfn.ANCHORARRAY($A$67),'R.TOLIS'!$B$7:$B$56,0))</f>
        <v>0</v>
      </c>
      <c r="AG67" s="440" cm="1">
        <f t="array" ref="AG67:AG96">INDEX('R.TOLIS'!T$7:T$56,MATCH(_xlfn.ANCHORARRAY($A$67),'R.TOLIS'!$B$7:$B$56,0))</f>
        <v>0</v>
      </c>
      <c r="AI67" t="str" cm="1">
        <f t="array" ref="AI67:AI96">_xlfn.ANCHORARRAY($C$67)</f>
        <v>Penjualan Tenaga Listrik</v>
      </c>
      <c r="AK67" s="440">
        <f>IF(V67/G67*100&gt;110,110,V67/G67*100)</f>
        <v>110</v>
      </c>
      <c r="AL67" s="440">
        <f t="shared" ref="AL67:AV67" si="233">IF(W67/H67*100&gt;110,110,W67/H67*100)</f>
        <v>110</v>
      </c>
      <c r="AM67" s="440">
        <f t="shared" si="233"/>
        <v>103.69954787093496</v>
      </c>
      <c r="AN67" s="440">
        <f t="shared" si="233"/>
        <v>97.59348462646949</v>
      </c>
      <c r="AO67" s="440">
        <f t="shared" si="233"/>
        <v>95.706790204572812</v>
      </c>
      <c r="AP67" s="440">
        <f t="shared" si="233"/>
        <v>94.800144375314872</v>
      </c>
      <c r="AQ67" s="440">
        <f t="shared" si="233"/>
        <v>94.540403220155724</v>
      </c>
      <c r="AR67" s="440">
        <f t="shared" si="233"/>
        <v>93.986157490558924</v>
      </c>
      <c r="AS67" s="440">
        <f t="shared" si="233"/>
        <v>93.513850952460658</v>
      </c>
      <c r="AT67" s="440">
        <f t="shared" si="233"/>
        <v>93.339852880874005</v>
      </c>
      <c r="AU67" s="440">
        <f t="shared" si="233"/>
        <v>0</v>
      </c>
      <c r="AV67" s="440">
        <f t="shared" si="233"/>
        <v>0</v>
      </c>
      <c r="AX67" t="str" cm="1">
        <f t="array" ref="AX67:AX96">_xlfn.ANCHORARRAY($C$67)</f>
        <v>Penjualan Tenaga Listrik</v>
      </c>
      <c r="AY67" s="105" t="s">
        <v>452</v>
      </c>
      <c r="AZ67">
        <v>14</v>
      </c>
      <c r="BA67" s="440">
        <f t="shared" ref="BA67:BA96" si="234">ROUNDDOWN(AK67/100*$AZ67,2)</f>
        <v>15.4</v>
      </c>
      <c r="BB67" s="440">
        <f t="shared" ref="BB67:BB96" si="235">ROUNDDOWN(AL67/100*$AZ67,2)</f>
        <v>15.4</v>
      </c>
      <c r="BC67" s="440">
        <f t="shared" ref="BC67:BC96" si="236">ROUNDDOWN(AM67/100*$AZ67,2)</f>
        <v>14.51</v>
      </c>
      <c r="BD67" s="440">
        <f t="shared" ref="BD67:BD96" si="237">ROUNDDOWN(AN67/100*$AZ67,2)</f>
        <v>13.66</v>
      </c>
      <c r="BE67" s="440">
        <f t="shared" ref="BE67:BE96" si="238">ROUNDDOWN(AO67/100*$AZ67,2)</f>
        <v>13.39</v>
      </c>
      <c r="BF67" s="440">
        <f t="shared" ref="BF67:BF96" si="239">ROUNDDOWN(AP67/100*$AZ67,2)</f>
        <v>13.27</v>
      </c>
      <c r="BG67" s="440">
        <f t="shared" ref="BG67:BG96" si="240">ROUNDDOWN(AQ67/100*$AZ67,2)</f>
        <v>13.23</v>
      </c>
      <c r="BH67" s="440">
        <f t="shared" ref="BH67:BH96" si="241">ROUNDDOWN(AR67/100*$AZ67,2)</f>
        <v>13.15</v>
      </c>
      <c r="BI67" s="440">
        <f t="shared" ref="BI67:BI96" si="242">ROUNDDOWN(AS67/100*$AZ67,2)</f>
        <v>13.09</v>
      </c>
      <c r="BJ67" s="440">
        <f t="shared" ref="BJ67:BJ96" si="243">ROUNDDOWN(AT67/100*$AZ67,2)</f>
        <v>13.06</v>
      </c>
      <c r="BK67" s="440">
        <f t="shared" ref="BK67:BK96" si="244">ROUNDDOWN(AU67/100*$AZ67,2)</f>
        <v>0</v>
      </c>
      <c r="BL67" s="440">
        <f t="shared" ref="BL67:BL96" si="245">ROUNDDOWN(AV67/100*$AZ67,2)</f>
        <v>0</v>
      </c>
    </row>
    <row r="68" spans="1:64">
      <c r="A68" t="str">
        <v>a. SAIDI (sesuai kewenangan)</v>
      </c>
      <c r="B68">
        <v>2</v>
      </c>
      <c r="C68" t="str">
        <v>SAIDI (sesuai kewenangan)</v>
      </c>
      <c r="D68" s="105" t="s">
        <v>456</v>
      </c>
      <c r="E68" t="str">
        <v>SAIDI (sesuai kewenangan)</v>
      </c>
      <c r="G68" s="440">
        <v>32.44</v>
      </c>
      <c r="H68" s="440">
        <v>64.87</v>
      </c>
      <c r="I68" s="440">
        <v>97.31</v>
      </c>
      <c r="J68" s="440">
        <v>129.75</v>
      </c>
      <c r="K68" s="440">
        <v>162.18</v>
      </c>
      <c r="L68" s="440">
        <v>194.62</v>
      </c>
      <c r="M68" s="440">
        <v>227.06</v>
      </c>
      <c r="N68" s="440">
        <v>259.49</v>
      </c>
      <c r="O68" s="440">
        <v>291.93</v>
      </c>
      <c r="P68" s="440">
        <v>324.37</v>
      </c>
      <c r="Q68" s="440">
        <v>356.8</v>
      </c>
      <c r="R68" s="440">
        <v>389.24</v>
      </c>
      <c r="T68" t="str">
        <v>SAIDI (sesuai kewenangan)</v>
      </c>
      <c r="V68" s="440">
        <v>12.866101803710123</v>
      </c>
      <c r="W68" s="440">
        <v>15.49250368094232</v>
      </c>
      <c r="X68" s="440">
        <v>17.329474132424949</v>
      </c>
      <c r="Y68" s="440">
        <v>43.424826296666168</v>
      </c>
      <c r="Z68" s="440">
        <v>131.17240589545116</v>
      </c>
      <c r="AA68" s="440">
        <v>210.30229841269841</v>
      </c>
      <c r="AB68" s="440">
        <v>223.38745406158915</v>
      </c>
      <c r="AC68" s="440">
        <v>228.80562323483539</v>
      </c>
      <c r="AD68" s="440">
        <v>243.85041218034991</v>
      </c>
      <c r="AE68" s="440">
        <v>330.04879919527218</v>
      </c>
      <c r="AF68" s="440">
        <v>0</v>
      </c>
      <c r="AG68" s="440">
        <v>0</v>
      </c>
      <c r="AI68" t="str">
        <v>SAIDI (sesuai kewenangan)</v>
      </c>
      <c r="AK68" s="440">
        <f t="shared" ref="AK68:AV69" si="246">IF((2-(V68/G68))*100&gt;110,110,(2-(V68/G68))*100)</f>
        <v>110</v>
      </c>
      <c r="AL68" s="440">
        <f t="shared" si="246"/>
        <v>110</v>
      </c>
      <c r="AM68" s="440">
        <f t="shared" si="246"/>
        <v>110</v>
      </c>
      <c r="AN68" s="440">
        <f t="shared" si="246"/>
        <v>110</v>
      </c>
      <c r="AO68" s="440">
        <f t="shared" si="246"/>
        <v>110</v>
      </c>
      <c r="AP68" s="440">
        <f t="shared" si="246"/>
        <v>91.942093097986643</v>
      </c>
      <c r="AQ68" s="440">
        <f t="shared" si="246"/>
        <v>101.61743413124762</v>
      </c>
      <c r="AR68" s="440">
        <f t="shared" si="246"/>
        <v>110</v>
      </c>
      <c r="AS68" s="440">
        <f t="shared" si="246"/>
        <v>110</v>
      </c>
      <c r="AT68" s="440">
        <f t="shared" si="246"/>
        <v>98.249283474035138</v>
      </c>
      <c r="AU68" s="440">
        <f t="shared" si="246"/>
        <v>110</v>
      </c>
      <c r="AV68" s="440">
        <f t="shared" si="246"/>
        <v>110</v>
      </c>
      <c r="AX68" t="str">
        <v>SAIDI (sesuai kewenangan)</v>
      </c>
      <c r="AY68" s="105" t="s">
        <v>452</v>
      </c>
      <c r="AZ68">
        <v>6</v>
      </c>
      <c r="BA68" s="440">
        <f t="shared" si="234"/>
        <v>6.6</v>
      </c>
      <c r="BB68" s="440">
        <f t="shared" si="235"/>
        <v>6.6</v>
      </c>
      <c r="BC68" s="440">
        <f t="shared" si="236"/>
        <v>6.6</v>
      </c>
      <c r="BD68" s="440">
        <f t="shared" si="237"/>
        <v>6.6</v>
      </c>
      <c r="BE68" s="440">
        <f t="shared" si="238"/>
        <v>6.6</v>
      </c>
      <c r="BF68" s="440">
        <f t="shared" si="239"/>
        <v>5.51</v>
      </c>
      <c r="BG68" s="440">
        <f t="shared" si="240"/>
        <v>6.09</v>
      </c>
      <c r="BH68" s="440">
        <f t="shared" si="241"/>
        <v>6.6</v>
      </c>
      <c r="BI68" s="440">
        <f t="shared" si="242"/>
        <v>6.6</v>
      </c>
      <c r="BJ68" s="440">
        <f t="shared" si="243"/>
        <v>5.89</v>
      </c>
      <c r="BK68" s="440">
        <f t="shared" si="244"/>
        <v>6.6</v>
      </c>
      <c r="BL68" s="440">
        <f t="shared" si="245"/>
        <v>6.6</v>
      </c>
    </row>
    <row r="69" spans="1:64">
      <c r="A69" t="str">
        <v>b. SAIFI (sesuai kewenangan)</v>
      </c>
      <c r="B69">
        <v>2</v>
      </c>
      <c r="C69" t="str">
        <v>SAIFI (sesuai kewenangan)</v>
      </c>
      <c r="D69" s="105" t="s">
        <v>456</v>
      </c>
      <c r="E69" t="str">
        <v>SAIFI (sesuai kewenangan)</v>
      </c>
      <c r="G69" s="440">
        <v>0.28999999999999998</v>
      </c>
      <c r="H69" s="440">
        <v>0.59</v>
      </c>
      <c r="I69" s="440">
        <v>0.88</v>
      </c>
      <c r="J69" s="440">
        <v>1.18</v>
      </c>
      <c r="K69" s="440">
        <v>1.47</v>
      </c>
      <c r="L69" s="440">
        <v>1.76</v>
      </c>
      <c r="M69" s="440">
        <v>2.06</v>
      </c>
      <c r="N69" s="440">
        <v>2.35</v>
      </c>
      <c r="O69" s="440">
        <v>2.65</v>
      </c>
      <c r="P69" s="440">
        <v>2.94</v>
      </c>
      <c r="Q69" s="440">
        <v>3.23</v>
      </c>
      <c r="R69" s="440">
        <v>3.53</v>
      </c>
      <c r="T69" t="str">
        <v>SAIFI (sesuai kewenangan)</v>
      </c>
      <c r="V69" s="440">
        <v>0.12101760917474377</v>
      </c>
      <c r="W69" s="440">
        <v>0.13323944263064677</v>
      </c>
      <c r="X69" s="440">
        <v>0.22648499041941664</v>
      </c>
      <c r="Y69" s="440">
        <v>0.57531394088774623</v>
      </c>
      <c r="Z69" s="440">
        <v>1.2213763121620189</v>
      </c>
      <c r="AA69" s="440">
        <v>1.6972486772486772</v>
      </c>
      <c r="AB69" s="440">
        <v>1.9675579774426561</v>
      </c>
      <c r="AC69" s="440">
        <v>1.9942460902921215</v>
      </c>
      <c r="AD69" s="440">
        <v>2.3221105316285331</v>
      </c>
      <c r="AE69" s="440">
        <v>3.0893373569722118</v>
      </c>
      <c r="AF69" s="440">
        <v>0</v>
      </c>
      <c r="AG69" s="440">
        <v>0</v>
      </c>
      <c r="AI69" t="str">
        <v>SAIFI (sesuai kewenangan)</v>
      </c>
      <c r="AK69" s="440">
        <f t="shared" si="246"/>
        <v>110</v>
      </c>
      <c r="AL69" s="440">
        <f t="shared" si="246"/>
        <v>110</v>
      </c>
      <c r="AM69" s="440">
        <f t="shared" si="246"/>
        <v>110</v>
      </c>
      <c r="AN69" s="440">
        <f t="shared" si="246"/>
        <v>110</v>
      </c>
      <c r="AO69" s="440">
        <f t="shared" si="246"/>
        <v>110</v>
      </c>
      <c r="AP69" s="440">
        <f t="shared" si="246"/>
        <v>103.56541606541607</v>
      </c>
      <c r="AQ69" s="440">
        <f t="shared" si="246"/>
        <v>104.48747682317203</v>
      </c>
      <c r="AR69" s="440">
        <f t="shared" si="246"/>
        <v>110</v>
      </c>
      <c r="AS69" s="440">
        <f t="shared" si="246"/>
        <v>110</v>
      </c>
      <c r="AT69" s="440">
        <f t="shared" si="246"/>
        <v>94.920498062169671</v>
      </c>
      <c r="AU69" s="440">
        <f t="shared" si="246"/>
        <v>110</v>
      </c>
      <c r="AV69" s="440">
        <f t="shared" si="246"/>
        <v>110</v>
      </c>
      <c r="AX69" t="str">
        <v>SAIFI (sesuai kewenangan)</v>
      </c>
      <c r="AY69" s="105" t="s">
        <v>452</v>
      </c>
      <c r="AZ69">
        <v>6</v>
      </c>
      <c r="BA69" s="440">
        <f t="shared" si="234"/>
        <v>6.6</v>
      </c>
      <c r="BB69" s="440">
        <f t="shared" si="235"/>
        <v>6.6</v>
      </c>
      <c r="BC69" s="440">
        <f t="shared" si="236"/>
        <v>6.6</v>
      </c>
      <c r="BD69" s="440">
        <f t="shared" si="237"/>
        <v>6.6</v>
      </c>
      <c r="BE69" s="440">
        <f t="shared" si="238"/>
        <v>6.6</v>
      </c>
      <c r="BF69" s="440">
        <f t="shared" si="239"/>
        <v>6.21</v>
      </c>
      <c r="BG69" s="440">
        <f t="shared" si="240"/>
        <v>6.26</v>
      </c>
      <c r="BH69" s="440">
        <f t="shared" si="241"/>
        <v>6.6</v>
      </c>
      <c r="BI69" s="440">
        <f t="shared" si="242"/>
        <v>6.6</v>
      </c>
      <c r="BJ69" s="440">
        <f t="shared" si="243"/>
        <v>5.69</v>
      </c>
      <c r="BK69" s="440">
        <f t="shared" si="244"/>
        <v>6.6</v>
      </c>
      <c r="BL69" s="440">
        <f t="shared" si="245"/>
        <v>6.6</v>
      </c>
    </row>
    <row r="70" spans="1:64">
      <c r="A70" t="str">
        <v>c. ENS (sesuai kewenangan)</v>
      </c>
      <c r="B70">
        <v>2</v>
      </c>
      <c r="C70" t="str">
        <v>ENS (sesuai kewenangan)</v>
      </c>
      <c r="D70" s="105" t="s">
        <v>456</v>
      </c>
      <c r="E70" t="str">
        <v>ENS (sesuai kewenangan)</v>
      </c>
      <c r="G70" s="440">
        <v>4.04</v>
      </c>
      <c r="H70" s="440">
        <v>8.08</v>
      </c>
      <c r="I70" s="440">
        <v>12.12</v>
      </c>
      <c r="J70" s="440">
        <v>16.16</v>
      </c>
      <c r="K70" s="440">
        <v>20.190000000000001</v>
      </c>
      <c r="L70" s="440">
        <v>24.23</v>
      </c>
      <c r="M70" s="440">
        <v>28.27</v>
      </c>
      <c r="N70" s="440">
        <v>32.31</v>
      </c>
      <c r="O70" s="440">
        <v>36.35</v>
      </c>
      <c r="P70" s="440">
        <v>40.39</v>
      </c>
      <c r="Q70" s="440">
        <v>44.43</v>
      </c>
      <c r="R70" s="440">
        <v>48.47</v>
      </c>
      <c r="T70" t="str">
        <v>ENS (sesuai kewenangan)</v>
      </c>
      <c r="V70" s="440">
        <v>1.7090000000000001</v>
      </c>
      <c r="W70" s="440">
        <v>2.1909999999999998</v>
      </c>
      <c r="X70" s="440">
        <v>2.419</v>
      </c>
      <c r="Y70" s="440">
        <v>5.2450000000000001</v>
      </c>
      <c r="Z70" s="440">
        <v>11.946</v>
      </c>
      <c r="AA70" s="440">
        <v>17.651</v>
      </c>
      <c r="AB70" s="440">
        <v>18.875</v>
      </c>
      <c r="AC70" s="440">
        <v>20.253</v>
      </c>
      <c r="AD70" s="440">
        <v>22.542999999999999</v>
      </c>
      <c r="AE70" s="440">
        <v>28.983000000000001</v>
      </c>
      <c r="AF70" s="440">
        <v>0</v>
      </c>
      <c r="AG70" s="440">
        <v>0</v>
      </c>
      <c r="AI70" t="str">
        <v>ENS (sesuai kewenangan)</v>
      </c>
      <c r="AK70" s="440">
        <f t="shared" ref="AK70:AV70" si="247">IF(((G70-(V70-G70))/G70)*100&gt;110,110,((G70-(V70-G70))/G70)*100)</f>
        <v>110</v>
      </c>
      <c r="AL70" s="440">
        <f t="shared" si="247"/>
        <v>110</v>
      </c>
      <c r="AM70" s="440">
        <f t="shared" si="247"/>
        <v>110</v>
      </c>
      <c r="AN70" s="440">
        <f t="shared" si="247"/>
        <v>110</v>
      </c>
      <c r="AO70" s="440">
        <f t="shared" si="247"/>
        <v>110</v>
      </c>
      <c r="AP70" s="440">
        <f t="shared" si="247"/>
        <v>110</v>
      </c>
      <c r="AQ70" s="440">
        <f t="shared" si="247"/>
        <v>110</v>
      </c>
      <c r="AR70" s="440">
        <f t="shared" si="247"/>
        <v>110</v>
      </c>
      <c r="AS70" s="440">
        <f t="shared" si="247"/>
        <v>110</v>
      </c>
      <c r="AT70" s="440">
        <f t="shared" si="247"/>
        <v>110</v>
      </c>
      <c r="AU70" s="440">
        <f t="shared" si="247"/>
        <v>110</v>
      </c>
      <c r="AV70" s="440">
        <f t="shared" si="247"/>
        <v>110</v>
      </c>
      <c r="AX70" t="str">
        <v>ENS (sesuai kewenangan)</v>
      </c>
      <c r="AY70" s="105" t="s">
        <v>452</v>
      </c>
      <c r="AZ70">
        <v>2</v>
      </c>
      <c r="BA70" s="440">
        <f t="shared" si="234"/>
        <v>2.2000000000000002</v>
      </c>
      <c r="BB70" s="440">
        <f t="shared" si="235"/>
        <v>2.2000000000000002</v>
      </c>
      <c r="BC70" s="440">
        <f t="shared" si="236"/>
        <v>2.2000000000000002</v>
      </c>
      <c r="BD70" s="440">
        <f t="shared" si="237"/>
        <v>2.2000000000000002</v>
      </c>
      <c r="BE70" s="440">
        <f t="shared" si="238"/>
        <v>2.2000000000000002</v>
      </c>
      <c r="BF70" s="440">
        <f t="shared" si="239"/>
        <v>2.2000000000000002</v>
      </c>
      <c r="BG70" s="440">
        <f t="shared" si="240"/>
        <v>2.2000000000000002</v>
      </c>
      <c r="BH70" s="440">
        <f t="shared" si="241"/>
        <v>2.2000000000000002</v>
      </c>
      <c r="BI70" s="440">
        <f t="shared" si="242"/>
        <v>2.2000000000000002</v>
      </c>
      <c r="BJ70" s="440">
        <f t="shared" si="243"/>
        <v>2.2000000000000002</v>
      </c>
      <c r="BK70" s="440">
        <f t="shared" si="244"/>
        <v>2.2000000000000002</v>
      </c>
      <c r="BL70" s="440">
        <f t="shared" si="245"/>
        <v>2.2000000000000002</v>
      </c>
    </row>
    <row r="71" spans="1:64">
      <c r="A71" t="str">
        <v>a. Susut Distribusi Tanpa E-min (sesuai kewenangan)</v>
      </c>
      <c r="B71">
        <v>2</v>
      </c>
      <c r="C71" t="str">
        <v>Susut Distribusi Tanpa E-min (sesuai kewenangan)</v>
      </c>
      <c r="D71" s="105" t="s">
        <v>456</v>
      </c>
      <c r="E71" t="str">
        <v>Susut Distribusi Tanpa E-min (sesuai kewenangan)</v>
      </c>
      <c r="G71" s="440">
        <v>10.36</v>
      </c>
      <c r="H71" s="440">
        <v>10.36</v>
      </c>
      <c r="I71" s="440">
        <v>10.36</v>
      </c>
      <c r="J71" s="440">
        <v>10.17</v>
      </c>
      <c r="K71" s="440">
        <v>9.98</v>
      </c>
      <c r="L71" s="440">
        <v>9.7899999999999991</v>
      </c>
      <c r="M71" s="440">
        <v>9.7200000000000006</v>
      </c>
      <c r="N71" s="440">
        <v>9.65</v>
      </c>
      <c r="O71" s="440">
        <v>9.58</v>
      </c>
      <c r="P71" s="440">
        <v>9.51</v>
      </c>
      <c r="Q71" s="440">
        <v>9.44</v>
      </c>
      <c r="R71" s="440">
        <v>9.3699999999999992</v>
      </c>
      <c r="T71" t="str">
        <v>Susut Distribusi Tanpa E-min (sesuai kewenangan)</v>
      </c>
      <c r="V71" s="440">
        <v>-7.3511601633070995</v>
      </c>
      <c r="W71" s="440">
        <v>-6.5258103352265229</v>
      </c>
      <c r="X71" s="440">
        <v>-1.4319315839986146</v>
      </c>
      <c r="Y71" s="440">
        <v>4.1872286973182007</v>
      </c>
      <c r="Z71" s="440">
        <v>6.8399212986973561</v>
      </c>
      <c r="AA71" s="440">
        <v>7.2818607557456394</v>
      </c>
      <c r="AB71" s="440">
        <v>7.8285434996578616</v>
      </c>
      <c r="AC71" s="440">
        <v>7.8288026195481271</v>
      </c>
      <c r="AD71" s="440">
        <v>7.9794982755546888</v>
      </c>
      <c r="AE71" s="440">
        <v>7.8292269767726559</v>
      </c>
      <c r="AF71" s="440">
        <v>0</v>
      </c>
      <c r="AG71" s="440">
        <v>0</v>
      </c>
      <c r="AI71" t="str">
        <v>Susut Distribusi Tanpa E-min (sesuai kewenangan)</v>
      </c>
      <c r="AK71" s="440">
        <f t="shared" ref="AK71" si="248">IF((2-(V71/G71))*100&gt;110,110,(2-(V71/G71))*100)</f>
        <v>110</v>
      </c>
      <c r="AL71" s="440">
        <f t="shared" ref="AL71" si="249">IF((2-(W71/H71))*100&gt;110,110,(2-(W71/H71))*100)</f>
        <v>110</v>
      </c>
      <c r="AM71" s="440">
        <f t="shared" ref="AM71" si="250">IF((2-(X71/I71))*100&gt;110,110,(2-(X71/I71))*100)</f>
        <v>110</v>
      </c>
      <c r="AN71" s="440">
        <f t="shared" ref="AN71" si="251">IF((2-(Y71/J71))*100&gt;110,110,(2-(Y71/J71))*100)</f>
        <v>110</v>
      </c>
      <c r="AO71" s="440">
        <f t="shared" ref="AO71" si="252">IF((2-(Z71/K71))*100&gt;110,110,(2-(Z71/K71))*100)</f>
        <v>110</v>
      </c>
      <c r="AP71" s="440">
        <f t="shared" ref="AP71" si="253">IF((2-(AA71/L71))*100&gt;110,110,(2-(AA71/L71))*100)</f>
        <v>110</v>
      </c>
      <c r="AQ71" s="440">
        <f t="shared" ref="AQ71" si="254">IF((2-(AB71/M71))*100&gt;110,110,(2-(AB71/M71))*100)</f>
        <v>110</v>
      </c>
      <c r="AR71" s="440">
        <f t="shared" ref="AR71" si="255">IF((2-(AC71/N71))*100&gt;110,110,(2-(AC71/N71))*100)</f>
        <v>110</v>
      </c>
      <c r="AS71" s="440">
        <f t="shared" ref="AS71" si="256">IF((2-(AD71/O71))*100&gt;110,110,(2-(AD71/O71))*100)</f>
        <v>110</v>
      </c>
      <c r="AT71" s="440">
        <f t="shared" ref="AT71" si="257">IF((2-(AE71/P71))*100&gt;110,110,(2-(AE71/P71))*100)</f>
        <v>110</v>
      </c>
      <c r="AU71" s="440">
        <f t="shared" ref="AU71" si="258">IF((2-(AF71/Q71))*100&gt;110,110,(2-(AF71/Q71))*100)</f>
        <v>110</v>
      </c>
      <c r="AV71" s="440">
        <f t="shared" ref="AV71" si="259">IF((2-(AG71/R71))*100&gt;110,110,(2-(AG71/R71))*100)</f>
        <v>110</v>
      </c>
      <c r="AX71" t="str">
        <v>Susut Distribusi Tanpa E-min (sesuai kewenangan)</v>
      </c>
      <c r="AY71" s="105" t="s">
        <v>452</v>
      </c>
      <c r="AZ71">
        <v>4</v>
      </c>
      <c r="BA71" s="440">
        <f t="shared" si="234"/>
        <v>4.4000000000000004</v>
      </c>
      <c r="BB71" s="440">
        <f t="shared" si="235"/>
        <v>4.4000000000000004</v>
      </c>
      <c r="BC71" s="440">
        <f t="shared" si="236"/>
        <v>4.4000000000000004</v>
      </c>
      <c r="BD71" s="440">
        <f t="shared" si="237"/>
        <v>4.4000000000000004</v>
      </c>
      <c r="BE71" s="440">
        <f t="shared" si="238"/>
        <v>4.4000000000000004</v>
      </c>
      <c r="BF71" s="440">
        <f t="shared" si="239"/>
        <v>4.4000000000000004</v>
      </c>
      <c r="BG71" s="440">
        <f t="shared" si="240"/>
        <v>4.4000000000000004</v>
      </c>
      <c r="BH71" s="440">
        <f t="shared" si="241"/>
        <v>4.4000000000000004</v>
      </c>
      <c r="BI71" s="440">
        <f t="shared" si="242"/>
        <v>4.4000000000000004</v>
      </c>
      <c r="BJ71" s="440">
        <f t="shared" si="243"/>
        <v>4.4000000000000004</v>
      </c>
      <c r="BK71" s="440">
        <f t="shared" si="244"/>
        <v>4.4000000000000004</v>
      </c>
      <c r="BL71" s="440">
        <f t="shared" si="245"/>
        <v>4.4000000000000004</v>
      </c>
    </row>
    <row r="72" spans="1:64">
      <c r="A72" t="str">
        <v>b. Penyelesaian Temuan P2TL</v>
      </c>
      <c r="B72">
        <v>2</v>
      </c>
      <c r="C72" t="str">
        <v>Penyelesaian Temuan P2TL</v>
      </c>
      <c r="D72" s="105" t="s">
        <v>456</v>
      </c>
      <c r="E72" t="str">
        <v>Penyelesaian Temuan P2TL</v>
      </c>
      <c r="G72" s="440">
        <v>7.9266895761741116</v>
      </c>
      <c r="H72" s="440">
        <v>15.853379152348223</v>
      </c>
      <c r="I72" s="440">
        <v>23.780068728522334</v>
      </c>
      <c r="J72" s="440">
        <v>31.706758304696447</v>
      </c>
      <c r="K72" s="440">
        <v>39.633447880870563</v>
      </c>
      <c r="L72" s="440">
        <v>47.560137457044668</v>
      </c>
      <c r="M72" s="440">
        <v>56.300114547537227</v>
      </c>
      <c r="N72" s="440">
        <v>65.040091638029779</v>
      </c>
      <c r="O72" s="440">
        <v>73.780068728522338</v>
      </c>
      <c r="P72" s="440">
        <v>82.520045819014882</v>
      </c>
      <c r="Q72" s="440">
        <v>91.260022909507441</v>
      </c>
      <c r="R72" s="440">
        <v>100</v>
      </c>
      <c r="T72" t="str">
        <v>Penyelesaian Temuan P2TL</v>
      </c>
      <c r="V72" s="440">
        <v>3.8621231979030148</v>
      </c>
      <c r="W72" s="440">
        <v>6.3887287024901704</v>
      </c>
      <c r="X72" s="440">
        <v>19.804062909567495</v>
      </c>
      <c r="Y72" s="440">
        <v>25.67981651376147</v>
      </c>
      <c r="Z72" s="440">
        <v>32.756094364351242</v>
      </c>
      <c r="AA72" s="440">
        <v>60.138794233289644</v>
      </c>
      <c r="AB72" s="440">
        <v>79.221100917431187</v>
      </c>
      <c r="AC72" s="440">
        <v>88.92110091743119</v>
      </c>
      <c r="AD72" s="440">
        <v>101.83328964613368</v>
      </c>
      <c r="AE72" s="440">
        <v>111.49685452162517</v>
      </c>
      <c r="AF72" s="440">
        <v>111.49685452162517</v>
      </c>
      <c r="AG72" s="440">
        <v>111.49685452162517</v>
      </c>
      <c r="AI72" t="str">
        <v>Penyelesaian Temuan P2TL</v>
      </c>
      <c r="AK72" s="440">
        <f t="shared" ref="AK72:AK73" si="260">IF(V72/G72*100&gt;110,110,V72/G72*100)</f>
        <v>48.723028204759132</v>
      </c>
      <c r="AL72" s="440">
        <f t="shared" ref="AL72:AL73" si="261">IF(W72/H72*100&gt;110,110,W72/H72*100)</f>
        <v>40.298845067008088</v>
      </c>
      <c r="AM72" s="440">
        <f t="shared" ref="AM72:AM73" si="262">IF(X72/I72*100&gt;110,110,X72/I72*100)</f>
        <v>83.280091137054072</v>
      </c>
      <c r="AN72" s="440">
        <f t="shared" ref="AN72:AN73" si="263">IF(Y72/J72*100&gt;110,110,Y72/J72*100)</f>
        <v>80.99161783422602</v>
      </c>
      <c r="AO72" s="440">
        <f t="shared" ref="AO72:AO73" si="264">IF(Z72/K72*100&gt;110,110,Z72/K72*100)</f>
        <v>82.647602254562528</v>
      </c>
      <c r="AP72" s="440">
        <f t="shared" ref="AP72:AP73" si="265">IF(AA72/L72*100&gt;110,110,AA72/L72*100)</f>
        <v>110</v>
      </c>
      <c r="AQ72" s="440">
        <f t="shared" ref="AQ72:AQ73" si="266">IF(AB72/M72*100&gt;110,110,AB72/M72*100)</f>
        <v>110</v>
      </c>
      <c r="AR72" s="440">
        <f t="shared" ref="AR72:AR73" si="267">IF(AC72/N72*100&gt;110,110,AC72/N72*100)</f>
        <v>110</v>
      </c>
      <c r="AS72" s="440">
        <f t="shared" ref="AS72:AS73" si="268">IF(AD72/O72*100&gt;110,110,AD72/O72*100)</f>
        <v>110</v>
      </c>
      <c r="AT72" s="440">
        <f t="shared" ref="AT72:AT73" si="269">IF(AE72/P72*100&gt;110,110,AE72/P72*100)</f>
        <v>110</v>
      </c>
      <c r="AU72" s="440">
        <f t="shared" ref="AU72:AU73" si="270">IF(AF72/Q72*100&gt;110,110,AF72/Q72*100)</f>
        <v>110</v>
      </c>
      <c r="AV72" s="440">
        <f t="shared" ref="AV72:AV73" si="271">IF(AG72/R72*100&gt;110,110,AG72/R72*100)</f>
        <v>110</v>
      </c>
      <c r="AX72" t="str">
        <v>Penyelesaian Temuan P2TL</v>
      </c>
      <c r="AY72" s="105" t="s">
        <v>452</v>
      </c>
      <c r="AZ72">
        <v>4</v>
      </c>
      <c r="BA72" s="440">
        <f t="shared" si="234"/>
        <v>1.94</v>
      </c>
      <c r="BB72" s="440">
        <f t="shared" si="235"/>
        <v>1.61</v>
      </c>
      <c r="BC72" s="440">
        <f t="shared" si="236"/>
        <v>3.33</v>
      </c>
      <c r="BD72" s="440">
        <f t="shared" si="237"/>
        <v>3.23</v>
      </c>
      <c r="BE72" s="440">
        <f t="shared" si="238"/>
        <v>3.3</v>
      </c>
      <c r="BF72" s="440">
        <f t="shared" si="239"/>
        <v>4.4000000000000004</v>
      </c>
      <c r="BG72" s="440">
        <f t="shared" si="240"/>
        <v>4.4000000000000004</v>
      </c>
      <c r="BH72" s="440">
        <f t="shared" si="241"/>
        <v>4.4000000000000004</v>
      </c>
      <c r="BI72" s="440">
        <f t="shared" si="242"/>
        <v>4.4000000000000004</v>
      </c>
      <c r="BJ72" s="440">
        <f t="shared" si="243"/>
        <v>4.4000000000000004</v>
      </c>
      <c r="BK72" s="440">
        <f t="shared" si="244"/>
        <v>4.4000000000000004</v>
      </c>
      <c r="BL72" s="440">
        <f t="shared" si="245"/>
        <v>4.4000000000000004</v>
      </c>
    </row>
    <row r="73" spans="1:64">
      <c r="A73" t="str">
        <v>c. Penyelesaian Ganti Meter</v>
      </c>
      <c r="B73">
        <v>2</v>
      </c>
      <c r="C73" t="str">
        <v>Penyelesaian Ganti Meter</v>
      </c>
      <c r="D73" s="105" t="s">
        <v>456</v>
      </c>
      <c r="E73" t="str">
        <v>Penyelesaian Ganti Meter</v>
      </c>
      <c r="G73" s="440">
        <v>153</v>
      </c>
      <c r="H73" s="440">
        <v>305</v>
      </c>
      <c r="I73" s="440">
        <v>457</v>
      </c>
      <c r="J73" s="440">
        <v>609</v>
      </c>
      <c r="K73" s="440">
        <v>670</v>
      </c>
      <c r="L73" s="440">
        <v>729</v>
      </c>
      <c r="M73" s="440">
        <v>911</v>
      </c>
      <c r="N73" s="440">
        <v>1093</v>
      </c>
      <c r="O73" s="440">
        <v>1275</v>
      </c>
      <c r="P73" s="440">
        <v>1457</v>
      </c>
      <c r="Q73" s="440">
        <v>1457</v>
      </c>
      <c r="R73" s="440">
        <v>1457</v>
      </c>
      <c r="T73" t="str">
        <v>Penyelesaian Ganti Meter</v>
      </c>
      <c r="V73" s="440">
        <v>11</v>
      </c>
      <c r="W73" s="440">
        <v>100</v>
      </c>
      <c r="X73" s="440">
        <v>423</v>
      </c>
      <c r="Y73" s="440">
        <v>657</v>
      </c>
      <c r="Z73" s="440">
        <v>883</v>
      </c>
      <c r="AA73" s="440">
        <v>1049</v>
      </c>
      <c r="AB73" s="440">
        <v>1140</v>
      </c>
      <c r="AC73" s="440">
        <v>1186</v>
      </c>
      <c r="AD73" s="440">
        <v>1449</v>
      </c>
      <c r="AE73" s="440">
        <v>1458</v>
      </c>
      <c r="AF73" s="440">
        <v>1458</v>
      </c>
      <c r="AG73" s="440">
        <v>1458</v>
      </c>
      <c r="AI73" t="str">
        <v>Penyelesaian Ganti Meter</v>
      </c>
      <c r="AK73" s="440">
        <f t="shared" si="260"/>
        <v>7.18954248366013</v>
      </c>
      <c r="AL73" s="440">
        <f t="shared" si="261"/>
        <v>32.786885245901637</v>
      </c>
      <c r="AM73" s="440">
        <f t="shared" si="262"/>
        <v>92.560175054704601</v>
      </c>
      <c r="AN73" s="440">
        <f t="shared" si="263"/>
        <v>107.88177339901478</v>
      </c>
      <c r="AO73" s="440">
        <f t="shared" si="264"/>
        <v>110</v>
      </c>
      <c r="AP73" s="440">
        <f t="shared" si="265"/>
        <v>110</v>
      </c>
      <c r="AQ73" s="440">
        <f t="shared" si="266"/>
        <v>110</v>
      </c>
      <c r="AR73" s="440">
        <f t="shared" si="267"/>
        <v>108.50869167429093</v>
      </c>
      <c r="AS73" s="440">
        <f t="shared" si="268"/>
        <v>110</v>
      </c>
      <c r="AT73" s="440">
        <f t="shared" si="269"/>
        <v>100.06863417982154</v>
      </c>
      <c r="AU73" s="440">
        <f t="shared" si="270"/>
        <v>100.06863417982154</v>
      </c>
      <c r="AV73" s="440">
        <f t="shared" si="271"/>
        <v>100.06863417982154</v>
      </c>
      <c r="AX73" t="str">
        <v>Penyelesaian Ganti Meter</v>
      </c>
      <c r="AY73" s="105" t="s">
        <v>452</v>
      </c>
      <c r="AZ73">
        <v>4</v>
      </c>
      <c r="BA73" s="440">
        <f t="shared" si="234"/>
        <v>0.28000000000000003</v>
      </c>
      <c r="BB73" s="440">
        <f t="shared" si="235"/>
        <v>1.31</v>
      </c>
      <c r="BC73" s="440">
        <f t="shared" si="236"/>
        <v>3.7</v>
      </c>
      <c r="BD73" s="440">
        <f t="shared" si="237"/>
        <v>4.3099999999999996</v>
      </c>
      <c r="BE73" s="440">
        <f t="shared" si="238"/>
        <v>4.4000000000000004</v>
      </c>
      <c r="BF73" s="440">
        <f t="shared" si="239"/>
        <v>4.4000000000000004</v>
      </c>
      <c r="BG73" s="440">
        <f t="shared" si="240"/>
        <v>4.4000000000000004</v>
      </c>
      <c r="BH73" s="440">
        <f t="shared" si="241"/>
        <v>4.34</v>
      </c>
      <c r="BI73" s="440">
        <f t="shared" si="242"/>
        <v>4.4000000000000004</v>
      </c>
      <c r="BJ73" s="440">
        <f t="shared" si="243"/>
        <v>4</v>
      </c>
      <c r="BK73" s="440">
        <f t="shared" si="244"/>
        <v>4</v>
      </c>
      <c r="BL73" s="440">
        <f t="shared" si="245"/>
        <v>4</v>
      </c>
    </row>
    <row r="74" spans="1:64">
      <c r="A74" t="str">
        <v>a. Gangguan TM &gt; 5 Menit</v>
      </c>
      <c r="B74">
        <v>2</v>
      </c>
      <c r="C74" t="str">
        <v>Gangguan TM &gt; 5 Menit</v>
      </c>
      <c r="D74" s="105" t="s">
        <v>456</v>
      </c>
      <c r="E74" t="str">
        <v>Gangguan TM &gt; 5 Menit</v>
      </c>
      <c r="G74" s="440">
        <v>6</v>
      </c>
      <c r="H74" s="440">
        <v>11</v>
      </c>
      <c r="I74" s="440">
        <v>17</v>
      </c>
      <c r="J74" s="440">
        <v>22</v>
      </c>
      <c r="K74" s="440">
        <v>28</v>
      </c>
      <c r="L74" s="440">
        <v>33</v>
      </c>
      <c r="M74" s="440">
        <v>39</v>
      </c>
      <c r="N74" s="440">
        <v>44</v>
      </c>
      <c r="O74" s="440">
        <v>50</v>
      </c>
      <c r="P74" s="440">
        <v>55</v>
      </c>
      <c r="Q74" s="440">
        <v>61</v>
      </c>
      <c r="R74" s="440">
        <v>62</v>
      </c>
      <c r="T74" t="str">
        <v>Gangguan TM &gt; 5 Menit</v>
      </c>
      <c r="V74" s="440">
        <v>2</v>
      </c>
      <c r="W74" s="440">
        <v>3</v>
      </c>
      <c r="X74" s="440">
        <v>8</v>
      </c>
      <c r="Y74" s="440">
        <v>11</v>
      </c>
      <c r="Z74" s="440">
        <v>29</v>
      </c>
      <c r="AA74" s="440">
        <v>31</v>
      </c>
      <c r="AB74" s="440">
        <v>38</v>
      </c>
      <c r="AC74" s="440">
        <v>38</v>
      </c>
      <c r="AD74" s="440">
        <v>46</v>
      </c>
      <c r="AE74" s="440">
        <v>54</v>
      </c>
      <c r="AF74" s="440">
        <v>54</v>
      </c>
      <c r="AG74" s="440">
        <v>54</v>
      </c>
      <c r="AI74" t="str">
        <v>Gangguan TM &gt; 5 Menit</v>
      </c>
      <c r="AK74" s="440">
        <f t="shared" ref="AK74" si="272">IF(((G74-(V74-G74))/G74)*100&gt;110,110,((G74-(V74-G74))/G74)*100)</f>
        <v>110</v>
      </c>
      <c r="AL74" s="440">
        <f t="shared" ref="AL74" si="273">IF(((H74-(W74-H74))/H74)*100&gt;110,110,((H74-(W74-H74))/H74)*100)</f>
        <v>110</v>
      </c>
      <c r="AM74" s="440">
        <f t="shared" ref="AM74" si="274">IF(((I74-(X74-I74))/I74)*100&gt;110,110,((I74-(X74-I74))/I74)*100)</f>
        <v>110</v>
      </c>
      <c r="AN74" s="440">
        <f t="shared" ref="AN74" si="275">IF(((J74-(Y74-J74))/J74)*100&gt;110,110,((J74-(Y74-J74))/J74)*100)</f>
        <v>110</v>
      </c>
      <c r="AO74" s="440">
        <f t="shared" ref="AO74" si="276">IF(((K74-(Z74-K74))/K74)*100&gt;110,110,((K74-(Z74-K74))/K74)*100)</f>
        <v>96.428571428571431</v>
      </c>
      <c r="AP74" s="440">
        <f t="shared" ref="AP74" si="277">IF(((L74-(AA74-L74))/L74)*100&gt;110,110,((L74-(AA74-L74))/L74)*100)</f>
        <v>106.06060606060606</v>
      </c>
      <c r="AQ74" s="440">
        <f t="shared" ref="AQ74" si="278">IF(((M74-(AB74-M74))/M74)*100&gt;110,110,((M74-(AB74-M74))/M74)*100)</f>
        <v>102.56410256410255</v>
      </c>
      <c r="AR74" s="440">
        <f t="shared" ref="AR74" si="279">IF(((N74-(AC74-N74))/N74)*100&gt;110,110,((N74-(AC74-N74))/N74)*100)</f>
        <v>110</v>
      </c>
      <c r="AS74" s="440">
        <f t="shared" ref="AS74" si="280">IF(((O74-(AD74-O74))/O74)*100&gt;110,110,((O74-(AD74-O74))/O74)*100)</f>
        <v>108</v>
      </c>
      <c r="AT74" s="440">
        <f t="shared" ref="AT74" si="281">IF(((P74-(AE74-P74))/P74)*100&gt;110,110,((P74-(AE74-P74))/P74)*100)</f>
        <v>101.81818181818181</v>
      </c>
      <c r="AU74" s="440">
        <f t="shared" ref="AU74" si="282">IF(((Q74-(AF74-Q74))/Q74)*100&gt;110,110,((Q74-(AF74-Q74))/Q74)*100)</f>
        <v>110</v>
      </c>
      <c r="AV74" s="440">
        <f t="shared" ref="AV74" si="283">IF(((R74-(AG74-R74))/R74)*100&gt;110,110,((R74-(AG74-R74))/R74)*100)</f>
        <v>110</v>
      </c>
      <c r="AX74" t="str">
        <v>Gangguan TM &gt; 5 Menit</v>
      </c>
      <c r="AY74" s="105" t="s">
        <v>452</v>
      </c>
      <c r="AZ74">
        <v>3</v>
      </c>
      <c r="BA74" s="440">
        <f t="shared" si="234"/>
        <v>3.3</v>
      </c>
      <c r="BB74" s="440">
        <f t="shared" si="235"/>
        <v>3.3</v>
      </c>
      <c r="BC74" s="440">
        <f t="shared" si="236"/>
        <v>3.3</v>
      </c>
      <c r="BD74" s="440">
        <f t="shared" si="237"/>
        <v>3.3</v>
      </c>
      <c r="BE74" s="440">
        <f t="shared" si="238"/>
        <v>2.89</v>
      </c>
      <c r="BF74" s="440">
        <f t="shared" si="239"/>
        <v>3.18</v>
      </c>
      <c r="BG74" s="440">
        <f t="shared" si="240"/>
        <v>3.07</v>
      </c>
      <c r="BH74" s="440">
        <f t="shared" si="241"/>
        <v>3.3</v>
      </c>
      <c r="BI74" s="440">
        <f t="shared" si="242"/>
        <v>3.24</v>
      </c>
      <c r="BJ74" s="440">
        <f t="shared" si="243"/>
        <v>3.05</v>
      </c>
      <c r="BK74" s="440">
        <f t="shared" si="244"/>
        <v>3.3</v>
      </c>
      <c r="BL74" s="440">
        <f t="shared" si="245"/>
        <v>3.3</v>
      </c>
    </row>
    <row r="75" spans="1:64">
      <c r="A75" t="str">
        <v>b. Gangguan TM ≤ 5 Menit</v>
      </c>
      <c r="B75">
        <v>2</v>
      </c>
      <c r="C75" t="str">
        <v>Gangguan TM ≤ 5 Menit</v>
      </c>
      <c r="D75" s="105" t="s">
        <v>456</v>
      </c>
      <c r="E75" t="str">
        <v>Gangguan TM ≤ 5 Menit</v>
      </c>
      <c r="G75" s="440">
        <v>7</v>
      </c>
      <c r="H75" s="440">
        <v>14</v>
      </c>
      <c r="I75" s="440">
        <v>22</v>
      </c>
      <c r="J75" s="440">
        <v>29</v>
      </c>
      <c r="K75" s="440">
        <v>36</v>
      </c>
      <c r="L75" s="440">
        <v>43</v>
      </c>
      <c r="M75" s="440">
        <v>50</v>
      </c>
      <c r="N75" s="440">
        <v>57</v>
      </c>
      <c r="O75" s="440">
        <v>65</v>
      </c>
      <c r="P75" s="440">
        <v>72</v>
      </c>
      <c r="Q75" s="440">
        <v>79</v>
      </c>
      <c r="R75" s="440">
        <v>86</v>
      </c>
      <c r="T75" t="str">
        <v>Gangguan TM ≤ 5 Menit</v>
      </c>
      <c r="V75" s="440">
        <v>0</v>
      </c>
      <c r="W75" s="440">
        <v>6</v>
      </c>
      <c r="X75" s="440">
        <v>8</v>
      </c>
      <c r="Y75" s="440">
        <v>8</v>
      </c>
      <c r="Z75" s="440">
        <v>23</v>
      </c>
      <c r="AA75" s="440">
        <v>34</v>
      </c>
      <c r="AB75" s="440">
        <v>42</v>
      </c>
      <c r="AC75" s="440">
        <v>44</v>
      </c>
      <c r="AD75" s="440">
        <v>55</v>
      </c>
      <c r="AE75" s="440">
        <v>65</v>
      </c>
      <c r="AF75" s="440">
        <v>65</v>
      </c>
      <c r="AG75" s="440">
        <v>65</v>
      </c>
      <c r="AI75" t="str">
        <v>Gangguan TM ≤ 5 Menit</v>
      </c>
      <c r="AK75" s="440">
        <f t="shared" ref="AK75" si="284">IF((2-(V75/G75))*100&gt;110,110,(2-(V75/G75))*100)</f>
        <v>110</v>
      </c>
      <c r="AL75" s="440">
        <f t="shared" ref="AL75" si="285">IF((2-(W75/H75))*100&gt;110,110,(2-(W75/H75))*100)</f>
        <v>110</v>
      </c>
      <c r="AM75" s="440">
        <f t="shared" ref="AM75" si="286">IF((2-(X75/I75))*100&gt;110,110,(2-(X75/I75))*100)</f>
        <v>110</v>
      </c>
      <c r="AN75" s="440">
        <f t="shared" ref="AN75" si="287">IF((2-(Y75/J75))*100&gt;110,110,(2-(Y75/J75))*100)</f>
        <v>110</v>
      </c>
      <c r="AO75" s="440">
        <f t="shared" ref="AO75" si="288">IF((2-(Z75/K75))*100&gt;110,110,(2-(Z75/K75))*100)</f>
        <v>110</v>
      </c>
      <c r="AP75" s="440">
        <f t="shared" ref="AP75" si="289">IF((2-(AA75/L75))*100&gt;110,110,(2-(AA75/L75))*100)</f>
        <v>110</v>
      </c>
      <c r="AQ75" s="440">
        <f t="shared" ref="AQ75" si="290">IF((2-(AB75/M75))*100&gt;110,110,(2-(AB75/M75))*100)</f>
        <v>110</v>
      </c>
      <c r="AR75" s="440">
        <f t="shared" ref="AR75" si="291">IF((2-(AC75/N75))*100&gt;110,110,(2-(AC75/N75))*100)</f>
        <v>110</v>
      </c>
      <c r="AS75" s="440">
        <f t="shared" ref="AS75" si="292">IF((2-(AD75/O75))*100&gt;110,110,(2-(AD75/O75))*100)</f>
        <v>110</v>
      </c>
      <c r="AT75" s="440">
        <f t="shared" ref="AT75" si="293">IF((2-(AE75/P75))*100&gt;110,110,(2-(AE75/P75))*100)</f>
        <v>109.72222222222223</v>
      </c>
      <c r="AU75" s="440">
        <f t="shared" ref="AU75" si="294">IF((2-(AF75/Q75))*100&gt;110,110,(2-(AF75/Q75))*100)</f>
        <v>110</v>
      </c>
      <c r="AV75" s="440">
        <f t="shared" ref="AV75" si="295">IF((2-(AG75/R75))*100&gt;110,110,(2-(AG75/R75))*100)</f>
        <v>110</v>
      </c>
      <c r="AX75" t="str">
        <v>Gangguan TM ≤ 5 Menit</v>
      </c>
      <c r="AY75" s="105" t="s">
        <v>452</v>
      </c>
      <c r="AZ75">
        <v>3</v>
      </c>
      <c r="BA75" s="440">
        <f t="shared" si="234"/>
        <v>3.3</v>
      </c>
      <c r="BB75" s="440">
        <f t="shared" si="235"/>
        <v>3.3</v>
      </c>
      <c r="BC75" s="440">
        <f t="shared" si="236"/>
        <v>3.3</v>
      </c>
      <c r="BD75" s="440">
        <f t="shared" si="237"/>
        <v>3.3</v>
      </c>
      <c r="BE75" s="440">
        <f t="shared" si="238"/>
        <v>3.3</v>
      </c>
      <c r="BF75" s="440">
        <f t="shared" si="239"/>
        <v>3.3</v>
      </c>
      <c r="BG75" s="440">
        <f t="shared" si="240"/>
        <v>3.3</v>
      </c>
      <c r="BH75" s="440">
        <f t="shared" si="241"/>
        <v>3.3</v>
      </c>
      <c r="BI75" s="440">
        <f t="shared" si="242"/>
        <v>3.3</v>
      </c>
      <c r="BJ75" s="440">
        <f t="shared" si="243"/>
        <v>3.29</v>
      </c>
      <c r="BK75" s="440">
        <f t="shared" si="244"/>
        <v>3.3</v>
      </c>
      <c r="BL75" s="440">
        <f t="shared" si="245"/>
        <v>3.3</v>
      </c>
    </row>
    <row r="76" spans="1:64">
      <c r="A76" t="str">
        <v>c. Kerusakan Peralatan Distribusi (PHB TM dan Trafo) Sesuai Kewenangan</v>
      </c>
      <c r="B76">
        <v>2</v>
      </c>
      <c r="C76" t="str">
        <v>Kerusakan Peralatan Distribusi (PHB TM dan Trafo) Sesuai Kewenangan</v>
      </c>
      <c r="D76" s="105" t="s">
        <v>456</v>
      </c>
      <c r="E76" t="str">
        <v>Kerusakan Peralatan Distribusi (PHB TM dan Trafo) Sesuai Kewenangan</v>
      </c>
      <c r="G76" s="440">
        <v>0</v>
      </c>
      <c r="H76" s="440">
        <v>0</v>
      </c>
      <c r="I76" s="440">
        <v>1</v>
      </c>
      <c r="J76" s="440">
        <v>1</v>
      </c>
      <c r="K76" s="440">
        <v>1</v>
      </c>
      <c r="L76" s="440">
        <v>1</v>
      </c>
      <c r="M76" s="440">
        <v>2</v>
      </c>
      <c r="N76" s="440">
        <v>2</v>
      </c>
      <c r="O76" s="440">
        <v>2</v>
      </c>
      <c r="P76" s="440">
        <v>2</v>
      </c>
      <c r="Q76" s="440">
        <v>2</v>
      </c>
      <c r="R76" s="440">
        <v>2</v>
      </c>
      <c r="T76" t="str">
        <v>Kerusakan Peralatan Distribusi (PHB TM dan Trafo) Sesuai Kewenangan</v>
      </c>
      <c r="V76" s="440">
        <v>0</v>
      </c>
      <c r="W76" s="440">
        <v>0</v>
      </c>
      <c r="X76" s="440">
        <v>0</v>
      </c>
      <c r="Y76" s="440">
        <v>0</v>
      </c>
      <c r="Z76" s="440">
        <v>1</v>
      </c>
      <c r="AA76" s="440">
        <v>2</v>
      </c>
      <c r="AB76" s="440">
        <v>3</v>
      </c>
      <c r="AC76" s="440">
        <v>3</v>
      </c>
      <c r="AD76" s="440">
        <v>3</v>
      </c>
      <c r="AE76" s="440">
        <v>3</v>
      </c>
      <c r="AF76" s="440">
        <v>3</v>
      </c>
      <c r="AG76" s="440">
        <v>3</v>
      </c>
      <c r="AI76" t="str">
        <v>Kerusakan Peralatan Distribusi (PHB TM dan Trafo) Sesuai Kewenangan</v>
      </c>
      <c r="AK76" s="440">
        <f t="shared" ref="AK76:AK78" si="296">IFERROR(IF((2-(V76/G76))*100&gt;110,110,(2-(V76/G76))*100),100)</f>
        <v>100</v>
      </c>
      <c r="AL76" s="440">
        <f t="shared" ref="AL76:AL78" si="297">IFERROR(IF((2-(W76/H76))*100&gt;110,110,(2-(W76/H76))*100),100)</f>
        <v>100</v>
      </c>
      <c r="AM76" s="440">
        <f t="shared" ref="AM76:AM78" si="298">IFERROR(IF((2-(X76/I76))*100&gt;110,110,(2-(X76/I76))*100),100)</f>
        <v>110</v>
      </c>
      <c r="AN76" s="440">
        <f t="shared" ref="AN76:AN78" si="299">IFERROR(IF((2-(Y76/J76))*100&gt;110,110,(2-(Y76/J76))*100),100)</f>
        <v>110</v>
      </c>
      <c r="AO76" s="440">
        <f t="shared" ref="AO76:AO78" si="300">IFERROR(IF((2-(Z76/K76))*100&gt;110,110,(2-(Z76/K76))*100),100)</f>
        <v>100</v>
      </c>
      <c r="AP76" s="440">
        <f t="shared" ref="AP76:AP78" si="301">IFERROR(IF((2-(AA76/L76))*100&gt;110,110,(2-(AA76/L76))*100),100)</f>
        <v>0</v>
      </c>
      <c r="AQ76" s="440">
        <f t="shared" ref="AQ76:AQ78" si="302">IFERROR(IF((2-(AB76/M76))*100&gt;110,110,(2-(AB76/M76))*100),100)</f>
        <v>50</v>
      </c>
      <c r="AR76" s="440">
        <f t="shared" ref="AR76:AR78" si="303">IFERROR(IF((2-(AC76/N76))*100&gt;110,110,(2-(AC76/N76))*100),100)</f>
        <v>50</v>
      </c>
      <c r="AS76" s="440">
        <f t="shared" ref="AS76:AS78" si="304">IFERROR(IF((2-(AD76/O76))*100&gt;110,110,(2-(AD76/O76))*100),100)</f>
        <v>50</v>
      </c>
      <c r="AT76" s="440">
        <f t="shared" ref="AT76:AT78" si="305">IFERROR(IF((2-(AE76/P76))*100&gt;110,110,(2-(AE76/P76))*100),100)</f>
        <v>50</v>
      </c>
      <c r="AU76" s="440">
        <f t="shared" ref="AU76:AU78" si="306">IFERROR(IF((2-(AF76/Q76))*100&gt;110,110,(2-(AF76/Q76))*100),100)</f>
        <v>50</v>
      </c>
      <c r="AV76" s="440">
        <f t="shared" ref="AV76:AV78" si="307">IFERROR(IF((2-(AG76/R76))*100&gt;110,110,(2-(AG76/R76))*100),100)</f>
        <v>50</v>
      </c>
      <c r="AX76" t="str">
        <v>Kerusakan Peralatan Distribusi (PHB TM dan Trafo) Sesuai Kewenangan</v>
      </c>
      <c r="AY76" s="105" t="s">
        <v>452</v>
      </c>
      <c r="AZ76">
        <v>3</v>
      </c>
      <c r="BA76" s="440">
        <f t="shared" si="234"/>
        <v>3</v>
      </c>
      <c r="BB76" s="440">
        <f t="shared" si="235"/>
        <v>3</v>
      </c>
      <c r="BC76" s="440">
        <f t="shared" si="236"/>
        <v>3.3</v>
      </c>
      <c r="BD76" s="440">
        <f t="shared" si="237"/>
        <v>3.3</v>
      </c>
      <c r="BE76" s="440">
        <f t="shared" si="238"/>
        <v>3</v>
      </c>
      <c r="BF76" s="440">
        <f t="shared" si="239"/>
        <v>0</v>
      </c>
      <c r="BG76" s="440">
        <f t="shared" si="240"/>
        <v>1.5</v>
      </c>
      <c r="BH76" s="440">
        <f t="shared" si="241"/>
        <v>1.5</v>
      </c>
      <c r="BI76" s="440">
        <f t="shared" si="242"/>
        <v>1.5</v>
      </c>
      <c r="BJ76" s="440">
        <f t="shared" si="243"/>
        <v>1.5</v>
      </c>
      <c r="BK76" s="440">
        <f t="shared" si="244"/>
        <v>1.5</v>
      </c>
      <c r="BL76" s="440">
        <f t="shared" si="245"/>
        <v>1.5</v>
      </c>
    </row>
    <row r="77" spans="1:64">
      <c r="A77" t="str">
        <v>a. Feedback Rating Negatif pada PLN Mobile - Gangguan</v>
      </c>
      <c r="B77">
        <v>2</v>
      </c>
      <c r="C77" t="str">
        <v>Feedback Rating Negatif pada PLN Mobile - Gangguan</v>
      </c>
      <c r="D77" s="105" t="s">
        <v>456</v>
      </c>
      <c r="E77" t="str">
        <v>Feedback Rating Negatif pada PLN Mobile - Gangguan</v>
      </c>
      <c r="G77" s="440">
        <v>0.09</v>
      </c>
      <c r="H77" s="440">
        <v>0.09</v>
      </c>
      <c r="I77" s="440">
        <v>0.09</v>
      </c>
      <c r="J77" s="440">
        <v>0.09</v>
      </c>
      <c r="K77" s="440">
        <v>0.09</v>
      </c>
      <c r="L77" s="440">
        <v>0.09</v>
      </c>
      <c r="M77" s="440">
        <v>0.09</v>
      </c>
      <c r="N77" s="440">
        <v>0.09</v>
      </c>
      <c r="O77" s="440">
        <v>0.09</v>
      </c>
      <c r="P77" s="440">
        <v>0.09</v>
      </c>
      <c r="Q77" s="440">
        <v>0.09</v>
      </c>
      <c r="R77" s="440">
        <v>0.09</v>
      </c>
      <c r="T77" t="str">
        <v>Feedback Rating Negatif pada PLN Mobile - Gangguan</v>
      </c>
      <c r="V77" s="440">
        <v>0</v>
      </c>
      <c r="W77" s="440">
        <v>0</v>
      </c>
      <c r="X77" s="440">
        <v>0</v>
      </c>
      <c r="Y77" s="440">
        <v>0</v>
      </c>
      <c r="Z77" s="440">
        <v>0</v>
      </c>
      <c r="AA77" s="440">
        <v>0</v>
      </c>
      <c r="AB77" s="440">
        <v>0</v>
      </c>
      <c r="AC77" s="440">
        <v>0</v>
      </c>
      <c r="AD77" s="440">
        <v>0</v>
      </c>
      <c r="AE77" s="440">
        <v>0</v>
      </c>
      <c r="AF77" s="440">
        <v>0</v>
      </c>
      <c r="AG77" s="440">
        <v>0</v>
      </c>
      <c r="AI77" t="str">
        <v>Feedback Rating Negatif pada PLN Mobile - Gangguan</v>
      </c>
      <c r="AK77" s="440">
        <f t="shared" si="296"/>
        <v>110</v>
      </c>
      <c r="AL77" s="440">
        <f t="shared" si="297"/>
        <v>110</v>
      </c>
      <c r="AM77" s="440">
        <f t="shared" si="298"/>
        <v>110</v>
      </c>
      <c r="AN77" s="440">
        <f t="shared" si="299"/>
        <v>110</v>
      </c>
      <c r="AO77" s="440">
        <f t="shared" si="300"/>
        <v>110</v>
      </c>
      <c r="AP77" s="440">
        <f t="shared" si="301"/>
        <v>110</v>
      </c>
      <c r="AQ77" s="440">
        <f t="shared" si="302"/>
        <v>110</v>
      </c>
      <c r="AR77" s="440">
        <f t="shared" si="303"/>
        <v>110</v>
      </c>
      <c r="AS77" s="440">
        <f t="shared" si="304"/>
        <v>110</v>
      </c>
      <c r="AT77" s="440">
        <f t="shared" si="305"/>
        <v>110</v>
      </c>
      <c r="AU77" s="440">
        <f t="shared" si="306"/>
        <v>110</v>
      </c>
      <c r="AV77" s="440">
        <f t="shared" si="307"/>
        <v>110</v>
      </c>
      <c r="AX77" t="str">
        <v>Feedback Rating Negatif pada PLN Mobile - Gangguan</v>
      </c>
      <c r="AY77" s="105" t="s">
        <v>452</v>
      </c>
      <c r="AZ77">
        <v>2</v>
      </c>
      <c r="BA77" s="440">
        <f t="shared" si="234"/>
        <v>2.2000000000000002</v>
      </c>
      <c r="BB77" s="440">
        <f t="shared" si="235"/>
        <v>2.2000000000000002</v>
      </c>
      <c r="BC77" s="440">
        <f t="shared" si="236"/>
        <v>2.2000000000000002</v>
      </c>
      <c r="BD77" s="440">
        <f t="shared" si="237"/>
        <v>2.2000000000000002</v>
      </c>
      <c r="BE77" s="440">
        <f t="shared" si="238"/>
        <v>2.2000000000000002</v>
      </c>
      <c r="BF77" s="440">
        <f t="shared" si="239"/>
        <v>2.2000000000000002</v>
      </c>
      <c r="BG77" s="440">
        <f t="shared" si="240"/>
        <v>2.2000000000000002</v>
      </c>
      <c r="BH77" s="440">
        <f t="shared" si="241"/>
        <v>2.2000000000000002</v>
      </c>
      <c r="BI77" s="440">
        <f t="shared" si="242"/>
        <v>2.2000000000000002</v>
      </c>
      <c r="BJ77" s="440">
        <f t="shared" si="243"/>
        <v>2.2000000000000002</v>
      </c>
      <c r="BK77" s="440">
        <f t="shared" si="244"/>
        <v>2.2000000000000002</v>
      </c>
      <c r="BL77" s="440">
        <f t="shared" si="245"/>
        <v>2.2000000000000002</v>
      </c>
    </row>
    <row r="78" spans="1:64">
      <c r="A78" t="str">
        <v>b. Pengaduan Gangguan Berulang pada PLN Mobile</v>
      </c>
      <c r="B78">
        <v>2</v>
      </c>
      <c r="C78" t="str">
        <v>Pengaduan Gangguan Berulang pada PLN Mobile</v>
      </c>
      <c r="D78" s="105" t="s">
        <v>456</v>
      </c>
      <c r="E78" t="str">
        <v>Pengaduan Gangguan Berulang pada PLN Mobile</v>
      </c>
      <c r="G78" s="440">
        <v>0.04</v>
      </c>
      <c r="H78" s="440">
        <v>0.04</v>
      </c>
      <c r="I78" s="440">
        <v>0.04</v>
      </c>
      <c r="J78" s="440">
        <v>0.04</v>
      </c>
      <c r="K78" s="440">
        <v>0.04</v>
      </c>
      <c r="L78" s="440">
        <v>0.04</v>
      </c>
      <c r="M78" s="440">
        <v>0.04</v>
      </c>
      <c r="N78" s="440">
        <v>0.04</v>
      </c>
      <c r="O78" s="440">
        <v>0.04</v>
      </c>
      <c r="P78" s="440">
        <v>0.04</v>
      </c>
      <c r="Q78" s="440">
        <v>0.04</v>
      </c>
      <c r="R78" s="440">
        <v>0.04</v>
      </c>
      <c r="T78" t="str">
        <v>Pengaduan Gangguan Berulang pada PLN Mobile</v>
      </c>
      <c r="V78" s="440">
        <v>0</v>
      </c>
      <c r="W78" s="440">
        <v>0</v>
      </c>
      <c r="X78" s="440">
        <v>0</v>
      </c>
      <c r="Y78" s="440">
        <v>0</v>
      </c>
      <c r="Z78" s="440">
        <v>0</v>
      </c>
      <c r="AA78" s="440">
        <v>0</v>
      </c>
      <c r="AB78" s="440">
        <v>0</v>
      </c>
      <c r="AC78" s="440">
        <v>0</v>
      </c>
      <c r="AD78" s="440">
        <v>0</v>
      </c>
      <c r="AE78" s="440">
        <v>0</v>
      </c>
      <c r="AF78" s="440">
        <v>3.0349013657056147E-2</v>
      </c>
      <c r="AG78" s="440">
        <v>3.0349013657056147E-2</v>
      </c>
      <c r="AI78" t="str">
        <v>Pengaduan Gangguan Berulang pada PLN Mobile</v>
      </c>
      <c r="AK78" s="440">
        <f t="shared" si="296"/>
        <v>110</v>
      </c>
      <c r="AL78" s="440">
        <f t="shared" si="297"/>
        <v>110</v>
      </c>
      <c r="AM78" s="440">
        <f t="shared" si="298"/>
        <v>110</v>
      </c>
      <c r="AN78" s="440">
        <f t="shared" si="299"/>
        <v>110</v>
      </c>
      <c r="AO78" s="440">
        <f t="shared" si="300"/>
        <v>110</v>
      </c>
      <c r="AP78" s="440">
        <f t="shared" si="301"/>
        <v>110</v>
      </c>
      <c r="AQ78" s="440">
        <f t="shared" si="302"/>
        <v>110</v>
      </c>
      <c r="AR78" s="440">
        <f t="shared" si="303"/>
        <v>110</v>
      </c>
      <c r="AS78" s="440">
        <f t="shared" si="304"/>
        <v>110</v>
      </c>
      <c r="AT78" s="440">
        <f t="shared" si="305"/>
        <v>110</v>
      </c>
      <c r="AU78" s="440">
        <f t="shared" si="306"/>
        <v>110</v>
      </c>
      <c r="AV78" s="440">
        <f t="shared" si="307"/>
        <v>110</v>
      </c>
      <c r="AX78" t="str">
        <v>Pengaduan Gangguan Berulang pada PLN Mobile</v>
      </c>
      <c r="AY78" s="105" t="s">
        <v>452</v>
      </c>
      <c r="AZ78">
        <v>2</v>
      </c>
      <c r="BA78" s="440">
        <f t="shared" si="234"/>
        <v>2.2000000000000002</v>
      </c>
      <c r="BB78" s="440">
        <f t="shared" si="235"/>
        <v>2.2000000000000002</v>
      </c>
      <c r="BC78" s="440">
        <f t="shared" si="236"/>
        <v>2.2000000000000002</v>
      </c>
      <c r="BD78" s="440">
        <f t="shared" si="237"/>
        <v>2.2000000000000002</v>
      </c>
      <c r="BE78" s="440">
        <f t="shared" si="238"/>
        <v>2.2000000000000002</v>
      </c>
      <c r="BF78" s="440">
        <f t="shared" si="239"/>
        <v>2.2000000000000002</v>
      </c>
      <c r="BG78" s="440">
        <f t="shared" si="240"/>
        <v>2.2000000000000002</v>
      </c>
      <c r="BH78" s="440">
        <f t="shared" si="241"/>
        <v>2.2000000000000002</v>
      </c>
      <c r="BI78" s="440">
        <f t="shared" si="242"/>
        <v>2.2000000000000002</v>
      </c>
      <c r="BJ78" s="440">
        <f t="shared" si="243"/>
        <v>2.2000000000000002</v>
      </c>
      <c r="BK78" s="440">
        <f t="shared" si="244"/>
        <v>2.2000000000000002</v>
      </c>
      <c r="BL78" s="440">
        <f t="shared" si="245"/>
        <v>2.2000000000000002</v>
      </c>
    </row>
    <row r="79" spans="1:64">
      <c r="A79" t="str">
        <v>c. Rating PLN Mobile</v>
      </c>
      <c r="B79">
        <v>2</v>
      </c>
      <c r="C79" t="str">
        <v>Rating PLN Mobile</v>
      </c>
      <c r="D79" s="105" t="s">
        <v>456</v>
      </c>
      <c r="E79" t="str">
        <v>Rating PLN Mobile</v>
      </c>
      <c r="G79" s="440">
        <v>4.9000000000000004</v>
      </c>
      <c r="H79" s="440">
        <v>4.9000000000000004</v>
      </c>
      <c r="I79" s="440">
        <v>4.9000000000000004</v>
      </c>
      <c r="J79" s="440">
        <v>4.9000000000000004</v>
      </c>
      <c r="K79" s="440">
        <v>4.9000000000000004</v>
      </c>
      <c r="L79" s="440">
        <v>4.9000000000000004</v>
      </c>
      <c r="M79" s="440">
        <v>4.9000000000000004</v>
      </c>
      <c r="N79" s="440">
        <v>4.9000000000000004</v>
      </c>
      <c r="O79" s="440">
        <v>4.9000000000000004</v>
      </c>
      <c r="P79" s="440">
        <v>4.9000000000000004</v>
      </c>
      <c r="Q79" s="440">
        <v>4.9000000000000004</v>
      </c>
      <c r="R79" s="440">
        <v>4.9000000000000004</v>
      </c>
      <c r="T79" t="str">
        <v>Rating PLN Mobile</v>
      </c>
      <c r="V79" s="440">
        <v>4.91</v>
      </c>
      <c r="W79" s="440">
        <v>4.91</v>
      </c>
      <c r="X79" s="440">
        <v>4.91</v>
      </c>
      <c r="Y79" s="440">
        <v>4.91</v>
      </c>
      <c r="Z79" s="440">
        <v>4.9000000000000004</v>
      </c>
      <c r="AA79" s="440">
        <v>4.9000000000000004</v>
      </c>
      <c r="AB79" s="440">
        <v>4.9000000000000004</v>
      </c>
      <c r="AC79" s="440">
        <v>4.9000000000000004</v>
      </c>
      <c r="AD79" s="440">
        <v>4.9000000000000004</v>
      </c>
      <c r="AE79" s="440">
        <v>4.9000000000000004</v>
      </c>
      <c r="AF79" s="440">
        <v>4.9000000000000004</v>
      </c>
      <c r="AG79" s="440">
        <v>4.9000000000000004</v>
      </c>
      <c r="AI79" t="str">
        <v>Rating PLN Mobile</v>
      </c>
      <c r="AK79" s="440">
        <f t="shared" ref="AK79:AK80" si="308">IF(V79/G79*100&gt;110,110,V79/G79*100)</f>
        <v>100.20408163265306</v>
      </c>
      <c r="AL79" s="440">
        <f t="shared" ref="AL79:AL80" si="309">IF(W79/H79*100&gt;110,110,W79/H79*100)</f>
        <v>100.20408163265306</v>
      </c>
      <c r="AM79" s="440">
        <f t="shared" ref="AM79:AM80" si="310">IF(X79/I79*100&gt;110,110,X79/I79*100)</f>
        <v>100.20408163265306</v>
      </c>
      <c r="AN79" s="440">
        <f t="shared" ref="AN79:AN80" si="311">IF(Y79/J79*100&gt;110,110,Y79/J79*100)</f>
        <v>100.20408163265306</v>
      </c>
      <c r="AO79" s="440">
        <f t="shared" ref="AO79:AO80" si="312">IF(Z79/K79*100&gt;110,110,Z79/K79*100)</f>
        <v>100</v>
      </c>
      <c r="AP79" s="440">
        <f t="shared" ref="AP79:AP80" si="313">IF(AA79/L79*100&gt;110,110,AA79/L79*100)</f>
        <v>100</v>
      </c>
      <c r="AQ79" s="440">
        <f t="shared" ref="AQ79:AQ80" si="314">IF(AB79/M79*100&gt;110,110,AB79/M79*100)</f>
        <v>100</v>
      </c>
      <c r="AR79" s="440">
        <f t="shared" ref="AR79:AR80" si="315">IF(AC79/N79*100&gt;110,110,AC79/N79*100)</f>
        <v>100</v>
      </c>
      <c r="AS79" s="440">
        <f t="shared" ref="AS79:AS80" si="316">IF(AD79/O79*100&gt;110,110,AD79/O79*100)</f>
        <v>100</v>
      </c>
      <c r="AT79" s="440">
        <f t="shared" ref="AT79:AT80" si="317">IF(AE79/P79*100&gt;110,110,AE79/P79*100)</f>
        <v>100</v>
      </c>
      <c r="AU79" s="440">
        <f t="shared" ref="AU79:AU80" si="318">IF(AF79/Q79*100&gt;110,110,AF79/Q79*100)</f>
        <v>100</v>
      </c>
      <c r="AV79" s="440">
        <f t="shared" ref="AV79:AV80" si="319">IF(AG79/R79*100&gt;110,110,AG79/R79*100)</f>
        <v>100</v>
      </c>
      <c r="AX79" t="str">
        <v>Rating PLN Mobile</v>
      </c>
      <c r="AY79" s="105" t="s">
        <v>452</v>
      </c>
      <c r="AZ79">
        <v>2</v>
      </c>
      <c r="BA79" s="440">
        <f t="shared" si="234"/>
        <v>2</v>
      </c>
      <c r="BB79" s="440">
        <f t="shared" si="235"/>
        <v>2</v>
      </c>
      <c r="BC79" s="440">
        <f t="shared" si="236"/>
        <v>2</v>
      </c>
      <c r="BD79" s="440">
        <f t="shared" si="237"/>
        <v>2</v>
      </c>
      <c r="BE79" s="440">
        <f t="shared" si="238"/>
        <v>2</v>
      </c>
      <c r="BF79" s="440">
        <f t="shared" si="239"/>
        <v>2</v>
      </c>
      <c r="BG79" s="440">
        <f t="shared" si="240"/>
        <v>2</v>
      </c>
      <c r="BH79" s="440">
        <f t="shared" si="241"/>
        <v>2</v>
      </c>
      <c r="BI79" s="440">
        <f t="shared" si="242"/>
        <v>2</v>
      </c>
      <c r="BJ79" s="440">
        <f t="shared" si="243"/>
        <v>2</v>
      </c>
      <c r="BK79" s="440">
        <f t="shared" si="244"/>
        <v>2</v>
      </c>
      <c r="BL79" s="440">
        <f t="shared" si="245"/>
        <v>2</v>
      </c>
    </row>
    <row r="80" spans="1:64">
      <c r="A80" t="str">
        <v>d. Jumlah Kali Transaksi Keuangan melalui PLN Mobile</v>
      </c>
      <c r="B80">
        <v>2</v>
      </c>
      <c r="C80" t="str">
        <v>Jumlah Kali Transaksi Keuangan melalui PLN Mobile</v>
      </c>
      <c r="D80" s="105" t="s">
        <v>456</v>
      </c>
      <c r="E80" t="str">
        <v>Jumlah Kali Transaksi Keuangan melalui PLN Mobile</v>
      </c>
      <c r="G80" s="440">
        <v>1598</v>
      </c>
      <c r="H80" s="440">
        <v>3042</v>
      </c>
      <c r="I80" s="440">
        <v>4641</v>
      </c>
      <c r="J80" s="440">
        <v>6188</v>
      </c>
      <c r="K80" s="440">
        <v>7786</v>
      </c>
      <c r="L80" s="440">
        <v>9333</v>
      </c>
      <c r="M80" s="440">
        <v>10381</v>
      </c>
      <c r="N80" s="440">
        <v>11430</v>
      </c>
      <c r="O80" s="440">
        <v>12444</v>
      </c>
      <c r="P80" s="440">
        <v>13492</v>
      </c>
      <c r="Q80" s="440">
        <v>14507</v>
      </c>
      <c r="R80" s="440">
        <v>15555</v>
      </c>
      <c r="T80" t="str">
        <v>Jumlah Kali Transaksi Keuangan melalui PLN Mobile</v>
      </c>
      <c r="V80" s="440">
        <v>859</v>
      </c>
      <c r="W80" s="440">
        <v>2014</v>
      </c>
      <c r="X80" s="440">
        <v>3846</v>
      </c>
      <c r="Y80" s="440">
        <v>6356</v>
      </c>
      <c r="Z80" s="440">
        <v>8602</v>
      </c>
      <c r="AA80" s="440">
        <v>10306</v>
      </c>
      <c r="AB80" s="440">
        <v>12271</v>
      </c>
      <c r="AC80" s="440">
        <v>14211</v>
      </c>
      <c r="AD80" s="440">
        <v>16109</v>
      </c>
      <c r="AE80" s="440">
        <v>17935</v>
      </c>
      <c r="AF80" s="440">
        <v>0</v>
      </c>
      <c r="AG80" s="440">
        <v>0</v>
      </c>
      <c r="AI80" t="str">
        <v>Jumlah Kali Transaksi Keuangan melalui PLN Mobile</v>
      </c>
      <c r="AK80" s="440">
        <f t="shared" si="308"/>
        <v>53.754693366708381</v>
      </c>
      <c r="AL80" s="440">
        <f t="shared" si="309"/>
        <v>66.206443129520054</v>
      </c>
      <c r="AM80" s="440">
        <f t="shared" si="310"/>
        <v>82.870071105365227</v>
      </c>
      <c r="AN80" s="440">
        <f t="shared" si="311"/>
        <v>102.71493212669682</v>
      </c>
      <c r="AO80" s="440">
        <f t="shared" si="312"/>
        <v>110</v>
      </c>
      <c r="AP80" s="440">
        <f t="shared" si="313"/>
        <v>110</v>
      </c>
      <c r="AQ80" s="440">
        <f t="shared" si="314"/>
        <v>110</v>
      </c>
      <c r="AR80" s="440">
        <f t="shared" si="315"/>
        <v>110</v>
      </c>
      <c r="AS80" s="440">
        <f t="shared" si="316"/>
        <v>110</v>
      </c>
      <c r="AT80" s="440">
        <f t="shared" si="317"/>
        <v>110</v>
      </c>
      <c r="AU80" s="440">
        <f t="shared" si="318"/>
        <v>0</v>
      </c>
      <c r="AV80" s="440">
        <f t="shared" si="319"/>
        <v>0</v>
      </c>
      <c r="AX80" t="str">
        <v>Jumlah Kali Transaksi Keuangan melalui PLN Mobile</v>
      </c>
      <c r="AY80" s="105" t="s">
        <v>452</v>
      </c>
      <c r="AZ80">
        <v>2</v>
      </c>
      <c r="BA80" s="440">
        <f t="shared" si="234"/>
        <v>1.07</v>
      </c>
      <c r="BB80" s="440">
        <f t="shared" si="235"/>
        <v>1.32</v>
      </c>
      <c r="BC80" s="440">
        <f t="shared" si="236"/>
        <v>1.65</v>
      </c>
      <c r="BD80" s="440">
        <f t="shared" si="237"/>
        <v>2.0499999999999998</v>
      </c>
      <c r="BE80" s="440">
        <f t="shared" si="238"/>
        <v>2.2000000000000002</v>
      </c>
      <c r="BF80" s="440">
        <f t="shared" si="239"/>
        <v>2.2000000000000002</v>
      </c>
      <c r="BG80" s="440">
        <f t="shared" si="240"/>
        <v>2.2000000000000002</v>
      </c>
      <c r="BH80" s="440">
        <f t="shared" si="241"/>
        <v>2.2000000000000002</v>
      </c>
      <c r="BI80" s="440">
        <f t="shared" si="242"/>
        <v>2.2000000000000002</v>
      </c>
      <c r="BJ80" s="440">
        <f t="shared" si="243"/>
        <v>2.2000000000000002</v>
      </c>
      <c r="BK80" s="440">
        <f t="shared" si="244"/>
        <v>0</v>
      </c>
      <c r="BL80" s="440">
        <f t="shared" si="245"/>
        <v>0</v>
      </c>
    </row>
    <row r="81" spans="1:64">
      <c r="A81" t="str">
        <v>a. Response Time atas Gangguan (diluar Clear Tamper)</v>
      </c>
      <c r="B81">
        <v>2</v>
      </c>
      <c r="C81" t="str">
        <v>Response Time atas Gangguan (diluar Clear Tamper)</v>
      </c>
      <c r="D81" s="105" t="s">
        <v>456</v>
      </c>
      <c r="E81" t="str">
        <v>Response Time atas Gangguan (diluar Clear Tamper)</v>
      </c>
      <c r="G81" s="440">
        <v>30</v>
      </c>
      <c r="H81" s="440">
        <v>30</v>
      </c>
      <c r="I81" s="440">
        <v>30</v>
      </c>
      <c r="J81" s="440">
        <v>30</v>
      </c>
      <c r="K81" s="440">
        <v>30</v>
      </c>
      <c r="L81" s="440">
        <v>30</v>
      </c>
      <c r="M81" s="440">
        <v>30</v>
      </c>
      <c r="N81" s="440">
        <v>30</v>
      </c>
      <c r="O81" s="440">
        <v>30</v>
      </c>
      <c r="P81" s="440">
        <v>30</v>
      </c>
      <c r="Q81" s="440">
        <v>30</v>
      </c>
      <c r="R81" s="440">
        <v>30</v>
      </c>
      <c r="T81" t="str">
        <v>Response Time atas Gangguan (diluar Clear Tamper)</v>
      </c>
      <c r="V81" s="440">
        <v>11.477160493827162</v>
      </c>
      <c r="W81" s="440">
        <v>11.376080246913579</v>
      </c>
      <c r="X81" s="440">
        <v>11.304738021751911</v>
      </c>
      <c r="Y81" s="440">
        <v>11.329052342605014</v>
      </c>
      <c r="Z81" s="440">
        <v>11.959241874084011</v>
      </c>
      <c r="AA81" s="440">
        <v>12.185683213112824</v>
      </c>
      <c r="AB81" s="440">
        <v>12.347427026704834</v>
      </c>
      <c r="AC81" s="440">
        <v>12.640341240959323</v>
      </c>
      <c r="AD81" s="440">
        <v>12.896095961591287</v>
      </c>
      <c r="AE81" s="440">
        <v>13.077215397690221</v>
      </c>
      <c r="AF81" s="440">
        <v>13.077215397690221</v>
      </c>
      <c r="AG81" s="440">
        <v>13.077215397690221</v>
      </c>
      <c r="AI81" t="str">
        <v>Response Time atas Gangguan (diluar Clear Tamper)</v>
      </c>
      <c r="AK81" s="440">
        <f t="shared" ref="AK81" si="320">IFERROR(IF((2-(V81/G81))*100&gt;110,110,(2-(V81/G81))*100),100)</f>
        <v>110</v>
      </c>
      <c r="AL81" s="440">
        <f t="shared" ref="AL81" si="321">IFERROR(IF((2-(W81/H81))*100&gt;110,110,(2-(W81/H81))*100),100)</f>
        <v>110</v>
      </c>
      <c r="AM81" s="440">
        <f t="shared" ref="AM81" si="322">IFERROR(IF((2-(X81/I81))*100&gt;110,110,(2-(X81/I81))*100),100)</f>
        <v>110</v>
      </c>
      <c r="AN81" s="440">
        <f t="shared" ref="AN81" si="323">IFERROR(IF((2-(Y81/J81))*100&gt;110,110,(2-(Y81/J81))*100),100)</f>
        <v>110</v>
      </c>
      <c r="AO81" s="440">
        <f t="shared" ref="AO81" si="324">IFERROR(IF((2-(Z81/K81))*100&gt;110,110,(2-(Z81/K81))*100),100)</f>
        <v>110</v>
      </c>
      <c r="AP81" s="440">
        <f t="shared" ref="AP81" si="325">IFERROR(IF((2-(AA81/L81))*100&gt;110,110,(2-(AA81/L81))*100),100)</f>
        <v>110</v>
      </c>
      <c r="AQ81" s="440">
        <f t="shared" ref="AQ81" si="326">IFERROR(IF((2-(AB81/M81))*100&gt;110,110,(2-(AB81/M81))*100),100)</f>
        <v>110</v>
      </c>
      <c r="AR81" s="440">
        <f t="shared" ref="AR81" si="327">IFERROR(IF((2-(AC81/N81))*100&gt;110,110,(2-(AC81/N81))*100),100)</f>
        <v>110</v>
      </c>
      <c r="AS81" s="440">
        <f t="shared" ref="AS81" si="328">IFERROR(IF((2-(AD81/O81))*100&gt;110,110,(2-(AD81/O81))*100),100)</f>
        <v>110</v>
      </c>
      <c r="AT81" s="440">
        <f t="shared" ref="AT81" si="329">IFERROR(IF((2-(AE81/P81))*100&gt;110,110,(2-(AE81/P81))*100),100)</f>
        <v>110</v>
      </c>
      <c r="AU81" s="440">
        <f t="shared" ref="AU81" si="330">IFERROR(IF((2-(AF81/Q81))*100&gt;110,110,(2-(AF81/Q81))*100),100)</f>
        <v>110</v>
      </c>
      <c r="AV81" s="440">
        <f t="shared" ref="AV81" si="331">IFERROR(IF((2-(AG81/R81))*100&gt;110,110,(2-(AG81/R81))*100),100)</f>
        <v>110</v>
      </c>
      <c r="AX81" t="str">
        <v>Response Time atas Gangguan (diluar Clear Tamper)</v>
      </c>
      <c r="AY81" s="105" t="s">
        <v>452</v>
      </c>
      <c r="AZ81">
        <v>1.5</v>
      </c>
      <c r="BA81" s="440">
        <f t="shared" si="234"/>
        <v>1.65</v>
      </c>
      <c r="BB81" s="440">
        <f t="shared" si="235"/>
        <v>1.65</v>
      </c>
      <c r="BC81" s="440">
        <f t="shared" si="236"/>
        <v>1.65</v>
      </c>
      <c r="BD81" s="440">
        <f t="shared" si="237"/>
        <v>1.65</v>
      </c>
      <c r="BE81" s="440">
        <f t="shared" si="238"/>
        <v>1.65</v>
      </c>
      <c r="BF81" s="440">
        <f t="shared" si="239"/>
        <v>1.65</v>
      </c>
      <c r="BG81" s="440">
        <f t="shared" si="240"/>
        <v>1.65</v>
      </c>
      <c r="BH81" s="440">
        <f t="shared" si="241"/>
        <v>1.65</v>
      </c>
      <c r="BI81" s="440">
        <f t="shared" si="242"/>
        <v>1.65</v>
      </c>
      <c r="BJ81" s="440">
        <f t="shared" si="243"/>
        <v>1.65</v>
      </c>
      <c r="BK81" s="440">
        <f t="shared" si="244"/>
        <v>1.65</v>
      </c>
      <c r="BL81" s="440">
        <f t="shared" si="245"/>
        <v>1.65</v>
      </c>
    </row>
    <row r="82" spans="1:64">
      <c r="A82" t="str">
        <v>b. Success Rate Auto Dispatch Gangguan Individual (diluar Clear Tamper)</v>
      </c>
      <c r="B82">
        <v>2</v>
      </c>
      <c r="C82" t="str">
        <v>Success Rate Auto Dispatch Gangguan Individual (diluar Clear Tamper)</v>
      </c>
      <c r="D82" s="105" t="s">
        <v>456</v>
      </c>
      <c r="E82" t="str">
        <v>Success Rate Auto Dispatch Gangguan Individual (diluar Clear Tamper)</v>
      </c>
      <c r="G82" s="440">
        <v>0</v>
      </c>
      <c r="H82" s="440">
        <v>0</v>
      </c>
      <c r="I82" s="440">
        <v>0</v>
      </c>
      <c r="J82" s="440">
        <v>0</v>
      </c>
      <c r="K82" s="440">
        <v>0</v>
      </c>
      <c r="L82" s="440">
        <v>0</v>
      </c>
      <c r="M82" s="440">
        <v>0</v>
      </c>
      <c r="N82" s="440">
        <v>0</v>
      </c>
      <c r="O82" s="440">
        <v>0</v>
      </c>
      <c r="P82" s="440">
        <v>0</v>
      </c>
      <c r="Q82" s="440">
        <v>0</v>
      </c>
      <c r="R82" s="440">
        <v>0</v>
      </c>
      <c r="T82" t="str">
        <v>Success Rate Auto Dispatch Gangguan Individual (diluar Clear Tamper)</v>
      </c>
      <c r="V82" s="440">
        <v>0</v>
      </c>
      <c r="W82" s="440">
        <v>0</v>
      </c>
      <c r="X82" s="440">
        <v>0</v>
      </c>
      <c r="Y82" s="440">
        <v>0</v>
      </c>
      <c r="Z82" s="440">
        <v>0</v>
      </c>
      <c r="AA82" s="440">
        <v>0</v>
      </c>
      <c r="AB82" s="440">
        <v>0</v>
      </c>
      <c r="AC82" s="440">
        <v>0</v>
      </c>
      <c r="AD82" s="440">
        <v>0</v>
      </c>
      <c r="AE82" s="440">
        <v>0</v>
      </c>
      <c r="AF82" s="440">
        <v>0</v>
      </c>
      <c r="AG82" s="440">
        <v>0</v>
      </c>
      <c r="AI82" t="str">
        <v>Success Rate Auto Dispatch Gangguan Individual (diluar Clear Tamper)</v>
      </c>
      <c r="AK82" s="440">
        <f t="shared" ref="AK82:AK92" si="332">IFERROR(IF(V82/G82*100&gt;110,110,V82/G82*100),100)</f>
        <v>100</v>
      </c>
      <c r="AL82" s="440">
        <f t="shared" ref="AL82:AL93" si="333">IFERROR(IF(W82/H82*100&gt;110,110,W82/H82*100),100)</f>
        <v>100</v>
      </c>
      <c r="AM82" s="440">
        <f t="shared" ref="AM82:AM93" si="334">IFERROR(IF(X82/I82*100&gt;110,110,X82/I82*100),100)</f>
        <v>100</v>
      </c>
      <c r="AN82" s="440">
        <f t="shared" ref="AN82:AN93" si="335">IFERROR(IF(Y82/J82*100&gt;110,110,Y82/J82*100),100)</f>
        <v>100</v>
      </c>
      <c r="AO82" s="440">
        <f t="shared" ref="AO82:AO93" si="336">IFERROR(IF(Z82/K82*100&gt;110,110,Z82/K82*100),100)</f>
        <v>100</v>
      </c>
      <c r="AP82" s="440">
        <f t="shared" ref="AP82:AP93" si="337">IFERROR(IF(AA82/L82*100&gt;110,110,AA82/L82*100),100)</f>
        <v>100</v>
      </c>
      <c r="AQ82" s="440">
        <f t="shared" ref="AQ82:AQ93" si="338">IFERROR(IF(AB82/M82*100&gt;110,110,AB82/M82*100),100)</f>
        <v>100</v>
      </c>
      <c r="AR82" s="440">
        <f t="shared" ref="AR82:AR93" si="339">IFERROR(IF(AC82/N82*100&gt;110,110,AC82/N82*100),100)</f>
        <v>100</v>
      </c>
      <c r="AS82" s="440">
        <f t="shared" ref="AS82:AS93" si="340">IFERROR(IF(AD82/O82*100&gt;110,110,AD82/O82*100),100)</f>
        <v>100</v>
      </c>
      <c r="AT82" s="440">
        <f t="shared" ref="AT82:AT93" si="341">IFERROR(IF(AE82/P82*100&gt;110,110,AE82/P82*100),100)</f>
        <v>100</v>
      </c>
      <c r="AU82" s="440">
        <f t="shared" ref="AU82:AU93" si="342">IFERROR(IF(AF82/Q82*100&gt;110,110,AF82/Q82*100),100)</f>
        <v>100</v>
      </c>
      <c r="AV82" s="440">
        <f t="shared" ref="AV82:AV93" si="343">IFERROR(IF(AG82/R82*100&gt;110,110,AG82/R82*100),100)</f>
        <v>100</v>
      </c>
      <c r="AX82" t="str">
        <v>Success Rate Auto Dispatch Gangguan Individual (diluar Clear Tamper)</v>
      </c>
      <c r="AY82" s="105" t="s">
        <v>452</v>
      </c>
      <c r="AZ82">
        <v>1.5</v>
      </c>
      <c r="BA82" s="440">
        <f t="shared" si="234"/>
        <v>1.5</v>
      </c>
      <c r="BB82" s="440">
        <f t="shared" si="235"/>
        <v>1.5</v>
      </c>
      <c r="BC82" s="440">
        <f t="shared" si="236"/>
        <v>1.5</v>
      </c>
      <c r="BD82" s="440">
        <f t="shared" si="237"/>
        <v>1.5</v>
      </c>
      <c r="BE82" s="440">
        <f t="shared" si="238"/>
        <v>1.5</v>
      </c>
      <c r="BF82" s="440">
        <f t="shared" si="239"/>
        <v>1.5</v>
      </c>
      <c r="BG82" s="440">
        <f t="shared" si="240"/>
        <v>1.5</v>
      </c>
      <c r="BH82" s="440">
        <f t="shared" si="241"/>
        <v>1.5</v>
      </c>
      <c r="BI82" s="440">
        <f t="shared" si="242"/>
        <v>1.5</v>
      </c>
      <c r="BJ82" s="440">
        <f t="shared" si="243"/>
        <v>1.5</v>
      </c>
      <c r="BK82" s="440">
        <f t="shared" si="244"/>
        <v>1.5</v>
      </c>
      <c r="BL82" s="440">
        <f t="shared" si="245"/>
        <v>1.5</v>
      </c>
    </row>
    <row r="83" spans="1:64">
      <c r="A83" t="str">
        <v>a. Recovery Time Gangguan Meluas TM</v>
      </c>
      <c r="B83">
        <v>2</v>
      </c>
      <c r="C83" t="str">
        <v>Recovery Time Gangguan Meluas TM</v>
      </c>
      <c r="D83" s="105" t="s">
        <v>456</v>
      </c>
      <c r="E83" t="str">
        <v>Recovery Time Gangguan Meluas TM</v>
      </c>
      <c r="G83" s="440">
        <v>100</v>
      </c>
      <c r="H83" s="440">
        <v>100</v>
      </c>
      <c r="I83" s="440">
        <v>100</v>
      </c>
      <c r="J83" s="440">
        <v>100</v>
      </c>
      <c r="K83" s="440">
        <v>100</v>
      </c>
      <c r="L83" s="440">
        <v>100</v>
      </c>
      <c r="M83" s="440">
        <v>100</v>
      </c>
      <c r="N83" s="440">
        <v>100</v>
      </c>
      <c r="O83" s="440">
        <v>100</v>
      </c>
      <c r="P83" s="440">
        <v>100</v>
      </c>
      <c r="Q83" s="440">
        <v>100</v>
      </c>
      <c r="R83" s="440">
        <v>100</v>
      </c>
      <c r="T83" t="str">
        <v>Recovery Time Gangguan Meluas TM</v>
      </c>
      <c r="V83" s="440">
        <v>60.75</v>
      </c>
      <c r="W83" s="440">
        <v>76.5</v>
      </c>
      <c r="X83" s="440">
        <v>107.25</v>
      </c>
      <c r="Y83" s="440">
        <v>109.25</v>
      </c>
      <c r="Z83" s="440">
        <v>110</v>
      </c>
      <c r="AA83" s="440">
        <v>110</v>
      </c>
      <c r="AB83" s="440">
        <v>110</v>
      </c>
      <c r="AC83" s="440">
        <v>110</v>
      </c>
      <c r="AD83" s="440">
        <v>110</v>
      </c>
      <c r="AE83" s="440">
        <v>110</v>
      </c>
      <c r="AF83" s="440">
        <v>0</v>
      </c>
      <c r="AG83" s="440">
        <v>0</v>
      </c>
      <c r="AI83" t="str">
        <v>Recovery Time Gangguan Meluas TM</v>
      </c>
      <c r="AK83" s="440">
        <f t="shared" si="332"/>
        <v>60.750000000000007</v>
      </c>
      <c r="AL83" s="440">
        <f t="shared" si="333"/>
        <v>76.5</v>
      </c>
      <c r="AM83" s="440">
        <f t="shared" si="334"/>
        <v>107.25</v>
      </c>
      <c r="AN83" s="440">
        <f t="shared" si="335"/>
        <v>109.25</v>
      </c>
      <c r="AO83" s="440">
        <f t="shared" si="336"/>
        <v>110.00000000000001</v>
      </c>
      <c r="AP83" s="440">
        <f t="shared" si="337"/>
        <v>110.00000000000001</v>
      </c>
      <c r="AQ83" s="440">
        <f t="shared" si="338"/>
        <v>110.00000000000001</v>
      </c>
      <c r="AR83" s="440">
        <f t="shared" si="339"/>
        <v>110.00000000000001</v>
      </c>
      <c r="AS83" s="440">
        <f t="shared" si="340"/>
        <v>110.00000000000001</v>
      </c>
      <c r="AT83" s="440">
        <f t="shared" si="341"/>
        <v>110.00000000000001</v>
      </c>
      <c r="AU83" s="440">
        <f t="shared" si="342"/>
        <v>0</v>
      </c>
      <c r="AV83" s="440">
        <f t="shared" si="343"/>
        <v>0</v>
      </c>
      <c r="AX83" t="str">
        <v>Recovery Time Gangguan Meluas TM</v>
      </c>
      <c r="AY83" s="105" t="s">
        <v>452</v>
      </c>
      <c r="AZ83">
        <v>3</v>
      </c>
      <c r="BA83" s="440">
        <f t="shared" si="234"/>
        <v>1.82</v>
      </c>
      <c r="BB83" s="440">
        <f t="shared" si="235"/>
        <v>2.29</v>
      </c>
      <c r="BC83" s="440">
        <f t="shared" si="236"/>
        <v>3.21</v>
      </c>
      <c r="BD83" s="440">
        <f t="shared" si="237"/>
        <v>3.27</v>
      </c>
      <c r="BE83" s="440">
        <f t="shared" si="238"/>
        <v>3.3</v>
      </c>
      <c r="BF83" s="440">
        <f t="shared" si="239"/>
        <v>3.3</v>
      </c>
      <c r="BG83" s="440">
        <f t="shared" si="240"/>
        <v>3.3</v>
      </c>
      <c r="BH83" s="440">
        <f t="shared" si="241"/>
        <v>3.3</v>
      </c>
      <c r="BI83" s="440">
        <f t="shared" si="242"/>
        <v>3.3</v>
      </c>
      <c r="BJ83" s="440">
        <f t="shared" si="243"/>
        <v>3.3</v>
      </c>
      <c r="BK83" s="440">
        <f t="shared" si="244"/>
        <v>0</v>
      </c>
      <c r="BL83" s="440">
        <f t="shared" si="245"/>
        <v>0</v>
      </c>
    </row>
    <row r="84" spans="1:64">
      <c r="A84" t="str">
        <v>b. Penormalan Siaga 1 Gangguan TM</v>
      </c>
      <c r="B84">
        <v>2</v>
      </c>
      <c r="C84" t="str">
        <v>Penormalan Siaga 1 Gangguan TM</v>
      </c>
      <c r="D84" s="105" t="s">
        <v>456</v>
      </c>
      <c r="E84" t="str">
        <v>Penormalan Siaga 1 Gangguan TM</v>
      </c>
      <c r="G84" s="440">
        <v>100</v>
      </c>
      <c r="H84" s="440">
        <v>100</v>
      </c>
      <c r="I84" s="440">
        <v>100</v>
      </c>
      <c r="J84" s="440">
        <v>100</v>
      </c>
      <c r="K84" s="440">
        <v>100</v>
      </c>
      <c r="L84" s="440">
        <v>100</v>
      </c>
      <c r="M84" s="440">
        <v>100</v>
      </c>
      <c r="N84" s="440">
        <v>100</v>
      </c>
      <c r="O84" s="440">
        <v>100</v>
      </c>
      <c r="P84" s="440">
        <v>100</v>
      </c>
      <c r="Q84" s="440">
        <v>100</v>
      </c>
      <c r="R84" s="440">
        <v>100</v>
      </c>
      <c r="T84" t="str">
        <v>Penormalan Siaga 1 Gangguan TM</v>
      </c>
      <c r="V84" s="440">
        <v>110</v>
      </c>
      <c r="W84" s="440">
        <v>110</v>
      </c>
      <c r="X84" s="440">
        <v>110</v>
      </c>
      <c r="Y84" s="440">
        <v>110</v>
      </c>
      <c r="Z84" s="440">
        <v>110</v>
      </c>
      <c r="AA84" s="440">
        <v>110</v>
      </c>
      <c r="AB84" s="440">
        <v>110</v>
      </c>
      <c r="AC84" s="440">
        <v>110</v>
      </c>
      <c r="AD84" s="440">
        <v>110</v>
      </c>
      <c r="AE84" s="440">
        <v>110</v>
      </c>
      <c r="AF84" s="440">
        <v>0</v>
      </c>
      <c r="AG84" s="440">
        <v>0</v>
      </c>
      <c r="AI84" t="str">
        <v>Penormalan Siaga 1 Gangguan TM</v>
      </c>
      <c r="AK84" s="440">
        <f t="shared" si="332"/>
        <v>110.00000000000001</v>
      </c>
      <c r="AL84" s="440">
        <f t="shared" si="333"/>
        <v>110.00000000000001</v>
      </c>
      <c r="AM84" s="440">
        <f t="shared" si="334"/>
        <v>110.00000000000001</v>
      </c>
      <c r="AN84" s="440">
        <f t="shared" si="335"/>
        <v>110.00000000000001</v>
      </c>
      <c r="AO84" s="440">
        <f t="shared" si="336"/>
        <v>110.00000000000001</v>
      </c>
      <c r="AP84" s="440">
        <f t="shared" si="337"/>
        <v>110.00000000000001</v>
      </c>
      <c r="AQ84" s="440">
        <f t="shared" si="338"/>
        <v>110.00000000000001</v>
      </c>
      <c r="AR84" s="440">
        <f t="shared" si="339"/>
        <v>110.00000000000001</v>
      </c>
      <c r="AS84" s="440">
        <f t="shared" si="340"/>
        <v>110.00000000000001</v>
      </c>
      <c r="AT84" s="440">
        <f t="shared" si="341"/>
        <v>110.00000000000001</v>
      </c>
      <c r="AU84" s="440">
        <f t="shared" si="342"/>
        <v>0</v>
      </c>
      <c r="AV84" s="440">
        <f t="shared" si="343"/>
        <v>0</v>
      </c>
      <c r="AX84" t="str">
        <v>Penormalan Siaga 1 Gangguan TM</v>
      </c>
      <c r="AY84" s="105" t="s">
        <v>452</v>
      </c>
      <c r="AZ84">
        <v>3</v>
      </c>
      <c r="BA84" s="440">
        <f t="shared" si="234"/>
        <v>3.3</v>
      </c>
      <c r="BB84" s="440">
        <f t="shared" si="235"/>
        <v>3.3</v>
      </c>
      <c r="BC84" s="440">
        <f t="shared" si="236"/>
        <v>3.3</v>
      </c>
      <c r="BD84" s="440">
        <f t="shared" si="237"/>
        <v>3.3</v>
      </c>
      <c r="BE84" s="440">
        <f t="shared" si="238"/>
        <v>3.3</v>
      </c>
      <c r="BF84" s="440">
        <f t="shared" si="239"/>
        <v>3.3</v>
      </c>
      <c r="BG84" s="440">
        <f t="shared" si="240"/>
        <v>3.3</v>
      </c>
      <c r="BH84" s="440">
        <f t="shared" si="241"/>
        <v>3.3</v>
      </c>
      <c r="BI84" s="440">
        <f t="shared" si="242"/>
        <v>3.3</v>
      </c>
      <c r="BJ84" s="440">
        <f t="shared" si="243"/>
        <v>3.3</v>
      </c>
      <c r="BK84" s="440">
        <f t="shared" si="244"/>
        <v>0</v>
      </c>
      <c r="BL84" s="440">
        <f t="shared" si="245"/>
        <v>0</v>
      </c>
    </row>
    <row r="85" spans="1:64">
      <c r="A85" t="str">
        <v>a. Penambahan Daya Tersambung</v>
      </c>
      <c r="B85">
        <v>2</v>
      </c>
      <c r="C85" t="str">
        <v>Penambahan Daya Tersambung</v>
      </c>
      <c r="D85" s="105" t="s">
        <v>456</v>
      </c>
      <c r="E85" t="str">
        <v>Penambahan Daya Tersambung</v>
      </c>
      <c r="G85" s="440">
        <v>0.25</v>
      </c>
      <c r="H85" s="440">
        <v>0.51</v>
      </c>
      <c r="I85" s="440">
        <v>0.78</v>
      </c>
      <c r="J85" s="440">
        <v>1.04</v>
      </c>
      <c r="K85" s="440">
        <v>1.43</v>
      </c>
      <c r="L85" s="440">
        <v>1.82</v>
      </c>
      <c r="M85" s="440">
        <v>2.2200000000000002</v>
      </c>
      <c r="N85" s="440">
        <v>2.62</v>
      </c>
      <c r="O85" s="440">
        <v>3.01</v>
      </c>
      <c r="P85" s="440">
        <v>3.4</v>
      </c>
      <c r="Q85" s="440">
        <v>3.79</v>
      </c>
      <c r="R85" s="440">
        <v>4.59</v>
      </c>
      <c r="T85" t="str">
        <v>Penambahan Daya Tersambung</v>
      </c>
      <c r="V85" s="440">
        <v>0.22434999999999999</v>
      </c>
      <c r="W85" s="440">
        <v>0.38955000000000001</v>
      </c>
      <c r="X85" s="440">
        <v>0.56130000000000002</v>
      </c>
      <c r="Y85" s="440">
        <v>0.56825000000000003</v>
      </c>
      <c r="Z85" s="440">
        <v>0.32464999999999999</v>
      </c>
      <c r="AA85" s="440">
        <v>0.43064999999999998</v>
      </c>
      <c r="AB85" s="440">
        <v>0.58135000000000003</v>
      </c>
      <c r="AC85" s="440">
        <v>0.76944999999999997</v>
      </c>
      <c r="AD85" s="440">
        <v>1.81965</v>
      </c>
      <c r="AE85" s="440">
        <v>2.0062500000000001</v>
      </c>
      <c r="AF85" s="440">
        <v>0</v>
      </c>
      <c r="AG85" s="440">
        <v>0</v>
      </c>
      <c r="AI85" t="str">
        <v>Penambahan Daya Tersambung</v>
      </c>
      <c r="AK85" s="440">
        <f t="shared" si="332"/>
        <v>89.74</v>
      </c>
      <c r="AL85" s="440">
        <f t="shared" si="333"/>
        <v>76.382352941176464</v>
      </c>
      <c r="AM85" s="440">
        <f t="shared" si="334"/>
        <v>71.961538461538467</v>
      </c>
      <c r="AN85" s="440">
        <f t="shared" si="335"/>
        <v>54.63942307692308</v>
      </c>
      <c r="AO85" s="440">
        <f t="shared" si="336"/>
        <v>22.702797202797203</v>
      </c>
      <c r="AP85" s="440">
        <f t="shared" si="337"/>
        <v>23.662087912087909</v>
      </c>
      <c r="AQ85" s="440">
        <f t="shared" si="338"/>
        <v>26.186936936936938</v>
      </c>
      <c r="AR85" s="440">
        <f t="shared" si="339"/>
        <v>29.368320610687022</v>
      </c>
      <c r="AS85" s="440">
        <f t="shared" si="340"/>
        <v>60.45348837209302</v>
      </c>
      <c r="AT85" s="440">
        <f t="shared" si="341"/>
        <v>59.007352941176471</v>
      </c>
      <c r="AU85" s="440">
        <f t="shared" si="342"/>
        <v>0</v>
      </c>
      <c r="AV85" s="440">
        <f t="shared" si="343"/>
        <v>0</v>
      </c>
      <c r="AX85" t="str">
        <v>Penambahan Daya Tersambung</v>
      </c>
      <c r="AY85" s="105" t="s">
        <v>452</v>
      </c>
      <c r="AZ85">
        <v>3</v>
      </c>
      <c r="BA85" s="440">
        <f t="shared" si="234"/>
        <v>2.69</v>
      </c>
      <c r="BB85" s="440">
        <f t="shared" si="235"/>
        <v>2.29</v>
      </c>
      <c r="BC85" s="440">
        <f t="shared" si="236"/>
        <v>2.15</v>
      </c>
      <c r="BD85" s="440">
        <f t="shared" si="237"/>
        <v>1.63</v>
      </c>
      <c r="BE85" s="440">
        <f t="shared" si="238"/>
        <v>0.68</v>
      </c>
      <c r="BF85" s="440">
        <f t="shared" si="239"/>
        <v>0.7</v>
      </c>
      <c r="BG85" s="440">
        <f t="shared" si="240"/>
        <v>0.78</v>
      </c>
      <c r="BH85" s="440">
        <f t="shared" si="241"/>
        <v>0.88</v>
      </c>
      <c r="BI85" s="440">
        <f t="shared" si="242"/>
        <v>1.81</v>
      </c>
      <c r="BJ85" s="440">
        <f t="shared" si="243"/>
        <v>1.77</v>
      </c>
      <c r="BK85" s="440">
        <f t="shared" si="244"/>
        <v>0</v>
      </c>
      <c r="BL85" s="440">
        <f t="shared" si="245"/>
        <v>0</v>
      </c>
    </row>
    <row r="86" spans="1:64">
      <c r="A86" t="str">
        <v>b. Penambahan Jumlah Pelanggan</v>
      </c>
      <c r="B86">
        <v>2</v>
      </c>
      <c r="C86" t="str">
        <v>Penambahan Jumlah Pelanggan</v>
      </c>
      <c r="D86" s="105" t="s">
        <v>456</v>
      </c>
      <c r="E86" t="str">
        <v>Penambahan Jumlah Pelanggan</v>
      </c>
      <c r="G86" s="440">
        <v>150</v>
      </c>
      <c r="H86" s="440">
        <v>304</v>
      </c>
      <c r="I86" s="440">
        <v>467</v>
      </c>
      <c r="J86" s="440">
        <v>623</v>
      </c>
      <c r="K86" s="440">
        <v>863</v>
      </c>
      <c r="L86" s="440">
        <v>1095</v>
      </c>
      <c r="M86" s="440">
        <v>1335</v>
      </c>
      <c r="N86" s="440">
        <v>1575</v>
      </c>
      <c r="O86" s="440">
        <v>1808</v>
      </c>
      <c r="P86" s="440">
        <v>2048</v>
      </c>
      <c r="Q86" s="440">
        <v>2280</v>
      </c>
      <c r="R86" s="440">
        <v>2521</v>
      </c>
      <c r="T86" t="str">
        <v>Penambahan Jumlah Pelanggan</v>
      </c>
      <c r="V86" s="440">
        <v>70</v>
      </c>
      <c r="W86" s="440">
        <v>196</v>
      </c>
      <c r="X86" s="440">
        <v>303</v>
      </c>
      <c r="Y86" s="440">
        <v>396</v>
      </c>
      <c r="Z86" s="440">
        <v>488</v>
      </c>
      <c r="AA86" s="440">
        <v>583</v>
      </c>
      <c r="AB86" s="440">
        <v>679</v>
      </c>
      <c r="AC86" s="440">
        <v>779</v>
      </c>
      <c r="AD86" s="440">
        <v>885</v>
      </c>
      <c r="AE86" s="440">
        <v>1051</v>
      </c>
      <c r="AF86" s="440">
        <v>0</v>
      </c>
      <c r="AG86" s="440">
        <v>0</v>
      </c>
      <c r="AI86" t="str">
        <v>Penambahan Jumlah Pelanggan</v>
      </c>
      <c r="AK86" s="440">
        <f t="shared" si="332"/>
        <v>46.666666666666664</v>
      </c>
      <c r="AL86" s="440">
        <f t="shared" si="333"/>
        <v>64.473684210526315</v>
      </c>
      <c r="AM86" s="440">
        <f t="shared" si="334"/>
        <v>64.882226980728049</v>
      </c>
      <c r="AN86" s="440">
        <f t="shared" si="335"/>
        <v>63.563402889245587</v>
      </c>
      <c r="AO86" s="440">
        <f t="shared" si="336"/>
        <v>56.546929316338357</v>
      </c>
      <c r="AP86" s="440">
        <f t="shared" si="337"/>
        <v>53.242009132420087</v>
      </c>
      <c r="AQ86" s="440">
        <f t="shared" si="338"/>
        <v>50.861423220973776</v>
      </c>
      <c r="AR86" s="440">
        <f t="shared" si="339"/>
        <v>49.460317460317462</v>
      </c>
      <c r="AS86" s="440">
        <f t="shared" si="340"/>
        <v>48.94911504424779</v>
      </c>
      <c r="AT86" s="440">
        <f t="shared" si="341"/>
        <v>51.318359375</v>
      </c>
      <c r="AU86" s="440">
        <f t="shared" si="342"/>
        <v>0</v>
      </c>
      <c r="AV86" s="440">
        <f t="shared" si="343"/>
        <v>0</v>
      </c>
      <c r="AX86" t="str">
        <v>Penambahan Jumlah Pelanggan</v>
      </c>
      <c r="AY86" s="105" t="s">
        <v>452</v>
      </c>
      <c r="AZ86">
        <v>3</v>
      </c>
      <c r="BA86" s="440">
        <f t="shared" si="234"/>
        <v>1.4</v>
      </c>
      <c r="BB86" s="440">
        <f t="shared" si="235"/>
        <v>1.93</v>
      </c>
      <c r="BC86" s="440">
        <f t="shared" si="236"/>
        <v>1.94</v>
      </c>
      <c r="BD86" s="440">
        <f t="shared" si="237"/>
        <v>1.9</v>
      </c>
      <c r="BE86" s="440">
        <f t="shared" si="238"/>
        <v>1.69</v>
      </c>
      <c r="BF86" s="440">
        <f t="shared" si="239"/>
        <v>1.59</v>
      </c>
      <c r="BG86" s="440">
        <f t="shared" si="240"/>
        <v>1.52</v>
      </c>
      <c r="BH86" s="440">
        <f t="shared" si="241"/>
        <v>1.48</v>
      </c>
      <c r="BI86" s="440">
        <f t="shared" si="242"/>
        <v>1.46</v>
      </c>
      <c r="BJ86" s="440">
        <f t="shared" si="243"/>
        <v>1.53</v>
      </c>
      <c r="BK86" s="440">
        <f t="shared" si="244"/>
        <v>0</v>
      </c>
      <c r="BL86" s="440">
        <f t="shared" si="245"/>
        <v>0</v>
      </c>
    </row>
    <row r="87" spans="1:64">
      <c r="A87" t="str">
        <v>c. Jumlah Penambahan Pelanggan Produk Tematik</v>
      </c>
      <c r="B87">
        <v>2</v>
      </c>
      <c r="C87" t="str">
        <v>Jumlah Penambahan Pelanggan Produk Tematik</v>
      </c>
      <c r="D87" s="105" t="s">
        <v>456</v>
      </c>
      <c r="E87" t="str">
        <v>Jumlah Penambahan Pelanggan Produk Tematik</v>
      </c>
      <c r="G87" s="440">
        <v>28</v>
      </c>
      <c r="H87" s="440">
        <v>56</v>
      </c>
      <c r="I87" s="440">
        <v>84</v>
      </c>
      <c r="J87" s="440">
        <v>112</v>
      </c>
      <c r="K87" s="440">
        <v>140</v>
      </c>
      <c r="L87" s="440">
        <v>168</v>
      </c>
      <c r="M87" s="440">
        <v>186</v>
      </c>
      <c r="N87" s="440">
        <v>204</v>
      </c>
      <c r="O87" s="440">
        <v>222</v>
      </c>
      <c r="P87" s="440">
        <v>240</v>
      </c>
      <c r="Q87" s="440">
        <v>258</v>
      </c>
      <c r="R87" s="440">
        <v>276</v>
      </c>
      <c r="T87" t="str">
        <v>Jumlah Penambahan Pelanggan Produk Tematik</v>
      </c>
      <c r="V87" s="440">
        <v>54</v>
      </c>
      <c r="W87" s="440">
        <v>62</v>
      </c>
      <c r="X87" s="440">
        <v>78</v>
      </c>
      <c r="Y87" s="440">
        <v>78</v>
      </c>
      <c r="Z87" s="440">
        <v>100</v>
      </c>
      <c r="AA87" s="440">
        <v>160</v>
      </c>
      <c r="AB87" s="440">
        <v>230</v>
      </c>
      <c r="AC87" s="440">
        <v>260</v>
      </c>
      <c r="AD87" s="440">
        <v>282</v>
      </c>
      <c r="AE87" s="440">
        <v>350</v>
      </c>
      <c r="AF87" s="440">
        <v>0</v>
      </c>
      <c r="AG87" s="440">
        <v>0</v>
      </c>
      <c r="AI87" t="str">
        <v>Jumlah Penambahan Pelanggan Produk Tematik</v>
      </c>
      <c r="AK87" s="440">
        <f t="shared" si="332"/>
        <v>110</v>
      </c>
      <c r="AL87" s="440">
        <f t="shared" si="333"/>
        <v>110</v>
      </c>
      <c r="AM87" s="440">
        <f t="shared" si="334"/>
        <v>92.857142857142861</v>
      </c>
      <c r="AN87" s="440">
        <f t="shared" si="335"/>
        <v>69.642857142857139</v>
      </c>
      <c r="AO87" s="440">
        <f t="shared" si="336"/>
        <v>71.428571428571431</v>
      </c>
      <c r="AP87" s="440">
        <f t="shared" si="337"/>
        <v>95.238095238095227</v>
      </c>
      <c r="AQ87" s="440">
        <f t="shared" si="338"/>
        <v>110</v>
      </c>
      <c r="AR87" s="440">
        <f t="shared" si="339"/>
        <v>110</v>
      </c>
      <c r="AS87" s="440">
        <f t="shared" si="340"/>
        <v>110</v>
      </c>
      <c r="AT87" s="440">
        <f t="shared" si="341"/>
        <v>110</v>
      </c>
      <c r="AU87" s="440">
        <f t="shared" si="342"/>
        <v>0</v>
      </c>
      <c r="AV87" s="440">
        <f t="shared" si="343"/>
        <v>0</v>
      </c>
      <c r="AX87" t="str">
        <v>Jumlah Penambahan Pelanggan Produk Tematik</v>
      </c>
      <c r="AY87" s="105" t="s">
        <v>452</v>
      </c>
      <c r="AZ87">
        <v>2</v>
      </c>
      <c r="BA87" s="440">
        <f t="shared" si="234"/>
        <v>2.2000000000000002</v>
      </c>
      <c r="BB87" s="440">
        <f t="shared" si="235"/>
        <v>2.2000000000000002</v>
      </c>
      <c r="BC87" s="440">
        <f t="shared" si="236"/>
        <v>1.85</v>
      </c>
      <c r="BD87" s="440">
        <f t="shared" si="237"/>
        <v>1.39</v>
      </c>
      <c r="BE87" s="440">
        <f t="shared" si="238"/>
        <v>1.42</v>
      </c>
      <c r="BF87" s="440">
        <f t="shared" si="239"/>
        <v>1.9</v>
      </c>
      <c r="BG87" s="440">
        <f t="shared" si="240"/>
        <v>2.2000000000000002</v>
      </c>
      <c r="BH87" s="440">
        <f t="shared" si="241"/>
        <v>2.2000000000000002</v>
      </c>
      <c r="BI87" s="440">
        <f t="shared" si="242"/>
        <v>2.2000000000000002</v>
      </c>
      <c r="BJ87" s="440">
        <f t="shared" si="243"/>
        <v>2.2000000000000002</v>
      </c>
      <c r="BK87" s="440">
        <f t="shared" si="244"/>
        <v>0</v>
      </c>
      <c r="BL87" s="440">
        <f t="shared" si="245"/>
        <v>0</v>
      </c>
    </row>
    <row r="88" spans="1:64">
      <c r="A88" t="str">
        <v>d. Implementasi Kesesuaian Sektor Bisnis sesuai KBLI 2020</v>
      </c>
      <c r="B88">
        <v>2</v>
      </c>
      <c r="C88" t="str">
        <v>Implementasi Kesesuaian Sektor Bisnis sesuai KBLI 2020</v>
      </c>
      <c r="D88" s="105" t="s">
        <v>456</v>
      </c>
      <c r="E88" t="str">
        <v>Implementasi Kesesuaian Sektor Bisnis sesuai KBLI 2020</v>
      </c>
      <c r="G88" s="440">
        <v>0</v>
      </c>
      <c r="H88" s="440">
        <v>0</v>
      </c>
      <c r="I88" s="440">
        <v>0</v>
      </c>
      <c r="J88" s="440">
        <v>4</v>
      </c>
      <c r="K88" s="440">
        <v>4</v>
      </c>
      <c r="L88" s="440">
        <v>4</v>
      </c>
      <c r="M88" s="440">
        <v>5</v>
      </c>
      <c r="N88" s="440">
        <v>5</v>
      </c>
      <c r="O88" s="440">
        <v>5</v>
      </c>
      <c r="P88" s="440">
        <v>5</v>
      </c>
      <c r="Q88" s="440">
        <v>5</v>
      </c>
      <c r="R88" s="440">
        <v>5</v>
      </c>
      <c r="T88" t="str">
        <v>Implementasi Kesesuaian Sektor Bisnis sesuai KBLI 2020</v>
      </c>
      <c r="V88" s="440">
        <v>0</v>
      </c>
      <c r="W88" s="440">
        <v>0</v>
      </c>
      <c r="X88" s="440">
        <v>0</v>
      </c>
      <c r="Y88" s="440">
        <v>5</v>
      </c>
      <c r="Z88" s="440">
        <v>5</v>
      </c>
      <c r="AA88" s="440">
        <v>5</v>
      </c>
      <c r="AB88" s="440">
        <v>6</v>
      </c>
      <c r="AC88" s="440">
        <v>6</v>
      </c>
      <c r="AD88" s="440">
        <v>6</v>
      </c>
      <c r="AE88" s="440">
        <v>6</v>
      </c>
      <c r="AF88" s="440">
        <v>0</v>
      </c>
      <c r="AG88" s="440">
        <v>0</v>
      </c>
      <c r="AI88" t="str">
        <v>Implementasi Kesesuaian Sektor Bisnis sesuai KBLI 2020</v>
      </c>
      <c r="AK88" s="440">
        <f t="shared" si="332"/>
        <v>100</v>
      </c>
      <c r="AL88" s="440">
        <f t="shared" si="333"/>
        <v>100</v>
      </c>
      <c r="AM88" s="440">
        <f t="shared" si="334"/>
        <v>100</v>
      </c>
      <c r="AN88" s="440">
        <f t="shared" si="335"/>
        <v>110</v>
      </c>
      <c r="AO88" s="440">
        <f t="shared" si="336"/>
        <v>110</v>
      </c>
      <c r="AP88" s="440">
        <f t="shared" si="337"/>
        <v>110</v>
      </c>
      <c r="AQ88" s="440">
        <f t="shared" si="338"/>
        <v>110</v>
      </c>
      <c r="AR88" s="440">
        <f t="shared" si="339"/>
        <v>110</v>
      </c>
      <c r="AS88" s="440">
        <f t="shared" si="340"/>
        <v>110</v>
      </c>
      <c r="AT88" s="440">
        <f t="shared" si="341"/>
        <v>110</v>
      </c>
      <c r="AU88" s="440">
        <f t="shared" si="342"/>
        <v>0</v>
      </c>
      <c r="AV88" s="440">
        <f t="shared" si="343"/>
        <v>0</v>
      </c>
      <c r="AX88" t="str">
        <v>Implementasi Kesesuaian Sektor Bisnis sesuai KBLI 2020</v>
      </c>
      <c r="AY88" s="105" t="s">
        <v>452</v>
      </c>
      <c r="AZ88">
        <v>2</v>
      </c>
      <c r="BA88" s="440">
        <f t="shared" si="234"/>
        <v>2</v>
      </c>
      <c r="BB88" s="440">
        <f t="shared" si="235"/>
        <v>2</v>
      </c>
      <c r="BC88" s="440">
        <f t="shared" si="236"/>
        <v>2</v>
      </c>
      <c r="BD88" s="440">
        <f t="shared" si="237"/>
        <v>2.2000000000000002</v>
      </c>
      <c r="BE88" s="440">
        <f t="shared" si="238"/>
        <v>2.2000000000000002</v>
      </c>
      <c r="BF88" s="440">
        <f t="shared" si="239"/>
        <v>2.2000000000000002</v>
      </c>
      <c r="BG88" s="440">
        <f t="shared" si="240"/>
        <v>2.2000000000000002</v>
      </c>
      <c r="BH88" s="440">
        <f t="shared" si="241"/>
        <v>2.2000000000000002</v>
      </c>
      <c r="BI88" s="440">
        <f t="shared" si="242"/>
        <v>2.2000000000000002</v>
      </c>
      <c r="BJ88" s="440">
        <f t="shared" si="243"/>
        <v>2.2000000000000002</v>
      </c>
      <c r="BK88" s="440">
        <f t="shared" si="244"/>
        <v>0</v>
      </c>
      <c r="BL88" s="440">
        <f t="shared" si="245"/>
        <v>0</v>
      </c>
    </row>
    <row r="89" spans="1:64">
      <c r="A89" t="str">
        <v>a. Penambahan Jumlah Pelanggan Rumah Tangga Lisdes</v>
      </c>
      <c r="B89">
        <v>2</v>
      </c>
      <c r="C89" t="str">
        <v>Penambahan Jumlah Pelanggan Rumah Tangga Lisdes</v>
      </c>
      <c r="D89" s="105" t="s">
        <v>456</v>
      </c>
      <c r="E89" t="str">
        <v>Penambahan Jumlah Pelanggan Rumah Tangga Lisdes</v>
      </c>
      <c r="G89" s="440">
        <v>1</v>
      </c>
      <c r="H89" s="440">
        <v>1</v>
      </c>
      <c r="I89" s="440">
        <v>1</v>
      </c>
      <c r="J89" s="440">
        <v>1</v>
      </c>
      <c r="K89" s="440">
        <v>2</v>
      </c>
      <c r="L89" s="440">
        <v>4</v>
      </c>
      <c r="M89" s="440">
        <v>13</v>
      </c>
      <c r="N89" s="440">
        <v>21</v>
      </c>
      <c r="O89" s="440">
        <v>35</v>
      </c>
      <c r="P89" s="440">
        <v>57</v>
      </c>
      <c r="Q89" s="440">
        <v>95</v>
      </c>
      <c r="R89" s="440">
        <v>157</v>
      </c>
      <c r="T89" t="str">
        <v>Penambahan Jumlah Pelanggan Rumah Tangga Lisdes</v>
      </c>
      <c r="V89" s="440">
        <v>0</v>
      </c>
      <c r="W89" s="440">
        <v>2</v>
      </c>
      <c r="X89" s="440">
        <v>7</v>
      </c>
      <c r="Y89" s="440">
        <v>10</v>
      </c>
      <c r="Z89" s="440">
        <v>10</v>
      </c>
      <c r="AA89" s="440">
        <v>10</v>
      </c>
      <c r="AB89" s="440">
        <v>10</v>
      </c>
      <c r="AC89" s="440">
        <v>11</v>
      </c>
      <c r="AD89" s="440">
        <v>11</v>
      </c>
      <c r="AE89" s="440">
        <v>12</v>
      </c>
      <c r="AF89" s="440">
        <v>0</v>
      </c>
      <c r="AG89" s="440">
        <v>0</v>
      </c>
      <c r="AI89" t="str">
        <v>Penambahan Jumlah Pelanggan Rumah Tangga Lisdes</v>
      </c>
      <c r="AK89" s="440">
        <f t="shared" si="332"/>
        <v>0</v>
      </c>
      <c r="AL89" s="440">
        <f t="shared" si="333"/>
        <v>110</v>
      </c>
      <c r="AM89" s="440">
        <f t="shared" si="334"/>
        <v>110</v>
      </c>
      <c r="AN89" s="440">
        <f t="shared" si="335"/>
        <v>110</v>
      </c>
      <c r="AO89" s="440">
        <f t="shared" si="336"/>
        <v>110</v>
      </c>
      <c r="AP89" s="440">
        <f t="shared" si="337"/>
        <v>110</v>
      </c>
      <c r="AQ89" s="440">
        <f t="shared" si="338"/>
        <v>76.923076923076934</v>
      </c>
      <c r="AR89" s="440">
        <f t="shared" si="339"/>
        <v>52.380952380952387</v>
      </c>
      <c r="AS89" s="440">
        <f t="shared" si="340"/>
        <v>31.428571428571427</v>
      </c>
      <c r="AT89" s="440">
        <f t="shared" si="341"/>
        <v>21.052631578947366</v>
      </c>
      <c r="AU89" s="440">
        <f t="shared" si="342"/>
        <v>0</v>
      </c>
      <c r="AV89" s="440">
        <f t="shared" si="343"/>
        <v>0</v>
      </c>
      <c r="AX89" t="str">
        <v>Penambahan Jumlah Pelanggan Rumah Tangga Lisdes</v>
      </c>
      <c r="AY89" s="105" t="s">
        <v>452</v>
      </c>
      <c r="AZ89">
        <v>2</v>
      </c>
      <c r="BA89" s="440">
        <f t="shared" si="234"/>
        <v>0</v>
      </c>
      <c r="BB89" s="440">
        <f t="shared" si="235"/>
        <v>2.2000000000000002</v>
      </c>
      <c r="BC89" s="440">
        <f t="shared" si="236"/>
        <v>2.2000000000000002</v>
      </c>
      <c r="BD89" s="440">
        <f t="shared" si="237"/>
        <v>2.2000000000000002</v>
      </c>
      <c r="BE89" s="440">
        <f t="shared" si="238"/>
        <v>2.2000000000000002</v>
      </c>
      <c r="BF89" s="440">
        <f t="shared" si="239"/>
        <v>2.2000000000000002</v>
      </c>
      <c r="BG89" s="440">
        <f t="shared" si="240"/>
        <v>1.53</v>
      </c>
      <c r="BH89" s="440">
        <f t="shared" si="241"/>
        <v>1.04</v>
      </c>
      <c r="BI89" s="440">
        <f t="shared" si="242"/>
        <v>0.62</v>
      </c>
      <c r="BJ89" s="440">
        <f t="shared" si="243"/>
        <v>0.42</v>
      </c>
      <c r="BK89" s="440">
        <f t="shared" si="244"/>
        <v>0</v>
      </c>
      <c r="BL89" s="440">
        <f t="shared" si="245"/>
        <v>0</v>
      </c>
    </row>
    <row r="90" spans="1:64">
      <c r="A90" t="str">
        <v>b. Peningkatan kWh Penjualan dari Pelanggan Rumah Tangga Lisdes</v>
      </c>
      <c r="B90">
        <v>2</v>
      </c>
      <c r="C90" t="str">
        <v>Peningkatan kWh Penjualan dari Pelanggan Rumah Tangga Lisdes</v>
      </c>
      <c r="D90" s="105" t="s">
        <v>456</v>
      </c>
      <c r="E90" t="str">
        <v>Peningkatan kWh Penjualan dari Pelanggan Rumah Tangga Lisdes</v>
      </c>
      <c r="G90" s="440">
        <v>40.5</v>
      </c>
      <c r="H90" s="440">
        <v>40.5</v>
      </c>
      <c r="I90" s="440">
        <v>40.5</v>
      </c>
      <c r="J90" s="440">
        <v>40.5</v>
      </c>
      <c r="K90" s="440">
        <v>81</v>
      </c>
      <c r="L90" s="440">
        <v>162</v>
      </c>
      <c r="M90" s="440">
        <v>1737.7840000000001</v>
      </c>
      <c r="N90" s="440">
        <v>2807.19</v>
      </c>
      <c r="O90" s="440">
        <v>4678.6499999999996</v>
      </c>
      <c r="P90" s="440">
        <v>7619.5159999999996</v>
      </c>
      <c r="Q90" s="440">
        <v>12699.192999999999</v>
      </c>
      <c r="R90" s="440">
        <v>20987.087</v>
      </c>
      <c r="T90" t="str">
        <v>Peningkatan kWh Penjualan dari Pelanggan Rumah Tangga Lisdes</v>
      </c>
      <c r="V90" s="440">
        <v>0</v>
      </c>
      <c r="W90" s="440">
        <v>778.1</v>
      </c>
      <c r="X90" s="440">
        <v>1166.7</v>
      </c>
      <c r="Y90" s="440">
        <v>1415.6000000000001</v>
      </c>
      <c r="Z90" s="440">
        <v>1895.5000000000002</v>
      </c>
      <c r="AA90" s="440">
        <v>2180</v>
      </c>
      <c r="AB90" s="440">
        <v>2840.3</v>
      </c>
      <c r="AC90" s="440">
        <v>3567.8</v>
      </c>
      <c r="AD90" s="440">
        <v>3919.6000000000004</v>
      </c>
      <c r="AE90" s="440">
        <v>4548.5</v>
      </c>
      <c r="AF90" s="440">
        <v>0</v>
      </c>
      <c r="AG90" s="440">
        <v>0</v>
      </c>
      <c r="AI90" t="str">
        <v>Peningkatan kWh Penjualan dari Pelanggan Rumah Tangga Lisdes</v>
      </c>
      <c r="AK90" s="440">
        <f t="shared" si="332"/>
        <v>0</v>
      </c>
      <c r="AL90" s="440">
        <f t="shared" si="333"/>
        <v>110</v>
      </c>
      <c r="AM90" s="440">
        <f t="shared" si="334"/>
        <v>110</v>
      </c>
      <c r="AN90" s="440">
        <f t="shared" si="335"/>
        <v>110</v>
      </c>
      <c r="AO90" s="440">
        <f t="shared" si="336"/>
        <v>110</v>
      </c>
      <c r="AP90" s="440">
        <f t="shared" si="337"/>
        <v>110</v>
      </c>
      <c r="AQ90" s="440">
        <f t="shared" si="338"/>
        <v>110</v>
      </c>
      <c r="AR90" s="440">
        <f t="shared" si="339"/>
        <v>110</v>
      </c>
      <c r="AS90" s="440">
        <f t="shared" si="340"/>
        <v>83.77630299338486</v>
      </c>
      <c r="AT90" s="440">
        <f t="shared" si="341"/>
        <v>59.695392725732191</v>
      </c>
      <c r="AU90" s="440">
        <f t="shared" si="342"/>
        <v>0</v>
      </c>
      <c r="AV90" s="440">
        <f t="shared" si="343"/>
        <v>0</v>
      </c>
      <c r="AX90" t="str">
        <v>Peningkatan kWh Penjualan dari Pelanggan Rumah Tangga Lisdes</v>
      </c>
      <c r="AY90" s="105" t="s">
        <v>452</v>
      </c>
      <c r="AZ90">
        <v>2</v>
      </c>
      <c r="BA90" s="440">
        <f t="shared" si="234"/>
        <v>0</v>
      </c>
      <c r="BB90" s="440">
        <f t="shared" si="235"/>
        <v>2.2000000000000002</v>
      </c>
      <c r="BC90" s="440">
        <f t="shared" si="236"/>
        <v>2.2000000000000002</v>
      </c>
      <c r="BD90" s="440">
        <f t="shared" si="237"/>
        <v>2.2000000000000002</v>
      </c>
      <c r="BE90" s="440">
        <f t="shared" si="238"/>
        <v>2.2000000000000002</v>
      </c>
      <c r="BF90" s="440">
        <f t="shared" si="239"/>
        <v>2.2000000000000002</v>
      </c>
      <c r="BG90" s="440">
        <f t="shared" si="240"/>
        <v>2.2000000000000002</v>
      </c>
      <c r="BH90" s="440">
        <f t="shared" si="241"/>
        <v>2.2000000000000002</v>
      </c>
      <c r="BI90" s="440">
        <f t="shared" si="242"/>
        <v>1.67</v>
      </c>
      <c r="BJ90" s="440">
        <f t="shared" si="243"/>
        <v>1.19</v>
      </c>
      <c r="BK90" s="440">
        <f t="shared" si="244"/>
        <v>0</v>
      </c>
      <c r="BL90" s="440">
        <f t="shared" si="245"/>
        <v>0</v>
      </c>
    </row>
    <row r="91" spans="1:64">
      <c r="A91" t="str">
        <v>a. Jumlah Pengguna Swa Cam</v>
      </c>
      <c r="B91">
        <v>2</v>
      </c>
      <c r="C91" t="str">
        <v>Jumlah Pengguna Swa Cam</v>
      </c>
      <c r="D91" s="105" t="s">
        <v>456</v>
      </c>
      <c r="E91" t="str">
        <v>Jumlah Pengguna Swa Cam</v>
      </c>
      <c r="G91" s="440">
        <v>2110</v>
      </c>
      <c r="H91" s="440">
        <v>2110</v>
      </c>
      <c r="I91" s="440">
        <v>2110</v>
      </c>
      <c r="J91" s="440">
        <v>2110</v>
      </c>
      <c r="K91" s="440">
        <v>2110</v>
      </c>
      <c r="L91" s="440">
        <v>2110</v>
      </c>
      <c r="M91" s="440">
        <v>2110</v>
      </c>
      <c r="N91" s="440">
        <v>2110</v>
      </c>
      <c r="O91" s="440">
        <v>2110</v>
      </c>
      <c r="P91" s="440">
        <v>2110</v>
      </c>
      <c r="Q91" s="440">
        <v>2110</v>
      </c>
      <c r="R91" s="440">
        <v>2110</v>
      </c>
      <c r="T91" t="str">
        <v>Jumlah Pengguna Swa Cam</v>
      </c>
      <c r="V91" s="440">
        <v>3556</v>
      </c>
      <c r="W91" s="440">
        <v>3261</v>
      </c>
      <c r="X91" s="440">
        <v>3619</v>
      </c>
      <c r="Y91" s="440">
        <v>3317</v>
      </c>
      <c r="Z91" s="440">
        <v>3190.2</v>
      </c>
      <c r="AA91" s="440">
        <v>3122.1666666666665</v>
      </c>
      <c r="AB91" s="440">
        <v>3082.1428571428573</v>
      </c>
      <c r="AC91" s="440">
        <v>3052.125</v>
      </c>
      <c r="AD91" s="440">
        <v>3004</v>
      </c>
      <c r="AE91" s="440">
        <v>2961.9</v>
      </c>
      <c r="AF91" s="440">
        <v>2961.9</v>
      </c>
      <c r="AG91" s="440">
        <v>2961.9</v>
      </c>
      <c r="AI91" t="str">
        <v>Jumlah Pengguna Swa Cam</v>
      </c>
      <c r="AK91" s="440">
        <f t="shared" si="332"/>
        <v>110</v>
      </c>
      <c r="AL91" s="440">
        <f t="shared" si="333"/>
        <v>110</v>
      </c>
      <c r="AM91" s="440">
        <f t="shared" si="334"/>
        <v>110</v>
      </c>
      <c r="AN91" s="440">
        <f t="shared" si="335"/>
        <v>110</v>
      </c>
      <c r="AO91" s="440">
        <f t="shared" si="336"/>
        <v>110</v>
      </c>
      <c r="AP91" s="440">
        <f t="shared" si="337"/>
        <v>110</v>
      </c>
      <c r="AQ91" s="440">
        <f t="shared" si="338"/>
        <v>110</v>
      </c>
      <c r="AR91" s="440">
        <f t="shared" si="339"/>
        <v>110</v>
      </c>
      <c r="AS91" s="440">
        <f t="shared" si="340"/>
        <v>110</v>
      </c>
      <c r="AT91" s="440">
        <f t="shared" si="341"/>
        <v>110</v>
      </c>
      <c r="AU91" s="440">
        <f t="shared" si="342"/>
        <v>110</v>
      </c>
      <c r="AV91" s="440">
        <f t="shared" si="343"/>
        <v>110</v>
      </c>
      <c r="AX91" t="str">
        <v>Jumlah Pengguna Swa Cam</v>
      </c>
      <c r="AY91" s="105" t="s">
        <v>452</v>
      </c>
      <c r="AZ91">
        <v>4</v>
      </c>
      <c r="BA91" s="440">
        <f t="shared" si="234"/>
        <v>4.4000000000000004</v>
      </c>
      <c r="BB91" s="440">
        <f t="shared" si="235"/>
        <v>4.4000000000000004</v>
      </c>
      <c r="BC91" s="440">
        <f t="shared" si="236"/>
        <v>4.4000000000000004</v>
      </c>
      <c r="BD91" s="440">
        <f t="shared" si="237"/>
        <v>4.4000000000000004</v>
      </c>
      <c r="BE91" s="440">
        <f t="shared" si="238"/>
        <v>4.4000000000000004</v>
      </c>
      <c r="BF91" s="440">
        <f t="shared" si="239"/>
        <v>4.4000000000000004</v>
      </c>
      <c r="BG91" s="440">
        <f t="shared" si="240"/>
        <v>4.4000000000000004</v>
      </c>
      <c r="BH91" s="440">
        <f t="shared" si="241"/>
        <v>4.4000000000000004</v>
      </c>
      <c r="BI91" s="440">
        <f t="shared" si="242"/>
        <v>4.4000000000000004</v>
      </c>
      <c r="BJ91" s="440">
        <f t="shared" si="243"/>
        <v>4.4000000000000004</v>
      </c>
      <c r="BK91" s="440">
        <f t="shared" si="244"/>
        <v>4.4000000000000004</v>
      </c>
      <c r="BL91" s="440">
        <f t="shared" si="245"/>
        <v>4.4000000000000004</v>
      </c>
    </row>
    <row r="92" spans="1:64">
      <c r="A92" t="str">
        <v>b. Tindak Lanjut LBKB (Laporan Bulanan Kelainan Baca Meter)</v>
      </c>
      <c r="B92">
        <v>2</v>
      </c>
      <c r="C92" t="str">
        <v>Tindak Lanjut LBKB (Laporan Bulanan Kelainan Baca Meter)</v>
      </c>
      <c r="D92" s="105" t="s">
        <v>456</v>
      </c>
      <c r="E92" t="str">
        <v>Tindak Lanjut LBKB (Laporan Bulanan Kelainan Baca Meter)</v>
      </c>
      <c r="G92" s="440">
        <v>0</v>
      </c>
      <c r="H92" s="440">
        <v>0</v>
      </c>
      <c r="I92" s="440">
        <v>0</v>
      </c>
      <c r="J92" s="440">
        <v>0</v>
      </c>
      <c r="K92" s="440">
        <v>0</v>
      </c>
      <c r="L92" s="440">
        <v>0</v>
      </c>
      <c r="M92" s="440">
        <v>0</v>
      </c>
      <c r="N92" s="440">
        <v>0</v>
      </c>
      <c r="O92" s="440">
        <v>0</v>
      </c>
      <c r="P92" s="440">
        <v>0</v>
      </c>
      <c r="Q92" s="440">
        <v>0</v>
      </c>
      <c r="R92" s="440">
        <v>0</v>
      </c>
      <c r="T92" t="str">
        <v>Tindak Lanjut LBKB (Laporan Bulanan Kelainan Baca Meter)</v>
      </c>
      <c r="V92" s="440">
        <v>0</v>
      </c>
      <c r="W92" s="440">
        <v>0</v>
      </c>
      <c r="X92" s="440">
        <v>0</v>
      </c>
      <c r="Y92" s="440">
        <v>0</v>
      </c>
      <c r="Z92" s="440">
        <v>0</v>
      </c>
      <c r="AA92" s="440">
        <v>0</v>
      </c>
      <c r="AB92" s="440">
        <v>0</v>
      </c>
      <c r="AC92" s="440">
        <v>0</v>
      </c>
      <c r="AD92" s="440">
        <v>0</v>
      </c>
      <c r="AE92" s="440">
        <v>0</v>
      </c>
      <c r="AF92" s="440">
        <v>0</v>
      </c>
      <c r="AG92" s="440">
        <v>0</v>
      </c>
      <c r="AI92" t="str">
        <v>Tindak Lanjut LBKB (Laporan Bulanan Kelainan Baca Meter)</v>
      </c>
      <c r="AK92" s="440">
        <f t="shared" si="332"/>
        <v>100</v>
      </c>
      <c r="AL92" s="440">
        <f t="shared" si="333"/>
        <v>100</v>
      </c>
      <c r="AM92" s="440">
        <f t="shared" si="334"/>
        <v>100</v>
      </c>
      <c r="AN92" s="440">
        <f t="shared" si="335"/>
        <v>100</v>
      </c>
      <c r="AO92" s="440">
        <f t="shared" si="336"/>
        <v>100</v>
      </c>
      <c r="AP92" s="440">
        <f t="shared" si="337"/>
        <v>100</v>
      </c>
      <c r="AQ92" s="440">
        <f t="shared" si="338"/>
        <v>100</v>
      </c>
      <c r="AR92" s="440">
        <f t="shared" si="339"/>
        <v>100</v>
      </c>
      <c r="AS92" s="440">
        <f t="shared" si="340"/>
        <v>100</v>
      </c>
      <c r="AT92" s="440">
        <f t="shared" si="341"/>
        <v>100</v>
      </c>
      <c r="AU92" s="440">
        <f t="shared" si="342"/>
        <v>100</v>
      </c>
      <c r="AV92" s="440">
        <f t="shared" si="343"/>
        <v>100</v>
      </c>
      <c r="AX92" t="str">
        <v>Tindak Lanjut LBKB (Laporan Bulanan Kelainan Baca Meter)</v>
      </c>
      <c r="AY92" s="105" t="s">
        <v>452</v>
      </c>
      <c r="AZ92">
        <v>4</v>
      </c>
      <c r="BA92" s="440">
        <f t="shared" si="234"/>
        <v>4</v>
      </c>
      <c r="BB92" s="440">
        <f t="shared" si="235"/>
        <v>4</v>
      </c>
      <c r="BC92" s="440">
        <f t="shared" si="236"/>
        <v>4</v>
      </c>
      <c r="BD92" s="440">
        <f t="shared" si="237"/>
        <v>4</v>
      </c>
      <c r="BE92" s="440">
        <f t="shared" si="238"/>
        <v>4</v>
      </c>
      <c r="BF92" s="440">
        <f t="shared" si="239"/>
        <v>4</v>
      </c>
      <c r="BG92" s="440">
        <f t="shared" si="240"/>
        <v>4</v>
      </c>
      <c r="BH92" s="440">
        <f t="shared" si="241"/>
        <v>4</v>
      </c>
      <c r="BI92" s="440">
        <f t="shared" si="242"/>
        <v>4</v>
      </c>
      <c r="BJ92" s="440">
        <f t="shared" si="243"/>
        <v>4</v>
      </c>
      <c r="BK92" s="440">
        <f t="shared" si="244"/>
        <v>4</v>
      </c>
      <c r="BL92" s="440">
        <f t="shared" si="245"/>
        <v>4</v>
      </c>
    </row>
    <row r="93" spans="1:64">
      <c r="A93" t="str">
        <v>Sisa Stand Bongkar Migrasi</v>
      </c>
      <c r="B93" t="e">
        <v>#VALUE!</v>
      </c>
      <c r="C93" t="str">
        <v>Sisa Stand Bongkar Migrasi</v>
      </c>
      <c r="D93" s="105" t="s">
        <v>456</v>
      </c>
      <c r="E93" t="str">
        <v>Sisa Stand Bongkar Migrasi</v>
      </c>
      <c r="G93" s="440">
        <v>100</v>
      </c>
      <c r="H93" s="440">
        <v>100</v>
      </c>
      <c r="I93" s="440">
        <v>100</v>
      </c>
      <c r="J93" s="440">
        <v>100</v>
      </c>
      <c r="K93" s="440">
        <v>100</v>
      </c>
      <c r="L93" s="440">
        <v>100</v>
      </c>
      <c r="M93" s="440">
        <v>100</v>
      </c>
      <c r="N93" s="440">
        <v>100</v>
      </c>
      <c r="O93" s="440">
        <v>100</v>
      </c>
      <c r="P93" s="440">
        <v>100</v>
      </c>
      <c r="Q93" s="440">
        <v>100</v>
      </c>
      <c r="R93" s="440">
        <v>100</v>
      </c>
      <c r="T93" t="str">
        <v>Sisa Stand Bongkar Migrasi</v>
      </c>
      <c r="V93" s="440">
        <v>100</v>
      </c>
      <c r="W93" s="440">
        <v>100</v>
      </c>
      <c r="X93" s="440">
        <v>100</v>
      </c>
      <c r="Y93" s="440">
        <v>100</v>
      </c>
      <c r="Z93" s="440">
        <v>100</v>
      </c>
      <c r="AA93" s="440">
        <v>100</v>
      </c>
      <c r="AB93" s="440">
        <v>100</v>
      </c>
      <c r="AC93" s="440">
        <v>100</v>
      </c>
      <c r="AD93" s="440">
        <v>100</v>
      </c>
      <c r="AE93" s="440">
        <v>100</v>
      </c>
      <c r="AF93" s="440">
        <v>100</v>
      </c>
      <c r="AG93" s="440">
        <v>100</v>
      </c>
      <c r="AI93" t="str">
        <v>Sisa Stand Bongkar Migrasi</v>
      </c>
      <c r="AK93" s="440">
        <f t="shared" ref="AK93" si="344">IFERROR(IF(V93/G93*100&gt;110,110,V93/G93*100),100)</f>
        <v>100</v>
      </c>
      <c r="AL93" s="440">
        <f t="shared" si="333"/>
        <v>100</v>
      </c>
      <c r="AM93" s="440">
        <f t="shared" si="334"/>
        <v>100</v>
      </c>
      <c r="AN93" s="440">
        <f t="shared" si="335"/>
        <v>100</v>
      </c>
      <c r="AO93" s="440">
        <f t="shared" si="336"/>
        <v>100</v>
      </c>
      <c r="AP93" s="440">
        <f t="shared" si="337"/>
        <v>100</v>
      </c>
      <c r="AQ93" s="440">
        <f t="shared" si="338"/>
        <v>100</v>
      </c>
      <c r="AR93" s="440">
        <f t="shared" si="339"/>
        <v>100</v>
      </c>
      <c r="AS93" s="440">
        <f t="shared" si="340"/>
        <v>100</v>
      </c>
      <c r="AT93" s="440">
        <f t="shared" si="341"/>
        <v>100</v>
      </c>
      <c r="AU93" s="440">
        <f t="shared" si="342"/>
        <v>100</v>
      </c>
      <c r="AV93" s="440">
        <f t="shared" si="343"/>
        <v>100</v>
      </c>
      <c r="AX93" t="str">
        <v>Sisa Stand Bongkar Migrasi</v>
      </c>
      <c r="AY93" s="105" t="s">
        <v>452</v>
      </c>
      <c r="AZ93">
        <v>3</v>
      </c>
      <c r="BA93" s="440">
        <f t="shared" si="234"/>
        <v>3</v>
      </c>
      <c r="BB93" s="440">
        <f t="shared" si="235"/>
        <v>3</v>
      </c>
      <c r="BC93" s="440">
        <f t="shared" si="236"/>
        <v>3</v>
      </c>
      <c r="BD93" s="440">
        <f t="shared" si="237"/>
        <v>3</v>
      </c>
      <c r="BE93" s="440">
        <f t="shared" si="238"/>
        <v>3</v>
      </c>
      <c r="BF93" s="440">
        <f t="shared" si="239"/>
        <v>3</v>
      </c>
      <c r="BG93" s="440">
        <f t="shared" si="240"/>
        <v>3</v>
      </c>
      <c r="BH93" s="440">
        <f t="shared" si="241"/>
        <v>3</v>
      </c>
      <c r="BI93" s="440">
        <f t="shared" si="242"/>
        <v>3</v>
      </c>
      <c r="BJ93" s="440">
        <f t="shared" si="243"/>
        <v>3</v>
      </c>
      <c r="BK93" s="440">
        <f t="shared" si="244"/>
        <v>3</v>
      </c>
      <c r="BL93" s="440">
        <f t="shared" si="245"/>
        <v>3</v>
      </c>
    </row>
    <row r="94" spans="1:64">
      <c r="A94" t="str">
        <v>a. Persentase Rata-Rata Saldo Tanggal 20 Non Kogol 1 dan Non Kogol 2</v>
      </c>
      <c r="B94">
        <v>2</v>
      </c>
      <c r="C94" t="str">
        <v>Persentase Rata-Rata Saldo Tanggal 20 Non Kogol 1 dan Non Kogol 2</v>
      </c>
      <c r="D94" s="105" t="s">
        <v>456</v>
      </c>
      <c r="E94" t="str">
        <v>Persentase Rata-Rata Saldo Tanggal 20 Non Kogol 1 dan Non Kogol 2</v>
      </c>
      <c r="G94" s="440">
        <v>303</v>
      </c>
      <c r="H94" s="440">
        <v>303</v>
      </c>
      <c r="I94" s="440">
        <v>303</v>
      </c>
      <c r="J94" s="440">
        <v>303</v>
      </c>
      <c r="K94" s="440">
        <v>303</v>
      </c>
      <c r="L94" s="440">
        <v>303</v>
      </c>
      <c r="M94" s="440">
        <v>303</v>
      </c>
      <c r="N94" s="440">
        <v>303</v>
      </c>
      <c r="O94" s="440">
        <v>303</v>
      </c>
      <c r="P94" s="440">
        <v>303</v>
      </c>
      <c r="Q94" s="440">
        <v>303</v>
      </c>
      <c r="R94" s="440">
        <v>303</v>
      </c>
      <c r="T94" t="str">
        <v>Persentase Rata-Rata Saldo Tanggal 20 Non Kogol 1 dan Non Kogol 2</v>
      </c>
      <c r="V94" s="440">
        <v>292.510561</v>
      </c>
      <c r="W94" s="440">
        <v>239.5197235</v>
      </c>
      <c r="X94" s="440">
        <v>184.76773166666666</v>
      </c>
      <c r="Y94" s="440">
        <v>175.622862</v>
      </c>
      <c r="Z94" s="440">
        <v>240.06880959999998</v>
      </c>
      <c r="AA94" s="440">
        <v>231.35805433333334</v>
      </c>
      <c r="AB94" s="440">
        <v>223.27793771428574</v>
      </c>
      <c r="AC94" s="440">
        <v>223.46695562500003</v>
      </c>
      <c r="AD94" s="440">
        <v>243.64695700000004</v>
      </c>
      <c r="AE94" s="440">
        <v>259.26290160000002</v>
      </c>
      <c r="AF94" s="440">
        <v>259.26290160000002</v>
      </c>
      <c r="AG94" s="440">
        <v>259.26290160000002</v>
      </c>
      <c r="AI94" t="str">
        <v>Persentase Rata-Rata Saldo Tanggal 20 Non Kogol 1 dan Non Kogol 2</v>
      </c>
      <c r="AK94" s="440">
        <f t="shared" ref="AK94:AK95" si="345">IFERROR(IF((2-(V94/G94))*100&gt;110,110,(2-(V94/G94))*100),100)</f>
        <v>103.46186105610559</v>
      </c>
      <c r="AL94" s="440">
        <f t="shared" ref="AL94:AL95" si="346">IFERROR(IF((2-(W94/H94))*100&gt;110,110,(2-(W94/H94))*100),100)</f>
        <v>110</v>
      </c>
      <c r="AM94" s="440">
        <f t="shared" ref="AM94:AM95" si="347">IFERROR(IF((2-(X94/I94))*100&gt;110,110,(2-(X94/I94))*100),100)</f>
        <v>110</v>
      </c>
      <c r="AN94" s="440">
        <f t="shared" ref="AN94:AN95" si="348">IFERROR(IF((2-(Y94/J94))*100&gt;110,110,(2-(Y94/J94))*100),100)</f>
        <v>110</v>
      </c>
      <c r="AO94" s="440">
        <f t="shared" ref="AO94:AO95" si="349">IFERROR(IF((2-(Z94/K94))*100&gt;110,110,(2-(Z94/K94))*100),100)</f>
        <v>110</v>
      </c>
      <c r="AP94" s="440">
        <f t="shared" ref="AP94:AP95" si="350">IFERROR(IF((2-(AA94/L94))*100&gt;110,110,(2-(AA94/L94))*100),100)</f>
        <v>110</v>
      </c>
      <c r="AQ94" s="440">
        <f t="shared" ref="AQ94:AQ95" si="351">IFERROR(IF((2-(AB94/M94))*100&gt;110,110,(2-(AB94/M94))*100),100)</f>
        <v>110</v>
      </c>
      <c r="AR94" s="440">
        <f t="shared" ref="AR94:AR95" si="352">IFERROR(IF((2-(AC94/N94))*100&gt;110,110,(2-(AC94/N94))*100),100)</f>
        <v>110</v>
      </c>
      <c r="AS94" s="440">
        <f t="shared" ref="AS94:AS95" si="353">IFERROR(IF((2-(AD94/O94))*100&gt;110,110,(2-(AD94/O94))*100),100)</f>
        <v>110</v>
      </c>
      <c r="AT94" s="440">
        <f t="shared" ref="AT94:AT95" si="354">IFERROR(IF((2-(AE94/P94))*100&gt;110,110,(2-(AE94/P94))*100),100)</f>
        <v>110</v>
      </c>
      <c r="AU94" s="440">
        <f t="shared" ref="AU94:AU95" si="355">IFERROR(IF((2-(AF94/Q94))*100&gt;110,110,(2-(AF94/Q94))*100),100)</f>
        <v>110</v>
      </c>
      <c r="AV94" s="440">
        <f t="shared" ref="AV94:AV95" si="356">IFERROR(IF((2-(AG94/R94))*100&gt;110,110,(2-(AG94/R94))*100),100)</f>
        <v>110</v>
      </c>
      <c r="AX94" t="str">
        <v>Persentase Rata-Rata Saldo Tanggal 20 Non Kogol 1 dan Non Kogol 2</v>
      </c>
      <c r="AY94" s="105" t="s">
        <v>452</v>
      </c>
      <c r="AZ94">
        <v>3</v>
      </c>
      <c r="BA94" s="440">
        <f t="shared" si="234"/>
        <v>3.1</v>
      </c>
      <c r="BB94" s="440">
        <f t="shared" si="235"/>
        <v>3.3</v>
      </c>
      <c r="BC94" s="440">
        <f t="shared" si="236"/>
        <v>3.3</v>
      </c>
      <c r="BD94" s="440">
        <f t="shared" si="237"/>
        <v>3.3</v>
      </c>
      <c r="BE94" s="440">
        <f t="shared" si="238"/>
        <v>3.3</v>
      </c>
      <c r="BF94" s="440">
        <f t="shared" si="239"/>
        <v>3.3</v>
      </c>
      <c r="BG94" s="440">
        <f t="shared" si="240"/>
        <v>3.3</v>
      </c>
      <c r="BH94" s="440">
        <f t="shared" si="241"/>
        <v>3.3</v>
      </c>
      <c r="BI94" s="440">
        <f t="shared" si="242"/>
        <v>3.3</v>
      </c>
      <c r="BJ94" s="440">
        <f t="shared" si="243"/>
        <v>3.3</v>
      </c>
      <c r="BK94" s="440">
        <f t="shared" si="244"/>
        <v>3.3</v>
      </c>
      <c r="BL94" s="440">
        <f t="shared" si="245"/>
        <v>3.3</v>
      </c>
    </row>
    <row r="95" spans="1:64">
      <c r="A95" t="str">
        <v>b. Pencapaian Saldo Rata-Rata Akhir Bulan Non Kogol 1 dan Non Kogol 2</v>
      </c>
      <c r="B95">
        <v>2</v>
      </c>
      <c r="C95" t="str">
        <v>Pencapaian Saldo Rata-Rata Akhir Bulan Non Kogol 1 dan Non Kogol 2</v>
      </c>
      <c r="D95" s="105" t="s">
        <v>456</v>
      </c>
      <c r="E95" t="str">
        <v>Pencapaian Saldo Rata-Rata Akhir Bulan Non Kogol 1 dan Non Kogol 2</v>
      </c>
      <c r="G95" s="440">
        <v>22.07</v>
      </c>
      <c r="H95" s="440">
        <v>22.07</v>
      </c>
      <c r="I95" s="440">
        <v>22.07</v>
      </c>
      <c r="J95" s="440">
        <v>22.07</v>
      </c>
      <c r="K95" s="440">
        <v>22.07</v>
      </c>
      <c r="L95" s="440">
        <v>22.07</v>
      </c>
      <c r="M95" s="440">
        <v>22.07</v>
      </c>
      <c r="N95" s="440">
        <v>22.07</v>
      </c>
      <c r="O95" s="440">
        <v>22.07</v>
      </c>
      <c r="P95" s="440">
        <v>22.07</v>
      </c>
      <c r="Q95" s="440">
        <v>22.07</v>
      </c>
      <c r="R95" s="440">
        <v>22.07</v>
      </c>
      <c r="T95" t="str">
        <v>Pencapaian Saldo Rata-Rata Akhir Bulan Non Kogol 1 dan Non Kogol 2</v>
      </c>
      <c r="V95" s="440">
        <v>141.13633999999999</v>
      </c>
      <c r="W95" s="440">
        <v>72.285492499999989</v>
      </c>
      <c r="X95" s="440">
        <v>48.270994999999992</v>
      </c>
      <c r="Y95" s="440">
        <v>39.791144749999994</v>
      </c>
      <c r="Z95" s="440">
        <v>32.084212399999998</v>
      </c>
      <c r="AA95" s="440">
        <v>30.291526999999999</v>
      </c>
      <c r="AB95" s="440">
        <v>26.43360357142857</v>
      </c>
      <c r="AC95" s="440">
        <v>23.51059025</v>
      </c>
      <c r="AD95" s="440">
        <v>24.760700222222223</v>
      </c>
      <c r="AE95" s="440">
        <v>22.407604299999999</v>
      </c>
      <c r="AF95" s="440">
        <v>22.407604299999999</v>
      </c>
      <c r="AG95" s="440">
        <v>22.407604299999999</v>
      </c>
      <c r="AI95" t="str">
        <v>Pencapaian Saldo Rata-Rata Akhir Bulan Non Kogol 1 dan Non Kogol 2</v>
      </c>
      <c r="AK95" s="440">
        <f t="shared" si="345"/>
        <v>-439.49406434073398</v>
      </c>
      <c r="AL95" s="440">
        <f t="shared" si="346"/>
        <v>-127.52828500226548</v>
      </c>
      <c r="AM95" s="440">
        <f t="shared" si="347"/>
        <v>-18.717693701857698</v>
      </c>
      <c r="AN95" s="440">
        <f t="shared" si="348"/>
        <v>19.704826687811551</v>
      </c>
      <c r="AO95" s="440">
        <f t="shared" si="349"/>
        <v>54.625227004984154</v>
      </c>
      <c r="AP95" s="440">
        <f t="shared" si="350"/>
        <v>62.747951971001356</v>
      </c>
      <c r="AQ95" s="440">
        <f t="shared" si="351"/>
        <v>80.228348113146495</v>
      </c>
      <c r="AR95" s="440">
        <f t="shared" si="352"/>
        <v>93.472631400090634</v>
      </c>
      <c r="AS95" s="440">
        <f t="shared" si="353"/>
        <v>87.808336102300771</v>
      </c>
      <c r="AT95" s="440">
        <f t="shared" si="354"/>
        <v>98.470302220208424</v>
      </c>
      <c r="AU95" s="440">
        <f t="shared" si="355"/>
        <v>98.470302220208424</v>
      </c>
      <c r="AV95" s="440">
        <f t="shared" si="356"/>
        <v>98.470302220208424</v>
      </c>
      <c r="AX95" t="str">
        <v>Pencapaian Saldo Rata-Rata Akhir Bulan Non Kogol 1 dan Non Kogol 2</v>
      </c>
      <c r="AY95" s="105" t="s">
        <v>452</v>
      </c>
      <c r="AZ95">
        <v>3</v>
      </c>
      <c r="BA95" s="440">
        <f t="shared" si="234"/>
        <v>-13.18</v>
      </c>
      <c r="BB95" s="440">
        <f t="shared" si="235"/>
        <v>-3.82</v>
      </c>
      <c r="BC95" s="440">
        <f t="shared" si="236"/>
        <v>-0.56000000000000005</v>
      </c>
      <c r="BD95" s="440">
        <f t="shared" si="237"/>
        <v>0.59</v>
      </c>
      <c r="BE95" s="440">
        <f t="shared" si="238"/>
        <v>1.63</v>
      </c>
      <c r="BF95" s="440">
        <f t="shared" si="239"/>
        <v>1.88</v>
      </c>
      <c r="BG95" s="440">
        <f t="shared" si="240"/>
        <v>2.4</v>
      </c>
      <c r="BH95" s="440">
        <f t="shared" si="241"/>
        <v>2.8</v>
      </c>
      <c r="BI95" s="440">
        <f t="shared" si="242"/>
        <v>2.63</v>
      </c>
      <c r="BJ95" s="440">
        <f t="shared" si="243"/>
        <v>2.95</v>
      </c>
      <c r="BK95" s="440">
        <f t="shared" si="244"/>
        <v>2.95</v>
      </c>
      <c r="BL95" s="440">
        <f t="shared" si="245"/>
        <v>2.95</v>
      </c>
    </row>
    <row r="96" spans="1:64">
      <c r="A96" t="str">
        <v>c. Pencapaian Pelunasan PRR</v>
      </c>
      <c r="B96">
        <v>2</v>
      </c>
      <c r="C96" t="str">
        <v>Pencapaian Pelunasan PRR</v>
      </c>
      <c r="D96" s="105" t="s">
        <v>456</v>
      </c>
      <c r="E96" t="str">
        <v>Pencapaian Pelunasan PRR</v>
      </c>
      <c r="G96" s="440">
        <v>0.28000000000000003</v>
      </c>
      <c r="H96" s="440">
        <v>0.56000000000000005</v>
      </c>
      <c r="I96" s="440">
        <v>0.84</v>
      </c>
      <c r="J96" s="440">
        <v>1.1200000000000001</v>
      </c>
      <c r="K96" s="440">
        <v>1.4</v>
      </c>
      <c r="L96" s="440">
        <v>1.69</v>
      </c>
      <c r="M96" s="440">
        <v>2.11</v>
      </c>
      <c r="N96" s="440">
        <v>2.5299999999999998</v>
      </c>
      <c r="O96" s="440">
        <v>2.95</v>
      </c>
      <c r="P96" s="440">
        <v>3.37</v>
      </c>
      <c r="Q96" s="440">
        <v>3.79</v>
      </c>
      <c r="R96" s="440">
        <v>4.21</v>
      </c>
      <c r="T96" t="str">
        <v>Pencapaian Pelunasan PRR</v>
      </c>
      <c r="V96" s="440">
        <v>0</v>
      </c>
      <c r="W96" s="440">
        <v>0</v>
      </c>
      <c r="X96" s="440">
        <v>0.97739100000000001</v>
      </c>
      <c r="Y96" s="440">
        <v>1.844376</v>
      </c>
      <c r="Z96" s="440">
        <v>8.7684359999999995</v>
      </c>
      <c r="AA96" s="440">
        <v>8.7684359999999995</v>
      </c>
      <c r="AB96" s="440">
        <v>8.7684359999999995</v>
      </c>
      <c r="AC96" s="440">
        <v>8.7684359999999995</v>
      </c>
      <c r="AD96" s="440">
        <v>12.490337</v>
      </c>
      <c r="AE96" s="440">
        <v>12.592142000000001</v>
      </c>
      <c r="AF96" s="440">
        <v>0</v>
      </c>
      <c r="AG96" s="440">
        <v>0</v>
      </c>
      <c r="AI96" t="str">
        <v>Pencapaian Pelunasan PRR</v>
      </c>
      <c r="AK96" s="440">
        <f t="shared" ref="AK96" si="357">IFERROR(IF(V96/G96*100&gt;110,110,V96/G96*100),100)</f>
        <v>0</v>
      </c>
      <c r="AL96" s="440">
        <f t="shared" ref="AL96" si="358">IFERROR(IF(W96/H96*100&gt;110,110,W96/H96*100),100)</f>
        <v>0</v>
      </c>
      <c r="AM96" s="440">
        <f t="shared" ref="AM96" si="359">IFERROR(IF(X96/I96*100&gt;110,110,X96/I96*100),100)</f>
        <v>110</v>
      </c>
      <c r="AN96" s="440">
        <f t="shared" ref="AN96" si="360">IFERROR(IF(Y96/J96*100&gt;110,110,Y96/J96*100),100)</f>
        <v>110</v>
      </c>
      <c r="AO96" s="440">
        <f t="shared" ref="AO96" si="361">IFERROR(IF(Z96/K96*100&gt;110,110,Z96/K96*100),100)</f>
        <v>110</v>
      </c>
      <c r="AP96" s="440">
        <f t="shared" ref="AP96" si="362">IFERROR(IF(AA96/L96*100&gt;110,110,AA96/L96*100),100)</f>
        <v>110</v>
      </c>
      <c r="AQ96" s="440">
        <f t="shared" ref="AQ96" si="363">IFERROR(IF(AB96/M96*100&gt;110,110,AB96/M96*100),100)</f>
        <v>110</v>
      </c>
      <c r="AR96" s="440">
        <f t="shared" ref="AR96" si="364">IFERROR(IF(AC96/N96*100&gt;110,110,AC96/N96*100),100)</f>
        <v>110</v>
      </c>
      <c r="AS96" s="440">
        <f t="shared" ref="AS96" si="365">IFERROR(IF(AD96/O96*100&gt;110,110,AD96/O96*100),100)</f>
        <v>110</v>
      </c>
      <c r="AT96" s="440">
        <f t="shared" ref="AT96" si="366">IFERROR(IF(AE96/P96*100&gt;110,110,AE96/P96*100),100)</f>
        <v>110</v>
      </c>
      <c r="AU96" s="440">
        <f t="shared" ref="AU96" si="367">IFERROR(IF(AF96/Q96*100&gt;110,110,AF96/Q96*100),100)</f>
        <v>0</v>
      </c>
      <c r="AV96" s="440">
        <f t="shared" ref="AV96" si="368">IFERROR(IF(AG96/R96*100&gt;110,110,AG96/R96*100),100)</f>
        <v>0</v>
      </c>
      <c r="AX96" t="str">
        <v>Pencapaian Pelunasan PRR</v>
      </c>
      <c r="AY96" s="105" t="s">
        <v>452</v>
      </c>
      <c r="AZ96">
        <v>3</v>
      </c>
      <c r="BA96" s="440">
        <f t="shared" si="234"/>
        <v>0</v>
      </c>
      <c r="BB96" s="440">
        <f t="shared" si="235"/>
        <v>0</v>
      </c>
      <c r="BC96" s="440">
        <f t="shared" si="236"/>
        <v>3.3</v>
      </c>
      <c r="BD96" s="440">
        <f t="shared" si="237"/>
        <v>3.3</v>
      </c>
      <c r="BE96" s="440">
        <f t="shared" si="238"/>
        <v>3.3</v>
      </c>
      <c r="BF96" s="440">
        <f t="shared" si="239"/>
        <v>3.3</v>
      </c>
      <c r="BG96" s="440">
        <f t="shared" si="240"/>
        <v>3.3</v>
      </c>
      <c r="BH96" s="440">
        <f t="shared" si="241"/>
        <v>3.3</v>
      </c>
      <c r="BI96" s="440">
        <f t="shared" si="242"/>
        <v>3.3</v>
      </c>
      <c r="BJ96" s="440">
        <f t="shared" si="243"/>
        <v>3.3</v>
      </c>
      <c r="BK96" s="440">
        <f t="shared" si="244"/>
        <v>0</v>
      </c>
      <c r="BL96" s="440">
        <f t="shared" si="245"/>
        <v>0</v>
      </c>
    </row>
    <row r="100" spans="1:64">
      <c r="B100" t="s">
        <v>463</v>
      </c>
      <c r="D100" t="str" cm="1">
        <f t="array" ref="D100:D103">_xlfn._xlws.SORT(B100:B103)</f>
        <v>BANGKIR</v>
      </c>
    </row>
    <row r="101" spans="1:64">
      <c r="B101" t="s">
        <v>464</v>
      </c>
      <c r="D101" t="str">
        <v>KOTARAYA</v>
      </c>
    </row>
    <row r="102" spans="1:64">
      <c r="B102" t="s">
        <v>465</v>
      </c>
      <c r="D102" t="str">
        <v>LEOK</v>
      </c>
    </row>
    <row r="103" spans="1:64">
      <c r="B103" t="s">
        <v>466</v>
      </c>
      <c r="D103" t="str">
        <v>MOUTONH</v>
      </c>
    </row>
    <row r="110" spans="1:64">
      <c r="A110" s="826" t="s">
        <v>4</v>
      </c>
      <c r="B110" s="826"/>
      <c r="C110" s="826"/>
      <c r="D110" s="826"/>
    </row>
    <row r="111" spans="1:64">
      <c r="A111" s="826"/>
      <c r="B111" s="826"/>
      <c r="C111" s="826"/>
      <c r="D111" s="826"/>
      <c r="AZ111" t="s">
        <v>100</v>
      </c>
      <c r="BA111" s="440">
        <v>100</v>
      </c>
      <c r="BB111" s="440">
        <v>100</v>
      </c>
      <c r="BC111" s="440">
        <v>100</v>
      </c>
      <c r="BD111" s="440">
        <v>100</v>
      </c>
      <c r="BE111" s="440">
        <v>100</v>
      </c>
      <c r="BF111" s="440">
        <v>100</v>
      </c>
      <c r="BG111" s="440">
        <v>100</v>
      </c>
      <c r="BH111" s="440">
        <v>100</v>
      </c>
      <c r="BI111" s="440">
        <v>100</v>
      </c>
      <c r="BJ111" s="440">
        <v>100</v>
      </c>
      <c r="BK111" s="440">
        <v>100</v>
      </c>
      <c r="BL111" s="440">
        <v>100</v>
      </c>
    </row>
    <row r="112" spans="1:64">
      <c r="A112" s="826"/>
      <c r="B112" s="826"/>
      <c r="C112" s="826"/>
      <c r="D112" s="826"/>
      <c r="AZ112" t="s">
        <v>254</v>
      </c>
      <c r="BA112" s="447">
        <f>SUM(BA115:BA144)</f>
        <v>97.11</v>
      </c>
      <c r="BB112" s="447">
        <f t="shared" ref="BB112:BI112" si="369">SUM(BB115:BB144)</f>
        <v>97.37</v>
      </c>
      <c r="BC112" s="447">
        <f t="shared" si="369"/>
        <v>106.96</v>
      </c>
      <c r="BD112" s="447">
        <f t="shared" si="369"/>
        <v>107.03999999999999</v>
      </c>
      <c r="BE112" s="447">
        <f t="shared" si="369"/>
        <v>105.94</v>
      </c>
      <c r="BF112" s="447">
        <f t="shared" si="369"/>
        <v>105.89</v>
      </c>
      <c r="BG112" s="447">
        <f t="shared" si="369"/>
        <v>104.99000000000001</v>
      </c>
      <c r="BH112" s="447">
        <f t="shared" si="369"/>
        <v>104.95</v>
      </c>
      <c r="BI112" s="447">
        <f t="shared" si="369"/>
        <v>104.78</v>
      </c>
      <c r="BJ112" s="447"/>
      <c r="BK112" s="447"/>
      <c r="BL112" s="447"/>
    </row>
    <row r="113" spans="1:64">
      <c r="E113" s="21" t="s">
        <v>100</v>
      </c>
      <c r="G113">
        <v>1</v>
      </c>
      <c r="H113">
        <v>2</v>
      </c>
      <c r="I113">
        <v>3</v>
      </c>
      <c r="J113">
        <v>4</v>
      </c>
      <c r="K113">
        <v>5</v>
      </c>
      <c r="L113">
        <v>6</v>
      </c>
      <c r="M113">
        <v>7</v>
      </c>
      <c r="N113">
        <v>8</v>
      </c>
      <c r="O113">
        <v>9</v>
      </c>
      <c r="P113">
        <v>10</v>
      </c>
      <c r="Q113">
        <v>11</v>
      </c>
      <c r="R113">
        <v>12</v>
      </c>
      <c r="T113" s="21" t="s">
        <v>254</v>
      </c>
      <c r="V113">
        <v>1</v>
      </c>
      <c r="W113">
        <v>2</v>
      </c>
      <c r="X113">
        <v>3</v>
      </c>
      <c r="Y113">
        <v>4</v>
      </c>
      <c r="Z113">
        <v>5</v>
      </c>
      <c r="AA113">
        <v>6</v>
      </c>
      <c r="AB113">
        <v>7</v>
      </c>
      <c r="AC113">
        <v>8</v>
      </c>
      <c r="AD113">
        <v>9</v>
      </c>
      <c r="AE113">
        <v>10</v>
      </c>
      <c r="AF113">
        <v>11</v>
      </c>
      <c r="AG113">
        <v>12</v>
      </c>
      <c r="AI113" s="21" t="s">
        <v>102</v>
      </c>
      <c r="AK113">
        <v>1</v>
      </c>
      <c r="AL113">
        <v>2</v>
      </c>
      <c r="AM113">
        <v>3</v>
      </c>
      <c r="AN113">
        <v>4</v>
      </c>
      <c r="AO113">
        <v>5</v>
      </c>
      <c r="AP113">
        <v>6</v>
      </c>
      <c r="AQ113">
        <v>7</v>
      </c>
      <c r="AR113">
        <v>8</v>
      </c>
      <c r="AS113">
        <v>9</v>
      </c>
      <c r="AT113">
        <v>10</v>
      </c>
      <c r="AU113">
        <v>11</v>
      </c>
      <c r="AV113">
        <v>12</v>
      </c>
      <c r="AX113" s="21" t="s">
        <v>99</v>
      </c>
      <c r="BA113">
        <v>1</v>
      </c>
      <c r="BB113">
        <v>2</v>
      </c>
      <c r="BC113">
        <v>3</v>
      </c>
      <c r="BD113">
        <v>4</v>
      </c>
      <c r="BE113">
        <v>5</v>
      </c>
      <c r="BF113">
        <v>6</v>
      </c>
      <c r="BG113">
        <v>7</v>
      </c>
      <c r="BH113">
        <v>8</v>
      </c>
      <c r="BI113">
        <v>9</v>
      </c>
      <c r="BJ113">
        <v>10</v>
      </c>
      <c r="BK113">
        <v>11</v>
      </c>
      <c r="BL113">
        <v>12</v>
      </c>
    </row>
    <row r="114" spans="1:64">
      <c r="A114" t="s">
        <v>448</v>
      </c>
      <c r="B114" t="s">
        <v>449</v>
      </c>
      <c r="C114" t="s">
        <v>450</v>
      </c>
      <c r="E114" s="21" t="s">
        <v>451</v>
      </c>
      <c r="G114" s="438">
        <f>DATE(2025,G113+1,0)</f>
        <v>45688</v>
      </c>
      <c r="H114" s="438">
        <f t="shared" ref="H114:R114" si="370">DATE(2025,H113+1,0)</f>
        <v>45716</v>
      </c>
      <c r="I114" s="438">
        <f t="shared" si="370"/>
        <v>45747</v>
      </c>
      <c r="J114" s="438">
        <f t="shared" si="370"/>
        <v>45777</v>
      </c>
      <c r="K114" s="438">
        <f t="shared" si="370"/>
        <v>45808</v>
      </c>
      <c r="L114" s="438">
        <f t="shared" si="370"/>
        <v>45838</v>
      </c>
      <c r="M114" s="438">
        <f t="shared" si="370"/>
        <v>45869</v>
      </c>
      <c r="N114" s="438">
        <f t="shared" si="370"/>
        <v>45900</v>
      </c>
      <c r="O114" s="438">
        <f t="shared" si="370"/>
        <v>45930</v>
      </c>
      <c r="P114" s="438">
        <f t="shared" si="370"/>
        <v>45961</v>
      </c>
      <c r="Q114" s="438">
        <f t="shared" si="370"/>
        <v>45991</v>
      </c>
      <c r="R114" s="438">
        <f t="shared" si="370"/>
        <v>46022</v>
      </c>
      <c r="T114" s="21" t="s">
        <v>451</v>
      </c>
      <c r="V114" s="438">
        <f>DATE(2025,V113+1,0)</f>
        <v>45688</v>
      </c>
      <c r="W114" s="438">
        <f t="shared" ref="W114:AG114" si="371">DATE(2025,W113+1,0)</f>
        <v>45716</v>
      </c>
      <c r="X114" s="438">
        <f t="shared" si="371"/>
        <v>45747</v>
      </c>
      <c r="Y114" s="438">
        <f t="shared" si="371"/>
        <v>45777</v>
      </c>
      <c r="Z114" s="438">
        <f t="shared" si="371"/>
        <v>45808</v>
      </c>
      <c r="AA114" s="438">
        <f t="shared" si="371"/>
        <v>45838</v>
      </c>
      <c r="AB114" s="438">
        <f t="shared" si="371"/>
        <v>45869</v>
      </c>
      <c r="AC114" s="438">
        <f t="shared" si="371"/>
        <v>45900</v>
      </c>
      <c r="AD114" s="438">
        <f t="shared" si="371"/>
        <v>45930</v>
      </c>
      <c r="AE114" s="438">
        <f t="shared" si="371"/>
        <v>45961</v>
      </c>
      <c r="AF114" s="438">
        <f t="shared" si="371"/>
        <v>45991</v>
      </c>
      <c r="AG114" s="438">
        <f t="shared" si="371"/>
        <v>46022</v>
      </c>
      <c r="AI114" s="21" t="s">
        <v>451</v>
      </c>
      <c r="AK114" s="438">
        <f>DATE(2025,AK113+1,0)</f>
        <v>45688</v>
      </c>
      <c r="AL114" s="438">
        <f t="shared" ref="AL114:AV114" si="372">DATE(2025,AL113+1,0)</f>
        <v>45716</v>
      </c>
      <c r="AM114" s="438">
        <f t="shared" si="372"/>
        <v>45747</v>
      </c>
      <c r="AN114" s="438">
        <f t="shared" si="372"/>
        <v>45777</v>
      </c>
      <c r="AO114" s="438">
        <f t="shared" si="372"/>
        <v>45808</v>
      </c>
      <c r="AP114" s="438">
        <f t="shared" si="372"/>
        <v>45838</v>
      </c>
      <c r="AQ114" s="438">
        <f t="shared" si="372"/>
        <v>45869</v>
      </c>
      <c r="AR114" s="438">
        <f t="shared" si="372"/>
        <v>45900</v>
      </c>
      <c r="AS114" s="438">
        <f t="shared" si="372"/>
        <v>45930</v>
      </c>
      <c r="AT114" s="438">
        <f t="shared" si="372"/>
        <v>45961</v>
      </c>
      <c r="AU114" s="438">
        <f t="shared" si="372"/>
        <v>45991</v>
      </c>
      <c r="AV114" s="438">
        <f t="shared" si="372"/>
        <v>46022</v>
      </c>
      <c r="AX114" s="21" t="s">
        <v>451</v>
      </c>
      <c r="BA114" s="438">
        <f>DATE(2025,BA113+1,0)</f>
        <v>45688</v>
      </c>
      <c r="BB114" s="438">
        <f t="shared" ref="BB114:BL114" si="373">DATE(2025,BB113+1,0)</f>
        <v>45716</v>
      </c>
      <c r="BC114" s="438">
        <f t="shared" si="373"/>
        <v>45747</v>
      </c>
      <c r="BD114" s="438">
        <f t="shared" si="373"/>
        <v>45777</v>
      </c>
      <c r="BE114" s="438">
        <f t="shared" si="373"/>
        <v>45808</v>
      </c>
      <c r="BF114" s="438">
        <f t="shared" si="373"/>
        <v>45838</v>
      </c>
      <c r="BG114" s="438">
        <f t="shared" si="373"/>
        <v>45869</v>
      </c>
      <c r="BH114" s="438">
        <f t="shared" si="373"/>
        <v>45900</v>
      </c>
      <c r="BI114" s="438">
        <f t="shared" si="373"/>
        <v>45930</v>
      </c>
      <c r="BJ114" s="438">
        <f t="shared" si="373"/>
        <v>45961</v>
      </c>
      <c r="BK114" s="438">
        <f t="shared" si="373"/>
        <v>45991</v>
      </c>
      <c r="BL114" s="438">
        <f t="shared" si="373"/>
        <v>46022</v>
      </c>
    </row>
    <row r="115" spans="1:64">
      <c r="A115" t="str" cm="1">
        <f t="array" ref="A115:A144">_xlfn._xlws.FILTER(ULP!$Z$9:$Z$58,ULP!$AA$9:$AA$58&gt;0)</f>
        <v>Penjualan Tenaga Listrik</v>
      </c>
      <c r="B115" t="e" cm="1">
        <f t="array" ref="B115:B144">SEARCH(".",_xlfn.ANCHORARRAY(A115))</f>
        <v>#VALUE!</v>
      </c>
      <c r="C115" t="str" cm="1">
        <f t="array" ref="C115:C144">IF(ISERROR(_xlfn.ANCHORARRAY(B115))=TRUE,_xlfn.ANCHORARRAY(A115),RIGHT(_xlfn.ANCHORARRAY(A115),LEN(_xlfn.ANCHORARRAY(A115))-_xlfn.ANCHORARRAY(B115)-1))</f>
        <v>Penjualan Tenaga Listrik</v>
      </c>
      <c r="D115" s="105" t="s">
        <v>456</v>
      </c>
      <c r="E115" t="str" cm="1">
        <f t="array" ref="E115:E144">_xlfn.ANCHORARRAY($C$115)</f>
        <v>Penjualan Tenaga Listrik</v>
      </c>
      <c r="G115" s="440" cm="1">
        <f t="array" ref="G115:G144">INDEX(T.BANGKIR!I$7:I$55,MATCH(_xlfn.ANCHORARRAY($A$115),T.BANGKIR!$B$7:$B$55,0))</f>
        <v>2.19</v>
      </c>
      <c r="H115" s="440" cm="1">
        <f t="array" ref="H115:H144">INDEX(T.BANGKIR!J$7:J$55,MATCH(_xlfn.ANCHORARRAY($A$115),T.BANGKIR!$B$7:$B$55,0))</f>
        <v>4.28</v>
      </c>
      <c r="I115" s="440" cm="1">
        <f t="array" ref="I115:I144">INDEX(T.BANGKIR!K$7:K$55,MATCH(_xlfn.ANCHORARRAY($A$115),T.BANGKIR!$B$7:$B$55,0))</f>
        <v>6.6</v>
      </c>
      <c r="J115" s="440" cm="1">
        <f t="array" ref="J115:J144">INDEX(T.BANGKIR!L$7:L$55,MATCH(_xlfn.ANCHORARRAY($A$115),T.BANGKIR!$B$7:$B$55,0))</f>
        <v>8.84</v>
      </c>
      <c r="K115" s="440" cm="1">
        <f t="array" ref="K115:K144">INDEX(T.BANGKIR!M$7:M$55,MATCH(_xlfn.ANCHORARRAY($A$115),T.BANGKIR!$B$7:$B$55,0))</f>
        <v>11.15</v>
      </c>
      <c r="L115" s="440" cm="1">
        <f t="array" ref="L115:L144">INDEX(T.BANGKIR!N$7:N$55,MATCH(_xlfn.ANCHORARRAY($A$115),T.BANGKIR!$B$7:$B$55,0))</f>
        <v>13.31</v>
      </c>
      <c r="M115" s="440" cm="1">
        <f t="array" ref="M115:M144">INDEX(T.BANGKIR!O$7:O$55,MATCH(_xlfn.ANCHORARRAY($A$115),T.BANGKIR!$B$7:$B$55,0))</f>
        <v>15.51</v>
      </c>
      <c r="N115" s="440" cm="1">
        <f t="array" ref="N115:N144">INDEX(T.BANGKIR!P$7:P$55,MATCH(_xlfn.ANCHORARRAY($A$115),T.BANGKIR!$B$7:$B$55,0))</f>
        <v>17.760000000000002</v>
      </c>
      <c r="O115" s="440" cm="1">
        <f t="array" ref="O115:O144">INDEX(T.BANGKIR!Q$7:Q$55,MATCH(_xlfn.ANCHORARRAY($A$115),T.BANGKIR!$B$7:$B$55,0))</f>
        <v>20.04</v>
      </c>
      <c r="P115" s="440" cm="1">
        <f t="array" ref="P115:P144">INDEX(T.BANGKIR!R$7:R$55,MATCH(_xlfn.ANCHORARRAY($A$115),T.BANGKIR!$B$7:$B$55,0))</f>
        <v>22.41</v>
      </c>
      <c r="Q115" s="440" cm="1">
        <f t="array" ref="Q115:Q144">INDEX(T.BANGKIR!S$7:S$55,MATCH(_xlfn.ANCHORARRAY($A$115),T.BANGKIR!$B$7:$B$55,0))</f>
        <v>24.74</v>
      </c>
      <c r="R115" s="440" cm="1">
        <f t="array" ref="R115:R144">INDEX(T.BANGKIR!T$7:T$55,MATCH(_xlfn.ANCHORARRAY($A$115),T.BANGKIR!$B$7:$B$55,0))</f>
        <v>27.1</v>
      </c>
      <c r="T115" t="str" cm="1">
        <f t="array" ref="T115:T144">_xlfn.ANCHORARRAY($C$115)</f>
        <v>Penjualan Tenaga Listrik</v>
      </c>
      <c r="V115" s="440" cm="1">
        <f t="array" ref="V115:V144">INDEX('R.BANGKIR'!I$7:I$55,MATCH(_xlfn.ANCHORARRAY($A$115),'R.BANGKIR'!$B$7:$B$55,0))</f>
        <v>3.349951645</v>
      </c>
      <c r="W115" s="440" cm="1">
        <f t="array" ref="W115:W144">INDEX('R.BANGKIR'!J$7:J$55,MATCH(_xlfn.ANCHORARRAY($A$115),'R.BANGKIR'!$B$7:$B$55,0))</f>
        <v>6.1451815389999993</v>
      </c>
      <c r="X115" s="440" cm="1">
        <f t="array" ref="X115:X144">INDEX('R.BANGKIR'!K$7:K$55,MATCH(_xlfn.ANCHORARRAY($A$115),'R.BANGKIR'!$B$7:$B$55,0))</f>
        <v>8.5735038369999987</v>
      </c>
      <c r="Y115" s="440" cm="1">
        <f t="array" ref="Y115:Y144">INDEX('R.BANGKIR'!L$7:L$55,MATCH(_xlfn.ANCHORARRAY($A$115),'R.BANGKIR'!$B$7:$B$55,0))</f>
        <v>9.9639753729999985</v>
      </c>
      <c r="Z115" s="440" cm="1">
        <f t="array" ref="Z115:Z144">INDEX('R.BANGKIR'!M$7:M$55,MATCH(_xlfn.ANCHORARRAY($A$115),'R.BANGKIR'!$B$7:$B$55,0))</f>
        <v>11.682466393999999</v>
      </c>
      <c r="AA115" s="440" cm="1">
        <f t="array" ref="AA115:AA144">INDEX('R.BANGKIR'!N$7:N$55,MATCH(_xlfn.ANCHORARRAY($A$115),'R.BANGKIR'!$B$7:$B$55,0))</f>
        <v>13.639104963999998</v>
      </c>
      <c r="AB115" s="440" cm="1">
        <f t="array" ref="AB115:AB144">INDEX('R.BANGKIR'!O$7:O$55,MATCH(_xlfn.ANCHORARRAY($A$115),'R.BANGKIR'!$B$7:$B$55,0))</f>
        <v>15.664647543999997</v>
      </c>
      <c r="AC115" s="440" cm="1">
        <f t="array" ref="AC115:AC144">INDEX('R.BANGKIR'!P$7:P$55,MATCH(_xlfn.ANCHORARRAY($A$115),'R.BANGKIR'!$B$7:$B$55,0))</f>
        <v>17.818448144999998</v>
      </c>
      <c r="AD115" s="440" cm="1">
        <f t="array" ref="AD115:AD144">INDEX('R.BANGKIR'!Q$7:Q$55,MATCH(_xlfn.ANCHORARRAY($A$115),'R.BANGKIR'!$B$7:$B$55,0))</f>
        <v>20.044852349999999</v>
      </c>
      <c r="AE115" s="440" cm="1">
        <f t="array" ref="AE115:AE144">INDEX('R.BANGKIR'!R$7:R$55,MATCH(_xlfn.ANCHORARRAY($A$115),'R.BANGKIR'!$B$7:$B$55,0))</f>
        <v>22.320869412</v>
      </c>
      <c r="AF115" s="440" cm="1">
        <f t="array" ref="AF115:AF144">INDEX('R.BANGKIR'!S$7:S$55,MATCH(_xlfn.ANCHORARRAY($A$115),'R.BANGKIR'!$B$7:$B$55,0))</f>
        <v>0</v>
      </c>
      <c r="AG115" s="440" cm="1">
        <f t="array" ref="AG115:AG144">INDEX('R.BANGKIR'!T$7:T$55,MATCH(_xlfn.ANCHORARRAY($A$115),'R.BANGKIR'!$B$7:$B$55,0))</f>
        <v>0</v>
      </c>
      <c r="AI115" t="str" cm="1">
        <f t="array" ref="AI115:AI144">_xlfn.ANCHORARRAY($C$115)</f>
        <v>Penjualan Tenaga Listrik</v>
      </c>
      <c r="AK115" s="440">
        <f>IF(V115/G115*100&gt;110,110,V115/G115*100)</f>
        <v>110</v>
      </c>
      <c r="AL115" s="440">
        <f t="shared" ref="AL115" si="374">IF(W115/H115*100&gt;110,110,W115/H115*100)</f>
        <v>110</v>
      </c>
      <c r="AM115" s="440">
        <f t="shared" ref="AM115" si="375">IF(X115/I115*100&gt;110,110,X115/I115*100)</f>
        <v>110</v>
      </c>
      <c r="AN115" s="440">
        <f t="shared" ref="AN115" si="376">IF(Y115/J115*100&gt;110,110,Y115/J115*100)</f>
        <v>110</v>
      </c>
      <c r="AO115" s="440">
        <f t="shared" ref="AO115" si="377">IF(Z115/K115*100&gt;110,110,Z115/K115*100)</f>
        <v>104.77548335426007</v>
      </c>
      <c r="AP115" s="440">
        <f t="shared" ref="AP115" si="378">IF(AA115/L115*100&gt;110,110,AA115/L115*100)</f>
        <v>102.47261430503379</v>
      </c>
      <c r="AQ115" s="440">
        <f t="shared" ref="AQ115" si="379">IF(AB115/M115*100&gt;110,110,AB115/M115*100)</f>
        <v>100.99708281108961</v>
      </c>
      <c r="AR115" s="440">
        <f t="shared" ref="AR115" si="380">IF(AC115/N115*100&gt;110,110,AC115/N115*100)</f>
        <v>100.32909991554051</v>
      </c>
      <c r="AS115" s="440">
        <f t="shared" ref="AS115" si="381">IF(AD115/O115*100&gt;110,110,AD115/O115*100)</f>
        <v>100.02421332335329</v>
      </c>
      <c r="AT115" s="440">
        <f t="shared" ref="AT115" si="382">IF(AE115/P115*100&gt;110,110,AE115/P115*100)</f>
        <v>99.602273145916996</v>
      </c>
      <c r="AU115" s="440">
        <f t="shared" ref="AU115" si="383">IF(AF115/Q115*100&gt;110,110,AF115/Q115*100)</f>
        <v>0</v>
      </c>
      <c r="AV115" s="440">
        <f t="shared" ref="AV115" si="384">IF(AG115/R115*100&gt;110,110,AG115/R115*100)</f>
        <v>0</v>
      </c>
      <c r="AX115" t="str" cm="1">
        <f t="array" ref="AX115:AX144">_xlfn.ANCHORARRAY($C$67)</f>
        <v>Penjualan Tenaga Listrik</v>
      </c>
      <c r="AY115" s="105" t="s">
        <v>452</v>
      </c>
      <c r="AZ115">
        <v>14</v>
      </c>
      <c r="BA115" s="440">
        <f t="shared" ref="BA115:BA144" si="385">ROUNDDOWN(AK115/100*$AZ115,2)</f>
        <v>15.4</v>
      </c>
      <c r="BB115" s="440">
        <f t="shared" ref="BB115:BB144" si="386">ROUNDDOWN(AL115/100*$AZ115,2)</f>
        <v>15.4</v>
      </c>
      <c r="BC115" s="440">
        <f t="shared" ref="BC115:BC144" si="387">ROUNDDOWN(AM115/100*$AZ115,2)</f>
        <v>15.4</v>
      </c>
      <c r="BD115" s="440">
        <f t="shared" ref="BD115:BD144" si="388">ROUNDDOWN(AN115/100*$AZ115,2)</f>
        <v>15.4</v>
      </c>
      <c r="BE115" s="440">
        <f t="shared" ref="BE115:BE144" si="389">ROUNDDOWN(AO115/100*$AZ115,2)</f>
        <v>14.66</v>
      </c>
      <c r="BF115" s="440">
        <f t="shared" ref="BF115:BF144" si="390">ROUNDDOWN(AP115/100*$AZ115,2)</f>
        <v>14.34</v>
      </c>
      <c r="BG115" s="440">
        <f t="shared" ref="BG115:BG144" si="391">ROUNDDOWN(AQ115/100*$AZ115,2)</f>
        <v>14.13</v>
      </c>
      <c r="BH115" s="440">
        <f t="shared" ref="BH115:BH144" si="392">ROUNDDOWN(AR115/100*$AZ115,2)</f>
        <v>14.04</v>
      </c>
      <c r="BI115" s="440">
        <f t="shared" ref="BI115:BI144" si="393">ROUNDDOWN(AS115/100*$AZ115,2)</f>
        <v>14</v>
      </c>
      <c r="BJ115" s="440">
        <f t="shared" ref="BJ115:BJ144" si="394">ROUNDDOWN(AT115/100*$AZ115,2)</f>
        <v>13.94</v>
      </c>
      <c r="BK115" s="440">
        <f t="shared" ref="BK115:BK144" si="395">ROUNDDOWN(AU115/100*$AZ115,2)</f>
        <v>0</v>
      </c>
      <c r="BL115" s="440">
        <f t="shared" ref="BL115:BL144" si="396">ROUNDDOWN(AV115/100*$AZ115,2)</f>
        <v>0</v>
      </c>
    </row>
    <row r="116" spans="1:64">
      <c r="A116" t="str">
        <v>a. SAIDI (sesuai kewenangan)</v>
      </c>
      <c r="B116">
        <v>2</v>
      </c>
      <c r="C116" t="str">
        <v>SAIDI (sesuai kewenangan)</v>
      </c>
      <c r="D116" s="105" t="s">
        <v>456</v>
      </c>
      <c r="E116" t="str">
        <v>SAIDI (sesuai kewenangan)</v>
      </c>
      <c r="G116" s="440">
        <v>14.65</v>
      </c>
      <c r="H116" s="440">
        <v>29.3</v>
      </c>
      <c r="I116" s="440">
        <v>43.94</v>
      </c>
      <c r="J116" s="440">
        <v>58.59</v>
      </c>
      <c r="K116" s="440">
        <v>73.239999999999995</v>
      </c>
      <c r="L116" s="440">
        <v>87.89</v>
      </c>
      <c r="M116" s="440">
        <v>102.54</v>
      </c>
      <c r="N116" s="440">
        <v>117.18</v>
      </c>
      <c r="O116" s="440">
        <v>131.83000000000001</v>
      </c>
      <c r="P116" s="440">
        <v>146.47999999999999</v>
      </c>
      <c r="Q116" s="440">
        <v>161.13</v>
      </c>
      <c r="R116" s="440">
        <v>175.78</v>
      </c>
      <c r="T116" t="str">
        <v>SAIDI (sesuai kewenangan)</v>
      </c>
      <c r="V116" s="440">
        <v>15.179571527297856</v>
      </c>
      <c r="W116" s="440">
        <v>15.281531883591558</v>
      </c>
      <c r="X116" s="440">
        <v>18.773988439306358</v>
      </c>
      <c r="Y116" s="440">
        <v>33.332720032953453</v>
      </c>
      <c r="Z116" s="440">
        <v>50.742571454661679</v>
      </c>
      <c r="AA116" s="440">
        <v>66.18075679613861</v>
      </c>
      <c r="AB116" s="440">
        <v>86.78775398881767</v>
      </c>
      <c r="AC116" s="440">
        <v>86.942387802332448</v>
      </c>
      <c r="AD116" s="440">
        <v>98.540400108626784</v>
      </c>
      <c r="AE116" s="440">
        <v>124.96484766418416</v>
      </c>
      <c r="AF116" s="440">
        <v>0</v>
      </c>
      <c r="AG116" s="440">
        <v>0</v>
      </c>
      <c r="AI116" t="str">
        <v>SAIDI (sesuai kewenangan)</v>
      </c>
      <c r="AK116" s="440">
        <f t="shared" ref="AK116:AK117" si="397">IF((2-(V116/G116))*100&gt;110,110,(2-(V116/G116))*100)</f>
        <v>96.385177288069229</v>
      </c>
      <c r="AL116" s="440">
        <f t="shared" ref="AL116:AL117" si="398">IF((2-(W116/H116))*100&gt;110,110,(2-(W116/H116))*100)</f>
        <v>110</v>
      </c>
      <c r="AM116" s="440">
        <f t="shared" ref="AM116:AM117" si="399">IF((2-(X116/I116))*100&gt;110,110,(2-(X116/I116))*100)</f>
        <v>110</v>
      </c>
      <c r="AN116" s="440">
        <f t="shared" ref="AN116:AN117" si="400">IF((2-(Y116/J116))*100&gt;110,110,(2-(Y116/J116))*100)</f>
        <v>110</v>
      </c>
      <c r="AO116" s="440">
        <f t="shared" ref="AO116:AO117" si="401">IF((2-(Z116/K116))*100&gt;110,110,(2-(Z116/K116))*100)</f>
        <v>110</v>
      </c>
      <c r="AP116" s="440">
        <f t="shared" ref="AP116:AP117" si="402">IF((2-(AA116/L116))*100&gt;110,110,(2-(AA116/L116))*100)</f>
        <v>110</v>
      </c>
      <c r="AQ116" s="440">
        <f t="shared" ref="AQ116:AQ117" si="403">IF((2-(AB116/M116))*100&gt;110,110,(2-(AB116/M116))*100)</f>
        <v>110</v>
      </c>
      <c r="AR116" s="440">
        <f t="shared" ref="AR116:AR117" si="404">IF((2-(AC116/N116))*100&gt;110,110,(2-(AC116/N116))*100)</f>
        <v>110</v>
      </c>
      <c r="AS116" s="440">
        <f t="shared" ref="AS116:AS117" si="405">IF((2-(AD116/O116))*100&gt;110,110,(2-(AD116/O116))*100)</f>
        <v>110</v>
      </c>
      <c r="AT116" s="440">
        <f t="shared" ref="AT116:AT117" si="406">IF((2-(AE116/P116))*100&gt;110,110,(2-(AE116/P116))*100)</f>
        <v>110</v>
      </c>
      <c r="AU116" s="440">
        <f t="shared" ref="AU116:AU117" si="407">IF((2-(AF116/Q116))*100&gt;110,110,(2-(AF116/Q116))*100)</f>
        <v>110</v>
      </c>
      <c r="AV116" s="440">
        <f t="shared" ref="AV116:AV117" si="408">IF((2-(AG116/R116))*100&gt;110,110,(2-(AG116/R116))*100)</f>
        <v>110</v>
      </c>
      <c r="AX116" t="str">
        <v>SAIDI (sesuai kewenangan)</v>
      </c>
      <c r="AY116" s="105" t="s">
        <v>452</v>
      </c>
      <c r="AZ116">
        <v>6</v>
      </c>
      <c r="BA116" s="440">
        <f t="shared" si="385"/>
        <v>5.78</v>
      </c>
      <c r="BB116" s="440">
        <f t="shared" si="386"/>
        <v>6.6</v>
      </c>
      <c r="BC116" s="440">
        <f t="shared" si="387"/>
        <v>6.6</v>
      </c>
      <c r="BD116" s="440">
        <f t="shared" si="388"/>
        <v>6.6</v>
      </c>
      <c r="BE116" s="440">
        <f t="shared" si="389"/>
        <v>6.6</v>
      </c>
      <c r="BF116" s="440">
        <f t="shared" si="390"/>
        <v>6.6</v>
      </c>
      <c r="BG116" s="440">
        <f t="shared" si="391"/>
        <v>6.6</v>
      </c>
      <c r="BH116" s="440">
        <f t="shared" si="392"/>
        <v>6.6</v>
      </c>
      <c r="BI116" s="440">
        <f t="shared" si="393"/>
        <v>6.6</v>
      </c>
      <c r="BJ116" s="440">
        <f t="shared" si="394"/>
        <v>6.6</v>
      </c>
      <c r="BK116" s="440">
        <f t="shared" si="395"/>
        <v>6.6</v>
      </c>
      <c r="BL116" s="440">
        <f t="shared" si="396"/>
        <v>6.6</v>
      </c>
    </row>
    <row r="117" spans="1:64">
      <c r="A117" t="str">
        <v>b. SAIFI (sesuai kewenangan)</v>
      </c>
      <c r="B117">
        <v>2</v>
      </c>
      <c r="C117" t="str">
        <v>SAIFI (sesuai kewenangan)</v>
      </c>
      <c r="D117" s="105" t="s">
        <v>456</v>
      </c>
      <c r="E117" t="str">
        <v>SAIFI (sesuai kewenangan)</v>
      </c>
      <c r="G117" s="440">
        <v>0.23</v>
      </c>
      <c r="H117" s="440">
        <v>0.47</v>
      </c>
      <c r="I117" s="440">
        <v>0.7</v>
      </c>
      <c r="J117" s="440">
        <v>0.94</v>
      </c>
      <c r="K117" s="440">
        <v>1.17</v>
      </c>
      <c r="L117" s="440">
        <v>1.4</v>
      </c>
      <c r="M117" s="440">
        <v>1.64</v>
      </c>
      <c r="N117" s="440">
        <v>1.87</v>
      </c>
      <c r="O117" s="440">
        <v>2.1</v>
      </c>
      <c r="P117" s="440">
        <v>2.34</v>
      </c>
      <c r="Q117" s="440">
        <v>2.57</v>
      </c>
      <c r="R117" s="440">
        <v>2.81</v>
      </c>
      <c r="T117" t="str">
        <v>SAIFI (sesuai kewenangan)</v>
      </c>
      <c r="V117" s="440">
        <v>0.1485372034093527</v>
      </c>
      <c r="W117" s="440">
        <v>0.15934899544848513</v>
      </c>
      <c r="X117" s="440">
        <v>0.3023213138820075</v>
      </c>
      <c r="Y117" s="440">
        <v>0.39850794086685887</v>
      </c>
      <c r="Z117" s="440">
        <v>0.82083827960916811</v>
      </c>
      <c r="AA117" s="440">
        <v>1.1430718091161605</v>
      </c>
      <c r="AB117" s="440">
        <v>1.4126551206873039</v>
      </c>
      <c r="AC117" s="440">
        <v>1.4216544901756138</v>
      </c>
      <c r="AD117" s="440">
        <v>1.6025165203222593</v>
      </c>
      <c r="AE117" s="440">
        <v>2.0909952606635072</v>
      </c>
      <c r="AF117" s="440">
        <v>0</v>
      </c>
      <c r="AG117" s="440">
        <v>0</v>
      </c>
      <c r="AI117" t="str">
        <v>SAIFI (sesuai kewenangan)</v>
      </c>
      <c r="AK117" s="440">
        <f t="shared" si="397"/>
        <v>110</v>
      </c>
      <c r="AL117" s="440">
        <f t="shared" si="398"/>
        <v>110</v>
      </c>
      <c r="AM117" s="440">
        <f t="shared" si="399"/>
        <v>110</v>
      </c>
      <c r="AN117" s="440">
        <f t="shared" si="400"/>
        <v>110</v>
      </c>
      <c r="AO117" s="440">
        <f t="shared" si="401"/>
        <v>110</v>
      </c>
      <c r="AP117" s="440">
        <f t="shared" si="402"/>
        <v>110</v>
      </c>
      <c r="AQ117" s="440">
        <f t="shared" si="403"/>
        <v>110</v>
      </c>
      <c r="AR117" s="440">
        <f t="shared" si="404"/>
        <v>110</v>
      </c>
      <c r="AS117" s="440">
        <f t="shared" si="405"/>
        <v>110</v>
      </c>
      <c r="AT117" s="440">
        <f t="shared" si="406"/>
        <v>110</v>
      </c>
      <c r="AU117" s="440">
        <f t="shared" si="407"/>
        <v>110</v>
      </c>
      <c r="AV117" s="440">
        <f t="shared" si="408"/>
        <v>110</v>
      </c>
      <c r="AX117" t="str">
        <v>SAIFI (sesuai kewenangan)</v>
      </c>
      <c r="AY117" s="105" t="s">
        <v>452</v>
      </c>
      <c r="AZ117">
        <v>6</v>
      </c>
      <c r="BA117" s="440">
        <f t="shared" si="385"/>
        <v>6.6</v>
      </c>
      <c r="BB117" s="440">
        <f t="shared" si="386"/>
        <v>6.6</v>
      </c>
      <c r="BC117" s="440">
        <f t="shared" si="387"/>
        <v>6.6</v>
      </c>
      <c r="BD117" s="440">
        <f t="shared" si="388"/>
        <v>6.6</v>
      </c>
      <c r="BE117" s="440">
        <f t="shared" si="389"/>
        <v>6.6</v>
      </c>
      <c r="BF117" s="440">
        <f t="shared" si="390"/>
        <v>6.6</v>
      </c>
      <c r="BG117" s="440">
        <f t="shared" si="391"/>
        <v>6.6</v>
      </c>
      <c r="BH117" s="440">
        <f t="shared" si="392"/>
        <v>6.6</v>
      </c>
      <c r="BI117" s="440">
        <f t="shared" si="393"/>
        <v>6.6</v>
      </c>
      <c r="BJ117" s="440">
        <f t="shared" si="394"/>
        <v>6.6</v>
      </c>
      <c r="BK117" s="440">
        <f t="shared" si="395"/>
        <v>6.6</v>
      </c>
      <c r="BL117" s="440">
        <f t="shared" si="396"/>
        <v>6.6</v>
      </c>
    </row>
    <row r="118" spans="1:64">
      <c r="A118" t="str">
        <v>c. ENS (sesuai kewenangan)</v>
      </c>
      <c r="B118">
        <v>2</v>
      </c>
      <c r="C118" t="str">
        <v>ENS (sesuai kewenangan)</v>
      </c>
      <c r="D118" s="105" t="s">
        <v>456</v>
      </c>
      <c r="E118" t="str">
        <v>ENS (sesuai kewenangan)</v>
      </c>
      <c r="G118" s="440">
        <v>0.59</v>
      </c>
      <c r="H118" s="440">
        <v>1.18</v>
      </c>
      <c r="I118" s="440">
        <v>1.77</v>
      </c>
      <c r="J118" s="440">
        <v>2.36</v>
      </c>
      <c r="K118" s="440">
        <v>2.95</v>
      </c>
      <c r="L118" s="440">
        <v>3.54</v>
      </c>
      <c r="M118" s="440">
        <v>4.13</v>
      </c>
      <c r="N118" s="440">
        <v>4.72</v>
      </c>
      <c r="O118" s="440">
        <v>5.31</v>
      </c>
      <c r="P118" s="440">
        <v>5.9</v>
      </c>
      <c r="Q118" s="440">
        <v>6.49</v>
      </c>
      <c r="R118" s="440">
        <v>7.08</v>
      </c>
      <c r="T118" t="str">
        <v>ENS (sesuai kewenangan)</v>
      </c>
      <c r="V118" s="440">
        <v>0.79600000000000004</v>
      </c>
      <c r="W118" s="440">
        <v>0.80200000000000005</v>
      </c>
      <c r="X118" s="440">
        <v>1.0550000000000002</v>
      </c>
      <c r="Y118" s="440">
        <v>1.8940000000000001</v>
      </c>
      <c r="Z118" s="440">
        <v>2.5420000000000003</v>
      </c>
      <c r="AA118" s="440">
        <v>3.0380000000000003</v>
      </c>
      <c r="AB118" s="440">
        <v>3.6530000000000005</v>
      </c>
      <c r="AC118" s="440">
        <v>3.6660000000000004</v>
      </c>
      <c r="AD118" s="440">
        <v>4.1610000000000005</v>
      </c>
      <c r="AE118" s="440">
        <v>5.0650000000000004</v>
      </c>
      <c r="AF118" s="440">
        <v>0</v>
      </c>
      <c r="AG118" s="440">
        <v>0</v>
      </c>
      <c r="AI118" t="str">
        <v>ENS (sesuai kewenangan)</v>
      </c>
      <c r="AK118" s="440">
        <f t="shared" ref="AK118" si="409">IF(((G118-(V118-G118))/G118)*100&gt;110,110,((G118-(V118-G118))/G118)*100)</f>
        <v>65.084745762711847</v>
      </c>
      <c r="AL118" s="440">
        <f t="shared" ref="AL118" si="410">IF(((H118-(W118-H118))/H118)*100&gt;110,110,((H118-(W118-H118))/H118)*100)</f>
        <v>110</v>
      </c>
      <c r="AM118" s="440">
        <f t="shared" ref="AM118" si="411">IF(((I118-(X118-I118))/I118)*100&gt;110,110,((I118-(X118-I118))/I118)*100)</f>
        <v>110</v>
      </c>
      <c r="AN118" s="440">
        <f t="shared" ref="AN118" si="412">IF(((J118-(Y118-J118))/J118)*100&gt;110,110,((J118-(Y118-J118))/J118)*100)</f>
        <v>110</v>
      </c>
      <c r="AO118" s="440">
        <f t="shared" ref="AO118" si="413">IF(((K118-(Z118-K118))/K118)*100&gt;110,110,((K118-(Z118-K118))/K118)*100)</f>
        <v>110</v>
      </c>
      <c r="AP118" s="440">
        <f t="shared" ref="AP118" si="414">IF(((L118-(AA118-L118))/L118)*100&gt;110,110,((L118-(AA118-L118))/L118)*100)</f>
        <v>110</v>
      </c>
      <c r="AQ118" s="440">
        <f t="shared" ref="AQ118" si="415">IF(((M118-(AB118-M118))/M118)*100&gt;110,110,((M118-(AB118-M118))/M118)*100)</f>
        <v>110</v>
      </c>
      <c r="AR118" s="440">
        <f t="shared" ref="AR118" si="416">IF(((N118-(AC118-N118))/N118)*100&gt;110,110,((N118-(AC118-N118))/N118)*100)</f>
        <v>110</v>
      </c>
      <c r="AS118" s="440">
        <f t="shared" ref="AS118" si="417">IF(((O118-(AD118-O118))/O118)*100&gt;110,110,((O118-(AD118-O118))/O118)*100)</f>
        <v>110</v>
      </c>
      <c r="AT118" s="440">
        <f t="shared" ref="AT118" si="418">IF(((P118-(AE118-P118))/P118)*100&gt;110,110,((P118-(AE118-P118))/P118)*100)</f>
        <v>110</v>
      </c>
      <c r="AU118" s="440">
        <f t="shared" ref="AU118" si="419">IF(((Q118-(AF118-Q118))/Q118)*100&gt;110,110,((Q118-(AF118-Q118))/Q118)*100)</f>
        <v>110</v>
      </c>
      <c r="AV118" s="440">
        <f t="shared" ref="AV118" si="420">IF(((R118-(AG118-R118))/R118)*100&gt;110,110,((R118-(AG118-R118))/R118)*100)</f>
        <v>110</v>
      </c>
      <c r="AX118" t="str">
        <v>ENS (sesuai kewenangan)</v>
      </c>
      <c r="AY118" s="105" t="s">
        <v>452</v>
      </c>
      <c r="AZ118">
        <v>2</v>
      </c>
      <c r="BA118" s="440">
        <f t="shared" si="385"/>
        <v>1.3</v>
      </c>
      <c r="BB118" s="440">
        <f t="shared" si="386"/>
        <v>2.2000000000000002</v>
      </c>
      <c r="BC118" s="440">
        <f t="shared" si="387"/>
        <v>2.2000000000000002</v>
      </c>
      <c r="BD118" s="440">
        <f t="shared" si="388"/>
        <v>2.2000000000000002</v>
      </c>
      <c r="BE118" s="440">
        <f t="shared" si="389"/>
        <v>2.2000000000000002</v>
      </c>
      <c r="BF118" s="440">
        <f t="shared" si="390"/>
        <v>2.2000000000000002</v>
      </c>
      <c r="BG118" s="440">
        <f t="shared" si="391"/>
        <v>2.2000000000000002</v>
      </c>
      <c r="BH118" s="440">
        <f t="shared" si="392"/>
        <v>2.2000000000000002</v>
      </c>
      <c r="BI118" s="440">
        <f t="shared" si="393"/>
        <v>2.2000000000000002</v>
      </c>
      <c r="BJ118" s="440">
        <f t="shared" si="394"/>
        <v>2.2000000000000002</v>
      </c>
      <c r="BK118" s="440">
        <f t="shared" si="395"/>
        <v>2.2000000000000002</v>
      </c>
      <c r="BL118" s="440">
        <f t="shared" si="396"/>
        <v>2.2000000000000002</v>
      </c>
    </row>
    <row r="119" spans="1:64">
      <c r="A119" t="str">
        <v>a. Susut Distribusi Tanpa E-min (sesuai kewenangan)</v>
      </c>
      <c r="B119">
        <v>2</v>
      </c>
      <c r="C119" t="str">
        <v>Susut Distribusi Tanpa E-min (sesuai kewenangan)</v>
      </c>
      <c r="D119" s="105" t="s">
        <v>456</v>
      </c>
      <c r="E119" t="str">
        <v>Susut Distribusi Tanpa E-min (sesuai kewenangan)</v>
      </c>
      <c r="G119" s="440">
        <v>8.6199999999999992</v>
      </c>
      <c r="H119" s="440">
        <v>8.6199999999999992</v>
      </c>
      <c r="I119" s="440">
        <v>8.6199999999999992</v>
      </c>
      <c r="J119" s="440">
        <v>8.4700000000000006</v>
      </c>
      <c r="K119" s="440">
        <v>8.31</v>
      </c>
      <c r="L119" s="440">
        <v>8.15</v>
      </c>
      <c r="M119" s="440">
        <v>8.1</v>
      </c>
      <c r="N119" s="440">
        <v>8.0399999999999991</v>
      </c>
      <c r="O119" s="440">
        <v>7.98</v>
      </c>
      <c r="P119" s="440">
        <v>7.92</v>
      </c>
      <c r="Q119" s="440">
        <v>7.86</v>
      </c>
      <c r="R119" s="440">
        <v>7.8</v>
      </c>
      <c r="T119" t="str">
        <v>Susut Distribusi Tanpa E-min (sesuai kewenangan)</v>
      </c>
      <c r="V119" s="440">
        <v>-42.071974368355406</v>
      </c>
      <c r="W119" s="440">
        <v>-35.354654309349698</v>
      </c>
      <c r="X119" s="440">
        <v>-23.859018142778591</v>
      </c>
      <c r="Y119" s="440">
        <v>-10.249560685854476</v>
      </c>
      <c r="Z119" s="440">
        <v>-3.699252289146763</v>
      </c>
      <c r="AA119" s="440">
        <v>-1.1391962555810786</v>
      </c>
      <c r="AB119" s="440">
        <v>1.0833197905053189</v>
      </c>
      <c r="AC119" s="440">
        <v>2.4114935378769062</v>
      </c>
      <c r="AD119" s="440">
        <v>3.3809757551298412</v>
      </c>
      <c r="AE119" s="440">
        <v>3.9521214420022299</v>
      </c>
      <c r="AF119" s="440">
        <v>0</v>
      </c>
      <c r="AG119" s="440">
        <v>0</v>
      </c>
      <c r="AI119" t="str">
        <v>Susut Distribusi Tanpa E-min (sesuai kewenangan)</v>
      </c>
      <c r="AK119" s="440">
        <f t="shared" ref="AK119" si="421">IF((2-(V119/G119))*100&gt;110,110,(2-(V119/G119))*100)</f>
        <v>110</v>
      </c>
      <c r="AL119" s="440">
        <f t="shared" ref="AL119" si="422">IF((2-(W119/H119))*100&gt;110,110,(2-(W119/H119))*100)</f>
        <v>110</v>
      </c>
      <c r="AM119" s="440">
        <f t="shared" ref="AM119" si="423">IF((2-(X119/I119))*100&gt;110,110,(2-(X119/I119))*100)</f>
        <v>110</v>
      </c>
      <c r="AN119" s="440">
        <f t="shared" ref="AN119" si="424">IF((2-(Y119/J119))*100&gt;110,110,(2-(Y119/J119))*100)</f>
        <v>110</v>
      </c>
      <c r="AO119" s="440">
        <f t="shared" ref="AO119" si="425">IF((2-(Z119/K119))*100&gt;110,110,(2-(Z119/K119))*100)</f>
        <v>110</v>
      </c>
      <c r="AP119" s="440">
        <f t="shared" ref="AP119" si="426">IF((2-(AA119/L119))*100&gt;110,110,(2-(AA119/L119))*100)</f>
        <v>110</v>
      </c>
      <c r="AQ119" s="440">
        <f t="shared" ref="AQ119" si="427">IF((2-(AB119/M119))*100&gt;110,110,(2-(AB119/M119))*100)</f>
        <v>110</v>
      </c>
      <c r="AR119" s="440">
        <f t="shared" ref="AR119" si="428">IF((2-(AC119/N119))*100&gt;110,110,(2-(AC119/N119))*100)</f>
        <v>110</v>
      </c>
      <c r="AS119" s="440">
        <f t="shared" ref="AS119" si="429">IF((2-(AD119/O119))*100&gt;110,110,(2-(AD119/O119))*100)</f>
        <v>110</v>
      </c>
      <c r="AT119" s="440">
        <f t="shared" ref="AT119" si="430">IF((2-(AE119/P119))*100&gt;110,110,(2-(AE119/P119))*100)</f>
        <v>110</v>
      </c>
      <c r="AU119" s="440">
        <f t="shared" ref="AU119" si="431">IF((2-(AF119/Q119))*100&gt;110,110,(2-(AF119/Q119))*100)</f>
        <v>110</v>
      </c>
      <c r="AV119" s="440">
        <f t="shared" ref="AV119" si="432">IF((2-(AG119/R119))*100&gt;110,110,(2-(AG119/R119))*100)</f>
        <v>110</v>
      </c>
      <c r="AX119" t="str">
        <v>Susut Distribusi Tanpa E-min (sesuai kewenangan)</v>
      </c>
      <c r="AY119" s="105" t="s">
        <v>452</v>
      </c>
      <c r="AZ119">
        <v>4</v>
      </c>
      <c r="BA119" s="440">
        <f t="shared" si="385"/>
        <v>4.4000000000000004</v>
      </c>
      <c r="BB119" s="440">
        <f t="shared" si="386"/>
        <v>4.4000000000000004</v>
      </c>
      <c r="BC119" s="440">
        <f t="shared" si="387"/>
        <v>4.4000000000000004</v>
      </c>
      <c r="BD119" s="440">
        <f t="shared" si="388"/>
        <v>4.4000000000000004</v>
      </c>
      <c r="BE119" s="440">
        <f t="shared" si="389"/>
        <v>4.4000000000000004</v>
      </c>
      <c r="BF119" s="440">
        <f t="shared" si="390"/>
        <v>4.4000000000000004</v>
      </c>
      <c r="BG119" s="440">
        <f t="shared" si="391"/>
        <v>4.4000000000000004</v>
      </c>
      <c r="BH119" s="440">
        <f t="shared" si="392"/>
        <v>4.4000000000000004</v>
      </c>
      <c r="BI119" s="440">
        <f t="shared" si="393"/>
        <v>4.4000000000000004</v>
      </c>
      <c r="BJ119" s="440">
        <f t="shared" si="394"/>
        <v>4.4000000000000004</v>
      </c>
      <c r="BK119" s="440">
        <f t="shared" si="395"/>
        <v>4.4000000000000004</v>
      </c>
      <c r="BL119" s="440">
        <f t="shared" si="396"/>
        <v>4.4000000000000004</v>
      </c>
    </row>
    <row r="120" spans="1:64">
      <c r="A120" t="str">
        <v>b. Penyelesaian Temuan P2TL</v>
      </c>
      <c r="B120">
        <v>2</v>
      </c>
      <c r="C120" t="str">
        <v>Penyelesaian Temuan P2TL</v>
      </c>
      <c r="D120" s="105" t="s">
        <v>456</v>
      </c>
      <c r="E120" t="str">
        <v>Penyelesaian Temuan P2TL</v>
      </c>
      <c r="G120" s="440">
        <v>6.666666666666667</v>
      </c>
      <c r="H120" s="440">
        <v>13.333333333333334</v>
      </c>
      <c r="I120" s="440">
        <v>20</v>
      </c>
      <c r="J120" s="440">
        <v>26.666666666666668</v>
      </c>
      <c r="K120" s="440">
        <v>33.333333333333336</v>
      </c>
      <c r="L120" s="440">
        <v>40</v>
      </c>
      <c r="M120" s="440">
        <v>50</v>
      </c>
      <c r="N120" s="440">
        <v>60</v>
      </c>
      <c r="O120" s="440">
        <v>70</v>
      </c>
      <c r="P120" s="440">
        <v>80</v>
      </c>
      <c r="Q120" s="440">
        <v>90</v>
      </c>
      <c r="R120" s="440">
        <v>100</v>
      </c>
      <c r="T120" t="str">
        <v>Penyelesaian Temuan P2TL</v>
      </c>
      <c r="V120" s="440">
        <v>0.99950000000000006</v>
      </c>
      <c r="W120" s="440">
        <v>1.63</v>
      </c>
      <c r="X120" s="440">
        <v>20.366</v>
      </c>
      <c r="Y120" s="440">
        <v>39.002499999999998</v>
      </c>
      <c r="Z120" s="440">
        <v>56.213000000000001</v>
      </c>
      <c r="AA120" s="440">
        <v>114.065</v>
      </c>
      <c r="AB120" s="440">
        <v>135.39250000000001</v>
      </c>
      <c r="AC120" s="440">
        <v>155.3065</v>
      </c>
      <c r="AD120" s="440">
        <v>174.14400000000001</v>
      </c>
      <c r="AE120" s="440">
        <v>188.03649999999999</v>
      </c>
      <c r="AF120" s="440">
        <v>188.03649999999999</v>
      </c>
      <c r="AG120" s="440">
        <v>188.03649999999999</v>
      </c>
      <c r="AI120" t="str">
        <v>Penyelesaian Temuan P2TL</v>
      </c>
      <c r="AK120" s="440">
        <f t="shared" ref="AK120:AK121" si="433">IF(V120/G120*100&gt;110,110,V120/G120*100)</f>
        <v>14.9925</v>
      </c>
      <c r="AL120" s="440">
        <f t="shared" ref="AL120:AL121" si="434">IF(W120/H120*100&gt;110,110,W120/H120*100)</f>
        <v>12.224999999999998</v>
      </c>
      <c r="AM120" s="440">
        <f t="shared" ref="AM120:AM121" si="435">IF(X120/I120*100&gt;110,110,X120/I120*100)</f>
        <v>101.83</v>
      </c>
      <c r="AN120" s="440">
        <f t="shared" ref="AN120:AN121" si="436">IF(Y120/J120*100&gt;110,110,Y120/J120*100)</f>
        <v>110</v>
      </c>
      <c r="AO120" s="440">
        <f t="shared" ref="AO120:AO121" si="437">IF(Z120/K120*100&gt;110,110,Z120/K120*100)</f>
        <v>110</v>
      </c>
      <c r="AP120" s="440">
        <f t="shared" ref="AP120:AP121" si="438">IF(AA120/L120*100&gt;110,110,AA120/L120*100)</f>
        <v>110</v>
      </c>
      <c r="AQ120" s="440">
        <f t="shared" ref="AQ120:AQ121" si="439">IF(AB120/M120*100&gt;110,110,AB120/M120*100)</f>
        <v>110</v>
      </c>
      <c r="AR120" s="440">
        <f t="shared" ref="AR120:AR121" si="440">IF(AC120/N120*100&gt;110,110,AC120/N120*100)</f>
        <v>110</v>
      </c>
      <c r="AS120" s="440">
        <f t="shared" ref="AS120:AS121" si="441">IF(AD120/O120*100&gt;110,110,AD120/O120*100)</f>
        <v>110</v>
      </c>
      <c r="AT120" s="440">
        <f t="shared" ref="AT120:AT121" si="442">IF(AE120/P120*100&gt;110,110,AE120/P120*100)</f>
        <v>110</v>
      </c>
      <c r="AU120" s="440">
        <f t="shared" ref="AU120:AU121" si="443">IF(AF120/Q120*100&gt;110,110,AF120/Q120*100)</f>
        <v>110</v>
      </c>
      <c r="AV120" s="440">
        <f t="shared" ref="AV120:AV121" si="444">IF(AG120/R120*100&gt;110,110,AG120/R120*100)</f>
        <v>110</v>
      </c>
      <c r="AX120" t="str">
        <v>Penyelesaian Temuan P2TL</v>
      </c>
      <c r="AY120" s="105" t="s">
        <v>452</v>
      </c>
      <c r="AZ120">
        <v>4</v>
      </c>
      <c r="BA120" s="440">
        <f t="shared" si="385"/>
        <v>0.59</v>
      </c>
      <c r="BB120" s="440">
        <f t="shared" si="386"/>
        <v>0.48</v>
      </c>
      <c r="BC120" s="440">
        <f t="shared" si="387"/>
        <v>4.07</v>
      </c>
      <c r="BD120" s="440">
        <f t="shared" si="388"/>
        <v>4.4000000000000004</v>
      </c>
      <c r="BE120" s="440">
        <f t="shared" si="389"/>
        <v>4.4000000000000004</v>
      </c>
      <c r="BF120" s="440">
        <f t="shared" si="390"/>
        <v>4.4000000000000004</v>
      </c>
      <c r="BG120" s="440">
        <f t="shared" si="391"/>
        <v>4.4000000000000004</v>
      </c>
      <c r="BH120" s="440">
        <f t="shared" si="392"/>
        <v>4.4000000000000004</v>
      </c>
      <c r="BI120" s="440">
        <f t="shared" si="393"/>
        <v>4.4000000000000004</v>
      </c>
      <c r="BJ120" s="440">
        <f t="shared" si="394"/>
        <v>4.4000000000000004</v>
      </c>
      <c r="BK120" s="440">
        <f t="shared" si="395"/>
        <v>4.4000000000000004</v>
      </c>
      <c r="BL120" s="440">
        <f t="shared" si="396"/>
        <v>4.4000000000000004</v>
      </c>
    </row>
    <row r="121" spans="1:64">
      <c r="A121" t="str">
        <v>c. Penyelesaian Ganti Meter</v>
      </c>
      <c r="B121">
        <v>2</v>
      </c>
      <c r="C121" t="str">
        <v>Penyelesaian Ganti Meter</v>
      </c>
      <c r="D121" s="105" t="s">
        <v>456</v>
      </c>
      <c r="E121" t="str">
        <v>Penyelesaian Ganti Meter</v>
      </c>
      <c r="G121" s="440">
        <v>45</v>
      </c>
      <c r="H121" s="440">
        <v>90</v>
      </c>
      <c r="I121" s="440">
        <v>134</v>
      </c>
      <c r="J121" s="440">
        <v>178</v>
      </c>
      <c r="K121" s="440">
        <v>222</v>
      </c>
      <c r="L121" s="440">
        <v>266</v>
      </c>
      <c r="M121" s="440">
        <v>398</v>
      </c>
      <c r="N121" s="440">
        <v>530</v>
      </c>
      <c r="O121" s="440">
        <v>662</v>
      </c>
      <c r="P121" s="440">
        <v>793</v>
      </c>
      <c r="Q121" s="440">
        <v>793</v>
      </c>
      <c r="R121" s="440">
        <v>793</v>
      </c>
      <c r="T121" t="str">
        <v>Penyelesaian Ganti Meter</v>
      </c>
      <c r="V121" s="440">
        <v>9</v>
      </c>
      <c r="W121" s="440">
        <v>9</v>
      </c>
      <c r="X121" s="440">
        <v>303</v>
      </c>
      <c r="Y121" s="440">
        <v>510</v>
      </c>
      <c r="Z121" s="440">
        <v>611</v>
      </c>
      <c r="AA121" s="440">
        <v>641</v>
      </c>
      <c r="AB121" s="440">
        <v>695</v>
      </c>
      <c r="AC121" s="440">
        <v>711</v>
      </c>
      <c r="AD121" s="440">
        <v>794</v>
      </c>
      <c r="AE121" s="440">
        <v>794</v>
      </c>
      <c r="AF121" s="440">
        <v>794</v>
      </c>
      <c r="AG121" s="440">
        <v>794</v>
      </c>
      <c r="AI121" t="str">
        <v>Penyelesaian Ganti Meter</v>
      </c>
      <c r="AK121" s="440">
        <f t="shared" si="433"/>
        <v>20</v>
      </c>
      <c r="AL121" s="440">
        <f t="shared" si="434"/>
        <v>10</v>
      </c>
      <c r="AM121" s="440">
        <f t="shared" si="435"/>
        <v>110</v>
      </c>
      <c r="AN121" s="440">
        <f t="shared" si="436"/>
        <v>110</v>
      </c>
      <c r="AO121" s="440">
        <f t="shared" si="437"/>
        <v>110</v>
      </c>
      <c r="AP121" s="440">
        <f t="shared" si="438"/>
        <v>110</v>
      </c>
      <c r="AQ121" s="440">
        <f t="shared" si="439"/>
        <v>110</v>
      </c>
      <c r="AR121" s="440">
        <f t="shared" si="440"/>
        <v>110</v>
      </c>
      <c r="AS121" s="440">
        <f t="shared" si="441"/>
        <v>110</v>
      </c>
      <c r="AT121" s="440">
        <f t="shared" si="442"/>
        <v>100.12610340479193</v>
      </c>
      <c r="AU121" s="440">
        <f t="shared" si="443"/>
        <v>100.12610340479193</v>
      </c>
      <c r="AV121" s="440">
        <f t="shared" si="444"/>
        <v>100.12610340479193</v>
      </c>
      <c r="AX121" t="str">
        <v>Penyelesaian Ganti Meter</v>
      </c>
      <c r="AY121" s="105" t="s">
        <v>452</v>
      </c>
      <c r="AZ121">
        <v>4</v>
      </c>
      <c r="BA121" s="440">
        <f t="shared" si="385"/>
        <v>0.8</v>
      </c>
      <c r="BB121" s="440">
        <f t="shared" si="386"/>
        <v>0.4</v>
      </c>
      <c r="BC121" s="440">
        <f t="shared" si="387"/>
        <v>4.4000000000000004</v>
      </c>
      <c r="BD121" s="440">
        <f t="shared" si="388"/>
        <v>4.4000000000000004</v>
      </c>
      <c r="BE121" s="440">
        <f t="shared" si="389"/>
        <v>4.4000000000000004</v>
      </c>
      <c r="BF121" s="440">
        <f t="shared" si="390"/>
        <v>4.4000000000000004</v>
      </c>
      <c r="BG121" s="440">
        <f t="shared" si="391"/>
        <v>4.4000000000000004</v>
      </c>
      <c r="BH121" s="440">
        <f t="shared" si="392"/>
        <v>4.4000000000000004</v>
      </c>
      <c r="BI121" s="440">
        <f t="shared" si="393"/>
        <v>4.4000000000000004</v>
      </c>
      <c r="BJ121" s="440">
        <f t="shared" si="394"/>
        <v>4</v>
      </c>
      <c r="BK121" s="440">
        <f t="shared" si="395"/>
        <v>4</v>
      </c>
      <c r="BL121" s="440">
        <f t="shared" si="396"/>
        <v>4</v>
      </c>
    </row>
    <row r="122" spans="1:64">
      <c r="A122" t="str">
        <v>a. Gangguan TM &gt; 5 Menit</v>
      </c>
      <c r="B122">
        <v>2</v>
      </c>
      <c r="C122" t="str">
        <v>Gangguan TM &gt; 5 Menit</v>
      </c>
      <c r="D122" s="105" t="s">
        <v>456</v>
      </c>
      <c r="E122" t="str">
        <v>Gangguan TM &gt; 5 Menit</v>
      </c>
      <c r="G122" s="440">
        <v>3</v>
      </c>
      <c r="H122" s="440">
        <v>6</v>
      </c>
      <c r="I122" s="440">
        <v>10</v>
      </c>
      <c r="J122" s="440">
        <v>13</v>
      </c>
      <c r="K122" s="440">
        <v>16.000000000000004</v>
      </c>
      <c r="L122" s="440">
        <v>19</v>
      </c>
      <c r="M122" s="440">
        <v>22</v>
      </c>
      <c r="N122" s="440">
        <v>26</v>
      </c>
      <c r="O122" s="440">
        <v>29</v>
      </c>
      <c r="P122" s="440">
        <v>32</v>
      </c>
      <c r="Q122" s="440">
        <v>35</v>
      </c>
      <c r="R122" s="440">
        <v>36</v>
      </c>
      <c r="T122" t="str">
        <v>Gangguan TM &gt; 5 Menit</v>
      </c>
      <c r="V122" s="440">
        <v>0</v>
      </c>
      <c r="W122" s="440">
        <v>0</v>
      </c>
      <c r="X122" s="440">
        <v>8</v>
      </c>
      <c r="Y122" s="440">
        <v>9</v>
      </c>
      <c r="Z122" s="440">
        <v>11</v>
      </c>
      <c r="AA122" s="440">
        <v>13</v>
      </c>
      <c r="AB122" s="440">
        <v>16</v>
      </c>
      <c r="AC122" s="440">
        <v>16</v>
      </c>
      <c r="AD122" s="440">
        <v>18</v>
      </c>
      <c r="AE122" s="440">
        <v>21</v>
      </c>
      <c r="AF122" s="440">
        <v>21</v>
      </c>
      <c r="AG122" s="440">
        <v>21</v>
      </c>
      <c r="AI122" t="str">
        <v>Gangguan TM &gt; 5 Menit</v>
      </c>
      <c r="AK122" s="440">
        <f t="shared" ref="AK122" si="445">IF(((G122-(V122-G122))/G122)*100&gt;110,110,((G122-(V122-G122))/G122)*100)</f>
        <v>110</v>
      </c>
      <c r="AL122" s="440">
        <f t="shared" ref="AL122" si="446">IF(((H122-(W122-H122))/H122)*100&gt;110,110,((H122-(W122-H122))/H122)*100)</f>
        <v>110</v>
      </c>
      <c r="AM122" s="440">
        <f t="shared" ref="AM122" si="447">IF(((I122-(X122-I122))/I122)*100&gt;110,110,((I122-(X122-I122))/I122)*100)</f>
        <v>110</v>
      </c>
      <c r="AN122" s="440">
        <f t="shared" ref="AN122" si="448">IF(((J122-(Y122-J122))/J122)*100&gt;110,110,((J122-(Y122-J122))/J122)*100)</f>
        <v>110</v>
      </c>
      <c r="AO122" s="440">
        <f t="shared" ref="AO122" si="449">IF(((K122-(Z122-K122))/K122)*100&gt;110,110,((K122-(Z122-K122))/K122)*100)</f>
        <v>110</v>
      </c>
      <c r="AP122" s="440">
        <f t="shared" ref="AP122" si="450">IF(((L122-(AA122-L122))/L122)*100&gt;110,110,((L122-(AA122-L122))/L122)*100)</f>
        <v>110</v>
      </c>
      <c r="AQ122" s="440">
        <f t="shared" ref="AQ122" si="451">IF(((M122-(AB122-M122))/M122)*100&gt;110,110,((M122-(AB122-M122))/M122)*100)</f>
        <v>110</v>
      </c>
      <c r="AR122" s="440">
        <f t="shared" ref="AR122" si="452">IF(((N122-(AC122-N122))/N122)*100&gt;110,110,((N122-(AC122-N122))/N122)*100)</f>
        <v>110</v>
      </c>
      <c r="AS122" s="440">
        <f t="shared" ref="AS122" si="453">IF(((O122-(AD122-O122))/O122)*100&gt;110,110,((O122-(AD122-O122))/O122)*100)</f>
        <v>110</v>
      </c>
      <c r="AT122" s="440">
        <f t="shared" ref="AT122" si="454">IF(((P122-(AE122-P122))/P122)*100&gt;110,110,((P122-(AE122-P122))/P122)*100)</f>
        <v>110</v>
      </c>
      <c r="AU122" s="440">
        <f t="shared" ref="AU122" si="455">IF(((Q122-(AF122-Q122))/Q122)*100&gt;110,110,((Q122-(AF122-Q122))/Q122)*100)</f>
        <v>110</v>
      </c>
      <c r="AV122" s="440">
        <f t="shared" ref="AV122" si="456">IF(((R122-(AG122-R122))/R122)*100&gt;110,110,((R122-(AG122-R122))/R122)*100)</f>
        <v>110</v>
      </c>
      <c r="AX122" t="str">
        <v>Gangguan TM &gt; 5 Menit</v>
      </c>
      <c r="AY122" s="105" t="s">
        <v>452</v>
      </c>
      <c r="AZ122">
        <v>3</v>
      </c>
      <c r="BA122" s="440">
        <f t="shared" si="385"/>
        <v>3.3</v>
      </c>
      <c r="BB122" s="440">
        <f t="shared" si="386"/>
        <v>3.3</v>
      </c>
      <c r="BC122" s="440">
        <f t="shared" si="387"/>
        <v>3.3</v>
      </c>
      <c r="BD122" s="440">
        <f t="shared" si="388"/>
        <v>3.3</v>
      </c>
      <c r="BE122" s="440">
        <f t="shared" si="389"/>
        <v>3.3</v>
      </c>
      <c r="BF122" s="440">
        <f t="shared" si="390"/>
        <v>3.3</v>
      </c>
      <c r="BG122" s="440">
        <f t="shared" si="391"/>
        <v>3.3</v>
      </c>
      <c r="BH122" s="440">
        <f t="shared" si="392"/>
        <v>3.3</v>
      </c>
      <c r="BI122" s="440">
        <f t="shared" si="393"/>
        <v>3.3</v>
      </c>
      <c r="BJ122" s="440">
        <f t="shared" si="394"/>
        <v>3.3</v>
      </c>
      <c r="BK122" s="440">
        <f t="shared" si="395"/>
        <v>3.3</v>
      </c>
      <c r="BL122" s="440">
        <f t="shared" si="396"/>
        <v>3.3</v>
      </c>
    </row>
    <row r="123" spans="1:64">
      <c r="A123" t="str">
        <v>b. Gangguan TM ≤ 5 Menit</v>
      </c>
      <c r="B123">
        <v>2</v>
      </c>
      <c r="C123" t="str">
        <v>Gangguan TM ≤ 5 Menit</v>
      </c>
      <c r="D123" s="105" t="s">
        <v>456</v>
      </c>
      <c r="E123" t="str">
        <v>Gangguan TM ≤ 5 Menit</v>
      </c>
      <c r="G123" s="440">
        <v>2</v>
      </c>
      <c r="H123" s="440">
        <v>4</v>
      </c>
      <c r="I123" s="440">
        <v>5</v>
      </c>
      <c r="J123" s="440">
        <v>7</v>
      </c>
      <c r="K123" s="440">
        <v>9</v>
      </c>
      <c r="L123" s="440">
        <v>11</v>
      </c>
      <c r="M123" s="440">
        <v>13</v>
      </c>
      <c r="N123" s="440">
        <v>14</v>
      </c>
      <c r="O123" s="440">
        <v>16</v>
      </c>
      <c r="P123" s="440">
        <v>18</v>
      </c>
      <c r="Q123" s="440">
        <v>20</v>
      </c>
      <c r="R123" s="440">
        <v>21</v>
      </c>
      <c r="T123" t="str">
        <v>Gangguan TM ≤ 5 Menit</v>
      </c>
      <c r="V123" s="440">
        <v>0</v>
      </c>
      <c r="W123" s="440">
        <v>4</v>
      </c>
      <c r="X123" s="440">
        <v>4</v>
      </c>
      <c r="Y123" s="440">
        <v>4</v>
      </c>
      <c r="Z123" s="440">
        <v>7</v>
      </c>
      <c r="AA123" s="440">
        <v>9</v>
      </c>
      <c r="AB123" s="440">
        <v>11</v>
      </c>
      <c r="AC123" s="440">
        <v>11</v>
      </c>
      <c r="AD123" s="440">
        <v>12</v>
      </c>
      <c r="AE123" s="440">
        <v>15</v>
      </c>
      <c r="AF123" s="440">
        <v>15</v>
      </c>
      <c r="AG123" s="440">
        <v>15</v>
      </c>
      <c r="AI123" t="str">
        <v>Gangguan TM ≤ 5 Menit</v>
      </c>
      <c r="AK123" s="440">
        <f t="shared" ref="AK123" si="457">IF((2-(V123/G123))*100&gt;110,110,(2-(V123/G123))*100)</f>
        <v>110</v>
      </c>
      <c r="AL123" s="440">
        <f t="shared" ref="AL123" si="458">IF((2-(W123/H123))*100&gt;110,110,(2-(W123/H123))*100)</f>
        <v>100</v>
      </c>
      <c r="AM123" s="440">
        <f t="shared" ref="AM123" si="459">IF((2-(X123/I123))*100&gt;110,110,(2-(X123/I123))*100)</f>
        <v>110</v>
      </c>
      <c r="AN123" s="440">
        <f t="shared" ref="AN123" si="460">IF((2-(Y123/J123))*100&gt;110,110,(2-(Y123/J123))*100)</f>
        <v>110</v>
      </c>
      <c r="AO123" s="440">
        <f t="shared" ref="AO123" si="461">IF((2-(Z123/K123))*100&gt;110,110,(2-(Z123/K123))*100)</f>
        <v>110</v>
      </c>
      <c r="AP123" s="440">
        <f t="shared" ref="AP123" si="462">IF((2-(AA123/L123))*100&gt;110,110,(2-(AA123/L123))*100)</f>
        <v>110</v>
      </c>
      <c r="AQ123" s="440">
        <f t="shared" ref="AQ123" si="463">IF((2-(AB123/M123))*100&gt;110,110,(2-(AB123/M123))*100)</f>
        <v>110</v>
      </c>
      <c r="AR123" s="440">
        <f t="shared" ref="AR123" si="464">IF((2-(AC123/N123))*100&gt;110,110,(2-(AC123/N123))*100)</f>
        <v>110</v>
      </c>
      <c r="AS123" s="440">
        <f t="shared" ref="AS123" si="465">IF((2-(AD123/O123))*100&gt;110,110,(2-(AD123/O123))*100)</f>
        <v>110</v>
      </c>
      <c r="AT123" s="440">
        <f t="shared" ref="AT123" si="466">IF((2-(AE123/P123))*100&gt;110,110,(2-(AE123/P123))*100)</f>
        <v>110</v>
      </c>
      <c r="AU123" s="440">
        <f t="shared" ref="AU123" si="467">IF((2-(AF123/Q123))*100&gt;110,110,(2-(AF123/Q123))*100)</f>
        <v>110</v>
      </c>
      <c r="AV123" s="440">
        <f t="shared" ref="AV123" si="468">IF((2-(AG123/R123))*100&gt;110,110,(2-(AG123/R123))*100)</f>
        <v>110</v>
      </c>
      <c r="AX123" t="str">
        <v>Gangguan TM ≤ 5 Menit</v>
      </c>
      <c r="AY123" s="105" t="s">
        <v>452</v>
      </c>
      <c r="AZ123">
        <v>3</v>
      </c>
      <c r="BA123" s="440">
        <f t="shared" si="385"/>
        <v>3.3</v>
      </c>
      <c r="BB123" s="440">
        <f t="shared" si="386"/>
        <v>3</v>
      </c>
      <c r="BC123" s="440">
        <f t="shared" si="387"/>
        <v>3.3</v>
      </c>
      <c r="BD123" s="440">
        <f t="shared" si="388"/>
        <v>3.3</v>
      </c>
      <c r="BE123" s="440">
        <f t="shared" si="389"/>
        <v>3.3</v>
      </c>
      <c r="BF123" s="440">
        <f t="shared" si="390"/>
        <v>3.3</v>
      </c>
      <c r="BG123" s="440">
        <f t="shared" si="391"/>
        <v>3.3</v>
      </c>
      <c r="BH123" s="440">
        <f t="shared" si="392"/>
        <v>3.3</v>
      </c>
      <c r="BI123" s="440">
        <f t="shared" si="393"/>
        <v>3.3</v>
      </c>
      <c r="BJ123" s="440">
        <f t="shared" si="394"/>
        <v>3.3</v>
      </c>
      <c r="BK123" s="440">
        <f t="shared" si="395"/>
        <v>3.3</v>
      </c>
      <c r="BL123" s="440">
        <f t="shared" si="396"/>
        <v>3.3</v>
      </c>
    </row>
    <row r="124" spans="1:64">
      <c r="A124" t="str">
        <v>c. Kerusakan Peralatan Distribusi (PHB TM dan Trafo) Sesuai Kewenangan</v>
      </c>
      <c r="B124">
        <v>2</v>
      </c>
      <c r="C124" t="str">
        <v>Kerusakan Peralatan Distribusi (PHB TM dan Trafo) Sesuai Kewenangan</v>
      </c>
      <c r="D124" s="105" t="s">
        <v>456</v>
      </c>
      <c r="E124" t="str">
        <v>Kerusakan Peralatan Distribusi (PHB TM dan Trafo) Sesuai Kewenangan</v>
      </c>
      <c r="G124" s="440">
        <v>0</v>
      </c>
      <c r="H124" s="440">
        <v>0</v>
      </c>
      <c r="I124" s="440">
        <v>1</v>
      </c>
      <c r="J124" s="440">
        <v>1</v>
      </c>
      <c r="K124" s="440">
        <v>1</v>
      </c>
      <c r="L124" s="440">
        <v>1</v>
      </c>
      <c r="M124" s="440">
        <v>1</v>
      </c>
      <c r="N124" s="440">
        <v>1</v>
      </c>
      <c r="O124" s="440">
        <v>1</v>
      </c>
      <c r="P124" s="440">
        <v>1</v>
      </c>
      <c r="Q124" s="440">
        <v>1</v>
      </c>
      <c r="R124" s="440">
        <v>1</v>
      </c>
      <c r="T124" t="str">
        <v>Kerusakan Peralatan Distribusi (PHB TM dan Trafo) Sesuai Kewenangan</v>
      </c>
      <c r="V124" s="440">
        <v>0</v>
      </c>
      <c r="W124" s="440">
        <v>0</v>
      </c>
      <c r="X124" s="440">
        <v>0</v>
      </c>
      <c r="Y124" s="440">
        <v>0</v>
      </c>
      <c r="Z124" s="440">
        <v>0</v>
      </c>
      <c r="AA124" s="440">
        <v>0</v>
      </c>
      <c r="AB124" s="440">
        <v>0</v>
      </c>
      <c r="AC124" s="440">
        <v>0</v>
      </c>
      <c r="AD124" s="440">
        <v>0</v>
      </c>
      <c r="AE124" s="440">
        <v>0</v>
      </c>
      <c r="AF124" s="440">
        <v>0</v>
      </c>
      <c r="AG124" s="440">
        <v>0</v>
      </c>
      <c r="AI124" t="str">
        <v>Kerusakan Peralatan Distribusi (PHB TM dan Trafo) Sesuai Kewenangan</v>
      </c>
      <c r="AK124" s="440">
        <f t="shared" ref="AK124:AK126" si="469">IFERROR(IF((2-(V124/G124))*100&gt;110,110,(2-(V124/G124))*100),100)</f>
        <v>100</v>
      </c>
      <c r="AL124" s="440">
        <f t="shared" ref="AL124:AL126" si="470">IFERROR(IF((2-(W124/H124))*100&gt;110,110,(2-(W124/H124))*100),100)</f>
        <v>100</v>
      </c>
      <c r="AM124" s="440">
        <f t="shared" ref="AM124:AM126" si="471">IFERROR(IF((2-(X124/I124))*100&gt;110,110,(2-(X124/I124))*100),100)</f>
        <v>110</v>
      </c>
      <c r="AN124" s="440">
        <f t="shared" ref="AN124:AN126" si="472">IFERROR(IF((2-(Y124/J124))*100&gt;110,110,(2-(Y124/J124))*100),100)</f>
        <v>110</v>
      </c>
      <c r="AO124" s="440">
        <f t="shared" ref="AO124:AO126" si="473">IFERROR(IF((2-(Z124/K124))*100&gt;110,110,(2-(Z124/K124))*100),100)</f>
        <v>110</v>
      </c>
      <c r="AP124" s="440">
        <f t="shared" ref="AP124:AP126" si="474">IFERROR(IF((2-(AA124/L124))*100&gt;110,110,(2-(AA124/L124))*100),100)</f>
        <v>110</v>
      </c>
      <c r="AQ124" s="440">
        <f t="shared" ref="AQ124:AQ126" si="475">IFERROR(IF((2-(AB124/M124))*100&gt;110,110,(2-(AB124/M124))*100),100)</f>
        <v>110</v>
      </c>
      <c r="AR124" s="440">
        <f t="shared" ref="AR124:AR126" si="476">IFERROR(IF((2-(AC124/N124))*100&gt;110,110,(2-(AC124/N124))*100),100)</f>
        <v>110</v>
      </c>
      <c r="AS124" s="440">
        <f t="shared" ref="AS124:AS126" si="477">IFERROR(IF((2-(AD124/O124))*100&gt;110,110,(2-(AD124/O124))*100),100)</f>
        <v>110</v>
      </c>
      <c r="AT124" s="440">
        <f t="shared" ref="AT124:AT126" si="478">IFERROR(IF((2-(AE124/P124))*100&gt;110,110,(2-(AE124/P124))*100),100)</f>
        <v>110</v>
      </c>
      <c r="AU124" s="440">
        <f t="shared" ref="AU124:AU126" si="479">IFERROR(IF((2-(AF124/Q124))*100&gt;110,110,(2-(AF124/Q124))*100),100)</f>
        <v>110</v>
      </c>
      <c r="AV124" s="440">
        <f t="shared" ref="AV124:AV126" si="480">IFERROR(IF((2-(AG124/R124))*100&gt;110,110,(2-(AG124/R124))*100),100)</f>
        <v>110</v>
      </c>
      <c r="AX124" t="str">
        <v>Kerusakan Peralatan Distribusi (PHB TM dan Trafo) Sesuai Kewenangan</v>
      </c>
      <c r="AY124" s="105" t="s">
        <v>452</v>
      </c>
      <c r="AZ124">
        <v>3</v>
      </c>
      <c r="BA124" s="440">
        <f t="shared" si="385"/>
        <v>3</v>
      </c>
      <c r="BB124" s="440">
        <f t="shared" si="386"/>
        <v>3</v>
      </c>
      <c r="BC124" s="440">
        <f t="shared" si="387"/>
        <v>3.3</v>
      </c>
      <c r="BD124" s="440">
        <f t="shared" si="388"/>
        <v>3.3</v>
      </c>
      <c r="BE124" s="440">
        <f t="shared" si="389"/>
        <v>3.3</v>
      </c>
      <c r="BF124" s="440">
        <f t="shared" si="390"/>
        <v>3.3</v>
      </c>
      <c r="BG124" s="440">
        <f t="shared" si="391"/>
        <v>3.3</v>
      </c>
      <c r="BH124" s="440">
        <f t="shared" si="392"/>
        <v>3.3</v>
      </c>
      <c r="BI124" s="440">
        <f t="shared" si="393"/>
        <v>3.3</v>
      </c>
      <c r="BJ124" s="440">
        <f t="shared" si="394"/>
        <v>3.3</v>
      </c>
      <c r="BK124" s="440">
        <f t="shared" si="395"/>
        <v>3.3</v>
      </c>
      <c r="BL124" s="440">
        <f t="shared" si="396"/>
        <v>3.3</v>
      </c>
    </row>
    <row r="125" spans="1:64">
      <c r="A125" t="str">
        <v>a. Feedback Rating Negatif pada PLN Mobile - Gangguan</v>
      </c>
      <c r="B125">
        <v>2</v>
      </c>
      <c r="C125" t="str">
        <v>Feedback Rating Negatif pada PLN Mobile - Gangguan</v>
      </c>
      <c r="D125" s="105" t="s">
        <v>456</v>
      </c>
      <c r="E125" t="str">
        <v>Feedback Rating Negatif pada PLN Mobile - Gangguan</v>
      </c>
      <c r="G125" s="440">
        <v>0.09</v>
      </c>
      <c r="H125" s="440">
        <v>0.09</v>
      </c>
      <c r="I125" s="440">
        <v>0.09</v>
      </c>
      <c r="J125" s="440">
        <v>0.09</v>
      </c>
      <c r="K125" s="440">
        <v>0.09</v>
      </c>
      <c r="L125" s="440">
        <v>0.09</v>
      </c>
      <c r="M125" s="440">
        <v>0.09</v>
      </c>
      <c r="N125" s="440">
        <v>0.09</v>
      </c>
      <c r="O125" s="440">
        <v>0.09</v>
      </c>
      <c r="P125" s="440">
        <v>0.09</v>
      </c>
      <c r="Q125" s="440">
        <v>0.09</v>
      </c>
      <c r="R125" s="440">
        <v>0.09</v>
      </c>
      <c r="T125" t="str">
        <v>Feedback Rating Negatif pada PLN Mobile - Gangguan</v>
      </c>
      <c r="V125" s="440">
        <v>0</v>
      </c>
      <c r="W125" s="440">
        <v>0</v>
      </c>
      <c r="X125" s="440">
        <v>0</v>
      </c>
      <c r="Y125" s="440">
        <v>0</v>
      </c>
      <c r="Z125" s="440">
        <v>0</v>
      </c>
      <c r="AA125" s="440">
        <v>0</v>
      </c>
      <c r="AB125" s="440">
        <v>0</v>
      </c>
      <c r="AC125" s="440">
        <v>0</v>
      </c>
      <c r="AD125" s="440">
        <v>0</v>
      </c>
      <c r="AE125" s="440">
        <v>0</v>
      </c>
      <c r="AF125" s="440">
        <v>0</v>
      </c>
      <c r="AG125" s="440">
        <v>0</v>
      </c>
      <c r="AI125" t="str">
        <v>Feedback Rating Negatif pada PLN Mobile - Gangguan</v>
      </c>
      <c r="AK125" s="440">
        <f t="shared" si="469"/>
        <v>110</v>
      </c>
      <c r="AL125" s="440">
        <f t="shared" si="470"/>
        <v>110</v>
      </c>
      <c r="AM125" s="440">
        <f t="shared" si="471"/>
        <v>110</v>
      </c>
      <c r="AN125" s="440">
        <f t="shared" si="472"/>
        <v>110</v>
      </c>
      <c r="AO125" s="440">
        <f t="shared" si="473"/>
        <v>110</v>
      </c>
      <c r="AP125" s="440">
        <f t="shared" si="474"/>
        <v>110</v>
      </c>
      <c r="AQ125" s="440">
        <f t="shared" si="475"/>
        <v>110</v>
      </c>
      <c r="AR125" s="440">
        <f t="shared" si="476"/>
        <v>110</v>
      </c>
      <c r="AS125" s="440">
        <f t="shared" si="477"/>
        <v>110</v>
      </c>
      <c r="AT125" s="440">
        <f t="shared" si="478"/>
        <v>110</v>
      </c>
      <c r="AU125" s="440">
        <f t="shared" si="479"/>
        <v>110</v>
      </c>
      <c r="AV125" s="440">
        <f t="shared" si="480"/>
        <v>110</v>
      </c>
      <c r="AX125" t="str">
        <v>Feedback Rating Negatif pada PLN Mobile - Gangguan</v>
      </c>
      <c r="AY125" s="105" t="s">
        <v>452</v>
      </c>
      <c r="AZ125">
        <v>2</v>
      </c>
      <c r="BA125" s="440">
        <f t="shared" si="385"/>
        <v>2.2000000000000002</v>
      </c>
      <c r="BB125" s="440">
        <f t="shared" si="386"/>
        <v>2.2000000000000002</v>
      </c>
      <c r="BC125" s="440">
        <f t="shared" si="387"/>
        <v>2.2000000000000002</v>
      </c>
      <c r="BD125" s="440">
        <f t="shared" si="388"/>
        <v>2.2000000000000002</v>
      </c>
      <c r="BE125" s="440">
        <f t="shared" si="389"/>
        <v>2.2000000000000002</v>
      </c>
      <c r="BF125" s="440">
        <f t="shared" si="390"/>
        <v>2.2000000000000002</v>
      </c>
      <c r="BG125" s="440">
        <f t="shared" si="391"/>
        <v>2.2000000000000002</v>
      </c>
      <c r="BH125" s="440">
        <f t="shared" si="392"/>
        <v>2.2000000000000002</v>
      </c>
      <c r="BI125" s="440">
        <f t="shared" si="393"/>
        <v>2.2000000000000002</v>
      </c>
      <c r="BJ125" s="440">
        <f t="shared" si="394"/>
        <v>2.2000000000000002</v>
      </c>
      <c r="BK125" s="440">
        <f t="shared" si="395"/>
        <v>2.2000000000000002</v>
      </c>
      <c r="BL125" s="440">
        <f t="shared" si="396"/>
        <v>2.2000000000000002</v>
      </c>
    </row>
    <row r="126" spans="1:64">
      <c r="A126" t="str">
        <v>b. Pengaduan Gangguan Berulang pada PLN Mobile</v>
      </c>
      <c r="B126">
        <v>2</v>
      </c>
      <c r="C126" t="str">
        <v>Pengaduan Gangguan Berulang pada PLN Mobile</v>
      </c>
      <c r="D126" s="105" t="s">
        <v>456</v>
      </c>
      <c r="E126" t="str">
        <v>Pengaduan Gangguan Berulang pada PLN Mobile</v>
      </c>
      <c r="G126" s="440">
        <v>0.04</v>
      </c>
      <c r="H126" s="440">
        <v>0.04</v>
      </c>
      <c r="I126" s="440">
        <v>0.04</v>
      </c>
      <c r="J126" s="440">
        <v>0.04</v>
      </c>
      <c r="K126" s="440">
        <v>0.04</v>
      </c>
      <c r="L126" s="440">
        <v>0.04</v>
      </c>
      <c r="M126" s="440">
        <v>0.04</v>
      </c>
      <c r="N126" s="440">
        <v>0.04</v>
      </c>
      <c r="O126" s="440">
        <v>0.04</v>
      </c>
      <c r="P126" s="440">
        <v>0.04</v>
      </c>
      <c r="Q126" s="440">
        <v>0.04</v>
      </c>
      <c r="R126" s="440">
        <v>0.04</v>
      </c>
      <c r="T126" t="str">
        <v>Pengaduan Gangguan Berulang pada PLN Mobile</v>
      </c>
      <c r="V126" s="440">
        <v>0</v>
      </c>
      <c r="W126" s="440">
        <v>0</v>
      </c>
      <c r="X126" s="440">
        <v>0</v>
      </c>
      <c r="Y126" s="440">
        <v>0</v>
      </c>
      <c r="Z126" s="440">
        <v>0</v>
      </c>
      <c r="AA126" s="440">
        <v>0</v>
      </c>
      <c r="AB126" s="440">
        <v>0</v>
      </c>
      <c r="AC126" s="440">
        <v>0</v>
      </c>
      <c r="AD126" s="440">
        <v>0</v>
      </c>
      <c r="AE126" s="440">
        <v>0</v>
      </c>
      <c r="AF126" s="440">
        <v>3.0969340353050479E-2</v>
      </c>
      <c r="AG126" s="440">
        <v>3.0969340353050479E-2</v>
      </c>
      <c r="AI126" t="str">
        <v>Pengaduan Gangguan Berulang pada PLN Mobile</v>
      </c>
      <c r="AK126" s="440">
        <f t="shared" si="469"/>
        <v>110</v>
      </c>
      <c r="AL126" s="440">
        <f t="shared" si="470"/>
        <v>110</v>
      </c>
      <c r="AM126" s="440">
        <f t="shared" si="471"/>
        <v>110</v>
      </c>
      <c r="AN126" s="440">
        <f t="shared" si="472"/>
        <v>110</v>
      </c>
      <c r="AO126" s="440">
        <f t="shared" si="473"/>
        <v>110</v>
      </c>
      <c r="AP126" s="440">
        <f t="shared" si="474"/>
        <v>110</v>
      </c>
      <c r="AQ126" s="440">
        <f t="shared" si="475"/>
        <v>110</v>
      </c>
      <c r="AR126" s="440">
        <f t="shared" si="476"/>
        <v>110</v>
      </c>
      <c r="AS126" s="440">
        <f t="shared" si="477"/>
        <v>110</v>
      </c>
      <c r="AT126" s="440">
        <f t="shared" si="478"/>
        <v>110</v>
      </c>
      <c r="AU126" s="440">
        <f t="shared" si="479"/>
        <v>110</v>
      </c>
      <c r="AV126" s="440">
        <f t="shared" si="480"/>
        <v>110</v>
      </c>
      <c r="AX126" t="str">
        <v>Pengaduan Gangguan Berulang pada PLN Mobile</v>
      </c>
      <c r="AY126" s="105" t="s">
        <v>452</v>
      </c>
      <c r="AZ126">
        <v>2</v>
      </c>
      <c r="BA126" s="440">
        <f t="shared" si="385"/>
        <v>2.2000000000000002</v>
      </c>
      <c r="BB126" s="440">
        <f t="shared" si="386"/>
        <v>2.2000000000000002</v>
      </c>
      <c r="BC126" s="440">
        <f t="shared" si="387"/>
        <v>2.2000000000000002</v>
      </c>
      <c r="BD126" s="440">
        <f t="shared" si="388"/>
        <v>2.2000000000000002</v>
      </c>
      <c r="BE126" s="440">
        <f t="shared" si="389"/>
        <v>2.2000000000000002</v>
      </c>
      <c r="BF126" s="440">
        <f t="shared" si="390"/>
        <v>2.2000000000000002</v>
      </c>
      <c r="BG126" s="440">
        <f t="shared" si="391"/>
        <v>2.2000000000000002</v>
      </c>
      <c r="BH126" s="440">
        <f t="shared" si="392"/>
        <v>2.2000000000000002</v>
      </c>
      <c r="BI126" s="440">
        <f t="shared" si="393"/>
        <v>2.2000000000000002</v>
      </c>
      <c r="BJ126" s="440">
        <f t="shared" si="394"/>
        <v>2.2000000000000002</v>
      </c>
      <c r="BK126" s="440">
        <f t="shared" si="395"/>
        <v>2.2000000000000002</v>
      </c>
      <c r="BL126" s="440">
        <f t="shared" si="396"/>
        <v>2.2000000000000002</v>
      </c>
    </row>
    <row r="127" spans="1:64">
      <c r="A127" t="str">
        <v>c. Rating PLN Mobile</v>
      </c>
      <c r="B127">
        <v>2</v>
      </c>
      <c r="C127" t="str">
        <v>Rating PLN Mobile</v>
      </c>
      <c r="D127" s="105" t="s">
        <v>456</v>
      </c>
      <c r="E127" t="str">
        <v>Rating PLN Mobile</v>
      </c>
      <c r="G127" s="440">
        <v>4.9000000000000004</v>
      </c>
      <c r="H127" s="440">
        <v>4.9000000000000004</v>
      </c>
      <c r="I127" s="440">
        <v>4.9000000000000004</v>
      </c>
      <c r="J127" s="440">
        <v>4.9000000000000004</v>
      </c>
      <c r="K127" s="440">
        <v>4.9000000000000004</v>
      </c>
      <c r="L127" s="440">
        <v>4.9000000000000004</v>
      </c>
      <c r="M127" s="440">
        <v>4.9000000000000004</v>
      </c>
      <c r="N127" s="440">
        <v>4.9000000000000004</v>
      </c>
      <c r="O127" s="440">
        <v>4.9000000000000004</v>
      </c>
      <c r="P127" s="440">
        <v>4.9000000000000004</v>
      </c>
      <c r="Q127" s="440">
        <v>4.9000000000000004</v>
      </c>
      <c r="R127" s="440">
        <v>4.9000000000000004</v>
      </c>
      <c r="T127" t="str">
        <v>Rating PLN Mobile</v>
      </c>
      <c r="V127" s="440">
        <v>4.91</v>
      </c>
      <c r="W127" s="440">
        <v>4.91</v>
      </c>
      <c r="X127" s="440">
        <v>4.91</v>
      </c>
      <c r="Y127" s="440">
        <v>4.91</v>
      </c>
      <c r="Z127" s="440">
        <v>4.9000000000000004</v>
      </c>
      <c r="AA127" s="440">
        <v>4.9000000000000004</v>
      </c>
      <c r="AB127" s="440">
        <v>4.9000000000000004</v>
      </c>
      <c r="AC127" s="440">
        <v>4.9000000000000004</v>
      </c>
      <c r="AD127" s="440">
        <v>4.9000000000000004</v>
      </c>
      <c r="AE127" s="440">
        <v>4.9000000000000004</v>
      </c>
      <c r="AF127" s="440">
        <v>4.9000000000000004</v>
      </c>
      <c r="AG127" s="440">
        <v>4.9000000000000004</v>
      </c>
      <c r="AI127" t="str">
        <v>Rating PLN Mobile</v>
      </c>
      <c r="AK127" s="440">
        <f t="shared" ref="AK127:AK128" si="481">IF(V127/G127*100&gt;110,110,V127/G127*100)</f>
        <v>100.20408163265306</v>
      </c>
      <c r="AL127" s="440">
        <f t="shared" ref="AL127:AL128" si="482">IF(W127/H127*100&gt;110,110,W127/H127*100)</f>
        <v>100.20408163265306</v>
      </c>
      <c r="AM127" s="440">
        <f t="shared" ref="AM127:AM128" si="483">IF(X127/I127*100&gt;110,110,X127/I127*100)</f>
        <v>100.20408163265306</v>
      </c>
      <c r="AN127" s="440">
        <f t="shared" ref="AN127:AN128" si="484">IF(Y127/J127*100&gt;110,110,Y127/J127*100)</f>
        <v>100.20408163265306</v>
      </c>
      <c r="AO127" s="440">
        <f t="shared" ref="AO127:AO128" si="485">IF(Z127/K127*100&gt;110,110,Z127/K127*100)</f>
        <v>100</v>
      </c>
      <c r="AP127" s="440">
        <f t="shared" ref="AP127:AP128" si="486">IF(AA127/L127*100&gt;110,110,AA127/L127*100)</f>
        <v>100</v>
      </c>
      <c r="AQ127" s="440">
        <f t="shared" ref="AQ127:AQ128" si="487">IF(AB127/M127*100&gt;110,110,AB127/M127*100)</f>
        <v>100</v>
      </c>
      <c r="AR127" s="440">
        <f t="shared" ref="AR127:AR128" si="488">IF(AC127/N127*100&gt;110,110,AC127/N127*100)</f>
        <v>100</v>
      </c>
      <c r="AS127" s="440">
        <f t="shared" ref="AS127:AS128" si="489">IF(AD127/O127*100&gt;110,110,AD127/O127*100)</f>
        <v>100</v>
      </c>
      <c r="AT127" s="440">
        <f t="shared" ref="AT127:AT128" si="490">IF(AE127/P127*100&gt;110,110,AE127/P127*100)</f>
        <v>100</v>
      </c>
      <c r="AU127" s="440">
        <f t="shared" ref="AU127:AU128" si="491">IF(AF127/Q127*100&gt;110,110,AF127/Q127*100)</f>
        <v>100</v>
      </c>
      <c r="AV127" s="440">
        <f t="shared" ref="AV127:AV128" si="492">IF(AG127/R127*100&gt;110,110,AG127/R127*100)</f>
        <v>100</v>
      </c>
      <c r="AX127" t="str">
        <v>Rating PLN Mobile</v>
      </c>
      <c r="AY127" s="105" t="s">
        <v>452</v>
      </c>
      <c r="AZ127">
        <v>2</v>
      </c>
      <c r="BA127" s="440">
        <f t="shared" si="385"/>
        <v>2</v>
      </c>
      <c r="BB127" s="440">
        <f t="shared" si="386"/>
        <v>2</v>
      </c>
      <c r="BC127" s="440">
        <f t="shared" si="387"/>
        <v>2</v>
      </c>
      <c r="BD127" s="440">
        <f t="shared" si="388"/>
        <v>2</v>
      </c>
      <c r="BE127" s="440">
        <f t="shared" si="389"/>
        <v>2</v>
      </c>
      <c r="BF127" s="440">
        <f t="shared" si="390"/>
        <v>2</v>
      </c>
      <c r="BG127" s="440">
        <f t="shared" si="391"/>
        <v>2</v>
      </c>
      <c r="BH127" s="440">
        <f t="shared" si="392"/>
        <v>2</v>
      </c>
      <c r="BI127" s="440">
        <f t="shared" si="393"/>
        <v>2</v>
      </c>
      <c r="BJ127" s="440">
        <f t="shared" si="394"/>
        <v>2</v>
      </c>
      <c r="BK127" s="440">
        <f t="shared" si="395"/>
        <v>2</v>
      </c>
      <c r="BL127" s="440">
        <f t="shared" si="396"/>
        <v>2</v>
      </c>
    </row>
    <row r="128" spans="1:64">
      <c r="A128" t="str">
        <v>d. Jumlah Kali Transaksi Keuangan melalui PLN Mobile</v>
      </c>
      <c r="B128">
        <v>2</v>
      </c>
      <c r="C128" t="str">
        <v>Jumlah Kali Transaksi Keuangan melalui PLN Mobile</v>
      </c>
      <c r="D128" s="105" t="s">
        <v>456</v>
      </c>
      <c r="E128" t="str">
        <v>Jumlah Kali Transaksi Keuangan melalui PLN Mobile</v>
      </c>
      <c r="G128" s="440">
        <v>841</v>
      </c>
      <c r="H128" s="440">
        <v>1601</v>
      </c>
      <c r="I128" s="440">
        <v>2442</v>
      </c>
      <c r="J128" s="440">
        <v>3257</v>
      </c>
      <c r="K128" s="440">
        <v>4098</v>
      </c>
      <c r="L128" s="440">
        <v>4912</v>
      </c>
      <c r="M128" s="440">
        <v>5740</v>
      </c>
      <c r="N128" s="440">
        <v>6567</v>
      </c>
      <c r="O128" s="440">
        <v>7368</v>
      </c>
      <c r="P128" s="440">
        <v>8196</v>
      </c>
      <c r="Q128" s="440">
        <v>8996</v>
      </c>
      <c r="R128" s="440">
        <v>9824</v>
      </c>
      <c r="T128" t="str">
        <v>Jumlah Kali Transaksi Keuangan melalui PLN Mobile</v>
      </c>
      <c r="V128" s="440">
        <v>293</v>
      </c>
      <c r="W128" s="440">
        <v>515</v>
      </c>
      <c r="X128" s="440">
        <v>2124</v>
      </c>
      <c r="Y128" s="440">
        <v>3968</v>
      </c>
      <c r="Z128" s="440">
        <v>5435</v>
      </c>
      <c r="AA128" s="440">
        <v>6265</v>
      </c>
      <c r="AB128" s="440">
        <v>7241</v>
      </c>
      <c r="AC128" s="440">
        <v>8114</v>
      </c>
      <c r="AD128" s="440">
        <v>9488</v>
      </c>
      <c r="AE128" s="440">
        <v>10474</v>
      </c>
      <c r="AF128" s="440">
        <v>0</v>
      </c>
      <c r="AG128" s="440">
        <v>0</v>
      </c>
      <c r="AI128" t="str">
        <v>Jumlah Kali Transaksi Keuangan melalui PLN Mobile</v>
      </c>
      <c r="AK128" s="440">
        <f t="shared" si="481"/>
        <v>34.839476813317475</v>
      </c>
      <c r="AL128" s="440">
        <f t="shared" si="482"/>
        <v>32.167395377888816</v>
      </c>
      <c r="AM128" s="440">
        <f t="shared" si="483"/>
        <v>86.977886977886982</v>
      </c>
      <c r="AN128" s="440">
        <f t="shared" si="484"/>
        <v>110</v>
      </c>
      <c r="AO128" s="440">
        <f t="shared" si="485"/>
        <v>110</v>
      </c>
      <c r="AP128" s="440">
        <f t="shared" si="486"/>
        <v>110</v>
      </c>
      <c r="AQ128" s="440">
        <f t="shared" si="487"/>
        <v>110</v>
      </c>
      <c r="AR128" s="440">
        <f t="shared" si="488"/>
        <v>110</v>
      </c>
      <c r="AS128" s="440">
        <f t="shared" si="489"/>
        <v>110</v>
      </c>
      <c r="AT128" s="440">
        <f t="shared" si="490"/>
        <v>110</v>
      </c>
      <c r="AU128" s="440">
        <f t="shared" si="491"/>
        <v>0</v>
      </c>
      <c r="AV128" s="440">
        <f t="shared" si="492"/>
        <v>0</v>
      </c>
      <c r="AX128" t="str">
        <v>Jumlah Kali Transaksi Keuangan melalui PLN Mobile</v>
      </c>
      <c r="AY128" s="105" t="s">
        <v>452</v>
      </c>
      <c r="AZ128">
        <v>2</v>
      </c>
      <c r="BA128" s="440">
        <f t="shared" si="385"/>
        <v>0.69</v>
      </c>
      <c r="BB128" s="440">
        <f t="shared" si="386"/>
        <v>0.64</v>
      </c>
      <c r="BC128" s="440">
        <f t="shared" si="387"/>
        <v>1.73</v>
      </c>
      <c r="BD128" s="440">
        <f t="shared" si="388"/>
        <v>2.2000000000000002</v>
      </c>
      <c r="BE128" s="440">
        <f t="shared" si="389"/>
        <v>2.2000000000000002</v>
      </c>
      <c r="BF128" s="440">
        <f t="shared" si="390"/>
        <v>2.2000000000000002</v>
      </c>
      <c r="BG128" s="440">
        <f t="shared" si="391"/>
        <v>2.2000000000000002</v>
      </c>
      <c r="BH128" s="440">
        <f t="shared" si="392"/>
        <v>2.2000000000000002</v>
      </c>
      <c r="BI128" s="440">
        <f t="shared" si="393"/>
        <v>2.2000000000000002</v>
      </c>
      <c r="BJ128" s="440">
        <f t="shared" si="394"/>
        <v>2.2000000000000002</v>
      </c>
      <c r="BK128" s="440">
        <f t="shared" si="395"/>
        <v>0</v>
      </c>
      <c r="BL128" s="440">
        <f t="shared" si="396"/>
        <v>0</v>
      </c>
    </row>
    <row r="129" spans="1:64">
      <c r="A129" t="str">
        <v>a. Response Time atas Gangguan (diluar Clear Tamper)</v>
      </c>
      <c r="B129">
        <v>2</v>
      </c>
      <c r="C129" t="str">
        <v>Response Time atas Gangguan (diluar Clear Tamper)</v>
      </c>
      <c r="D129" s="105" t="s">
        <v>456</v>
      </c>
      <c r="E129" t="str">
        <v>Response Time atas Gangguan (diluar Clear Tamper)</v>
      </c>
      <c r="G129" s="440">
        <v>30</v>
      </c>
      <c r="H129" s="440">
        <v>30</v>
      </c>
      <c r="I129" s="440">
        <v>30</v>
      </c>
      <c r="J129" s="440">
        <v>30</v>
      </c>
      <c r="K129" s="440">
        <v>30</v>
      </c>
      <c r="L129" s="440">
        <v>30</v>
      </c>
      <c r="M129" s="440">
        <v>30</v>
      </c>
      <c r="N129" s="440">
        <v>30</v>
      </c>
      <c r="O129" s="440">
        <v>30</v>
      </c>
      <c r="P129" s="440">
        <v>30</v>
      </c>
      <c r="Q129" s="440">
        <v>30</v>
      </c>
      <c r="R129" s="440">
        <v>30</v>
      </c>
      <c r="T129" t="str">
        <v>Response Time atas Gangguan (diluar Clear Tamper)</v>
      </c>
      <c r="V129" s="440">
        <v>5.9774038461538472</v>
      </c>
      <c r="W129" s="440">
        <v>5.9760125291375301</v>
      </c>
      <c r="X129" s="440">
        <v>6.0147331635906918</v>
      </c>
      <c r="Y129" s="440">
        <v>6.009756374524521</v>
      </c>
      <c r="Z129" s="440">
        <v>7.465805099619617</v>
      </c>
      <c r="AA129" s="440">
        <v>7.5801323675968462</v>
      </c>
      <c r="AB129" s="440">
        <v>7.6617947018662962</v>
      </c>
      <c r="AC129" s="440">
        <v>7.9087392340137761</v>
      </c>
      <c r="AD129" s="440">
        <v>8.3605463442592161</v>
      </c>
      <c r="AE129" s="440">
        <v>8.5487728209444054</v>
      </c>
      <c r="AF129" s="440">
        <v>8.5487728209444054</v>
      </c>
      <c r="AG129" s="440">
        <v>8.5487728209444054</v>
      </c>
      <c r="AI129" t="str">
        <v>Response Time atas Gangguan (diluar Clear Tamper)</v>
      </c>
      <c r="AK129" s="440">
        <f t="shared" ref="AK129" si="493">IFERROR(IF((2-(V129/G129))*100&gt;110,110,(2-(V129/G129))*100),100)</f>
        <v>110</v>
      </c>
      <c r="AL129" s="440">
        <f t="shared" ref="AL129" si="494">IFERROR(IF((2-(W129/H129))*100&gt;110,110,(2-(W129/H129))*100),100)</f>
        <v>110</v>
      </c>
      <c r="AM129" s="440">
        <f t="shared" ref="AM129" si="495">IFERROR(IF((2-(X129/I129))*100&gt;110,110,(2-(X129/I129))*100),100)</f>
        <v>110</v>
      </c>
      <c r="AN129" s="440">
        <f t="shared" ref="AN129" si="496">IFERROR(IF((2-(Y129/J129))*100&gt;110,110,(2-(Y129/J129))*100),100)</f>
        <v>110</v>
      </c>
      <c r="AO129" s="440">
        <f t="shared" ref="AO129" si="497">IFERROR(IF((2-(Z129/K129))*100&gt;110,110,(2-(Z129/K129))*100),100)</f>
        <v>110</v>
      </c>
      <c r="AP129" s="440">
        <f t="shared" ref="AP129" si="498">IFERROR(IF((2-(AA129/L129))*100&gt;110,110,(2-(AA129/L129))*100),100)</f>
        <v>110</v>
      </c>
      <c r="AQ129" s="440">
        <f t="shared" ref="AQ129" si="499">IFERROR(IF((2-(AB129/M129))*100&gt;110,110,(2-(AB129/M129))*100),100)</f>
        <v>110</v>
      </c>
      <c r="AR129" s="440">
        <f t="shared" ref="AR129" si="500">IFERROR(IF((2-(AC129/N129))*100&gt;110,110,(2-(AC129/N129))*100),100)</f>
        <v>110</v>
      </c>
      <c r="AS129" s="440">
        <f t="shared" ref="AS129" si="501">IFERROR(IF((2-(AD129/O129))*100&gt;110,110,(2-(AD129/O129))*100),100)</f>
        <v>110</v>
      </c>
      <c r="AT129" s="440">
        <f t="shared" ref="AT129" si="502">IFERROR(IF((2-(AE129/P129))*100&gt;110,110,(2-(AE129/P129))*100),100)</f>
        <v>110</v>
      </c>
      <c r="AU129" s="440">
        <f t="shared" ref="AU129" si="503">IFERROR(IF((2-(AF129/Q129))*100&gt;110,110,(2-(AF129/Q129))*100),100)</f>
        <v>110</v>
      </c>
      <c r="AV129" s="440">
        <f t="shared" ref="AV129" si="504">IFERROR(IF((2-(AG129/R129))*100&gt;110,110,(2-(AG129/R129))*100),100)</f>
        <v>110</v>
      </c>
      <c r="AX129" t="str">
        <v>Response Time atas Gangguan (diluar Clear Tamper)</v>
      </c>
      <c r="AY129" s="105" t="s">
        <v>452</v>
      </c>
      <c r="AZ129">
        <v>1.5</v>
      </c>
      <c r="BA129" s="440">
        <f t="shared" si="385"/>
        <v>1.65</v>
      </c>
      <c r="BB129" s="440">
        <f t="shared" si="386"/>
        <v>1.65</v>
      </c>
      <c r="BC129" s="440">
        <f t="shared" si="387"/>
        <v>1.65</v>
      </c>
      <c r="BD129" s="440">
        <f t="shared" si="388"/>
        <v>1.65</v>
      </c>
      <c r="BE129" s="440">
        <f t="shared" si="389"/>
        <v>1.65</v>
      </c>
      <c r="BF129" s="440">
        <f t="shared" si="390"/>
        <v>1.65</v>
      </c>
      <c r="BG129" s="440">
        <f t="shared" si="391"/>
        <v>1.65</v>
      </c>
      <c r="BH129" s="440">
        <f t="shared" si="392"/>
        <v>1.65</v>
      </c>
      <c r="BI129" s="440">
        <f t="shared" si="393"/>
        <v>1.65</v>
      </c>
      <c r="BJ129" s="440">
        <f t="shared" si="394"/>
        <v>1.65</v>
      </c>
      <c r="BK129" s="440">
        <f t="shared" si="395"/>
        <v>1.65</v>
      </c>
      <c r="BL129" s="440">
        <f t="shared" si="396"/>
        <v>1.65</v>
      </c>
    </row>
    <row r="130" spans="1:64">
      <c r="A130" t="str">
        <v>b. Success Rate Auto Dispatch Gangguan Individual (diluar Clear Tamper)</v>
      </c>
      <c r="B130">
        <v>2</v>
      </c>
      <c r="C130" t="str">
        <v>Success Rate Auto Dispatch Gangguan Individual (diluar Clear Tamper)</v>
      </c>
      <c r="D130" s="105" t="s">
        <v>456</v>
      </c>
      <c r="E130" t="str">
        <v>Success Rate Auto Dispatch Gangguan Individual (diluar Clear Tamper)</v>
      </c>
      <c r="G130" s="440">
        <v>0</v>
      </c>
      <c r="H130" s="440">
        <v>0</v>
      </c>
      <c r="I130" s="440">
        <v>0</v>
      </c>
      <c r="J130" s="440">
        <v>0</v>
      </c>
      <c r="K130" s="440">
        <v>0</v>
      </c>
      <c r="L130" s="440">
        <v>0</v>
      </c>
      <c r="M130" s="440">
        <v>0</v>
      </c>
      <c r="N130" s="440">
        <v>0</v>
      </c>
      <c r="O130" s="440">
        <v>0</v>
      </c>
      <c r="P130" s="440">
        <v>0</v>
      </c>
      <c r="Q130" s="440">
        <v>0</v>
      </c>
      <c r="R130" s="440">
        <v>0</v>
      </c>
      <c r="T130" t="str">
        <v>Success Rate Auto Dispatch Gangguan Individual (diluar Clear Tamper)</v>
      </c>
      <c r="V130" s="440">
        <v>0</v>
      </c>
      <c r="W130" s="440">
        <v>0</v>
      </c>
      <c r="X130" s="440">
        <v>0</v>
      </c>
      <c r="Y130" s="440">
        <v>0</v>
      </c>
      <c r="Z130" s="440">
        <v>0</v>
      </c>
      <c r="AA130" s="440">
        <v>0</v>
      </c>
      <c r="AB130" s="440">
        <v>0</v>
      </c>
      <c r="AC130" s="440">
        <v>0</v>
      </c>
      <c r="AD130" s="440">
        <v>0</v>
      </c>
      <c r="AE130" s="440">
        <v>0</v>
      </c>
      <c r="AF130" s="440">
        <v>0</v>
      </c>
      <c r="AG130" s="440">
        <v>0</v>
      </c>
      <c r="AI130" t="str">
        <v>Success Rate Auto Dispatch Gangguan Individual (diluar Clear Tamper)</v>
      </c>
      <c r="AK130" s="440">
        <f t="shared" ref="AK130:AK141" si="505">IFERROR(IF(V130/G130*100&gt;110,110,V130/G130*100),100)</f>
        <v>100</v>
      </c>
      <c r="AL130" s="440">
        <f t="shared" ref="AL130:AL141" si="506">IFERROR(IF(W130/H130*100&gt;110,110,W130/H130*100),100)</f>
        <v>100</v>
      </c>
      <c r="AM130" s="440">
        <f t="shared" ref="AM130:AM141" si="507">IFERROR(IF(X130/I130*100&gt;110,110,X130/I130*100),100)</f>
        <v>100</v>
      </c>
      <c r="AN130" s="440">
        <f t="shared" ref="AN130:AN141" si="508">IFERROR(IF(Y130/J130*100&gt;110,110,Y130/J130*100),100)</f>
        <v>100</v>
      </c>
      <c r="AO130" s="440">
        <f t="shared" ref="AO130:AO141" si="509">IFERROR(IF(Z130/K130*100&gt;110,110,Z130/K130*100),100)</f>
        <v>100</v>
      </c>
      <c r="AP130" s="440">
        <f t="shared" ref="AP130:AP141" si="510">IFERROR(IF(AA130/L130*100&gt;110,110,AA130/L130*100),100)</f>
        <v>100</v>
      </c>
      <c r="AQ130" s="440">
        <f t="shared" ref="AQ130:AQ141" si="511">IFERROR(IF(AB130/M130*100&gt;110,110,AB130/M130*100),100)</f>
        <v>100</v>
      </c>
      <c r="AR130" s="440">
        <f t="shared" ref="AR130:AR141" si="512">IFERROR(IF(AC130/N130*100&gt;110,110,AC130/N130*100),100)</f>
        <v>100</v>
      </c>
      <c r="AS130" s="440">
        <f t="shared" ref="AS130:AS141" si="513">IFERROR(IF(AD130/O130*100&gt;110,110,AD130/O130*100),100)</f>
        <v>100</v>
      </c>
      <c r="AT130" s="440">
        <f t="shared" ref="AT130:AT141" si="514">IFERROR(IF(AE130/P130*100&gt;110,110,AE130/P130*100),100)</f>
        <v>100</v>
      </c>
      <c r="AU130" s="440">
        <f t="shared" ref="AU130:AU141" si="515">IFERROR(IF(AF130/Q130*100&gt;110,110,AF130/Q130*100),100)</f>
        <v>100</v>
      </c>
      <c r="AV130" s="440">
        <f t="shared" ref="AV130:AV141" si="516">IFERROR(IF(AG130/R130*100&gt;110,110,AG130/R130*100),100)</f>
        <v>100</v>
      </c>
      <c r="AX130" t="str">
        <v>Success Rate Auto Dispatch Gangguan Individual (diluar Clear Tamper)</v>
      </c>
      <c r="AY130" s="105" t="s">
        <v>452</v>
      </c>
      <c r="AZ130">
        <v>1.5</v>
      </c>
      <c r="BA130" s="440">
        <f t="shared" si="385"/>
        <v>1.5</v>
      </c>
      <c r="BB130" s="440">
        <f t="shared" si="386"/>
        <v>1.5</v>
      </c>
      <c r="BC130" s="440">
        <f t="shared" si="387"/>
        <v>1.5</v>
      </c>
      <c r="BD130" s="440">
        <f t="shared" si="388"/>
        <v>1.5</v>
      </c>
      <c r="BE130" s="440">
        <f t="shared" si="389"/>
        <v>1.5</v>
      </c>
      <c r="BF130" s="440">
        <f t="shared" si="390"/>
        <v>1.5</v>
      </c>
      <c r="BG130" s="440">
        <f t="shared" si="391"/>
        <v>1.5</v>
      </c>
      <c r="BH130" s="440">
        <f t="shared" si="392"/>
        <v>1.5</v>
      </c>
      <c r="BI130" s="440">
        <f t="shared" si="393"/>
        <v>1.5</v>
      </c>
      <c r="BJ130" s="440">
        <f t="shared" si="394"/>
        <v>1.5</v>
      </c>
      <c r="BK130" s="440">
        <f t="shared" si="395"/>
        <v>1.5</v>
      </c>
      <c r="BL130" s="440">
        <f t="shared" si="396"/>
        <v>1.5</v>
      </c>
    </row>
    <row r="131" spans="1:64">
      <c r="A131" t="str">
        <v>a. Recovery Time Gangguan Meluas TM</v>
      </c>
      <c r="B131">
        <v>2</v>
      </c>
      <c r="C131" t="str">
        <v>Recovery Time Gangguan Meluas TM</v>
      </c>
      <c r="D131" s="105" t="s">
        <v>456</v>
      </c>
      <c r="E131" t="str">
        <v>Recovery Time Gangguan Meluas TM</v>
      </c>
      <c r="G131" s="440">
        <v>100</v>
      </c>
      <c r="H131" s="440">
        <v>100</v>
      </c>
      <c r="I131" s="440">
        <v>100</v>
      </c>
      <c r="J131" s="440">
        <v>100</v>
      </c>
      <c r="K131" s="440">
        <v>100</v>
      </c>
      <c r="L131" s="440">
        <v>100</v>
      </c>
      <c r="M131" s="440">
        <v>100</v>
      </c>
      <c r="N131" s="440">
        <v>100</v>
      </c>
      <c r="O131" s="440">
        <v>100</v>
      </c>
      <c r="P131" s="440">
        <v>100</v>
      </c>
      <c r="Q131" s="440">
        <v>100</v>
      </c>
      <c r="R131" s="440">
        <v>100</v>
      </c>
      <c r="T131" t="str">
        <v>Recovery Time Gangguan Meluas TM</v>
      </c>
      <c r="V131" s="440">
        <v>110</v>
      </c>
      <c r="W131" s="440">
        <v>110</v>
      </c>
      <c r="X131" s="440">
        <v>110</v>
      </c>
      <c r="Y131" s="440">
        <v>110</v>
      </c>
      <c r="Z131" s="440">
        <v>110</v>
      </c>
      <c r="AA131" s="440">
        <v>110</v>
      </c>
      <c r="AB131" s="440">
        <v>110</v>
      </c>
      <c r="AC131" s="440">
        <v>110</v>
      </c>
      <c r="AD131" s="440">
        <v>110</v>
      </c>
      <c r="AE131" s="440">
        <v>110</v>
      </c>
      <c r="AF131" s="440">
        <v>0</v>
      </c>
      <c r="AG131" s="440">
        <v>0</v>
      </c>
      <c r="AI131" t="str">
        <v>Recovery Time Gangguan Meluas TM</v>
      </c>
      <c r="AK131" s="440">
        <f t="shared" si="505"/>
        <v>110.00000000000001</v>
      </c>
      <c r="AL131" s="440">
        <f t="shared" si="506"/>
        <v>110.00000000000001</v>
      </c>
      <c r="AM131" s="440">
        <f t="shared" si="507"/>
        <v>110.00000000000001</v>
      </c>
      <c r="AN131" s="440">
        <f t="shared" si="508"/>
        <v>110.00000000000001</v>
      </c>
      <c r="AO131" s="440">
        <f t="shared" si="509"/>
        <v>110.00000000000001</v>
      </c>
      <c r="AP131" s="440">
        <f t="shared" si="510"/>
        <v>110.00000000000001</v>
      </c>
      <c r="AQ131" s="440">
        <f t="shared" si="511"/>
        <v>110.00000000000001</v>
      </c>
      <c r="AR131" s="440">
        <f t="shared" si="512"/>
        <v>110.00000000000001</v>
      </c>
      <c r="AS131" s="440">
        <f t="shared" si="513"/>
        <v>110.00000000000001</v>
      </c>
      <c r="AT131" s="440">
        <f t="shared" si="514"/>
        <v>110.00000000000001</v>
      </c>
      <c r="AU131" s="440">
        <f t="shared" si="515"/>
        <v>0</v>
      </c>
      <c r="AV131" s="440">
        <f t="shared" si="516"/>
        <v>0</v>
      </c>
      <c r="AX131" t="str">
        <v>Recovery Time Gangguan Meluas TM</v>
      </c>
      <c r="AY131" s="105" t="s">
        <v>452</v>
      </c>
      <c r="AZ131">
        <v>3</v>
      </c>
      <c r="BA131" s="440">
        <f t="shared" si="385"/>
        <v>3.3</v>
      </c>
      <c r="BB131" s="440">
        <f t="shared" si="386"/>
        <v>3.3</v>
      </c>
      <c r="BC131" s="440">
        <f t="shared" si="387"/>
        <v>3.3</v>
      </c>
      <c r="BD131" s="440">
        <f t="shared" si="388"/>
        <v>3.3</v>
      </c>
      <c r="BE131" s="440">
        <f t="shared" si="389"/>
        <v>3.3</v>
      </c>
      <c r="BF131" s="440">
        <f t="shared" si="390"/>
        <v>3.3</v>
      </c>
      <c r="BG131" s="440">
        <f t="shared" si="391"/>
        <v>3.3</v>
      </c>
      <c r="BH131" s="440">
        <f t="shared" si="392"/>
        <v>3.3</v>
      </c>
      <c r="BI131" s="440">
        <f t="shared" si="393"/>
        <v>3.3</v>
      </c>
      <c r="BJ131" s="440">
        <f t="shared" si="394"/>
        <v>3.3</v>
      </c>
      <c r="BK131" s="440">
        <f t="shared" si="395"/>
        <v>0</v>
      </c>
      <c r="BL131" s="440">
        <f t="shared" si="396"/>
        <v>0</v>
      </c>
    </row>
    <row r="132" spans="1:64">
      <c r="A132" t="str">
        <v>b. Penormalan Siaga 1 Gangguan TM</v>
      </c>
      <c r="B132">
        <v>2</v>
      </c>
      <c r="C132" t="str">
        <v>Penormalan Siaga 1 Gangguan TM</v>
      </c>
      <c r="D132" s="105" t="s">
        <v>456</v>
      </c>
      <c r="E132" t="str">
        <v>Penormalan Siaga 1 Gangguan TM</v>
      </c>
      <c r="G132" s="440">
        <v>100</v>
      </c>
      <c r="H132" s="440">
        <v>100</v>
      </c>
      <c r="I132" s="440">
        <v>100</v>
      </c>
      <c r="J132" s="440">
        <v>100</v>
      </c>
      <c r="K132" s="440">
        <v>100</v>
      </c>
      <c r="L132" s="440">
        <v>100</v>
      </c>
      <c r="M132" s="440">
        <v>100</v>
      </c>
      <c r="N132" s="440">
        <v>100</v>
      </c>
      <c r="O132" s="440">
        <v>100</v>
      </c>
      <c r="P132" s="440">
        <v>100</v>
      </c>
      <c r="Q132" s="440">
        <v>100</v>
      </c>
      <c r="R132" s="440">
        <v>100</v>
      </c>
      <c r="T132" t="str">
        <v>Penormalan Siaga 1 Gangguan TM</v>
      </c>
      <c r="V132" s="440">
        <v>110</v>
      </c>
      <c r="W132" s="440">
        <v>110</v>
      </c>
      <c r="X132" s="440">
        <v>110</v>
      </c>
      <c r="Y132" s="440">
        <v>110</v>
      </c>
      <c r="Z132" s="440">
        <v>110</v>
      </c>
      <c r="AA132" s="440">
        <v>110</v>
      </c>
      <c r="AB132" s="440">
        <v>110</v>
      </c>
      <c r="AC132" s="440">
        <v>110</v>
      </c>
      <c r="AD132" s="440">
        <v>110</v>
      </c>
      <c r="AE132" s="440">
        <v>110</v>
      </c>
      <c r="AF132" s="440">
        <v>0</v>
      </c>
      <c r="AG132" s="440">
        <v>0</v>
      </c>
      <c r="AI132" t="str">
        <v>Penormalan Siaga 1 Gangguan TM</v>
      </c>
      <c r="AK132" s="440">
        <f t="shared" si="505"/>
        <v>110.00000000000001</v>
      </c>
      <c r="AL132" s="440">
        <f t="shared" si="506"/>
        <v>110.00000000000001</v>
      </c>
      <c r="AM132" s="440">
        <f t="shared" si="507"/>
        <v>110.00000000000001</v>
      </c>
      <c r="AN132" s="440">
        <f t="shared" si="508"/>
        <v>110.00000000000001</v>
      </c>
      <c r="AO132" s="440">
        <f t="shared" si="509"/>
        <v>110.00000000000001</v>
      </c>
      <c r="AP132" s="440">
        <f t="shared" si="510"/>
        <v>110.00000000000001</v>
      </c>
      <c r="AQ132" s="440">
        <f t="shared" si="511"/>
        <v>110.00000000000001</v>
      </c>
      <c r="AR132" s="440">
        <f t="shared" si="512"/>
        <v>110.00000000000001</v>
      </c>
      <c r="AS132" s="440">
        <f t="shared" si="513"/>
        <v>110.00000000000001</v>
      </c>
      <c r="AT132" s="440">
        <f t="shared" si="514"/>
        <v>110.00000000000001</v>
      </c>
      <c r="AU132" s="440">
        <f t="shared" si="515"/>
        <v>0</v>
      </c>
      <c r="AV132" s="440">
        <f t="shared" si="516"/>
        <v>0</v>
      </c>
      <c r="AX132" t="str">
        <v>Penormalan Siaga 1 Gangguan TM</v>
      </c>
      <c r="AY132" s="105" t="s">
        <v>452</v>
      </c>
      <c r="AZ132">
        <v>3</v>
      </c>
      <c r="BA132" s="440">
        <f t="shared" si="385"/>
        <v>3.3</v>
      </c>
      <c r="BB132" s="440">
        <f t="shared" si="386"/>
        <v>3.3</v>
      </c>
      <c r="BC132" s="440">
        <f t="shared" si="387"/>
        <v>3.3</v>
      </c>
      <c r="BD132" s="440">
        <f t="shared" si="388"/>
        <v>3.3</v>
      </c>
      <c r="BE132" s="440">
        <f t="shared" si="389"/>
        <v>3.3</v>
      </c>
      <c r="BF132" s="440">
        <f t="shared" si="390"/>
        <v>3.3</v>
      </c>
      <c r="BG132" s="440">
        <f t="shared" si="391"/>
        <v>3.3</v>
      </c>
      <c r="BH132" s="440">
        <f t="shared" si="392"/>
        <v>3.3</v>
      </c>
      <c r="BI132" s="440">
        <f t="shared" si="393"/>
        <v>3.3</v>
      </c>
      <c r="BJ132" s="440">
        <f t="shared" si="394"/>
        <v>3.3</v>
      </c>
      <c r="BK132" s="440">
        <f t="shared" si="395"/>
        <v>0</v>
      </c>
      <c r="BL132" s="440">
        <f t="shared" si="396"/>
        <v>0</v>
      </c>
    </row>
    <row r="133" spans="1:64">
      <c r="A133" t="str">
        <v>a. Penambahan Daya Tersambung</v>
      </c>
      <c r="B133">
        <v>2</v>
      </c>
      <c r="C133" t="str">
        <v>Penambahan Daya Tersambung</v>
      </c>
      <c r="D133" s="105" t="s">
        <v>456</v>
      </c>
      <c r="E133" t="str">
        <v>Penambahan Daya Tersambung</v>
      </c>
      <c r="G133" s="440">
        <v>0.08</v>
      </c>
      <c r="H133" s="440">
        <v>0.17</v>
      </c>
      <c r="I133" s="440">
        <v>0.26</v>
      </c>
      <c r="J133" s="440">
        <v>0.35</v>
      </c>
      <c r="K133" s="440">
        <v>0.49</v>
      </c>
      <c r="L133" s="440">
        <v>0.62</v>
      </c>
      <c r="M133" s="440">
        <v>0.76</v>
      </c>
      <c r="N133" s="440">
        <v>0.89</v>
      </c>
      <c r="O133" s="440">
        <v>1.03</v>
      </c>
      <c r="P133" s="440">
        <v>1.1599999999999999</v>
      </c>
      <c r="Q133" s="440">
        <v>1.29</v>
      </c>
      <c r="R133" s="440">
        <v>1.57</v>
      </c>
      <c r="T133" t="str">
        <v>Penambahan Daya Tersambung</v>
      </c>
      <c r="V133" s="440">
        <v>0.23050000000000001</v>
      </c>
      <c r="W133" s="440">
        <v>0.27365</v>
      </c>
      <c r="X133" s="440">
        <v>0.34379999999999999</v>
      </c>
      <c r="Y133" s="440">
        <v>0.45839999999999997</v>
      </c>
      <c r="Z133" s="440">
        <v>0.52405000000000002</v>
      </c>
      <c r="AA133" s="440">
        <v>0.58365</v>
      </c>
      <c r="AB133" s="440">
        <v>0.65820000000000001</v>
      </c>
      <c r="AC133" s="440">
        <v>0.76949999999999996</v>
      </c>
      <c r="AD133" s="440">
        <v>0.86299999999999999</v>
      </c>
      <c r="AE133" s="440">
        <v>0.9304</v>
      </c>
      <c r="AF133" s="440">
        <v>0</v>
      </c>
      <c r="AG133" s="440">
        <v>0</v>
      </c>
      <c r="AI133" t="str">
        <v>Penambahan Daya Tersambung</v>
      </c>
      <c r="AK133" s="440">
        <f t="shared" si="505"/>
        <v>110</v>
      </c>
      <c r="AL133" s="440">
        <f t="shared" si="506"/>
        <v>110</v>
      </c>
      <c r="AM133" s="440">
        <f t="shared" si="507"/>
        <v>110</v>
      </c>
      <c r="AN133" s="440">
        <f t="shared" si="508"/>
        <v>110</v>
      </c>
      <c r="AO133" s="440">
        <f t="shared" si="509"/>
        <v>106.94897959183673</v>
      </c>
      <c r="AP133" s="440">
        <f t="shared" si="510"/>
        <v>94.137096774193552</v>
      </c>
      <c r="AQ133" s="440">
        <f t="shared" si="511"/>
        <v>86.60526315789474</v>
      </c>
      <c r="AR133" s="440">
        <f t="shared" si="512"/>
        <v>86.460674157303359</v>
      </c>
      <c r="AS133" s="440">
        <f t="shared" si="513"/>
        <v>83.786407766990294</v>
      </c>
      <c r="AT133" s="440">
        <f t="shared" si="514"/>
        <v>80.206896551724142</v>
      </c>
      <c r="AU133" s="440">
        <f t="shared" si="515"/>
        <v>0</v>
      </c>
      <c r="AV133" s="440">
        <f t="shared" si="516"/>
        <v>0</v>
      </c>
      <c r="AX133" t="str">
        <v>Penambahan Daya Tersambung</v>
      </c>
      <c r="AY133" s="105" t="s">
        <v>452</v>
      </c>
      <c r="AZ133">
        <v>3</v>
      </c>
      <c r="BA133" s="440">
        <f t="shared" si="385"/>
        <v>3.3</v>
      </c>
      <c r="BB133" s="440">
        <f t="shared" si="386"/>
        <v>3.3</v>
      </c>
      <c r="BC133" s="440">
        <f t="shared" si="387"/>
        <v>3.3</v>
      </c>
      <c r="BD133" s="440">
        <f t="shared" si="388"/>
        <v>3.3</v>
      </c>
      <c r="BE133" s="440">
        <f t="shared" si="389"/>
        <v>3.2</v>
      </c>
      <c r="BF133" s="440">
        <f t="shared" si="390"/>
        <v>2.82</v>
      </c>
      <c r="BG133" s="440">
        <f t="shared" si="391"/>
        <v>2.59</v>
      </c>
      <c r="BH133" s="440">
        <f t="shared" si="392"/>
        <v>2.59</v>
      </c>
      <c r="BI133" s="440">
        <f t="shared" si="393"/>
        <v>2.5099999999999998</v>
      </c>
      <c r="BJ133" s="440">
        <f t="shared" si="394"/>
        <v>2.4</v>
      </c>
      <c r="BK133" s="440">
        <f t="shared" si="395"/>
        <v>0</v>
      </c>
      <c r="BL133" s="440">
        <f t="shared" si="396"/>
        <v>0</v>
      </c>
    </row>
    <row r="134" spans="1:64">
      <c r="A134" t="str">
        <v>b. Penambahan Jumlah Pelanggan</v>
      </c>
      <c r="B134">
        <v>2</v>
      </c>
      <c r="C134" t="str">
        <v>Penambahan Jumlah Pelanggan</v>
      </c>
      <c r="D134" s="105" t="s">
        <v>456</v>
      </c>
      <c r="E134" t="str">
        <v>Penambahan Jumlah Pelanggan</v>
      </c>
      <c r="G134" s="440">
        <v>76</v>
      </c>
      <c r="H134" s="440">
        <v>154</v>
      </c>
      <c r="I134" s="440">
        <v>237</v>
      </c>
      <c r="J134" s="440">
        <v>316</v>
      </c>
      <c r="K134" s="440">
        <v>438</v>
      </c>
      <c r="L134" s="440">
        <v>556</v>
      </c>
      <c r="M134" s="440">
        <v>678</v>
      </c>
      <c r="N134" s="440">
        <v>800</v>
      </c>
      <c r="O134" s="440">
        <v>918</v>
      </c>
      <c r="P134" s="440">
        <v>1040</v>
      </c>
      <c r="Q134" s="440">
        <v>1158</v>
      </c>
      <c r="R134" s="440">
        <v>1280</v>
      </c>
      <c r="T134" t="str">
        <v>Penambahan Jumlah Pelanggan</v>
      </c>
      <c r="V134" s="440">
        <v>168</v>
      </c>
      <c r="W134" s="440">
        <v>214</v>
      </c>
      <c r="X134" s="440">
        <v>261</v>
      </c>
      <c r="Y134" s="440">
        <v>312</v>
      </c>
      <c r="Z134" s="440">
        <v>365</v>
      </c>
      <c r="AA134" s="440">
        <v>424</v>
      </c>
      <c r="AB134" s="440">
        <v>462</v>
      </c>
      <c r="AC134" s="440">
        <v>500</v>
      </c>
      <c r="AD134" s="440">
        <v>557</v>
      </c>
      <c r="AE134" s="440">
        <v>618</v>
      </c>
      <c r="AF134" s="440">
        <v>0</v>
      </c>
      <c r="AG134" s="440">
        <v>0</v>
      </c>
      <c r="AI134" t="str">
        <v>Penambahan Jumlah Pelanggan</v>
      </c>
      <c r="AK134" s="440">
        <f t="shared" si="505"/>
        <v>110</v>
      </c>
      <c r="AL134" s="440">
        <f t="shared" si="506"/>
        <v>110</v>
      </c>
      <c r="AM134" s="440">
        <f t="shared" si="507"/>
        <v>110</v>
      </c>
      <c r="AN134" s="440">
        <f t="shared" si="508"/>
        <v>98.734177215189874</v>
      </c>
      <c r="AO134" s="440">
        <f t="shared" si="509"/>
        <v>83.333333333333343</v>
      </c>
      <c r="AP134" s="440">
        <f t="shared" si="510"/>
        <v>76.258992805755398</v>
      </c>
      <c r="AQ134" s="440">
        <f t="shared" si="511"/>
        <v>68.141592920353972</v>
      </c>
      <c r="AR134" s="440">
        <f t="shared" si="512"/>
        <v>62.5</v>
      </c>
      <c r="AS134" s="440">
        <f t="shared" si="513"/>
        <v>60.675381263616558</v>
      </c>
      <c r="AT134" s="440">
        <f t="shared" si="514"/>
        <v>59.42307692307692</v>
      </c>
      <c r="AU134" s="440">
        <f t="shared" si="515"/>
        <v>0</v>
      </c>
      <c r="AV134" s="440">
        <f t="shared" si="516"/>
        <v>0</v>
      </c>
      <c r="AX134" t="str">
        <v>Penambahan Jumlah Pelanggan</v>
      </c>
      <c r="AY134" s="105" t="s">
        <v>452</v>
      </c>
      <c r="AZ134">
        <v>3</v>
      </c>
      <c r="BA134" s="440">
        <f t="shared" si="385"/>
        <v>3.3</v>
      </c>
      <c r="BB134" s="440">
        <f t="shared" si="386"/>
        <v>3.3</v>
      </c>
      <c r="BC134" s="440">
        <f t="shared" si="387"/>
        <v>3.3</v>
      </c>
      <c r="BD134" s="440">
        <f t="shared" si="388"/>
        <v>2.96</v>
      </c>
      <c r="BE134" s="440">
        <f t="shared" si="389"/>
        <v>2.5</v>
      </c>
      <c r="BF134" s="440">
        <f t="shared" si="390"/>
        <v>2.2799999999999998</v>
      </c>
      <c r="BG134" s="440">
        <f t="shared" si="391"/>
        <v>2.04</v>
      </c>
      <c r="BH134" s="440">
        <f t="shared" si="392"/>
        <v>1.87</v>
      </c>
      <c r="BI134" s="440">
        <f t="shared" si="393"/>
        <v>1.82</v>
      </c>
      <c r="BJ134" s="440">
        <f t="shared" si="394"/>
        <v>1.78</v>
      </c>
      <c r="BK134" s="440">
        <f t="shared" si="395"/>
        <v>0</v>
      </c>
      <c r="BL134" s="440">
        <f t="shared" si="396"/>
        <v>0</v>
      </c>
    </row>
    <row r="135" spans="1:64">
      <c r="A135" t="str">
        <v>c. Jumlah Penambahan Pelanggan Produk Tematik</v>
      </c>
      <c r="B135">
        <v>2</v>
      </c>
      <c r="C135" t="str">
        <v>Jumlah Penambahan Pelanggan Produk Tematik</v>
      </c>
      <c r="D135" s="105" t="s">
        <v>456</v>
      </c>
      <c r="E135" t="str">
        <v>Jumlah Penambahan Pelanggan Produk Tematik</v>
      </c>
      <c r="G135" s="440">
        <v>15</v>
      </c>
      <c r="H135" s="440">
        <v>30</v>
      </c>
      <c r="I135" s="440">
        <v>45</v>
      </c>
      <c r="J135" s="440">
        <v>60</v>
      </c>
      <c r="K135" s="440">
        <v>75</v>
      </c>
      <c r="L135" s="440">
        <v>90</v>
      </c>
      <c r="M135" s="440">
        <v>100</v>
      </c>
      <c r="N135" s="440">
        <v>110</v>
      </c>
      <c r="O135" s="440">
        <v>120</v>
      </c>
      <c r="P135" s="440">
        <v>130</v>
      </c>
      <c r="Q135" s="440">
        <v>140</v>
      </c>
      <c r="R135" s="440">
        <v>150</v>
      </c>
      <c r="T135" t="str">
        <v>Jumlah Penambahan Pelanggan Produk Tematik</v>
      </c>
      <c r="V135" s="440">
        <v>17</v>
      </c>
      <c r="W135" s="440">
        <v>18</v>
      </c>
      <c r="X135" s="440">
        <v>34</v>
      </c>
      <c r="Y135" s="440">
        <v>34</v>
      </c>
      <c r="Z135" s="440">
        <v>50</v>
      </c>
      <c r="AA135" s="440">
        <v>99</v>
      </c>
      <c r="AB135" s="440">
        <v>99</v>
      </c>
      <c r="AC135" s="440">
        <v>133</v>
      </c>
      <c r="AD135" s="440">
        <v>138</v>
      </c>
      <c r="AE135" s="440">
        <v>146</v>
      </c>
      <c r="AF135" s="440">
        <v>0</v>
      </c>
      <c r="AG135" s="440">
        <v>0</v>
      </c>
      <c r="AI135" t="str">
        <v>Jumlah Penambahan Pelanggan Produk Tematik</v>
      </c>
      <c r="AK135" s="440">
        <f t="shared" si="505"/>
        <v>110</v>
      </c>
      <c r="AL135" s="440">
        <f t="shared" si="506"/>
        <v>60</v>
      </c>
      <c r="AM135" s="440">
        <f t="shared" si="507"/>
        <v>75.555555555555557</v>
      </c>
      <c r="AN135" s="440">
        <f t="shared" si="508"/>
        <v>56.666666666666664</v>
      </c>
      <c r="AO135" s="440">
        <f t="shared" si="509"/>
        <v>66.666666666666657</v>
      </c>
      <c r="AP135" s="440">
        <f t="shared" si="510"/>
        <v>110.00000000000001</v>
      </c>
      <c r="AQ135" s="440">
        <f t="shared" si="511"/>
        <v>99</v>
      </c>
      <c r="AR135" s="440">
        <f t="shared" si="512"/>
        <v>110</v>
      </c>
      <c r="AS135" s="440">
        <f t="shared" si="513"/>
        <v>110</v>
      </c>
      <c r="AT135" s="440">
        <f t="shared" si="514"/>
        <v>110</v>
      </c>
      <c r="AU135" s="440">
        <f t="shared" si="515"/>
        <v>0</v>
      </c>
      <c r="AV135" s="440">
        <f t="shared" si="516"/>
        <v>0</v>
      </c>
      <c r="AX135" t="str">
        <v>Jumlah Penambahan Pelanggan Produk Tematik</v>
      </c>
      <c r="AY135" s="105" t="s">
        <v>452</v>
      </c>
      <c r="AZ135">
        <v>2</v>
      </c>
      <c r="BA135" s="440">
        <f t="shared" si="385"/>
        <v>2.2000000000000002</v>
      </c>
      <c r="BB135" s="440">
        <f t="shared" si="386"/>
        <v>1.2</v>
      </c>
      <c r="BC135" s="440">
        <f t="shared" si="387"/>
        <v>1.51</v>
      </c>
      <c r="BD135" s="440">
        <f t="shared" si="388"/>
        <v>1.1299999999999999</v>
      </c>
      <c r="BE135" s="440">
        <f t="shared" si="389"/>
        <v>1.33</v>
      </c>
      <c r="BF135" s="440">
        <f t="shared" si="390"/>
        <v>2.2000000000000002</v>
      </c>
      <c r="BG135" s="440">
        <f t="shared" si="391"/>
        <v>1.98</v>
      </c>
      <c r="BH135" s="440">
        <f t="shared" si="392"/>
        <v>2.2000000000000002</v>
      </c>
      <c r="BI135" s="440">
        <f t="shared" si="393"/>
        <v>2.2000000000000002</v>
      </c>
      <c r="BJ135" s="440">
        <f t="shared" si="394"/>
        <v>2.2000000000000002</v>
      </c>
      <c r="BK135" s="440">
        <f t="shared" si="395"/>
        <v>0</v>
      </c>
      <c r="BL135" s="440">
        <f t="shared" si="396"/>
        <v>0</v>
      </c>
    </row>
    <row r="136" spans="1:64">
      <c r="A136" t="str">
        <v>d. Implementasi Kesesuaian Sektor Bisnis sesuai KBLI 2020</v>
      </c>
      <c r="B136">
        <v>2</v>
      </c>
      <c r="C136" t="str">
        <v>Implementasi Kesesuaian Sektor Bisnis sesuai KBLI 2020</v>
      </c>
      <c r="D136" s="105" t="s">
        <v>456</v>
      </c>
      <c r="E136" t="str">
        <v>Implementasi Kesesuaian Sektor Bisnis sesuai KBLI 2020</v>
      </c>
      <c r="G136" s="440">
        <v>0</v>
      </c>
      <c r="H136" s="440">
        <v>0</v>
      </c>
      <c r="I136" s="440">
        <v>0</v>
      </c>
      <c r="J136" s="440">
        <v>0</v>
      </c>
      <c r="K136" s="440">
        <v>0</v>
      </c>
      <c r="L136" s="440">
        <v>0</v>
      </c>
      <c r="M136" s="440">
        <v>0</v>
      </c>
      <c r="N136" s="440">
        <v>0</v>
      </c>
      <c r="O136" s="440">
        <v>0</v>
      </c>
      <c r="P136" s="440">
        <v>0</v>
      </c>
      <c r="Q136" s="440">
        <v>0</v>
      </c>
      <c r="R136" s="440">
        <v>0</v>
      </c>
      <c r="T136" t="str">
        <v>Implementasi Kesesuaian Sektor Bisnis sesuai KBLI 2020</v>
      </c>
      <c r="V136" s="440">
        <v>0</v>
      </c>
      <c r="W136" s="440">
        <v>0</v>
      </c>
      <c r="X136" s="440">
        <v>0</v>
      </c>
      <c r="Y136" s="440">
        <v>0</v>
      </c>
      <c r="Z136" s="440">
        <v>0</v>
      </c>
      <c r="AA136" s="440">
        <v>0</v>
      </c>
      <c r="AB136" s="440">
        <v>0</v>
      </c>
      <c r="AC136" s="440">
        <v>0</v>
      </c>
      <c r="AD136" s="440">
        <v>0</v>
      </c>
      <c r="AE136" s="440">
        <v>0</v>
      </c>
      <c r="AF136" s="440">
        <v>0</v>
      </c>
      <c r="AG136" s="440">
        <v>0</v>
      </c>
      <c r="AI136" t="str">
        <v>Implementasi Kesesuaian Sektor Bisnis sesuai KBLI 2020</v>
      </c>
      <c r="AK136" s="440">
        <f t="shared" si="505"/>
        <v>100</v>
      </c>
      <c r="AL136" s="440">
        <f t="shared" si="506"/>
        <v>100</v>
      </c>
      <c r="AM136" s="440">
        <f t="shared" si="507"/>
        <v>100</v>
      </c>
      <c r="AN136" s="440">
        <f t="shared" si="508"/>
        <v>100</v>
      </c>
      <c r="AO136" s="440">
        <f t="shared" si="509"/>
        <v>100</v>
      </c>
      <c r="AP136" s="440">
        <f t="shared" si="510"/>
        <v>100</v>
      </c>
      <c r="AQ136" s="440">
        <f t="shared" si="511"/>
        <v>100</v>
      </c>
      <c r="AR136" s="440">
        <f t="shared" si="512"/>
        <v>100</v>
      </c>
      <c r="AS136" s="440">
        <f t="shared" si="513"/>
        <v>100</v>
      </c>
      <c r="AT136" s="440">
        <f t="shared" si="514"/>
        <v>100</v>
      </c>
      <c r="AU136" s="440">
        <f t="shared" si="515"/>
        <v>100</v>
      </c>
      <c r="AV136" s="440">
        <f t="shared" si="516"/>
        <v>100</v>
      </c>
      <c r="AX136" t="str">
        <v>Implementasi Kesesuaian Sektor Bisnis sesuai KBLI 2020</v>
      </c>
      <c r="AY136" s="105" t="s">
        <v>452</v>
      </c>
      <c r="AZ136">
        <v>2</v>
      </c>
      <c r="BA136" s="440">
        <f t="shared" si="385"/>
        <v>2</v>
      </c>
      <c r="BB136" s="440">
        <f t="shared" si="386"/>
        <v>2</v>
      </c>
      <c r="BC136" s="440">
        <f t="shared" si="387"/>
        <v>2</v>
      </c>
      <c r="BD136" s="440">
        <f t="shared" si="388"/>
        <v>2</v>
      </c>
      <c r="BE136" s="440">
        <f t="shared" si="389"/>
        <v>2</v>
      </c>
      <c r="BF136" s="440">
        <f t="shared" si="390"/>
        <v>2</v>
      </c>
      <c r="BG136" s="440">
        <f t="shared" si="391"/>
        <v>2</v>
      </c>
      <c r="BH136" s="440">
        <f t="shared" si="392"/>
        <v>2</v>
      </c>
      <c r="BI136" s="440">
        <f t="shared" si="393"/>
        <v>2</v>
      </c>
      <c r="BJ136" s="440">
        <f t="shared" si="394"/>
        <v>2</v>
      </c>
      <c r="BK136" s="440">
        <f t="shared" si="395"/>
        <v>2</v>
      </c>
      <c r="BL136" s="440">
        <f t="shared" si="396"/>
        <v>2</v>
      </c>
    </row>
    <row r="137" spans="1:64">
      <c r="A137" t="str">
        <v>a. Penambahan Jumlah Pelanggan Rumah Tangga Lisdes</v>
      </c>
      <c r="B137">
        <v>2</v>
      </c>
      <c r="C137" t="str">
        <v>Penambahan Jumlah Pelanggan Rumah Tangga Lisdes</v>
      </c>
      <c r="D137" s="105" t="s">
        <v>456</v>
      </c>
      <c r="E137" t="str">
        <v>Penambahan Jumlah Pelanggan Rumah Tangga Lisdes</v>
      </c>
      <c r="G137" s="440">
        <v>0</v>
      </c>
      <c r="H137" s="440">
        <v>1</v>
      </c>
      <c r="I137" s="440">
        <v>1</v>
      </c>
      <c r="J137" s="440">
        <v>1</v>
      </c>
      <c r="K137" s="440">
        <v>2</v>
      </c>
      <c r="L137" s="440">
        <v>4</v>
      </c>
      <c r="M137" s="440">
        <v>11</v>
      </c>
      <c r="N137" s="440">
        <v>18</v>
      </c>
      <c r="O137" s="440">
        <v>29</v>
      </c>
      <c r="P137" s="440">
        <v>47</v>
      </c>
      <c r="Q137" s="440">
        <v>77</v>
      </c>
      <c r="R137" s="440">
        <v>128</v>
      </c>
      <c r="T137" t="str">
        <v>Penambahan Jumlah Pelanggan Rumah Tangga Lisdes</v>
      </c>
      <c r="V137" s="440">
        <v>35</v>
      </c>
      <c r="W137" s="440">
        <v>44</v>
      </c>
      <c r="X137" s="440">
        <v>48</v>
      </c>
      <c r="Y137" s="440">
        <v>53</v>
      </c>
      <c r="Z137" s="440">
        <v>54</v>
      </c>
      <c r="AA137" s="440">
        <v>54</v>
      </c>
      <c r="AB137" s="440">
        <v>54</v>
      </c>
      <c r="AC137" s="440">
        <v>54</v>
      </c>
      <c r="AD137" s="440">
        <v>54</v>
      </c>
      <c r="AE137" s="440">
        <v>57</v>
      </c>
      <c r="AF137" s="440">
        <v>0</v>
      </c>
      <c r="AG137" s="440">
        <v>0</v>
      </c>
      <c r="AI137" t="str">
        <v>Penambahan Jumlah Pelanggan Rumah Tangga Lisdes</v>
      </c>
      <c r="AK137" s="440">
        <f t="shared" si="505"/>
        <v>100</v>
      </c>
      <c r="AL137" s="440">
        <f t="shared" si="506"/>
        <v>110</v>
      </c>
      <c r="AM137" s="440">
        <f t="shared" si="507"/>
        <v>110</v>
      </c>
      <c r="AN137" s="440">
        <f t="shared" si="508"/>
        <v>110</v>
      </c>
      <c r="AO137" s="440">
        <f t="shared" si="509"/>
        <v>110</v>
      </c>
      <c r="AP137" s="440">
        <f t="shared" si="510"/>
        <v>110</v>
      </c>
      <c r="AQ137" s="440">
        <f t="shared" si="511"/>
        <v>110</v>
      </c>
      <c r="AR137" s="440">
        <f t="shared" si="512"/>
        <v>110</v>
      </c>
      <c r="AS137" s="440">
        <f t="shared" si="513"/>
        <v>110</v>
      </c>
      <c r="AT137" s="440">
        <f t="shared" si="514"/>
        <v>110</v>
      </c>
      <c r="AU137" s="440">
        <f t="shared" si="515"/>
        <v>0</v>
      </c>
      <c r="AV137" s="440">
        <f t="shared" si="516"/>
        <v>0</v>
      </c>
      <c r="AX137" t="str">
        <v>Penambahan Jumlah Pelanggan Rumah Tangga Lisdes</v>
      </c>
      <c r="AY137" s="105" t="s">
        <v>452</v>
      </c>
      <c r="AZ137">
        <v>2</v>
      </c>
      <c r="BA137" s="440">
        <f t="shared" si="385"/>
        <v>2</v>
      </c>
      <c r="BB137" s="440">
        <f t="shared" si="386"/>
        <v>2.2000000000000002</v>
      </c>
      <c r="BC137" s="440">
        <f t="shared" si="387"/>
        <v>2.2000000000000002</v>
      </c>
      <c r="BD137" s="440">
        <f t="shared" si="388"/>
        <v>2.2000000000000002</v>
      </c>
      <c r="BE137" s="440">
        <f t="shared" si="389"/>
        <v>2.2000000000000002</v>
      </c>
      <c r="BF137" s="440">
        <f t="shared" si="390"/>
        <v>2.2000000000000002</v>
      </c>
      <c r="BG137" s="440">
        <f t="shared" si="391"/>
        <v>2.2000000000000002</v>
      </c>
      <c r="BH137" s="440">
        <f t="shared" si="392"/>
        <v>2.2000000000000002</v>
      </c>
      <c r="BI137" s="440">
        <f t="shared" si="393"/>
        <v>2.2000000000000002</v>
      </c>
      <c r="BJ137" s="440">
        <f t="shared" si="394"/>
        <v>2.2000000000000002</v>
      </c>
      <c r="BK137" s="440">
        <f t="shared" si="395"/>
        <v>0</v>
      </c>
      <c r="BL137" s="440">
        <f t="shared" si="396"/>
        <v>0</v>
      </c>
    </row>
    <row r="138" spans="1:64">
      <c r="A138" t="str">
        <v>b. Peningkatan kWh Penjualan dari Pelanggan Rumah Tangga Lisdes</v>
      </c>
      <c r="B138">
        <v>2</v>
      </c>
      <c r="C138" t="str">
        <v>Peningkatan kWh Penjualan dari Pelanggan Rumah Tangga Lisdes</v>
      </c>
      <c r="D138" s="105" t="s">
        <v>456</v>
      </c>
      <c r="E138" t="str">
        <v>Peningkatan kWh Penjualan dari Pelanggan Rumah Tangga Lisdes</v>
      </c>
      <c r="G138" s="440">
        <v>0</v>
      </c>
      <c r="H138" s="440">
        <v>40.5</v>
      </c>
      <c r="I138" s="440">
        <v>40.5</v>
      </c>
      <c r="J138" s="440">
        <v>40.5</v>
      </c>
      <c r="K138" s="440">
        <v>81</v>
      </c>
      <c r="L138" s="440">
        <v>162</v>
      </c>
      <c r="M138" s="440">
        <v>1470.433</v>
      </c>
      <c r="N138" s="440">
        <v>2406.163</v>
      </c>
      <c r="O138" s="440">
        <v>3876.596</v>
      </c>
      <c r="P138" s="440">
        <v>6282.759</v>
      </c>
      <c r="Q138" s="440">
        <v>10293.030000000001</v>
      </c>
      <c r="R138" s="440">
        <v>17110.491000000002</v>
      </c>
      <c r="T138" t="str">
        <v>Peningkatan kWh Penjualan dari Pelanggan Rumah Tangga Lisdes</v>
      </c>
      <c r="V138" s="440">
        <v>8530</v>
      </c>
      <c r="W138" s="440">
        <v>14226.8</v>
      </c>
      <c r="X138" s="440">
        <v>14800.400000000001</v>
      </c>
      <c r="Y138" s="440">
        <v>15733.2</v>
      </c>
      <c r="Z138" s="440">
        <v>17680.300000000003</v>
      </c>
      <c r="AA138" s="440">
        <v>18973.800000000003</v>
      </c>
      <c r="AB138" s="440">
        <v>20717.900000000001</v>
      </c>
      <c r="AC138" s="440">
        <v>22466.2</v>
      </c>
      <c r="AD138" s="440">
        <v>24409.8</v>
      </c>
      <c r="AE138" s="440">
        <v>26906.6</v>
      </c>
      <c r="AF138" s="440">
        <v>0</v>
      </c>
      <c r="AG138" s="440">
        <v>0</v>
      </c>
      <c r="AI138" t="str">
        <v>Peningkatan kWh Penjualan dari Pelanggan Rumah Tangga Lisdes</v>
      </c>
      <c r="AK138" s="440">
        <f t="shared" si="505"/>
        <v>100</v>
      </c>
      <c r="AL138" s="440">
        <f t="shared" si="506"/>
        <v>110</v>
      </c>
      <c r="AM138" s="440">
        <f t="shared" si="507"/>
        <v>110</v>
      </c>
      <c r="AN138" s="440">
        <f t="shared" si="508"/>
        <v>110</v>
      </c>
      <c r="AO138" s="440">
        <f t="shared" si="509"/>
        <v>110</v>
      </c>
      <c r="AP138" s="440">
        <f t="shared" si="510"/>
        <v>110</v>
      </c>
      <c r="AQ138" s="440">
        <f t="shared" si="511"/>
        <v>110</v>
      </c>
      <c r="AR138" s="440">
        <f t="shared" si="512"/>
        <v>110</v>
      </c>
      <c r="AS138" s="440">
        <f t="shared" si="513"/>
        <v>110</v>
      </c>
      <c r="AT138" s="440">
        <f t="shared" si="514"/>
        <v>110</v>
      </c>
      <c r="AU138" s="440">
        <f t="shared" si="515"/>
        <v>0</v>
      </c>
      <c r="AV138" s="440">
        <f t="shared" si="516"/>
        <v>0</v>
      </c>
      <c r="AX138" t="str">
        <v>Peningkatan kWh Penjualan dari Pelanggan Rumah Tangga Lisdes</v>
      </c>
      <c r="AY138" s="105" t="s">
        <v>452</v>
      </c>
      <c r="AZ138">
        <v>2</v>
      </c>
      <c r="BA138" s="440">
        <f t="shared" si="385"/>
        <v>2</v>
      </c>
      <c r="BB138" s="440">
        <f t="shared" si="386"/>
        <v>2.2000000000000002</v>
      </c>
      <c r="BC138" s="440">
        <f t="shared" si="387"/>
        <v>2.2000000000000002</v>
      </c>
      <c r="BD138" s="440">
        <f t="shared" si="388"/>
        <v>2.2000000000000002</v>
      </c>
      <c r="BE138" s="440">
        <f t="shared" si="389"/>
        <v>2.2000000000000002</v>
      </c>
      <c r="BF138" s="440">
        <f t="shared" si="390"/>
        <v>2.2000000000000002</v>
      </c>
      <c r="BG138" s="440">
        <f t="shared" si="391"/>
        <v>2.2000000000000002</v>
      </c>
      <c r="BH138" s="440">
        <f t="shared" si="392"/>
        <v>2.2000000000000002</v>
      </c>
      <c r="BI138" s="440">
        <f t="shared" si="393"/>
        <v>2.2000000000000002</v>
      </c>
      <c r="BJ138" s="440">
        <f t="shared" si="394"/>
        <v>2.2000000000000002</v>
      </c>
      <c r="BK138" s="440">
        <f t="shared" si="395"/>
        <v>0</v>
      </c>
      <c r="BL138" s="440">
        <f t="shared" si="396"/>
        <v>0</v>
      </c>
    </row>
    <row r="139" spans="1:64">
      <c r="A139" t="str">
        <v>a. Jumlah Pengguna Swa Cam</v>
      </c>
      <c r="B139">
        <v>2</v>
      </c>
      <c r="C139" t="str">
        <v>Jumlah Pengguna Swa Cam</v>
      </c>
      <c r="D139" s="105" t="s">
        <v>456</v>
      </c>
      <c r="E139" t="str">
        <v>Jumlah Pengguna Swa Cam</v>
      </c>
      <c r="G139" s="440">
        <v>12</v>
      </c>
      <c r="H139" s="440">
        <v>12</v>
      </c>
      <c r="I139" s="440">
        <v>12</v>
      </c>
      <c r="J139" s="440">
        <v>12</v>
      </c>
      <c r="K139" s="440">
        <v>12</v>
      </c>
      <c r="L139" s="440">
        <v>12</v>
      </c>
      <c r="M139" s="440">
        <v>12</v>
      </c>
      <c r="N139" s="440">
        <v>12</v>
      </c>
      <c r="O139" s="440">
        <v>12</v>
      </c>
      <c r="P139" s="440">
        <v>12</v>
      </c>
      <c r="Q139" s="440">
        <v>12</v>
      </c>
      <c r="R139" s="440">
        <v>12</v>
      </c>
      <c r="T139" t="str">
        <v>Jumlah Pengguna Swa Cam</v>
      </c>
      <c r="V139" s="440">
        <v>21</v>
      </c>
      <c r="W139" s="440">
        <v>22</v>
      </c>
      <c r="X139" s="440">
        <v>22.5</v>
      </c>
      <c r="Y139" s="440">
        <v>22</v>
      </c>
      <c r="Z139" s="440">
        <v>22</v>
      </c>
      <c r="AA139" s="440">
        <v>22.666666666666668</v>
      </c>
      <c r="AB139" s="440">
        <v>26.285714285714285</v>
      </c>
      <c r="AC139" s="440">
        <v>32.25</v>
      </c>
      <c r="AD139" s="440">
        <v>37.222222222222221</v>
      </c>
      <c r="AE139" s="440">
        <v>39</v>
      </c>
      <c r="AF139" s="440">
        <v>39</v>
      </c>
      <c r="AG139" s="440">
        <v>39</v>
      </c>
      <c r="AI139" t="str">
        <v>Jumlah Pengguna Swa Cam</v>
      </c>
      <c r="AK139" s="440">
        <f t="shared" si="505"/>
        <v>110</v>
      </c>
      <c r="AL139" s="440">
        <f t="shared" si="506"/>
        <v>110</v>
      </c>
      <c r="AM139" s="440">
        <f t="shared" si="507"/>
        <v>110</v>
      </c>
      <c r="AN139" s="440">
        <f t="shared" si="508"/>
        <v>110</v>
      </c>
      <c r="AO139" s="440">
        <f t="shared" si="509"/>
        <v>110</v>
      </c>
      <c r="AP139" s="440">
        <f t="shared" si="510"/>
        <v>110</v>
      </c>
      <c r="AQ139" s="440">
        <f t="shared" si="511"/>
        <v>110</v>
      </c>
      <c r="AR139" s="440">
        <f t="shared" si="512"/>
        <v>110</v>
      </c>
      <c r="AS139" s="440">
        <f t="shared" si="513"/>
        <v>110</v>
      </c>
      <c r="AT139" s="440">
        <f t="shared" si="514"/>
        <v>110</v>
      </c>
      <c r="AU139" s="440">
        <f t="shared" si="515"/>
        <v>110</v>
      </c>
      <c r="AV139" s="440">
        <f t="shared" si="516"/>
        <v>110</v>
      </c>
      <c r="AX139" t="str">
        <v>Jumlah Pengguna Swa Cam</v>
      </c>
      <c r="AY139" s="105" t="s">
        <v>452</v>
      </c>
      <c r="AZ139">
        <v>4</v>
      </c>
      <c r="BA139" s="440">
        <f t="shared" si="385"/>
        <v>4.4000000000000004</v>
      </c>
      <c r="BB139" s="440">
        <f t="shared" si="386"/>
        <v>4.4000000000000004</v>
      </c>
      <c r="BC139" s="440">
        <f t="shared" si="387"/>
        <v>4.4000000000000004</v>
      </c>
      <c r="BD139" s="440">
        <f t="shared" si="388"/>
        <v>4.4000000000000004</v>
      </c>
      <c r="BE139" s="440">
        <f t="shared" si="389"/>
        <v>4.4000000000000004</v>
      </c>
      <c r="BF139" s="440">
        <f t="shared" si="390"/>
        <v>4.4000000000000004</v>
      </c>
      <c r="BG139" s="440">
        <f t="shared" si="391"/>
        <v>4.4000000000000004</v>
      </c>
      <c r="BH139" s="440">
        <f t="shared" si="392"/>
        <v>4.4000000000000004</v>
      </c>
      <c r="BI139" s="440">
        <f t="shared" si="393"/>
        <v>4.4000000000000004</v>
      </c>
      <c r="BJ139" s="440">
        <f t="shared" si="394"/>
        <v>4.4000000000000004</v>
      </c>
      <c r="BK139" s="440">
        <f t="shared" si="395"/>
        <v>4.4000000000000004</v>
      </c>
      <c r="BL139" s="440">
        <f t="shared" si="396"/>
        <v>4.4000000000000004</v>
      </c>
    </row>
    <row r="140" spans="1:64">
      <c r="A140" t="str">
        <v>b. Tindak Lanjut LBKB (Laporan Bulanan Kelainan Baca Meter)</v>
      </c>
      <c r="B140">
        <v>2</v>
      </c>
      <c r="C140" t="str">
        <v>Tindak Lanjut LBKB (Laporan Bulanan Kelainan Baca Meter)</v>
      </c>
      <c r="D140" s="105" t="s">
        <v>456</v>
      </c>
      <c r="E140" t="str">
        <v>Tindak Lanjut LBKB (Laporan Bulanan Kelainan Baca Meter)</v>
      </c>
      <c r="G140" s="440">
        <v>0</v>
      </c>
      <c r="H140" s="440">
        <v>0</v>
      </c>
      <c r="I140" s="440">
        <v>0</v>
      </c>
      <c r="J140" s="440">
        <v>0</v>
      </c>
      <c r="K140" s="440">
        <v>0</v>
      </c>
      <c r="L140" s="440">
        <v>0</v>
      </c>
      <c r="M140" s="440">
        <v>0</v>
      </c>
      <c r="N140" s="440">
        <v>0</v>
      </c>
      <c r="O140" s="440">
        <v>0</v>
      </c>
      <c r="P140" s="440">
        <v>0</v>
      </c>
      <c r="Q140" s="440">
        <v>0</v>
      </c>
      <c r="R140" s="440">
        <v>0</v>
      </c>
      <c r="T140" t="str">
        <v>Tindak Lanjut LBKB (Laporan Bulanan Kelainan Baca Meter)</v>
      </c>
      <c r="V140" s="440">
        <v>0</v>
      </c>
      <c r="W140" s="440">
        <v>0</v>
      </c>
      <c r="X140" s="440">
        <v>0</v>
      </c>
      <c r="Y140" s="440">
        <v>0</v>
      </c>
      <c r="Z140" s="440">
        <v>0</v>
      </c>
      <c r="AA140" s="440">
        <v>0</v>
      </c>
      <c r="AB140" s="440">
        <v>0</v>
      </c>
      <c r="AC140" s="440">
        <v>0</v>
      </c>
      <c r="AD140" s="440">
        <v>0</v>
      </c>
      <c r="AE140" s="440">
        <v>0</v>
      </c>
      <c r="AF140" s="440">
        <v>0</v>
      </c>
      <c r="AG140" s="440">
        <v>0</v>
      </c>
      <c r="AI140" t="str">
        <v>Tindak Lanjut LBKB (Laporan Bulanan Kelainan Baca Meter)</v>
      </c>
      <c r="AK140" s="440">
        <f t="shared" si="505"/>
        <v>100</v>
      </c>
      <c r="AL140" s="440">
        <f t="shared" si="506"/>
        <v>100</v>
      </c>
      <c r="AM140" s="440">
        <f t="shared" si="507"/>
        <v>100</v>
      </c>
      <c r="AN140" s="440">
        <f t="shared" si="508"/>
        <v>100</v>
      </c>
      <c r="AO140" s="440">
        <f t="shared" si="509"/>
        <v>100</v>
      </c>
      <c r="AP140" s="440">
        <f t="shared" si="510"/>
        <v>100</v>
      </c>
      <c r="AQ140" s="440">
        <f t="shared" si="511"/>
        <v>100</v>
      </c>
      <c r="AR140" s="440">
        <f t="shared" si="512"/>
        <v>100</v>
      </c>
      <c r="AS140" s="440">
        <f t="shared" si="513"/>
        <v>100</v>
      </c>
      <c r="AT140" s="440">
        <f t="shared" si="514"/>
        <v>100</v>
      </c>
      <c r="AU140" s="440">
        <f t="shared" si="515"/>
        <v>100</v>
      </c>
      <c r="AV140" s="440">
        <f t="shared" si="516"/>
        <v>100</v>
      </c>
      <c r="AX140" t="str">
        <v>Tindak Lanjut LBKB (Laporan Bulanan Kelainan Baca Meter)</v>
      </c>
      <c r="AY140" s="105" t="s">
        <v>452</v>
      </c>
      <c r="AZ140">
        <v>4</v>
      </c>
      <c r="BA140" s="440">
        <f t="shared" si="385"/>
        <v>4</v>
      </c>
      <c r="BB140" s="440">
        <f t="shared" si="386"/>
        <v>4</v>
      </c>
      <c r="BC140" s="440">
        <f t="shared" si="387"/>
        <v>4</v>
      </c>
      <c r="BD140" s="440">
        <f t="shared" si="388"/>
        <v>4</v>
      </c>
      <c r="BE140" s="440">
        <f t="shared" si="389"/>
        <v>4</v>
      </c>
      <c r="BF140" s="440">
        <f t="shared" si="390"/>
        <v>4</v>
      </c>
      <c r="BG140" s="440">
        <f t="shared" si="391"/>
        <v>4</v>
      </c>
      <c r="BH140" s="440">
        <f t="shared" si="392"/>
        <v>4</v>
      </c>
      <c r="BI140" s="440">
        <f t="shared" si="393"/>
        <v>4</v>
      </c>
      <c r="BJ140" s="440">
        <f t="shared" si="394"/>
        <v>4</v>
      </c>
      <c r="BK140" s="440">
        <f t="shared" si="395"/>
        <v>4</v>
      </c>
      <c r="BL140" s="440">
        <f t="shared" si="396"/>
        <v>4</v>
      </c>
    </row>
    <row r="141" spans="1:64">
      <c r="A141" t="str">
        <v>Sisa Stand Bongkar Migrasi</v>
      </c>
      <c r="B141" t="e">
        <v>#VALUE!</v>
      </c>
      <c r="C141" t="str">
        <v>Sisa Stand Bongkar Migrasi</v>
      </c>
      <c r="D141" s="105" t="s">
        <v>456</v>
      </c>
      <c r="E141" t="str">
        <v>Sisa Stand Bongkar Migrasi</v>
      </c>
      <c r="G141" s="440">
        <v>100</v>
      </c>
      <c r="H141" s="440">
        <v>100</v>
      </c>
      <c r="I141" s="440">
        <v>100</v>
      </c>
      <c r="J141" s="440">
        <v>100</v>
      </c>
      <c r="K141" s="440">
        <v>100</v>
      </c>
      <c r="L141" s="440">
        <v>100</v>
      </c>
      <c r="M141" s="440">
        <v>100</v>
      </c>
      <c r="N141" s="440">
        <v>100</v>
      </c>
      <c r="O141" s="440">
        <v>100</v>
      </c>
      <c r="P141" s="440">
        <v>100</v>
      </c>
      <c r="Q141" s="440">
        <v>100</v>
      </c>
      <c r="R141" s="440">
        <v>100</v>
      </c>
      <c r="T141" t="str">
        <v>Sisa Stand Bongkar Migrasi</v>
      </c>
      <c r="V141" s="440">
        <v>100</v>
      </c>
      <c r="W141" s="440">
        <v>100</v>
      </c>
      <c r="X141" s="440">
        <v>100</v>
      </c>
      <c r="Y141" s="440">
        <v>100</v>
      </c>
      <c r="Z141" s="440">
        <v>100</v>
      </c>
      <c r="AA141" s="440">
        <v>100</v>
      </c>
      <c r="AB141" s="440">
        <v>100</v>
      </c>
      <c r="AC141" s="440">
        <v>100</v>
      </c>
      <c r="AD141" s="440">
        <v>100</v>
      </c>
      <c r="AE141" s="440">
        <v>100</v>
      </c>
      <c r="AF141" s="440">
        <v>100</v>
      </c>
      <c r="AG141" s="440">
        <v>100</v>
      </c>
      <c r="AI141" t="str">
        <v>Sisa Stand Bongkar Migrasi</v>
      </c>
      <c r="AK141" s="440">
        <f t="shared" si="505"/>
        <v>100</v>
      </c>
      <c r="AL141" s="440">
        <f t="shared" si="506"/>
        <v>100</v>
      </c>
      <c r="AM141" s="440">
        <f t="shared" si="507"/>
        <v>100</v>
      </c>
      <c r="AN141" s="440">
        <f t="shared" si="508"/>
        <v>100</v>
      </c>
      <c r="AO141" s="440">
        <f t="shared" si="509"/>
        <v>100</v>
      </c>
      <c r="AP141" s="440">
        <f t="shared" si="510"/>
        <v>100</v>
      </c>
      <c r="AQ141" s="440">
        <f t="shared" si="511"/>
        <v>100</v>
      </c>
      <c r="AR141" s="440">
        <f t="shared" si="512"/>
        <v>100</v>
      </c>
      <c r="AS141" s="440">
        <f t="shared" si="513"/>
        <v>100</v>
      </c>
      <c r="AT141" s="440">
        <f t="shared" si="514"/>
        <v>100</v>
      </c>
      <c r="AU141" s="440">
        <f t="shared" si="515"/>
        <v>100</v>
      </c>
      <c r="AV141" s="440">
        <f t="shared" si="516"/>
        <v>100</v>
      </c>
      <c r="AX141" t="str">
        <v>Sisa Stand Bongkar Migrasi</v>
      </c>
      <c r="AY141" s="105" t="s">
        <v>452</v>
      </c>
      <c r="AZ141">
        <v>3</v>
      </c>
      <c r="BA141" s="440">
        <f t="shared" si="385"/>
        <v>3</v>
      </c>
      <c r="BB141" s="440">
        <f t="shared" si="386"/>
        <v>3</v>
      </c>
      <c r="BC141" s="440">
        <f t="shared" si="387"/>
        <v>3</v>
      </c>
      <c r="BD141" s="440">
        <f t="shared" si="388"/>
        <v>3</v>
      </c>
      <c r="BE141" s="440">
        <f t="shared" si="389"/>
        <v>3</v>
      </c>
      <c r="BF141" s="440">
        <f t="shared" si="390"/>
        <v>3</v>
      </c>
      <c r="BG141" s="440">
        <f t="shared" si="391"/>
        <v>3</v>
      </c>
      <c r="BH141" s="440">
        <f t="shared" si="392"/>
        <v>3</v>
      </c>
      <c r="BI141" s="440">
        <f t="shared" si="393"/>
        <v>3</v>
      </c>
      <c r="BJ141" s="440">
        <f t="shared" si="394"/>
        <v>3</v>
      </c>
      <c r="BK141" s="440">
        <f t="shared" si="395"/>
        <v>3</v>
      </c>
      <c r="BL141" s="440">
        <f t="shared" si="396"/>
        <v>3</v>
      </c>
    </row>
    <row r="142" spans="1:64">
      <c r="A142" t="str">
        <v>a. Persentase Rata-Rata Saldo Tanggal 20 Non Kogol 1 dan Non Kogol 2</v>
      </c>
      <c r="B142">
        <v>2</v>
      </c>
      <c r="C142" t="str">
        <v>Persentase Rata-Rata Saldo Tanggal 20 Non Kogol 1 dan Non Kogol 2</v>
      </c>
      <c r="D142" s="105" t="s">
        <v>456</v>
      </c>
      <c r="E142" t="str">
        <v>Persentase Rata-Rata Saldo Tanggal 20 Non Kogol 1 dan Non Kogol 2</v>
      </c>
      <c r="G142" s="440">
        <v>16</v>
      </c>
      <c r="H142" s="440">
        <v>16</v>
      </c>
      <c r="I142" s="440">
        <v>16</v>
      </c>
      <c r="J142" s="440">
        <v>16</v>
      </c>
      <c r="K142" s="440">
        <v>16</v>
      </c>
      <c r="L142" s="440">
        <v>16</v>
      </c>
      <c r="M142" s="440">
        <v>16</v>
      </c>
      <c r="N142" s="440">
        <v>16</v>
      </c>
      <c r="O142" s="440">
        <v>16</v>
      </c>
      <c r="P142" s="440">
        <v>16</v>
      </c>
      <c r="Q142" s="440">
        <v>16</v>
      </c>
      <c r="R142" s="440">
        <v>16</v>
      </c>
      <c r="T142" t="str">
        <v>Persentase Rata-Rata Saldo Tanggal 20 Non Kogol 1 dan Non Kogol 2</v>
      </c>
      <c r="V142" s="440">
        <v>2.0411350000000001</v>
      </c>
      <c r="W142" s="440">
        <v>1.3961895000000002</v>
      </c>
      <c r="X142" s="440">
        <v>1.3391616666666668</v>
      </c>
      <c r="Y142" s="440">
        <v>1.0043712500000002</v>
      </c>
      <c r="Z142" s="440">
        <v>0.80349700000000013</v>
      </c>
      <c r="AA142" s="440">
        <v>0.6695808333333334</v>
      </c>
      <c r="AB142" s="440">
        <v>0.57392642857142862</v>
      </c>
      <c r="AC142" s="440">
        <v>0.50218562500000008</v>
      </c>
      <c r="AD142" s="440">
        <v>0.44638722222222227</v>
      </c>
      <c r="AE142" s="440">
        <v>0.40174850000000006</v>
      </c>
      <c r="AF142" s="440">
        <v>0.40174850000000006</v>
      </c>
      <c r="AG142" s="440">
        <v>0.40174850000000006</v>
      </c>
      <c r="AI142" t="str">
        <v>Persentase Rata-Rata Saldo Tanggal 20 Non Kogol 1 dan Non Kogol 2</v>
      </c>
      <c r="AK142" s="440">
        <f t="shared" ref="AK142:AK143" si="517">IFERROR(IF((2-(V142/G142))*100&gt;110,110,(2-(V142/G142))*100),100)</f>
        <v>110</v>
      </c>
      <c r="AL142" s="440">
        <f t="shared" ref="AL142:AL143" si="518">IFERROR(IF((2-(W142/H142))*100&gt;110,110,(2-(W142/H142))*100),100)</f>
        <v>110</v>
      </c>
      <c r="AM142" s="440">
        <f t="shared" ref="AM142:AM143" si="519">IFERROR(IF((2-(X142/I142))*100&gt;110,110,(2-(X142/I142))*100),100)</f>
        <v>110</v>
      </c>
      <c r="AN142" s="440">
        <f t="shared" ref="AN142:AN143" si="520">IFERROR(IF((2-(Y142/J142))*100&gt;110,110,(2-(Y142/J142))*100),100)</f>
        <v>110</v>
      </c>
      <c r="AO142" s="440">
        <f t="shared" ref="AO142:AO143" si="521">IFERROR(IF((2-(Z142/K142))*100&gt;110,110,(2-(Z142/K142))*100),100)</f>
        <v>110</v>
      </c>
      <c r="AP142" s="440">
        <f t="shared" ref="AP142:AP143" si="522">IFERROR(IF((2-(AA142/L142))*100&gt;110,110,(2-(AA142/L142))*100),100)</f>
        <v>110</v>
      </c>
      <c r="AQ142" s="440">
        <f t="shared" ref="AQ142:AQ143" si="523">IFERROR(IF((2-(AB142/M142))*100&gt;110,110,(2-(AB142/M142))*100),100)</f>
        <v>110</v>
      </c>
      <c r="AR142" s="440">
        <f t="shared" ref="AR142:AR143" si="524">IFERROR(IF((2-(AC142/N142))*100&gt;110,110,(2-(AC142/N142))*100),100)</f>
        <v>110</v>
      </c>
      <c r="AS142" s="440">
        <f t="shared" ref="AS142:AS143" si="525">IFERROR(IF((2-(AD142/O142))*100&gt;110,110,(2-(AD142/O142))*100),100)</f>
        <v>110</v>
      </c>
      <c r="AT142" s="440">
        <f t="shared" ref="AT142:AT143" si="526">IFERROR(IF((2-(AE142/P142))*100&gt;110,110,(2-(AE142/P142))*100),100)</f>
        <v>110</v>
      </c>
      <c r="AU142" s="440">
        <f t="shared" ref="AU142:AU143" si="527">IFERROR(IF((2-(AF142/Q142))*100&gt;110,110,(2-(AF142/Q142))*100),100)</f>
        <v>110</v>
      </c>
      <c r="AV142" s="440">
        <f t="shared" ref="AV142:AV143" si="528">IFERROR(IF((2-(AG142/R142))*100&gt;110,110,(2-(AG142/R142))*100),100)</f>
        <v>110</v>
      </c>
      <c r="AX142" t="str">
        <v>Persentase Rata-Rata Saldo Tanggal 20 Non Kogol 1 dan Non Kogol 2</v>
      </c>
      <c r="AY142" s="105" t="s">
        <v>452</v>
      </c>
      <c r="AZ142">
        <v>3</v>
      </c>
      <c r="BA142" s="440">
        <f t="shared" si="385"/>
        <v>3.3</v>
      </c>
      <c r="BB142" s="440">
        <f t="shared" si="386"/>
        <v>3.3</v>
      </c>
      <c r="BC142" s="440">
        <f t="shared" si="387"/>
        <v>3.3</v>
      </c>
      <c r="BD142" s="440">
        <f t="shared" si="388"/>
        <v>3.3</v>
      </c>
      <c r="BE142" s="440">
        <f t="shared" si="389"/>
        <v>3.3</v>
      </c>
      <c r="BF142" s="440">
        <f t="shared" si="390"/>
        <v>3.3</v>
      </c>
      <c r="BG142" s="440">
        <f t="shared" si="391"/>
        <v>3.3</v>
      </c>
      <c r="BH142" s="440">
        <f t="shared" si="392"/>
        <v>3.3</v>
      </c>
      <c r="BI142" s="440">
        <f t="shared" si="393"/>
        <v>3.3</v>
      </c>
      <c r="BJ142" s="440">
        <f t="shared" si="394"/>
        <v>3.3</v>
      </c>
      <c r="BK142" s="440">
        <f t="shared" si="395"/>
        <v>3.3</v>
      </c>
      <c r="BL142" s="440">
        <f t="shared" si="396"/>
        <v>3.3</v>
      </c>
    </row>
    <row r="143" spans="1:64">
      <c r="A143" t="str">
        <v>b. Pencapaian Saldo Rata-Rata Akhir Bulan Non Kogol 1 dan Non Kogol 2</v>
      </c>
      <c r="B143">
        <v>2</v>
      </c>
      <c r="C143" t="str">
        <v>Pencapaian Saldo Rata-Rata Akhir Bulan Non Kogol 1 dan Non Kogol 2</v>
      </c>
      <c r="D143" s="105" t="s">
        <v>456</v>
      </c>
      <c r="E143" t="str">
        <v>Pencapaian Saldo Rata-Rata Akhir Bulan Non Kogol 1 dan Non Kogol 2</v>
      </c>
      <c r="G143" s="440">
        <v>2.72</v>
      </c>
      <c r="H143" s="440">
        <v>2.72</v>
      </c>
      <c r="I143" s="440">
        <v>2.72</v>
      </c>
      <c r="J143" s="440">
        <v>2.72</v>
      </c>
      <c r="K143" s="440">
        <v>2.72</v>
      </c>
      <c r="L143" s="440">
        <v>2.72</v>
      </c>
      <c r="M143" s="440">
        <v>2.72</v>
      </c>
      <c r="N143" s="440">
        <v>2.72</v>
      </c>
      <c r="O143" s="440">
        <v>2.72</v>
      </c>
      <c r="P143" s="440">
        <v>2.72</v>
      </c>
      <c r="Q143" s="440">
        <v>2.72</v>
      </c>
      <c r="R143" s="440">
        <v>2.72</v>
      </c>
      <c r="T143" t="str">
        <v>Pencapaian Saldo Rata-Rata Akhir Bulan Non Kogol 1 dan Non Kogol 2</v>
      </c>
      <c r="V143" s="440">
        <v>2.0411350000000001</v>
      </c>
      <c r="W143" s="440">
        <v>1.0205675000000001</v>
      </c>
      <c r="X143" s="440">
        <v>0.68037833333333342</v>
      </c>
      <c r="Y143" s="440">
        <v>0.51028375000000004</v>
      </c>
      <c r="Z143" s="440">
        <v>0.40822700000000001</v>
      </c>
      <c r="AA143" s="440">
        <v>0.34018916666666671</v>
      </c>
      <c r="AB143" s="440">
        <v>0.29159071428571431</v>
      </c>
      <c r="AC143" s="440">
        <v>0.25514187500000002</v>
      </c>
      <c r="AD143" s="440">
        <v>0.22679277777777779</v>
      </c>
      <c r="AE143" s="440">
        <v>0.2041135</v>
      </c>
      <c r="AF143" s="440">
        <v>0.2041135</v>
      </c>
      <c r="AG143" s="440">
        <v>0.2041135</v>
      </c>
      <c r="AI143" t="str">
        <v>Pencapaian Saldo Rata-Rata Akhir Bulan Non Kogol 1 dan Non Kogol 2</v>
      </c>
      <c r="AK143" s="440">
        <f t="shared" si="517"/>
        <v>110</v>
      </c>
      <c r="AL143" s="440">
        <f t="shared" si="518"/>
        <v>110</v>
      </c>
      <c r="AM143" s="440">
        <f t="shared" si="519"/>
        <v>110</v>
      </c>
      <c r="AN143" s="440">
        <f t="shared" si="520"/>
        <v>110</v>
      </c>
      <c r="AO143" s="440">
        <f t="shared" si="521"/>
        <v>110</v>
      </c>
      <c r="AP143" s="440">
        <f t="shared" si="522"/>
        <v>110</v>
      </c>
      <c r="AQ143" s="440">
        <f t="shared" si="523"/>
        <v>110</v>
      </c>
      <c r="AR143" s="440">
        <f t="shared" si="524"/>
        <v>110</v>
      </c>
      <c r="AS143" s="440">
        <f t="shared" si="525"/>
        <v>110</v>
      </c>
      <c r="AT143" s="440">
        <f t="shared" si="526"/>
        <v>110</v>
      </c>
      <c r="AU143" s="440">
        <f t="shared" si="527"/>
        <v>110</v>
      </c>
      <c r="AV143" s="440">
        <f t="shared" si="528"/>
        <v>110</v>
      </c>
      <c r="AX143" t="str">
        <v>Pencapaian Saldo Rata-Rata Akhir Bulan Non Kogol 1 dan Non Kogol 2</v>
      </c>
      <c r="AY143" s="105" t="s">
        <v>452</v>
      </c>
      <c r="AZ143">
        <v>3</v>
      </c>
      <c r="BA143" s="440">
        <f t="shared" si="385"/>
        <v>3.3</v>
      </c>
      <c r="BB143" s="440">
        <f t="shared" si="386"/>
        <v>3.3</v>
      </c>
      <c r="BC143" s="440">
        <f t="shared" si="387"/>
        <v>3.3</v>
      </c>
      <c r="BD143" s="440">
        <f t="shared" si="388"/>
        <v>3.3</v>
      </c>
      <c r="BE143" s="440">
        <f t="shared" si="389"/>
        <v>3.3</v>
      </c>
      <c r="BF143" s="440">
        <f t="shared" si="390"/>
        <v>3.3</v>
      </c>
      <c r="BG143" s="440">
        <f t="shared" si="391"/>
        <v>3.3</v>
      </c>
      <c r="BH143" s="440">
        <f t="shared" si="392"/>
        <v>3.3</v>
      </c>
      <c r="BI143" s="440">
        <f t="shared" si="393"/>
        <v>3.3</v>
      </c>
      <c r="BJ143" s="440">
        <f t="shared" si="394"/>
        <v>3.3</v>
      </c>
      <c r="BK143" s="440">
        <f t="shared" si="395"/>
        <v>3.3</v>
      </c>
      <c r="BL143" s="440">
        <f t="shared" si="396"/>
        <v>3.3</v>
      </c>
    </row>
    <row r="144" spans="1:64">
      <c r="A144" t="str">
        <v>c. Pencapaian Pelunasan PRR</v>
      </c>
      <c r="B144">
        <v>2</v>
      </c>
      <c r="C144" t="str">
        <v>Pencapaian Pelunasan PRR</v>
      </c>
      <c r="D144" s="105" t="s">
        <v>456</v>
      </c>
      <c r="E144" t="str">
        <v>Pencapaian Pelunasan PRR</v>
      </c>
      <c r="G144" s="440">
        <v>0</v>
      </c>
      <c r="H144" s="440">
        <v>0</v>
      </c>
      <c r="I144" s="440">
        <v>0</v>
      </c>
      <c r="J144" s="440">
        <v>0</v>
      </c>
      <c r="K144" s="440">
        <v>0</v>
      </c>
      <c r="L144" s="440">
        <v>0</v>
      </c>
      <c r="M144" s="440">
        <v>0</v>
      </c>
      <c r="N144" s="440">
        <v>0</v>
      </c>
      <c r="O144" s="440">
        <v>0</v>
      </c>
      <c r="P144" s="440">
        <v>0</v>
      </c>
      <c r="Q144" s="440">
        <v>0</v>
      </c>
      <c r="R144" s="440">
        <v>0</v>
      </c>
      <c r="T144" t="str">
        <v>Pencapaian Pelunasan PRR</v>
      </c>
      <c r="V144" s="440">
        <v>0</v>
      </c>
      <c r="W144" s="440">
        <v>0</v>
      </c>
      <c r="X144" s="440">
        <v>0</v>
      </c>
      <c r="Y144" s="440">
        <v>0</v>
      </c>
      <c r="Z144" s="440">
        <v>0</v>
      </c>
      <c r="AA144" s="440">
        <v>0</v>
      </c>
      <c r="AB144" s="440">
        <v>0</v>
      </c>
      <c r="AC144" s="440">
        <v>0</v>
      </c>
      <c r="AD144" s="440">
        <v>0</v>
      </c>
      <c r="AE144" s="440">
        <v>0</v>
      </c>
      <c r="AF144" s="440">
        <v>0</v>
      </c>
      <c r="AG144" s="440">
        <v>0</v>
      </c>
      <c r="AI144" t="str">
        <v>Pencapaian Pelunasan PRR</v>
      </c>
      <c r="AK144" s="440">
        <f t="shared" ref="AK144" si="529">IFERROR(IF(V144/G144*100&gt;110,110,V144/G144*100),100)</f>
        <v>100</v>
      </c>
      <c r="AL144" s="440">
        <f t="shared" ref="AL144" si="530">IFERROR(IF(W144/H144*100&gt;110,110,W144/H144*100),100)</f>
        <v>100</v>
      </c>
      <c r="AM144" s="440">
        <f t="shared" ref="AM144" si="531">IFERROR(IF(X144/I144*100&gt;110,110,X144/I144*100),100)</f>
        <v>100</v>
      </c>
      <c r="AN144" s="440">
        <f t="shared" ref="AN144" si="532">IFERROR(IF(Y144/J144*100&gt;110,110,Y144/J144*100),100)</f>
        <v>100</v>
      </c>
      <c r="AO144" s="440">
        <f t="shared" ref="AO144" si="533">IFERROR(IF(Z144/K144*100&gt;110,110,Z144/K144*100),100)</f>
        <v>100</v>
      </c>
      <c r="AP144" s="440">
        <f t="shared" ref="AP144" si="534">IFERROR(IF(AA144/L144*100&gt;110,110,AA144/L144*100),100)</f>
        <v>100</v>
      </c>
      <c r="AQ144" s="440">
        <f t="shared" ref="AQ144" si="535">IFERROR(IF(AB144/M144*100&gt;110,110,AB144/M144*100),100)</f>
        <v>100</v>
      </c>
      <c r="AR144" s="440">
        <f t="shared" ref="AR144" si="536">IFERROR(IF(AC144/N144*100&gt;110,110,AC144/N144*100),100)</f>
        <v>100</v>
      </c>
      <c r="AS144" s="440">
        <f t="shared" ref="AS144" si="537">IFERROR(IF(AD144/O144*100&gt;110,110,AD144/O144*100),100)</f>
        <v>100</v>
      </c>
      <c r="AT144" s="440">
        <f t="shared" ref="AT144" si="538">IFERROR(IF(AE144/P144*100&gt;110,110,AE144/P144*100),100)</f>
        <v>100</v>
      </c>
      <c r="AU144" s="440">
        <f t="shared" ref="AU144" si="539">IFERROR(IF(AF144/Q144*100&gt;110,110,AF144/Q144*100),100)</f>
        <v>100</v>
      </c>
      <c r="AV144" s="440">
        <f t="shared" ref="AV144" si="540">IFERROR(IF(AG144/R144*100&gt;110,110,AG144/R144*100),100)</f>
        <v>100</v>
      </c>
      <c r="AX144" t="str">
        <v>Pencapaian Pelunasan PRR</v>
      </c>
      <c r="AY144" s="105" t="s">
        <v>452</v>
      </c>
      <c r="AZ144">
        <v>3</v>
      </c>
      <c r="BA144" s="440">
        <f t="shared" si="385"/>
        <v>3</v>
      </c>
      <c r="BB144" s="440">
        <f t="shared" si="386"/>
        <v>3</v>
      </c>
      <c r="BC144" s="440">
        <f t="shared" si="387"/>
        <v>3</v>
      </c>
      <c r="BD144" s="440">
        <f t="shared" si="388"/>
        <v>3</v>
      </c>
      <c r="BE144" s="440">
        <f t="shared" si="389"/>
        <v>3</v>
      </c>
      <c r="BF144" s="440">
        <f t="shared" si="390"/>
        <v>3</v>
      </c>
      <c r="BG144" s="440">
        <f t="shared" si="391"/>
        <v>3</v>
      </c>
      <c r="BH144" s="440">
        <f t="shared" si="392"/>
        <v>3</v>
      </c>
      <c r="BI144" s="440">
        <f t="shared" si="393"/>
        <v>3</v>
      </c>
      <c r="BJ144" s="440">
        <f t="shared" si="394"/>
        <v>3</v>
      </c>
      <c r="BK144" s="440">
        <f t="shared" si="395"/>
        <v>3</v>
      </c>
      <c r="BL144" s="440">
        <f t="shared" si="396"/>
        <v>3</v>
      </c>
    </row>
    <row r="145" spans="1:64">
      <c r="G145" s="440"/>
      <c r="H145" s="440"/>
      <c r="I145" s="440"/>
      <c r="J145" s="440"/>
      <c r="K145" s="440"/>
      <c r="L145" s="440"/>
      <c r="M145" s="440"/>
      <c r="N145" s="440"/>
      <c r="O145" s="440"/>
      <c r="P145" s="440"/>
      <c r="Q145" s="440"/>
      <c r="R145" s="440"/>
      <c r="V145" s="440"/>
      <c r="W145" s="440"/>
      <c r="X145" s="440"/>
      <c r="Y145" s="440"/>
      <c r="Z145" s="440"/>
      <c r="AA145" s="440"/>
      <c r="AB145" s="440"/>
      <c r="AC145" s="440"/>
      <c r="AD145" s="440"/>
      <c r="AE145" s="440"/>
      <c r="AF145" s="440"/>
      <c r="AG145" s="440"/>
    </row>
    <row r="155" spans="1:64">
      <c r="A155" s="826" t="s">
        <v>3</v>
      </c>
      <c r="B155" s="826"/>
      <c r="C155" s="826"/>
      <c r="D155" s="826"/>
    </row>
    <row r="156" spans="1:64">
      <c r="A156" s="826"/>
      <c r="B156" s="826"/>
      <c r="C156" s="826"/>
      <c r="D156" s="826"/>
      <c r="AZ156" t="s">
        <v>100</v>
      </c>
      <c r="BA156" s="440">
        <v>100</v>
      </c>
      <c r="BB156" s="440">
        <v>100</v>
      </c>
      <c r="BC156" s="440">
        <v>100</v>
      </c>
      <c r="BD156" s="440">
        <v>100</v>
      </c>
      <c r="BE156" s="440">
        <v>100</v>
      </c>
      <c r="BF156" s="440">
        <v>100</v>
      </c>
      <c r="BG156" s="440">
        <v>100</v>
      </c>
      <c r="BH156" s="440">
        <v>100</v>
      </c>
      <c r="BI156" s="440">
        <v>100</v>
      </c>
      <c r="BJ156" s="440">
        <v>100</v>
      </c>
      <c r="BK156" s="440">
        <v>100</v>
      </c>
      <c r="BL156" s="440">
        <v>100</v>
      </c>
    </row>
    <row r="157" spans="1:64">
      <c r="A157" s="826"/>
      <c r="B157" s="826"/>
      <c r="C157" s="826"/>
      <c r="D157" s="826"/>
      <c r="AZ157" t="s">
        <v>254</v>
      </c>
      <c r="BA157" s="447">
        <f>SUM(BA160:BA189)</f>
        <v>90.710000000000008</v>
      </c>
      <c r="BB157" s="447">
        <f t="shared" ref="BB157:BI157" si="541">SUM(BB160:BB189)</f>
        <v>95.420000000000016</v>
      </c>
      <c r="BC157" s="447">
        <f t="shared" si="541"/>
        <v>96.86999999999999</v>
      </c>
      <c r="BD157" s="447">
        <f t="shared" si="541"/>
        <v>97.39</v>
      </c>
      <c r="BE157" s="447">
        <f t="shared" si="541"/>
        <v>97.82</v>
      </c>
      <c r="BF157" s="447">
        <f t="shared" si="541"/>
        <v>98.820000000000007</v>
      </c>
      <c r="BG157" s="447">
        <f t="shared" si="541"/>
        <v>98.9</v>
      </c>
      <c r="BH157" s="447">
        <f t="shared" si="541"/>
        <v>98.970000000000013</v>
      </c>
      <c r="BI157" s="447">
        <f t="shared" si="541"/>
        <v>100.03</v>
      </c>
      <c r="BJ157" s="447"/>
      <c r="BK157" s="447"/>
      <c r="BL157" s="447"/>
    </row>
    <row r="158" spans="1:64">
      <c r="E158" s="21" t="s">
        <v>100</v>
      </c>
      <c r="G158">
        <v>1</v>
      </c>
      <c r="H158">
        <v>2</v>
      </c>
      <c r="I158">
        <v>3</v>
      </c>
      <c r="J158">
        <v>4</v>
      </c>
      <c r="K158">
        <v>5</v>
      </c>
      <c r="L158">
        <v>6</v>
      </c>
      <c r="M158">
        <v>7</v>
      </c>
      <c r="N158">
        <v>8</v>
      </c>
      <c r="O158">
        <v>9</v>
      </c>
      <c r="P158">
        <v>10</v>
      </c>
      <c r="Q158">
        <v>11</v>
      </c>
      <c r="R158">
        <v>12</v>
      </c>
      <c r="T158" s="21" t="s">
        <v>254</v>
      </c>
      <c r="V158">
        <v>1</v>
      </c>
      <c r="W158">
        <v>2</v>
      </c>
      <c r="X158">
        <v>3</v>
      </c>
      <c r="Y158">
        <v>4</v>
      </c>
      <c r="Z158">
        <v>5</v>
      </c>
      <c r="AA158">
        <v>6</v>
      </c>
      <c r="AB158">
        <v>7</v>
      </c>
      <c r="AC158">
        <v>8</v>
      </c>
      <c r="AD158">
        <v>9</v>
      </c>
      <c r="AE158">
        <v>10</v>
      </c>
      <c r="AF158">
        <v>11</v>
      </c>
      <c r="AG158">
        <v>12</v>
      </c>
      <c r="AI158" s="21" t="s">
        <v>102</v>
      </c>
      <c r="AK158">
        <v>1</v>
      </c>
      <c r="AL158">
        <v>2</v>
      </c>
      <c r="AM158">
        <v>3</v>
      </c>
      <c r="AN158">
        <v>4</v>
      </c>
      <c r="AO158">
        <v>5</v>
      </c>
      <c r="AP158">
        <v>6</v>
      </c>
      <c r="AQ158">
        <v>7</v>
      </c>
      <c r="AR158">
        <v>8</v>
      </c>
      <c r="AS158">
        <v>9</v>
      </c>
      <c r="AT158">
        <v>10</v>
      </c>
      <c r="AU158">
        <v>11</v>
      </c>
      <c r="AV158">
        <v>12</v>
      </c>
      <c r="AX158" s="21" t="s">
        <v>99</v>
      </c>
      <c r="BA158">
        <v>1</v>
      </c>
      <c r="BB158">
        <v>2</v>
      </c>
      <c r="BC158">
        <v>3</v>
      </c>
      <c r="BD158">
        <v>4</v>
      </c>
      <c r="BE158">
        <v>5</v>
      </c>
      <c r="BF158">
        <v>6</v>
      </c>
      <c r="BG158">
        <v>7</v>
      </c>
      <c r="BH158">
        <v>8</v>
      </c>
      <c r="BI158">
        <v>9</v>
      </c>
      <c r="BJ158">
        <v>10</v>
      </c>
      <c r="BK158">
        <v>11</v>
      </c>
      <c r="BL158">
        <v>12</v>
      </c>
    </row>
    <row r="159" spans="1:64">
      <c r="A159" t="s">
        <v>448</v>
      </c>
      <c r="B159" t="s">
        <v>449</v>
      </c>
      <c r="C159" t="s">
        <v>450</v>
      </c>
      <c r="E159" s="21" t="s">
        <v>451</v>
      </c>
      <c r="G159" s="438">
        <f>DATE(2025,G158+1,0)</f>
        <v>45688</v>
      </c>
      <c r="H159" s="438">
        <f t="shared" ref="H159:R159" si="542">DATE(2025,H158+1,0)</f>
        <v>45716</v>
      </c>
      <c r="I159" s="438">
        <f t="shared" si="542"/>
        <v>45747</v>
      </c>
      <c r="J159" s="438">
        <f t="shared" si="542"/>
        <v>45777</v>
      </c>
      <c r="K159" s="438">
        <f t="shared" si="542"/>
        <v>45808</v>
      </c>
      <c r="L159" s="438">
        <f t="shared" si="542"/>
        <v>45838</v>
      </c>
      <c r="M159" s="438">
        <f t="shared" si="542"/>
        <v>45869</v>
      </c>
      <c r="N159" s="438">
        <f t="shared" si="542"/>
        <v>45900</v>
      </c>
      <c r="O159" s="438">
        <f t="shared" si="542"/>
        <v>45930</v>
      </c>
      <c r="P159" s="438">
        <f t="shared" si="542"/>
        <v>45961</v>
      </c>
      <c r="Q159" s="438">
        <f t="shared" si="542"/>
        <v>45991</v>
      </c>
      <c r="R159" s="438">
        <f t="shared" si="542"/>
        <v>46022</v>
      </c>
      <c r="T159" s="21" t="s">
        <v>451</v>
      </c>
      <c r="V159" s="438">
        <f>DATE(2025,V158+1,0)</f>
        <v>45688</v>
      </c>
      <c r="W159" s="438">
        <f t="shared" ref="W159:AG159" si="543">DATE(2025,W158+1,0)</f>
        <v>45716</v>
      </c>
      <c r="X159" s="438">
        <f t="shared" si="543"/>
        <v>45747</v>
      </c>
      <c r="Y159" s="438">
        <f t="shared" si="543"/>
        <v>45777</v>
      </c>
      <c r="Z159" s="438">
        <f t="shared" si="543"/>
        <v>45808</v>
      </c>
      <c r="AA159" s="438">
        <f t="shared" si="543"/>
        <v>45838</v>
      </c>
      <c r="AB159" s="438">
        <f t="shared" si="543"/>
        <v>45869</v>
      </c>
      <c r="AC159" s="438">
        <f t="shared" si="543"/>
        <v>45900</v>
      </c>
      <c r="AD159" s="438">
        <f t="shared" si="543"/>
        <v>45930</v>
      </c>
      <c r="AE159" s="438">
        <f t="shared" si="543"/>
        <v>45961</v>
      </c>
      <c r="AF159" s="438">
        <f t="shared" si="543"/>
        <v>45991</v>
      </c>
      <c r="AG159" s="438">
        <f t="shared" si="543"/>
        <v>46022</v>
      </c>
      <c r="AI159" s="21" t="s">
        <v>451</v>
      </c>
      <c r="AK159" s="438">
        <f>DATE(2025,AK158+1,0)</f>
        <v>45688</v>
      </c>
      <c r="AL159" s="438">
        <f t="shared" ref="AL159:AV159" si="544">DATE(2025,AL158+1,0)</f>
        <v>45716</v>
      </c>
      <c r="AM159" s="438">
        <f t="shared" si="544"/>
        <v>45747</v>
      </c>
      <c r="AN159" s="438">
        <f t="shared" si="544"/>
        <v>45777</v>
      </c>
      <c r="AO159" s="438">
        <f t="shared" si="544"/>
        <v>45808</v>
      </c>
      <c r="AP159" s="438">
        <f t="shared" si="544"/>
        <v>45838</v>
      </c>
      <c r="AQ159" s="438">
        <f t="shared" si="544"/>
        <v>45869</v>
      </c>
      <c r="AR159" s="438">
        <f t="shared" si="544"/>
        <v>45900</v>
      </c>
      <c r="AS159" s="438">
        <f t="shared" si="544"/>
        <v>45930</v>
      </c>
      <c r="AT159" s="438">
        <f t="shared" si="544"/>
        <v>45961</v>
      </c>
      <c r="AU159" s="438">
        <f t="shared" si="544"/>
        <v>45991</v>
      </c>
      <c r="AV159" s="438">
        <f t="shared" si="544"/>
        <v>46022</v>
      </c>
      <c r="AX159" s="21" t="s">
        <v>451</v>
      </c>
      <c r="BA159" s="438">
        <f>DATE(2025,BA158+1,0)</f>
        <v>45688</v>
      </c>
      <c r="BB159" s="438">
        <f t="shared" ref="BB159:BL159" si="545">DATE(2025,BB158+1,0)</f>
        <v>45716</v>
      </c>
      <c r="BC159" s="438">
        <f t="shared" si="545"/>
        <v>45747</v>
      </c>
      <c r="BD159" s="438">
        <f t="shared" si="545"/>
        <v>45777</v>
      </c>
      <c r="BE159" s="438">
        <f t="shared" si="545"/>
        <v>45808</v>
      </c>
      <c r="BF159" s="438">
        <f t="shared" si="545"/>
        <v>45838</v>
      </c>
      <c r="BG159" s="438">
        <f t="shared" si="545"/>
        <v>45869</v>
      </c>
      <c r="BH159" s="438">
        <f t="shared" si="545"/>
        <v>45900</v>
      </c>
      <c r="BI159" s="438">
        <f t="shared" si="545"/>
        <v>45930</v>
      </c>
      <c r="BJ159" s="438">
        <f t="shared" si="545"/>
        <v>45961</v>
      </c>
      <c r="BK159" s="438">
        <f t="shared" si="545"/>
        <v>45991</v>
      </c>
      <c r="BL159" s="438">
        <f t="shared" si="545"/>
        <v>46022</v>
      </c>
    </row>
    <row r="160" spans="1:64">
      <c r="A160" t="str" cm="1">
        <f t="array" ref="A160:A189">_xlfn._xlws.FILTER(ULP!$O$9:$O$58,ULP!$P$9:$P$58&gt;0)</f>
        <v>Penjualan Tenaga Listrik</v>
      </c>
      <c r="B160" t="e" cm="1">
        <f t="array" ref="B160:B189">SEARCH(".",_xlfn.ANCHORARRAY(A160))</f>
        <v>#VALUE!</v>
      </c>
      <c r="C160" t="str" cm="1">
        <f t="array" ref="C160:C189">IF(ISERROR(_xlfn.ANCHORARRAY(B160))=TRUE,_xlfn.ANCHORARRAY(A160),RIGHT(_xlfn.ANCHORARRAY(A160),LEN(_xlfn.ANCHORARRAY(A160))-_xlfn.ANCHORARRAY(B160)-1))</f>
        <v>Penjualan Tenaga Listrik</v>
      </c>
      <c r="D160" s="105" t="s">
        <v>456</v>
      </c>
      <c r="E160" t="str" cm="1">
        <f t="array" ref="E160:E189">_xlfn.ANCHORARRAY($C$160)</f>
        <v>Penjualan Tenaga Listrik</v>
      </c>
      <c r="G160" cm="1">
        <f t="array" ref="G160:G189">INDEX(T.LEOK!I$7:I$55,MATCH(_xlfn.ANCHORARRAY($A$160),T.LEOK!$B$7:$B$55,0))</f>
        <v>4.2699999999999996</v>
      </c>
      <c r="H160" cm="1">
        <f t="array" ref="H160:H189">INDEX(T.LEOK!J$7:J$55,MATCH(_xlfn.ANCHORARRAY($A$160),T.LEOK!$B$7:$B$55,0))</f>
        <v>8.33</v>
      </c>
      <c r="I160" cm="1">
        <f t="array" ref="I160:I189">INDEX(T.LEOK!K$7:K$55,MATCH(_xlfn.ANCHORARRAY($A$160),T.LEOK!$B$7:$B$55,0))</f>
        <v>12.85</v>
      </c>
      <c r="J160" cm="1">
        <f t="array" ref="J160:J189">INDEX(T.LEOK!L$7:L$55,MATCH(_xlfn.ANCHORARRAY($A$160),T.LEOK!$B$7:$B$55,0))</f>
        <v>17.22</v>
      </c>
      <c r="K160" cm="1">
        <f t="array" ref="K160:K189">INDEX(T.LEOK!M$7:M$55,MATCH(_xlfn.ANCHORARRAY($A$160),T.LEOK!$B$7:$B$55,0))</f>
        <v>21.7</v>
      </c>
      <c r="L160" cm="1">
        <f t="array" ref="L160:L189">INDEX(T.LEOK!N$7:N$55,MATCH(_xlfn.ANCHORARRAY($A$160),T.LEOK!$B$7:$B$55,0))</f>
        <v>25.92</v>
      </c>
      <c r="M160" cm="1">
        <f t="array" ref="M160:M189">INDEX(T.LEOK!O$7:O$55,MATCH(_xlfn.ANCHORARRAY($A$160),T.LEOK!$B$7:$B$55,0))</f>
        <v>30.2</v>
      </c>
      <c r="N160" cm="1">
        <f t="array" ref="N160:N189">INDEX(T.LEOK!P$7:P$55,MATCH(_xlfn.ANCHORARRAY($A$160),T.LEOK!$B$7:$B$55,0))</f>
        <v>34.58</v>
      </c>
      <c r="O160" cm="1">
        <f t="array" ref="O160:O189">INDEX(T.LEOK!Q$7:Q$55,MATCH(_xlfn.ANCHORARRAY($A$160),T.LEOK!$B$7:$B$55,0))</f>
        <v>39.01</v>
      </c>
      <c r="P160" cm="1">
        <f t="array" ref="P160:P189">INDEX(T.LEOK!R$7:R$55,MATCH(_xlfn.ANCHORARRAY($A$160),T.LEOK!$B$7:$B$55,0))</f>
        <v>43.63</v>
      </c>
      <c r="Q160" cm="1">
        <f t="array" ref="Q160:Q189">INDEX(T.LEOK!S$7:S$55,MATCH(_xlfn.ANCHORARRAY($A$160),T.LEOK!$B$7:$B$55,0))</f>
        <v>48.16</v>
      </c>
      <c r="R160" cm="1">
        <f t="array" ref="R160:R189">INDEX(T.LEOK!T$7:T$55,MATCH(_xlfn.ANCHORARRAY($A$160),T.LEOK!$B$7:$B$55,0))</f>
        <v>52.76</v>
      </c>
      <c r="T160" t="str" cm="1">
        <f t="array" ref="T160:T189">_xlfn.ANCHORARRAY($C$160)</f>
        <v>Penjualan Tenaga Listrik</v>
      </c>
      <c r="V160" cm="1">
        <f t="array" ref="V160:V189">INDEX('R.LEOK'!I$7:I$55,MATCH(_xlfn.ANCHORARRAY($A$160),'R.LEOK'!$B$7:$B$55,0))</f>
        <v>5.0476841700000001</v>
      </c>
      <c r="W160" cm="1">
        <f t="array" ref="W160:W189">INDEX('R.LEOK'!J$7:J$55,MATCH(_xlfn.ANCHORARRAY($A$160),'R.LEOK'!$B$7:$B$55,0))</f>
        <v>9.2606318190000003</v>
      </c>
      <c r="X160" cm="1">
        <f t="array" ref="X160:X189">INDEX('R.LEOK'!K$7:K$55,MATCH(_xlfn.ANCHORARRAY($A$160),'R.LEOK'!$B$7:$B$55,0))</f>
        <v>13.557085798000001</v>
      </c>
      <c r="Y160" cm="1">
        <f t="array" ref="Y160:Y189">INDEX('R.LEOK'!L$7:L$55,MATCH(_xlfn.ANCHORARRAY($A$160),'R.LEOK'!$B$7:$B$55,0))</f>
        <v>17.302419342</v>
      </c>
      <c r="Z160" cm="1">
        <f t="array" ref="Z160:Z189">INDEX('R.LEOK'!M$7:M$55,MATCH(_xlfn.ANCHORARRAY($A$160),'R.LEOK'!$B$7:$B$55,0))</f>
        <v>21.423936208000001</v>
      </c>
      <c r="AA160" cm="1">
        <f t="array" ref="AA160:AA189">INDEX('R.LEOK'!N$7:N$55,MATCH(_xlfn.ANCHORARRAY($A$160),'R.LEOK'!$B$7:$B$55,0))</f>
        <v>25.687128249000001</v>
      </c>
      <c r="AB160" cm="1">
        <f t="array" ref="AB160:AB189">INDEX('R.LEOK'!O$7:O$55,MATCH(_xlfn.ANCHORARRAY($A$160),'R.LEOK'!$B$7:$B$55,0))</f>
        <v>30.000446562</v>
      </c>
      <c r="AC160" cm="1">
        <f t="array" ref="AC160:AC189">INDEX('R.LEOK'!P$7:P$55,MATCH(_xlfn.ANCHORARRAY($A$160),'R.LEOK'!$B$7:$B$55,0))</f>
        <v>34.460204871000002</v>
      </c>
      <c r="AD160" cm="1">
        <f t="array" ref="AD160:AD189">INDEX('R.LEOK'!Q$7:Q$55,MATCH(_xlfn.ANCHORARRAY($A$160),'R.LEOK'!$B$7:$B$55,0))</f>
        <v>38.821155293000004</v>
      </c>
      <c r="AE160" cm="1">
        <f t="array" ref="AE160:AE189">INDEX('R.LEOK'!R$7:R$55,MATCH(_xlfn.ANCHORARRAY($A$160),'R.LEOK'!$B$7:$B$55,0))</f>
        <v>43.327762199000006</v>
      </c>
      <c r="AF160" cm="1">
        <f t="array" ref="AF160:AF189">INDEX('R.LEOK'!S$7:S$55,MATCH(_xlfn.ANCHORARRAY($A$160),'R.LEOK'!$B$7:$B$55,0))</f>
        <v>0</v>
      </c>
      <c r="AG160" cm="1">
        <f t="array" ref="AG160:AG189">INDEX('R.LEOK'!T$7:T$55,MATCH(_xlfn.ANCHORARRAY($A$160),'R.LEOK'!$B$7:$B$55,0))</f>
        <v>0</v>
      </c>
      <c r="AI160" t="str" cm="1">
        <f t="array" ref="AI160:AI189">_xlfn.ANCHORARRAY($C$160)</f>
        <v>Penjualan Tenaga Listrik</v>
      </c>
      <c r="AK160" s="440">
        <f>IF(V160/G160*100&gt;110,110,V160/G160*100)</f>
        <v>110</v>
      </c>
      <c r="AL160" s="440">
        <f t="shared" ref="AL160" si="546">IF(W160/H160*100&gt;110,110,W160/H160*100)</f>
        <v>110</v>
      </c>
      <c r="AM160" s="440">
        <f t="shared" ref="AM160" si="547">IF(X160/I160*100&gt;110,110,X160/I160*100)</f>
        <v>105.50261321400779</v>
      </c>
      <c r="AN160" s="440">
        <f t="shared" ref="AN160" si="548">IF(Y160/J160*100&gt;110,110,Y160/J160*100)</f>
        <v>100.47862567944253</v>
      </c>
      <c r="AO160" s="440">
        <f t="shared" ref="AO160" si="549">IF(Z160/K160*100&gt;110,110,Z160/K160*100)</f>
        <v>98.727816626728114</v>
      </c>
      <c r="AP160" s="440">
        <f t="shared" ref="AP160" si="550">IF(AA160/L160*100&gt;110,110,AA160/L160*100)</f>
        <v>99.101575034722217</v>
      </c>
      <c r="AQ160" s="440">
        <f t="shared" ref="AQ160" si="551">IF(AB160/M160*100&gt;110,110,AB160/M160*100)</f>
        <v>99.339227026490079</v>
      </c>
      <c r="AR160" s="440">
        <f t="shared" ref="AR160" si="552">IF(AC160/N160*100&gt;110,110,AC160/N160*100)</f>
        <v>99.653571055523443</v>
      </c>
      <c r="AS160" s="440">
        <f t="shared" ref="AS160" si="553">IF(AD160/O160*100&gt;110,110,AD160/O160*100)</f>
        <v>99.515906928992578</v>
      </c>
      <c r="AT160" s="440">
        <f t="shared" ref="AT160" si="554">IF(AE160/P160*100&gt;110,110,AE160/P160*100)</f>
        <v>99.307270683016284</v>
      </c>
      <c r="AU160" s="440">
        <f t="shared" ref="AU160" si="555">IF(AF160/Q160*100&gt;110,110,AF160/Q160*100)</f>
        <v>0</v>
      </c>
      <c r="AV160" s="440">
        <f t="shared" ref="AV160" si="556">IF(AG160/R160*100&gt;110,110,AG160/R160*100)</f>
        <v>0</v>
      </c>
      <c r="AX160" t="str" cm="1">
        <f t="array" ref="AX160:AX189">_xlfn.ANCHORARRAY($C$160)</f>
        <v>Penjualan Tenaga Listrik</v>
      </c>
      <c r="AY160" s="105" t="s">
        <v>452</v>
      </c>
      <c r="AZ160">
        <v>14</v>
      </c>
      <c r="BA160" s="440">
        <f t="shared" ref="BA160:BA189" si="557">ROUNDDOWN(AK160/100*$AZ160,2)</f>
        <v>15.4</v>
      </c>
      <c r="BB160" s="440">
        <f t="shared" ref="BB160:BB189" si="558">ROUNDDOWN(AL160/100*$AZ160,2)</f>
        <v>15.4</v>
      </c>
      <c r="BC160" s="440">
        <f t="shared" ref="BC160:BC189" si="559">ROUNDDOWN(AM160/100*$AZ160,2)</f>
        <v>14.77</v>
      </c>
      <c r="BD160" s="440">
        <f t="shared" ref="BD160:BD189" si="560">ROUNDDOWN(AN160/100*$AZ160,2)</f>
        <v>14.06</v>
      </c>
      <c r="BE160" s="440">
        <f t="shared" ref="BE160:BE189" si="561">ROUNDDOWN(AO160/100*$AZ160,2)</f>
        <v>13.82</v>
      </c>
      <c r="BF160" s="440">
        <f t="shared" ref="BF160:BF189" si="562">ROUNDDOWN(AP160/100*$AZ160,2)</f>
        <v>13.87</v>
      </c>
      <c r="BG160" s="440">
        <f t="shared" ref="BG160:BG189" si="563">ROUNDDOWN(AQ160/100*$AZ160,2)</f>
        <v>13.9</v>
      </c>
      <c r="BH160" s="440">
        <f t="shared" ref="BH160:BH189" si="564">ROUNDDOWN(AR160/100*$AZ160,2)</f>
        <v>13.95</v>
      </c>
      <c r="BI160" s="440">
        <f t="shared" ref="BI160:BI189" si="565">ROUNDDOWN(AS160/100*$AZ160,2)</f>
        <v>13.93</v>
      </c>
      <c r="BJ160" s="440">
        <f t="shared" ref="BJ160:BJ189" si="566">ROUNDDOWN(AT160/100*$AZ160,2)</f>
        <v>13.9</v>
      </c>
      <c r="BK160" s="440">
        <f t="shared" ref="BK160:BK189" si="567">ROUNDDOWN(AU160/100*$AZ160,2)</f>
        <v>0</v>
      </c>
      <c r="BL160" s="440">
        <f t="shared" ref="BL160:BL189" si="568">ROUNDDOWN(AV160/100*$AZ160,2)</f>
        <v>0</v>
      </c>
    </row>
    <row r="161" spans="1:64">
      <c r="A161" t="str">
        <v>a. SAIDI (sesuai kewenangan)</v>
      </c>
      <c r="B161">
        <v>2</v>
      </c>
      <c r="C161" t="str">
        <v>SAIDI (sesuai kewenangan)</v>
      </c>
      <c r="D161" s="105" t="s">
        <v>456</v>
      </c>
      <c r="E161" t="str">
        <v>SAIDI (sesuai kewenangan)</v>
      </c>
      <c r="G161">
        <v>25.22</v>
      </c>
      <c r="H161">
        <v>50.45</v>
      </c>
      <c r="I161">
        <v>75.67</v>
      </c>
      <c r="J161">
        <v>100.89</v>
      </c>
      <c r="K161">
        <v>126.12</v>
      </c>
      <c r="L161">
        <v>151.34</v>
      </c>
      <c r="M161">
        <v>176.56</v>
      </c>
      <c r="N161">
        <v>201.78</v>
      </c>
      <c r="O161">
        <v>227.01</v>
      </c>
      <c r="P161">
        <v>252.23</v>
      </c>
      <c r="Q161">
        <v>277.45</v>
      </c>
      <c r="R161">
        <v>302.68</v>
      </c>
      <c r="T161" t="str">
        <v>SAIDI (sesuai kewenangan)</v>
      </c>
      <c r="V161">
        <v>26.386050020958503</v>
      </c>
      <c r="W161">
        <v>30.397213941437048</v>
      </c>
      <c r="X161">
        <v>31.13457455677208</v>
      </c>
      <c r="Y161">
        <v>43.83850480755909</v>
      </c>
      <c r="Z161">
        <v>89.018717168924525</v>
      </c>
      <c r="AA161">
        <v>131.2654684786504</v>
      </c>
      <c r="AB161">
        <v>155.86345635553599</v>
      </c>
      <c r="AC161">
        <v>155.5875226039783</v>
      </c>
      <c r="AD161">
        <v>167.87464569509299</v>
      </c>
      <c r="AE161">
        <v>188.31124704347118</v>
      </c>
      <c r="AF161">
        <v>0</v>
      </c>
      <c r="AG161">
        <v>0</v>
      </c>
      <c r="AI161" t="str">
        <v>SAIDI (sesuai kewenangan)</v>
      </c>
      <c r="AK161" s="440">
        <f t="shared" ref="AK161:AK162" si="569">IF((2-(V161/G161))*100&gt;110,110,(2-(V161/G161))*100)</f>
        <v>95.376486832044009</v>
      </c>
      <c r="AL161" s="440">
        <f t="shared" ref="AL161:AL162" si="570">IF((2-(W161/H161))*100&gt;110,110,(2-(W161/H161))*100)</f>
        <v>110</v>
      </c>
      <c r="AM161" s="440">
        <f t="shared" ref="AM161:AM162" si="571">IF((2-(X161/I161))*100&gt;110,110,(2-(X161/I161))*100)</f>
        <v>110</v>
      </c>
      <c r="AN161" s="440">
        <f t="shared" ref="AN161:AN162" si="572">IF((2-(Y161/J161))*100&gt;110,110,(2-(Y161/J161))*100)</f>
        <v>110</v>
      </c>
      <c r="AO161" s="440">
        <f t="shared" ref="AO161:AO162" si="573">IF((2-(Z161/K161))*100&gt;110,110,(2-(Z161/K161))*100)</f>
        <v>110</v>
      </c>
      <c r="AP161" s="440">
        <f t="shared" ref="AP161:AP162" si="574">IF((2-(AA161/L161))*100&gt;110,110,(2-(AA161/L161))*100)</f>
        <v>110</v>
      </c>
      <c r="AQ161" s="440">
        <f t="shared" ref="AQ161:AQ162" si="575">IF((2-(AB161/M161))*100&gt;110,110,(2-(AB161/M161))*100)</f>
        <v>110</v>
      </c>
      <c r="AR161" s="440">
        <f t="shared" ref="AR161:AR162" si="576">IF((2-(AC161/N161))*100&gt;110,110,(2-(AC161/N161))*100)</f>
        <v>110</v>
      </c>
      <c r="AS161" s="440">
        <f t="shared" ref="AS161:AS162" si="577">IF((2-(AD161/O161))*100&gt;110,110,(2-(AD161/O161))*100)</f>
        <v>110</v>
      </c>
      <c r="AT161" s="440">
        <f t="shared" ref="AT161:AT162" si="578">IF((2-(AE161/P161))*100&gt;110,110,(2-(AE161/P161))*100)</f>
        <v>110</v>
      </c>
      <c r="AU161" s="440">
        <f t="shared" ref="AU161:AU162" si="579">IF((2-(AF161/Q161))*100&gt;110,110,(2-(AF161/Q161))*100)</f>
        <v>110</v>
      </c>
      <c r="AV161" s="440">
        <f t="shared" ref="AV161:AV162" si="580">IF((2-(AG161/R161))*100&gt;110,110,(2-(AG161/R161))*100)</f>
        <v>110</v>
      </c>
      <c r="AX161" t="str">
        <v>SAIDI (sesuai kewenangan)</v>
      </c>
      <c r="AY161" s="105" t="s">
        <v>452</v>
      </c>
      <c r="AZ161">
        <v>6</v>
      </c>
      <c r="BA161" s="440">
        <f t="shared" si="557"/>
        <v>5.72</v>
      </c>
      <c r="BB161" s="440">
        <f t="shared" si="558"/>
        <v>6.6</v>
      </c>
      <c r="BC161" s="440">
        <f t="shared" si="559"/>
        <v>6.6</v>
      </c>
      <c r="BD161" s="440">
        <f t="shared" si="560"/>
        <v>6.6</v>
      </c>
      <c r="BE161" s="440">
        <f t="shared" si="561"/>
        <v>6.6</v>
      </c>
      <c r="BF161" s="440">
        <f t="shared" si="562"/>
        <v>6.6</v>
      </c>
      <c r="BG161" s="440">
        <f t="shared" si="563"/>
        <v>6.6</v>
      </c>
      <c r="BH161" s="440">
        <f t="shared" si="564"/>
        <v>6.6</v>
      </c>
      <c r="BI161" s="440">
        <f t="shared" si="565"/>
        <v>6.6</v>
      </c>
      <c r="BJ161" s="440">
        <f t="shared" si="566"/>
        <v>6.6</v>
      </c>
      <c r="BK161" s="440">
        <f t="shared" si="567"/>
        <v>6.6</v>
      </c>
      <c r="BL161" s="440">
        <f t="shared" si="568"/>
        <v>6.6</v>
      </c>
    </row>
    <row r="162" spans="1:64">
      <c r="A162" t="str">
        <v>b. SAIFI (sesuai kewenangan)</v>
      </c>
      <c r="B162">
        <v>2</v>
      </c>
      <c r="C162" t="str">
        <v>SAIFI (sesuai kewenangan)</v>
      </c>
      <c r="D162" s="105" t="s">
        <v>456</v>
      </c>
      <c r="E162" t="str">
        <v>SAIFI (sesuai kewenangan)</v>
      </c>
      <c r="G162">
        <v>0.27</v>
      </c>
      <c r="H162">
        <v>0.53</v>
      </c>
      <c r="I162">
        <v>0.8</v>
      </c>
      <c r="J162">
        <v>1.07</v>
      </c>
      <c r="K162">
        <v>1.33</v>
      </c>
      <c r="L162">
        <v>1.6</v>
      </c>
      <c r="M162">
        <v>1.86</v>
      </c>
      <c r="N162">
        <v>2.13</v>
      </c>
      <c r="O162">
        <v>2.4</v>
      </c>
      <c r="P162">
        <v>2.66</v>
      </c>
      <c r="Q162">
        <v>2.93</v>
      </c>
      <c r="R162">
        <v>3.2</v>
      </c>
      <c r="T162" t="str">
        <v>SAIFI (sesuai kewenangan)</v>
      </c>
      <c r="V162">
        <v>0.32815425457593966</v>
      </c>
      <c r="W162">
        <v>0.36962638954670829</v>
      </c>
      <c r="X162">
        <v>0.45734452287000499</v>
      </c>
      <c r="Y162">
        <v>0.59691318684363659</v>
      </c>
      <c r="Z162">
        <v>1.0137959635056677</v>
      </c>
      <c r="AA162">
        <v>1.3611379110731316</v>
      </c>
      <c r="AB162">
        <v>1.6419338870249161</v>
      </c>
      <c r="AC162">
        <v>1.6472135459477231</v>
      </c>
      <c r="AD162">
        <v>1.763059446765517</v>
      </c>
      <c r="AE162">
        <v>2.1229372264361253</v>
      </c>
      <c r="AF162">
        <v>0</v>
      </c>
      <c r="AG162">
        <v>0</v>
      </c>
      <c r="AI162" t="str">
        <v>SAIFI (sesuai kewenangan)</v>
      </c>
      <c r="AK162" s="440">
        <f t="shared" si="569"/>
        <v>78.461387194096432</v>
      </c>
      <c r="AL162" s="440">
        <f t="shared" si="570"/>
        <v>110</v>
      </c>
      <c r="AM162" s="440">
        <f t="shared" si="571"/>
        <v>110</v>
      </c>
      <c r="AN162" s="440">
        <f t="shared" si="572"/>
        <v>110</v>
      </c>
      <c r="AO162" s="440">
        <f t="shared" si="573"/>
        <v>110</v>
      </c>
      <c r="AP162" s="440">
        <f t="shared" si="574"/>
        <v>110</v>
      </c>
      <c r="AQ162" s="440">
        <f t="shared" si="575"/>
        <v>110</v>
      </c>
      <c r="AR162" s="440">
        <f t="shared" si="576"/>
        <v>110</v>
      </c>
      <c r="AS162" s="440">
        <f t="shared" si="577"/>
        <v>110</v>
      </c>
      <c r="AT162" s="440">
        <f t="shared" si="578"/>
        <v>110</v>
      </c>
      <c r="AU162" s="440">
        <f t="shared" si="579"/>
        <v>110</v>
      </c>
      <c r="AV162" s="440">
        <f t="shared" si="580"/>
        <v>110</v>
      </c>
      <c r="AX162" t="str">
        <v>SAIFI (sesuai kewenangan)</v>
      </c>
      <c r="AY162" s="105" t="s">
        <v>452</v>
      </c>
      <c r="AZ162">
        <v>6</v>
      </c>
      <c r="BA162" s="440">
        <f t="shared" si="557"/>
        <v>4.7</v>
      </c>
      <c r="BB162" s="440">
        <f t="shared" si="558"/>
        <v>6.6</v>
      </c>
      <c r="BC162" s="440">
        <f t="shared" si="559"/>
        <v>6.6</v>
      </c>
      <c r="BD162" s="440">
        <f t="shared" si="560"/>
        <v>6.6</v>
      </c>
      <c r="BE162" s="440">
        <f t="shared" si="561"/>
        <v>6.6</v>
      </c>
      <c r="BF162" s="440">
        <f t="shared" si="562"/>
        <v>6.6</v>
      </c>
      <c r="BG162" s="440">
        <f t="shared" si="563"/>
        <v>6.6</v>
      </c>
      <c r="BH162" s="440">
        <f t="shared" si="564"/>
        <v>6.6</v>
      </c>
      <c r="BI162" s="440">
        <f t="shared" si="565"/>
        <v>6.6</v>
      </c>
      <c r="BJ162" s="440">
        <f t="shared" si="566"/>
        <v>6.6</v>
      </c>
      <c r="BK162" s="440">
        <f t="shared" si="567"/>
        <v>6.6</v>
      </c>
      <c r="BL162" s="440">
        <f t="shared" si="568"/>
        <v>6.6</v>
      </c>
    </row>
    <row r="163" spans="1:64">
      <c r="A163" t="str">
        <v>c. ENS (sesuai kewenangan)</v>
      </c>
      <c r="B163">
        <v>2</v>
      </c>
      <c r="C163" t="str">
        <v>ENS (sesuai kewenangan)</v>
      </c>
      <c r="D163" s="105" t="s">
        <v>456</v>
      </c>
      <c r="E163" t="str">
        <v>ENS (sesuai kewenangan)</v>
      </c>
      <c r="G163">
        <v>2.4500000000000002</v>
      </c>
      <c r="H163">
        <v>4.9000000000000004</v>
      </c>
      <c r="I163">
        <v>7.35</v>
      </c>
      <c r="J163">
        <v>9.8000000000000007</v>
      </c>
      <c r="K163">
        <v>12.25</v>
      </c>
      <c r="L163">
        <v>14.69</v>
      </c>
      <c r="M163">
        <v>17.14</v>
      </c>
      <c r="N163">
        <v>19.59</v>
      </c>
      <c r="O163">
        <v>22.04</v>
      </c>
      <c r="P163">
        <v>24.49</v>
      </c>
      <c r="Q163">
        <v>26.94</v>
      </c>
      <c r="R163">
        <v>29.39</v>
      </c>
      <c r="T163" t="str">
        <v>ENS (sesuai kewenangan)</v>
      </c>
      <c r="V163">
        <v>2.7029999999999998</v>
      </c>
      <c r="W163">
        <v>3.355</v>
      </c>
      <c r="X163">
        <v>3.5830000000000002</v>
      </c>
      <c r="Y163">
        <v>4.8600000000000003</v>
      </c>
      <c r="Z163">
        <v>8.0020000000000007</v>
      </c>
      <c r="AA163">
        <v>10.838000000000001</v>
      </c>
      <c r="AB163">
        <v>12.664000000000001</v>
      </c>
      <c r="AC163">
        <v>12.686000000000002</v>
      </c>
      <c r="AD163">
        <v>14.169000000000002</v>
      </c>
      <c r="AE163">
        <v>16.083000000000002</v>
      </c>
      <c r="AF163">
        <v>0</v>
      </c>
      <c r="AG163">
        <v>0</v>
      </c>
      <c r="AI163" t="str">
        <v>ENS (sesuai kewenangan)</v>
      </c>
      <c r="AK163" s="440">
        <f t="shared" ref="AK163" si="581">IF(((G163-(V163-G163))/G163)*100&gt;110,110,((G163-(V163-G163))/G163)*100)</f>
        <v>89.673469387755105</v>
      </c>
      <c r="AL163" s="440">
        <f t="shared" ref="AL163" si="582">IF(((H163-(W163-H163))/H163)*100&gt;110,110,((H163-(W163-H163))/H163)*100)</f>
        <v>110</v>
      </c>
      <c r="AM163" s="440">
        <f t="shared" ref="AM163" si="583">IF(((I163-(X163-I163))/I163)*100&gt;110,110,((I163-(X163-I163))/I163)*100)</f>
        <v>110</v>
      </c>
      <c r="AN163" s="440">
        <f t="shared" ref="AN163" si="584">IF(((J163-(Y163-J163))/J163)*100&gt;110,110,((J163-(Y163-J163))/J163)*100)</f>
        <v>110</v>
      </c>
      <c r="AO163" s="440">
        <f t="shared" ref="AO163" si="585">IF(((K163-(Z163-K163))/K163)*100&gt;110,110,((K163-(Z163-K163))/K163)*100)</f>
        <v>110</v>
      </c>
      <c r="AP163" s="440">
        <f t="shared" ref="AP163" si="586">IF(((L163-(AA163-L163))/L163)*100&gt;110,110,((L163-(AA163-L163))/L163)*100)</f>
        <v>110</v>
      </c>
      <c r="AQ163" s="440">
        <f t="shared" ref="AQ163" si="587">IF(((M163-(AB163-M163))/M163)*100&gt;110,110,((M163-(AB163-M163))/M163)*100)</f>
        <v>110</v>
      </c>
      <c r="AR163" s="440">
        <f t="shared" ref="AR163" si="588">IF(((N163-(AC163-N163))/N163)*100&gt;110,110,((N163-(AC163-N163))/N163)*100)</f>
        <v>110</v>
      </c>
      <c r="AS163" s="440">
        <f t="shared" ref="AS163" si="589">IF(((O163-(AD163-O163))/O163)*100&gt;110,110,((O163-(AD163-O163))/O163)*100)</f>
        <v>110</v>
      </c>
      <c r="AT163" s="440">
        <f t="shared" ref="AT163" si="590">IF(((P163-(AE163-P163))/P163)*100&gt;110,110,((P163-(AE163-P163))/P163)*100)</f>
        <v>110</v>
      </c>
      <c r="AU163" s="440">
        <f t="shared" ref="AU163" si="591">IF(((Q163-(AF163-Q163))/Q163)*100&gt;110,110,((Q163-(AF163-Q163))/Q163)*100)</f>
        <v>110</v>
      </c>
      <c r="AV163" s="440">
        <f t="shared" ref="AV163" si="592">IF(((R163-(AG163-R163))/R163)*100&gt;110,110,((R163-(AG163-R163))/R163)*100)</f>
        <v>110</v>
      </c>
      <c r="AX163" t="str">
        <v>ENS (sesuai kewenangan)</v>
      </c>
      <c r="AY163" s="105" t="s">
        <v>452</v>
      </c>
      <c r="AZ163">
        <v>2</v>
      </c>
      <c r="BA163" s="440">
        <f t="shared" si="557"/>
        <v>1.79</v>
      </c>
      <c r="BB163" s="440">
        <f t="shared" si="558"/>
        <v>2.2000000000000002</v>
      </c>
      <c r="BC163" s="440">
        <f t="shared" si="559"/>
        <v>2.2000000000000002</v>
      </c>
      <c r="BD163" s="440">
        <f t="shared" si="560"/>
        <v>2.2000000000000002</v>
      </c>
      <c r="BE163" s="440">
        <f t="shared" si="561"/>
        <v>2.2000000000000002</v>
      </c>
      <c r="BF163" s="440">
        <f t="shared" si="562"/>
        <v>2.2000000000000002</v>
      </c>
      <c r="BG163" s="440">
        <f t="shared" si="563"/>
        <v>2.2000000000000002</v>
      </c>
      <c r="BH163" s="440">
        <f t="shared" si="564"/>
        <v>2.2000000000000002</v>
      </c>
      <c r="BI163" s="440">
        <f t="shared" si="565"/>
        <v>2.2000000000000002</v>
      </c>
      <c r="BJ163" s="440">
        <f t="shared" si="566"/>
        <v>2.2000000000000002</v>
      </c>
      <c r="BK163" s="440">
        <f t="shared" si="567"/>
        <v>2.2000000000000002</v>
      </c>
      <c r="BL163" s="440">
        <f t="shared" si="568"/>
        <v>2.2000000000000002</v>
      </c>
    </row>
    <row r="164" spans="1:64">
      <c r="A164" t="str">
        <v>a. Susut Distribusi Tanpa E-min (sesuai kewenangan)</v>
      </c>
      <c r="B164">
        <v>2</v>
      </c>
      <c r="C164" t="str">
        <v>Susut Distribusi Tanpa E-min (sesuai kewenangan)</v>
      </c>
      <c r="D164" s="105" t="s">
        <v>456</v>
      </c>
      <c r="E164" t="str">
        <v>Susut Distribusi Tanpa E-min (sesuai kewenangan)</v>
      </c>
      <c r="G164">
        <v>11.44</v>
      </c>
      <c r="H164">
        <v>11.44</v>
      </c>
      <c r="I164">
        <v>11.44</v>
      </c>
      <c r="J164">
        <v>11.23</v>
      </c>
      <c r="K164">
        <v>11.03</v>
      </c>
      <c r="L164">
        <v>10.82</v>
      </c>
      <c r="M164">
        <v>10.74</v>
      </c>
      <c r="N164">
        <v>10.66</v>
      </c>
      <c r="O164">
        <v>10.58</v>
      </c>
      <c r="P164">
        <v>10.51</v>
      </c>
      <c r="Q164">
        <v>10.43</v>
      </c>
      <c r="R164">
        <v>10.35</v>
      </c>
      <c r="T164" t="str">
        <v>Susut Distribusi Tanpa E-min (sesuai kewenangan)</v>
      </c>
      <c r="V164">
        <v>-13.955661650139845</v>
      </c>
      <c r="W164">
        <v>-4.650942620126532</v>
      </c>
      <c r="X164">
        <v>2.653542683207148</v>
      </c>
      <c r="Y164">
        <v>7.3350255707589476</v>
      </c>
      <c r="Z164">
        <v>9.5498288721732809</v>
      </c>
      <c r="AA164">
        <v>9.8068621374288316</v>
      </c>
      <c r="AB164">
        <v>10.690451858883089</v>
      </c>
      <c r="AC164">
        <v>10.794904975039504</v>
      </c>
      <c r="AD164">
        <v>11.082476818198327</v>
      </c>
      <c r="AE164">
        <v>11.02411790225006</v>
      </c>
      <c r="AF164">
        <v>0</v>
      </c>
      <c r="AG164">
        <v>0</v>
      </c>
      <c r="AI164" t="str">
        <v>Susut Distribusi Tanpa E-min (sesuai kewenangan)</v>
      </c>
      <c r="AK164" s="440">
        <f t="shared" ref="AK164" si="593">IF((2-(V164/G164))*100&gt;110,110,(2-(V164/G164))*100)</f>
        <v>110</v>
      </c>
      <c r="AL164" s="440">
        <f t="shared" ref="AL164" si="594">IF((2-(W164/H164))*100&gt;110,110,(2-(W164/H164))*100)</f>
        <v>110</v>
      </c>
      <c r="AM164" s="440">
        <f t="shared" ref="AM164" si="595">IF((2-(X164/I164))*100&gt;110,110,(2-(X164/I164))*100)</f>
        <v>110</v>
      </c>
      <c r="AN164" s="440">
        <f t="shared" ref="AN164" si="596">IF((2-(Y164/J164))*100&gt;110,110,(2-(Y164/J164))*100)</f>
        <v>110</v>
      </c>
      <c r="AO164" s="440">
        <f t="shared" ref="AO164" si="597">IF((2-(Z164/K164))*100&gt;110,110,(2-(Z164/K164))*100)</f>
        <v>110</v>
      </c>
      <c r="AP164" s="440">
        <f t="shared" ref="AP164" si="598">IF((2-(AA164/L164))*100&gt;110,110,(2-(AA164/L164))*100)</f>
        <v>109.36356619751541</v>
      </c>
      <c r="AQ164" s="440">
        <f t="shared" ref="AQ164" si="599">IF((2-(AB164/M164))*100&gt;110,110,(2-(AB164/M164))*100)</f>
        <v>100.46134209606063</v>
      </c>
      <c r="AR164" s="440">
        <f t="shared" ref="AR164" si="600">IF((2-(AC164/N164))*100&gt;110,110,(2-(AC164/N164))*100)</f>
        <v>98.73447490582079</v>
      </c>
      <c r="AS164" s="440">
        <f t="shared" ref="AS164" si="601">IF((2-(AD164/O164))*100&gt;110,110,(2-(AD164/O164))*100)</f>
        <v>95.250691699448709</v>
      </c>
      <c r="AT164" s="440">
        <f t="shared" ref="AT164" si="602">IF((2-(AE164/P164))*100&gt;110,110,(2-(AE164/P164))*100)</f>
        <v>95.108297790199245</v>
      </c>
      <c r="AU164" s="440">
        <f t="shared" ref="AU164" si="603">IF((2-(AF164/Q164))*100&gt;110,110,(2-(AF164/Q164))*100)</f>
        <v>110</v>
      </c>
      <c r="AV164" s="440">
        <f t="shared" ref="AV164" si="604">IF((2-(AG164/R164))*100&gt;110,110,(2-(AG164/R164))*100)</f>
        <v>110</v>
      </c>
      <c r="AX164" t="str">
        <v>Susut Distribusi Tanpa E-min (sesuai kewenangan)</v>
      </c>
      <c r="AY164" s="105" t="s">
        <v>452</v>
      </c>
      <c r="AZ164">
        <v>4</v>
      </c>
      <c r="BA164" s="440">
        <f t="shared" si="557"/>
        <v>4.4000000000000004</v>
      </c>
      <c r="BB164" s="440">
        <f t="shared" si="558"/>
        <v>4.4000000000000004</v>
      </c>
      <c r="BC164" s="440">
        <f t="shared" si="559"/>
        <v>4.4000000000000004</v>
      </c>
      <c r="BD164" s="440">
        <f t="shared" si="560"/>
        <v>4.4000000000000004</v>
      </c>
      <c r="BE164" s="440">
        <f t="shared" si="561"/>
        <v>4.4000000000000004</v>
      </c>
      <c r="BF164" s="440">
        <f t="shared" si="562"/>
        <v>4.37</v>
      </c>
      <c r="BG164" s="440">
        <f t="shared" si="563"/>
        <v>4.01</v>
      </c>
      <c r="BH164" s="440">
        <f t="shared" si="564"/>
        <v>3.94</v>
      </c>
      <c r="BI164" s="440">
        <f t="shared" si="565"/>
        <v>3.81</v>
      </c>
      <c r="BJ164" s="440">
        <f t="shared" si="566"/>
        <v>3.8</v>
      </c>
      <c r="BK164" s="440">
        <f t="shared" si="567"/>
        <v>4.4000000000000004</v>
      </c>
      <c r="BL164" s="440">
        <f t="shared" si="568"/>
        <v>4.4000000000000004</v>
      </c>
    </row>
    <row r="165" spans="1:64">
      <c r="A165" t="str">
        <v>b. Penyelesaian Temuan P2TL</v>
      </c>
      <c r="B165">
        <v>2</v>
      </c>
      <c r="C165" t="str">
        <v>Penyelesaian Temuan P2TL</v>
      </c>
      <c r="D165" s="105" t="s">
        <v>456</v>
      </c>
      <c r="E165" t="str">
        <v>Penyelesaian Temuan P2TL</v>
      </c>
      <c r="G165">
        <v>6.67</v>
      </c>
      <c r="H165">
        <v>13.33</v>
      </c>
      <c r="I165">
        <v>20</v>
      </c>
      <c r="J165">
        <v>26.67</v>
      </c>
      <c r="K165">
        <v>33.33</v>
      </c>
      <c r="L165">
        <v>40</v>
      </c>
      <c r="M165">
        <v>50</v>
      </c>
      <c r="N165">
        <v>60</v>
      </c>
      <c r="O165">
        <v>70</v>
      </c>
      <c r="P165">
        <v>80</v>
      </c>
      <c r="Q165">
        <v>90</v>
      </c>
      <c r="R165">
        <v>100</v>
      </c>
      <c r="T165" t="str">
        <v>Penyelesaian Temuan P2TL</v>
      </c>
      <c r="V165">
        <v>9.3707999999999991</v>
      </c>
      <c r="W165">
        <v>9.7013333333333325</v>
      </c>
      <c r="X165">
        <v>16.819866666666666</v>
      </c>
      <c r="Y165">
        <v>24.103666666666665</v>
      </c>
      <c r="Z165">
        <v>31.534266666666667</v>
      </c>
      <c r="AA165">
        <v>45.771333333333331</v>
      </c>
      <c r="AB165">
        <v>53.532466666666664</v>
      </c>
      <c r="AC165">
        <v>66.910799999999995</v>
      </c>
      <c r="AD165">
        <v>79.757666666666665</v>
      </c>
      <c r="AE165">
        <v>86.000066666666669</v>
      </c>
      <c r="AF165">
        <v>86.000066666666669</v>
      </c>
      <c r="AG165">
        <v>86.000066666666669</v>
      </c>
      <c r="AI165" t="str">
        <v>Penyelesaian Temuan P2TL</v>
      </c>
      <c r="AK165" s="440">
        <f t="shared" ref="AK165:AK166" si="605">IF(V165/G165*100&gt;110,110,V165/G165*100)</f>
        <v>110</v>
      </c>
      <c r="AL165" s="440">
        <f t="shared" ref="AL165:AL166" si="606">IF(W165/H165*100&gt;110,110,W165/H165*100)</f>
        <v>72.77819454863716</v>
      </c>
      <c r="AM165" s="440">
        <f t="shared" ref="AM165:AM166" si="607">IF(X165/I165*100&gt;110,110,X165/I165*100)</f>
        <v>84.09933333333332</v>
      </c>
      <c r="AN165" s="440">
        <f t="shared" ref="AN165:AN166" si="608">IF(Y165/J165*100&gt;110,110,Y165/J165*100)</f>
        <v>90.377452818397686</v>
      </c>
      <c r="AO165" s="440">
        <f t="shared" ref="AO165:AO166" si="609">IF(Z165/K165*100&gt;110,110,Z165/K165*100)</f>
        <v>94.612261226122612</v>
      </c>
      <c r="AP165" s="440">
        <f t="shared" ref="AP165:AP166" si="610">IF(AA165/L165*100&gt;110,110,AA165/L165*100)</f>
        <v>110</v>
      </c>
      <c r="AQ165" s="440">
        <f t="shared" ref="AQ165:AQ166" si="611">IF(AB165/M165*100&gt;110,110,AB165/M165*100)</f>
        <v>107.06493333333333</v>
      </c>
      <c r="AR165" s="440">
        <f t="shared" ref="AR165:AR166" si="612">IF(AC165/N165*100&gt;110,110,AC165/N165*100)</f>
        <v>110</v>
      </c>
      <c r="AS165" s="440">
        <f t="shared" ref="AS165:AS166" si="613">IF(AD165/O165*100&gt;110,110,AD165/O165*100)</f>
        <v>110</v>
      </c>
      <c r="AT165" s="440">
        <f t="shared" ref="AT165:AT166" si="614">IF(AE165/P165*100&gt;110,110,AE165/P165*100)</f>
        <v>107.50008333333334</v>
      </c>
      <c r="AU165" s="440">
        <f t="shared" ref="AU165:AU166" si="615">IF(AF165/Q165*100&gt;110,110,AF165/Q165*100)</f>
        <v>95.555629629629635</v>
      </c>
      <c r="AV165" s="440">
        <f t="shared" ref="AV165:AV166" si="616">IF(AG165/R165*100&gt;110,110,AG165/R165*100)</f>
        <v>86.000066666666669</v>
      </c>
      <c r="AX165" t="str">
        <v>Penyelesaian Temuan P2TL</v>
      </c>
      <c r="AY165" s="105" t="s">
        <v>452</v>
      </c>
      <c r="AZ165">
        <v>4</v>
      </c>
      <c r="BA165" s="440">
        <f t="shared" si="557"/>
        <v>4.4000000000000004</v>
      </c>
      <c r="BB165" s="440">
        <f t="shared" si="558"/>
        <v>2.91</v>
      </c>
      <c r="BC165" s="440">
        <f t="shared" si="559"/>
        <v>3.36</v>
      </c>
      <c r="BD165" s="440">
        <f t="shared" si="560"/>
        <v>3.61</v>
      </c>
      <c r="BE165" s="440">
        <f t="shared" si="561"/>
        <v>3.78</v>
      </c>
      <c r="BF165" s="440">
        <f t="shared" si="562"/>
        <v>4.4000000000000004</v>
      </c>
      <c r="BG165" s="440">
        <f t="shared" si="563"/>
        <v>4.28</v>
      </c>
      <c r="BH165" s="440">
        <f t="shared" si="564"/>
        <v>4.4000000000000004</v>
      </c>
      <c r="BI165" s="440">
        <f t="shared" si="565"/>
        <v>4.4000000000000004</v>
      </c>
      <c r="BJ165" s="440">
        <f t="shared" si="566"/>
        <v>4.3</v>
      </c>
      <c r="BK165" s="440">
        <f t="shared" si="567"/>
        <v>3.82</v>
      </c>
      <c r="BL165" s="440">
        <f t="shared" si="568"/>
        <v>3.44</v>
      </c>
    </row>
    <row r="166" spans="1:64">
      <c r="A166" t="str">
        <v>c. Penyelesaian Ganti Meter</v>
      </c>
      <c r="B166">
        <v>2</v>
      </c>
      <c r="C166" t="str">
        <v>Penyelesaian Ganti Meter</v>
      </c>
      <c r="D166" s="105" t="s">
        <v>456</v>
      </c>
      <c r="E166" t="str">
        <v>Penyelesaian Ganti Meter</v>
      </c>
      <c r="G166">
        <v>147</v>
      </c>
      <c r="H166">
        <v>292</v>
      </c>
      <c r="I166">
        <v>437</v>
      </c>
      <c r="J166">
        <v>583</v>
      </c>
      <c r="K166">
        <v>619</v>
      </c>
      <c r="L166">
        <v>657</v>
      </c>
      <c r="M166">
        <v>766</v>
      </c>
      <c r="N166">
        <v>875</v>
      </c>
      <c r="O166">
        <v>984</v>
      </c>
      <c r="P166">
        <v>1091</v>
      </c>
      <c r="Q166">
        <v>1091</v>
      </c>
      <c r="R166">
        <v>1091</v>
      </c>
      <c r="T166" t="str">
        <v>Penyelesaian Ganti Meter</v>
      </c>
      <c r="V166">
        <v>0</v>
      </c>
      <c r="W166">
        <v>94</v>
      </c>
      <c r="X166">
        <v>305</v>
      </c>
      <c r="Y166">
        <v>394</v>
      </c>
      <c r="Z166">
        <v>537</v>
      </c>
      <c r="AA166">
        <v>602</v>
      </c>
      <c r="AB166">
        <v>732</v>
      </c>
      <c r="AC166">
        <v>732</v>
      </c>
      <c r="AD166">
        <v>1089</v>
      </c>
      <c r="AE166">
        <v>1109</v>
      </c>
      <c r="AF166">
        <v>1109</v>
      </c>
      <c r="AG166">
        <v>1109</v>
      </c>
      <c r="AI166" t="str">
        <v>Penyelesaian Ganti Meter</v>
      </c>
      <c r="AK166" s="440">
        <f t="shared" si="605"/>
        <v>0</v>
      </c>
      <c r="AL166" s="440">
        <f t="shared" si="606"/>
        <v>32.19178082191781</v>
      </c>
      <c r="AM166" s="440">
        <f t="shared" si="607"/>
        <v>69.794050343249424</v>
      </c>
      <c r="AN166" s="440">
        <f t="shared" si="608"/>
        <v>67.581475128644939</v>
      </c>
      <c r="AO166" s="440">
        <f t="shared" si="609"/>
        <v>86.752827140549272</v>
      </c>
      <c r="AP166" s="440">
        <f t="shared" si="610"/>
        <v>91.628614916286139</v>
      </c>
      <c r="AQ166" s="440">
        <f t="shared" si="611"/>
        <v>95.561357702349866</v>
      </c>
      <c r="AR166" s="440">
        <f t="shared" si="612"/>
        <v>83.657142857142858</v>
      </c>
      <c r="AS166" s="440">
        <f t="shared" si="613"/>
        <v>110</v>
      </c>
      <c r="AT166" s="440">
        <f t="shared" si="614"/>
        <v>101.64986251145737</v>
      </c>
      <c r="AU166" s="440">
        <f t="shared" si="615"/>
        <v>101.64986251145737</v>
      </c>
      <c r="AV166" s="440">
        <f t="shared" si="616"/>
        <v>101.64986251145737</v>
      </c>
      <c r="AX166" t="str">
        <v>Penyelesaian Ganti Meter</v>
      </c>
      <c r="AY166" s="105" t="s">
        <v>452</v>
      </c>
      <c r="AZ166">
        <v>4</v>
      </c>
      <c r="BA166" s="440">
        <f t="shared" si="557"/>
        <v>0</v>
      </c>
      <c r="BB166" s="440">
        <f t="shared" si="558"/>
        <v>1.28</v>
      </c>
      <c r="BC166" s="440">
        <f t="shared" si="559"/>
        <v>2.79</v>
      </c>
      <c r="BD166" s="440">
        <f t="shared" si="560"/>
        <v>2.7</v>
      </c>
      <c r="BE166" s="440">
        <f t="shared" si="561"/>
        <v>3.47</v>
      </c>
      <c r="BF166" s="440">
        <f t="shared" si="562"/>
        <v>3.66</v>
      </c>
      <c r="BG166" s="440">
        <f t="shared" si="563"/>
        <v>3.82</v>
      </c>
      <c r="BH166" s="440">
        <f t="shared" si="564"/>
        <v>3.34</v>
      </c>
      <c r="BI166" s="440">
        <f t="shared" si="565"/>
        <v>4.4000000000000004</v>
      </c>
      <c r="BJ166" s="440">
        <f t="shared" si="566"/>
        <v>4.0599999999999996</v>
      </c>
      <c r="BK166" s="440">
        <f t="shared" si="567"/>
        <v>4.0599999999999996</v>
      </c>
      <c r="BL166" s="440">
        <f t="shared" si="568"/>
        <v>4.0599999999999996</v>
      </c>
    </row>
    <row r="167" spans="1:64">
      <c r="A167" t="str">
        <v>a. Gangguan TM &gt; 5 Menit</v>
      </c>
      <c r="B167">
        <v>2</v>
      </c>
      <c r="C167" t="str">
        <v>Gangguan TM &gt; 5 Menit</v>
      </c>
      <c r="D167" s="105" t="s">
        <v>456</v>
      </c>
      <c r="E167" t="str">
        <v>Gangguan TM &gt; 5 Menit</v>
      </c>
      <c r="G167">
        <v>3</v>
      </c>
      <c r="H167">
        <v>5</v>
      </c>
      <c r="I167">
        <v>8</v>
      </c>
      <c r="J167">
        <v>11</v>
      </c>
      <c r="K167">
        <v>13</v>
      </c>
      <c r="L167">
        <v>15.999999999999998</v>
      </c>
      <c r="M167">
        <v>19</v>
      </c>
      <c r="N167">
        <v>21</v>
      </c>
      <c r="O167">
        <v>24</v>
      </c>
      <c r="P167">
        <v>27</v>
      </c>
      <c r="Q167">
        <v>29</v>
      </c>
      <c r="R167">
        <v>30</v>
      </c>
      <c r="T167" t="str">
        <v>Gangguan TM &gt; 5 Menit</v>
      </c>
      <c r="V167">
        <v>2</v>
      </c>
      <c r="W167">
        <v>5</v>
      </c>
      <c r="X167">
        <v>8</v>
      </c>
      <c r="Y167">
        <v>10</v>
      </c>
      <c r="Z167">
        <v>13</v>
      </c>
      <c r="AA167">
        <v>13</v>
      </c>
      <c r="AB167">
        <v>15</v>
      </c>
      <c r="AC167">
        <v>15</v>
      </c>
      <c r="AD167">
        <v>16</v>
      </c>
      <c r="AE167">
        <v>20</v>
      </c>
      <c r="AF167">
        <v>20</v>
      </c>
      <c r="AG167">
        <v>20</v>
      </c>
      <c r="AI167" t="str">
        <v>Gangguan TM &gt; 5 Menit</v>
      </c>
      <c r="AK167" s="440">
        <f t="shared" ref="AK167" si="617">IF(((G167-(V167-G167))/G167)*100&gt;110,110,((G167-(V167-G167))/G167)*100)</f>
        <v>110</v>
      </c>
      <c r="AL167" s="440">
        <f t="shared" ref="AL167" si="618">IF(((H167-(W167-H167))/H167)*100&gt;110,110,((H167-(W167-H167))/H167)*100)</f>
        <v>100</v>
      </c>
      <c r="AM167" s="440">
        <f t="shared" ref="AM167" si="619">IF(((I167-(X167-I167))/I167)*100&gt;110,110,((I167-(X167-I167))/I167)*100)</f>
        <v>100</v>
      </c>
      <c r="AN167" s="440">
        <f t="shared" ref="AN167" si="620">IF(((J167-(Y167-J167))/J167)*100&gt;110,110,((J167-(Y167-J167))/J167)*100)</f>
        <v>109.09090909090908</v>
      </c>
      <c r="AO167" s="440">
        <f t="shared" ref="AO167" si="621">IF(((K167-(Z167-K167))/K167)*100&gt;110,110,((K167-(Z167-K167))/K167)*100)</f>
        <v>100</v>
      </c>
      <c r="AP167" s="440">
        <f t="shared" ref="AP167" si="622">IF(((L167-(AA167-L167))/L167)*100&gt;110,110,((L167-(AA167-L167))/L167)*100)</f>
        <v>110</v>
      </c>
      <c r="AQ167" s="440">
        <f t="shared" ref="AQ167" si="623">IF(((M167-(AB167-M167))/M167)*100&gt;110,110,((M167-(AB167-M167))/M167)*100)</f>
        <v>110</v>
      </c>
      <c r="AR167" s="440">
        <f t="shared" ref="AR167" si="624">IF(((N167-(AC167-N167))/N167)*100&gt;110,110,((N167-(AC167-N167))/N167)*100)</f>
        <v>110</v>
      </c>
      <c r="AS167" s="440">
        <f t="shared" ref="AS167" si="625">IF(((O167-(AD167-O167))/O167)*100&gt;110,110,((O167-(AD167-O167))/O167)*100)</f>
        <v>110</v>
      </c>
      <c r="AT167" s="440">
        <f t="shared" ref="AT167" si="626">IF(((P167-(AE167-P167))/P167)*100&gt;110,110,((P167-(AE167-P167))/P167)*100)</f>
        <v>110</v>
      </c>
      <c r="AU167" s="440">
        <f t="shared" ref="AU167" si="627">IF(((Q167-(AF167-Q167))/Q167)*100&gt;110,110,((Q167-(AF167-Q167))/Q167)*100)</f>
        <v>110</v>
      </c>
      <c r="AV167" s="440">
        <f t="shared" ref="AV167" si="628">IF(((R167-(AG167-R167))/R167)*100&gt;110,110,((R167-(AG167-R167))/R167)*100)</f>
        <v>110</v>
      </c>
      <c r="AX167" t="str">
        <v>Gangguan TM &gt; 5 Menit</v>
      </c>
      <c r="AY167" s="105" t="s">
        <v>452</v>
      </c>
      <c r="AZ167">
        <v>3</v>
      </c>
      <c r="BA167" s="440">
        <f t="shared" si="557"/>
        <v>3.3</v>
      </c>
      <c r="BB167" s="440">
        <f t="shared" si="558"/>
        <v>3</v>
      </c>
      <c r="BC167" s="440">
        <f t="shared" si="559"/>
        <v>3</v>
      </c>
      <c r="BD167" s="440">
        <f t="shared" si="560"/>
        <v>3.27</v>
      </c>
      <c r="BE167" s="440">
        <f t="shared" si="561"/>
        <v>3</v>
      </c>
      <c r="BF167" s="440">
        <f t="shared" si="562"/>
        <v>3.3</v>
      </c>
      <c r="BG167" s="440">
        <f t="shared" si="563"/>
        <v>3.3</v>
      </c>
      <c r="BH167" s="440">
        <f t="shared" si="564"/>
        <v>3.3</v>
      </c>
      <c r="BI167" s="440">
        <f t="shared" si="565"/>
        <v>3.3</v>
      </c>
      <c r="BJ167" s="440">
        <f t="shared" si="566"/>
        <v>3.3</v>
      </c>
      <c r="BK167" s="440">
        <f t="shared" si="567"/>
        <v>3.3</v>
      </c>
      <c r="BL167" s="440">
        <f t="shared" si="568"/>
        <v>3.3</v>
      </c>
    </row>
    <row r="168" spans="1:64">
      <c r="A168" t="str">
        <v>b. Gangguan TM ≤ 5 Menit</v>
      </c>
      <c r="B168">
        <v>2</v>
      </c>
      <c r="C168" t="str">
        <v>Gangguan TM ≤ 5 Menit</v>
      </c>
      <c r="D168" s="105" t="s">
        <v>456</v>
      </c>
      <c r="E168" t="str">
        <v>Gangguan TM ≤ 5 Menit</v>
      </c>
      <c r="G168">
        <v>4</v>
      </c>
      <c r="H168">
        <v>7</v>
      </c>
      <c r="I168">
        <v>11</v>
      </c>
      <c r="J168">
        <v>15</v>
      </c>
      <c r="K168">
        <v>18</v>
      </c>
      <c r="L168">
        <v>22</v>
      </c>
      <c r="M168">
        <v>26</v>
      </c>
      <c r="N168">
        <v>29</v>
      </c>
      <c r="O168">
        <v>33</v>
      </c>
      <c r="P168">
        <v>37</v>
      </c>
      <c r="Q168">
        <v>40</v>
      </c>
      <c r="R168">
        <v>44</v>
      </c>
      <c r="T168" t="str">
        <v>Gangguan TM ≤ 5 Menit</v>
      </c>
      <c r="V168">
        <v>0</v>
      </c>
      <c r="W168">
        <v>2</v>
      </c>
      <c r="X168">
        <v>3</v>
      </c>
      <c r="Y168">
        <v>4</v>
      </c>
      <c r="Z168">
        <v>15</v>
      </c>
      <c r="AA168">
        <v>19</v>
      </c>
      <c r="AB168">
        <v>20</v>
      </c>
      <c r="AC168">
        <v>20</v>
      </c>
      <c r="AD168">
        <v>21</v>
      </c>
      <c r="AE168">
        <v>29</v>
      </c>
      <c r="AF168">
        <v>29</v>
      </c>
      <c r="AG168">
        <v>29</v>
      </c>
      <c r="AI168" t="str">
        <v>Gangguan TM ≤ 5 Menit</v>
      </c>
      <c r="AK168" s="440">
        <f t="shared" ref="AK168" si="629">IF((2-(V168/G168))*100&gt;110,110,(2-(V168/G168))*100)</f>
        <v>110</v>
      </c>
      <c r="AL168" s="440">
        <f t="shared" ref="AL168" si="630">IF((2-(W168/H168))*100&gt;110,110,(2-(W168/H168))*100)</f>
        <v>110</v>
      </c>
      <c r="AM168" s="440">
        <f t="shared" ref="AM168" si="631">IF((2-(X168/I168))*100&gt;110,110,(2-(X168/I168))*100)</f>
        <v>110</v>
      </c>
      <c r="AN168" s="440">
        <f t="shared" ref="AN168" si="632">IF((2-(Y168/J168))*100&gt;110,110,(2-(Y168/J168))*100)</f>
        <v>110</v>
      </c>
      <c r="AO168" s="440">
        <f t="shared" ref="AO168" si="633">IF((2-(Z168/K168))*100&gt;110,110,(2-(Z168/K168))*100)</f>
        <v>110</v>
      </c>
      <c r="AP168" s="440">
        <f t="shared" ref="AP168" si="634">IF((2-(AA168/L168))*100&gt;110,110,(2-(AA168/L168))*100)</f>
        <v>110</v>
      </c>
      <c r="AQ168" s="440">
        <f t="shared" ref="AQ168" si="635">IF((2-(AB168/M168))*100&gt;110,110,(2-(AB168/M168))*100)</f>
        <v>110</v>
      </c>
      <c r="AR168" s="440">
        <f t="shared" ref="AR168" si="636">IF((2-(AC168/N168))*100&gt;110,110,(2-(AC168/N168))*100)</f>
        <v>110</v>
      </c>
      <c r="AS168" s="440">
        <f t="shared" ref="AS168" si="637">IF((2-(AD168/O168))*100&gt;110,110,(2-(AD168/O168))*100)</f>
        <v>110</v>
      </c>
      <c r="AT168" s="440">
        <f t="shared" ref="AT168" si="638">IF((2-(AE168/P168))*100&gt;110,110,(2-(AE168/P168))*100)</f>
        <v>110</v>
      </c>
      <c r="AU168" s="440">
        <f t="shared" ref="AU168" si="639">IF((2-(AF168/Q168))*100&gt;110,110,(2-(AF168/Q168))*100)</f>
        <v>110</v>
      </c>
      <c r="AV168" s="440">
        <f t="shared" ref="AV168" si="640">IF((2-(AG168/R168))*100&gt;110,110,(2-(AG168/R168))*100)</f>
        <v>110</v>
      </c>
      <c r="AX168" t="str">
        <v>Gangguan TM ≤ 5 Menit</v>
      </c>
      <c r="AY168" s="105" t="s">
        <v>452</v>
      </c>
      <c r="AZ168">
        <v>3</v>
      </c>
      <c r="BA168" s="440">
        <f t="shared" si="557"/>
        <v>3.3</v>
      </c>
      <c r="BB168" s="440">
        <f t="shared" si="558"/>
        <v>3.3</v>
      </c>
      <c r="BC168" s="440">
        <f t="shared" si="559"/>
        <v>3.3</v>
      </c>
      <c r="BD168" s="440">
        <f t="shared" si="560"/>
        <v>3.3</v>
      </c>
      <c r="BE168" s="440">
        <f t="shared" si="561"/>
        <v>3.3</v>
      </c>
      <c r="BF168" s="440">
        <f t="shared" si="562"/>
        <v>3.3</v>
      </c>
      <c r="BG168" s="440">
        <f t="shared" si="563"/>
        <v>3.3</v>
      </c>
      <c r="BH168" s="440">
        <f t="shared" si="564"/>
        <v>3.3</v>
      </c>
      <c r="BI168" s="440">
        <f t="shared" si="565"/>
        <v>3.3</v>
      </c>
      <c r="BJ168" s="440">
        <f t="shared" si="566"/>
        <v>3.3</v>
      </c>
      <c r="BK168" s="440">
        <f t="shared" si="567"/>
        <v>3.3</v>
      </c>
      <c r="BL168" s="440">
        <f t="shared" si="568"/>
        <v>3.3</v>
      </c>
    </row>
    <row r="169" spans="1:64">
      <c r="A169" t="str">
        <v>c. Kerusakan Peralatan Distribusi (PHB TM dan Trafo) Sesuai Kewenangan</v>
      </c>
      <c r="B169">
        <v>2</v>
      </c>
      <c r="C169" t="str">
        <v>Kerusakan Peralatan Distribusi (PHB TM dan Trafo) Sesuai Kewenangan</v>
      </c>
      <c r="D169" s="105" t="s">
        <v>456</v>
      </c>
      <c r="E169" t="str">
        <v>Kerusakan Peralatan Distribusi (PHB TM dan Trafo) Sesuai Kewenangan</v>
      </c>
      <c r="G169">
        <v>0</v>
      </c>
      <c r="H169">
        <v>0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T169" t="str">
        <v>Kerusakan Peralatan Distribusi (PHB TM dan Trafo) Sesuai Kewenangan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I169" t="str">
        <v>Kerusakan Peralatan Distribusi (PHB TM dan Trafo) Sesuai Kewenangan</v>
      </c>
      <c r="AK169" s="440">
        <f t="shared" ref="AK169:AK171" si="641">IFERROR(IF((2-(V169/G169))*100&gt;110,110,(2-(V169/G169))*100),100)</f>
        <v>100</v>
      </c>
      <c r="AL169" s="440">
        <f t="shared" ref="AL169:AL171" si="642">IFERROR(IF((2-(W169/H169))*100&gt;110,110,(2-(W169/H169))*100),100)</f>
        <v>100</v>
      </c>
      <c r="AM169" s="440">
        <f t="shared" ref="AM169:AM171" si="643">IFERROR(IF((2-(X169/I169))*100&gt;110,110,(2-(X169/I169))*100),100)</f>
        <v>110</v>
      </c>
      <c r="AN169" s="440">
        <f t="shared" ref="AN169:AN171" si="644">IFERROR(IF((2-(Y169/J169))*100&gt;110,110,(2-(Y169/J169))*100),100)</f>
        <v>110</v>
      </c>
      <c r="AO169" s="440">
        <f t="shared" ref="AO169:AO171" si="645">IFERROR(IF((2-(Z169/K169))*100&gt;110,110,(2-(Z169/K169))*100),100)</f>
        <v>110</v>
      </c>
      <c r="AP169" s="440">
        <f t="shared" ref="AP169:AP171" si="646">IFERROR(IF((2-(AA169/L169))*100&gt;110,110,(2-(AA169/L169))*100),100)</f>
        <v>110</v>
      </c>
      <c r="AQ169" s="440">
        <f t="shared" ref="AQ169:AQ171" si="647">IFERROR(IF((2-(AB169/M169))*100&gt;110,110,(2-(AB169/M169))*100),100)</f>
        <v>110</v>
      </c>
      <c r="AR169" s="440">
        <f t="shared" ref="AR169:AR171" si="648">IFERROR(IF((2-(AC169/N169))*100&gt;110,110,(2-(AC169/N169))*100),100)</f>
        <v>110</v>
      </c>
      <c r="AS169" s="440">
        <f t="shared" ref="AS169:AS171" si="649">IFERROR(IF((2-(AD169/O169))*100&gt;110,110,(2-(AD169/O169))*100),100)</f>
        <v>110</v>
      </c>
      <c r="AT169" s="440">
        <f t="shared" ref="AT169:AT171" si="650">IFERROR(IF((2-(AE169/P169))*100&gt;110,110,(2-(AE169/P169))*100),100)</f>
        <v>110</v>
      </c>
      <c r="AU169" s="440">
        <f t="shared" ref="AU169:AU171" si="651">IFERROR(IF((2-(AF169/Q169))*100&gt;110,110,(2-(AF169/Q169))*100),100)</f>
        <v>110</v>
      </c>
      <c r="AV169" s="440">
        <f t="shared" ref="AV169:AV171" si="652">IFERROR(IF((2-(AG169/R169))*100&gt;110,110,(2-(AG169/R169))*100),100)</f>
        <v>110</v>
      </c>
      <c r="AX169" t="str">
        <v>Kerusakan Peralatan Distribusi (PHB TM dan Trafo) Sesuai Kewenangan</v>
      </c>
      <c r="AY169" s="105" t="s">
        <v>452</v>
      </c>
      <c r="AZ169">
        <v>3</v>
      </c>
      <c r="BA169" s="440">
        <f t="shared" si="557"/>
        <v>3</v>
      </c>
      <c r="BB169" s="440">
        <f t="shared" si="558"/>
        <v>3</v>
      </c>
      <c r="BC169" s="440">
        <f t="shared" si="559"/>
        <v>3.3</v>
      </c>
      <c r="BD169" s="440">
        <f t="shared" si="560"/>
        <v>3.3</v>
      </c>
      <c r="BE169" s="440">
        <f t="shared" si="561"/>
        <v>3.3</v>
      </c>
      <c r="BF169" s="440">
        <f t="shared" si="562"/>
        <v>3.3</v>
      </c>
      <c r="BG169" s="440">
        <f t="shared" si="563"/>
        <v>3.3</v>
      </c>
      <c r="BH169" s="440">
        <f t="shared" si="564"/>
        <v>3.3</v>
      </c>
      <c r="BI169" s="440">
        <f t="shared" si="565"/>
        <v>3.3</v>
      </c>
      <c r="BJ169" s="440">
        <f t="shared" si="566"/>
        <v>3.3</v>
      </c>
      <c r="BK169" s="440">
        <f t="shared" si="567"/>
        <v>3.3</v>
      </c>
      <c r="BL169" s="440">
        <f t="shared" si="568"/>
        <v>3.3</v>
      </c>
    </row>
    <row r="170" spans="1:64">
      <c r="A170" t="str">
        <v>a. Feedback Rating Negatif pada PLN Mobile - Gangguan</v>
      </c>
      <c r="B170">
        <v>2</v>
      </c>
      <c r="C170" t="str">
        <v>Feedback Rating Negatif pada PLN Mobile - Gangguan</v>
      </c>
      <c r="D170" s="105" t="s">
        <v>456</v>
      </c>
      <c r="E170" t="str">
        <v>Feedback Rating Negatif pada PLN Mobile - Gangguan</v>
      </c>
      <c r="G170">
        <v>0.09</v>
      </c>
      <c r="H170">
        <v>0.09</v>
      </c>
      <c r="I170">
        <v>0.09</v>
      </c>
      <c r="J170">
        <v>0.09</v>
      </c>
      <c r="K170">
        <v>0.09</v>
      </c>
      <c r="L170">
        <v>0.09</v>
      </c>
      <c r="M170">
        <v>0.09</v>
      </c>
      <c r="N170">
        <v>0.09</v>
      </c>
      <c r="O170">
        <v>0.09</v>
      </c>
      <c r="P170">
        <v>0.09</v>
      </c>
      <c r="Q170">
        <v>0.09</v>
      </c>
      <c r="R170">
        <v>0.09</v>
      </c>
      <c r="T170" t="str">
        <v>Feedback Rating Negatif pada PLN Mobile - Gangguan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I170" t="str">
        <v>Feedback Rating Negatif pada PLN Mobile - Gangguan</v>
      </c>
      <c r="AK170" s="440">
        <f t="shared" si="641"/>
        <v>110</v>
      </c>
      <c r="AL170" s="440">
        <f t="shared" si="642"/>
        <v>110</v>
      </c>
      <c r="AM170" s="440">
        <f t="shared" si="643"/>
        <v>110</v>
      </c>
      <c r="AN170" s="440">
        <f t="shared" si="644"/>
        <v>110</v>
      </c>
      <c r="AO170" s="440">
        <f t="shared" si="645"/>
        <v>110</v>
      </c>
      <c r="AP170" s="440">
        <f t="shared" si="646"/>
        <v>110</v>
      </c>
      <c r="AQ170" s="440">
        <f t="shared" si="647"/>
        <v>110</v>
      </c>
      <c r="AR170" s="440">
        <f t="shared" si="648"/>
        <v>110</v>
      </c>
      <c r="AS170" s="440">
        <f t="shared" si="649"/>
        <v>110</v>
      </c>
      <c r="AT170" s="440">
        <f t="shared" si="650"/>
        <v>110</v>
      </c>
      <c r="AU170" s="440">
        <f t="shared" si="651"/>
        <v>110</v>
      </c>
      <c r="AV170" s="440">
        <f t="shared" si="652"/>
        <v>110</v>
      </c>
      <c r="AX170" t="str">
        <v>Feedback Rating Negatif pada PLN Mobile - Gangguan</v>
      </c>
      <c r="AY170" s="105" t="s">
        <v>452</v>
      </c>
      <c r="AZ170">
        <v>2</v>
      </c>
      <c r="BA170" s="440">
        <f t="shared" si="557"/>
        <v>2.2000000000000002</v>
      </c>
      <c r="BB170" s="440">
        <f t="shared" si="558"/>
        <v>2.2000000000000002</v>
      </c>
      <c r="BC170" s="440">
        <f t="shared" si="559"/>
        <v>2.2000000000000002</v>
      </c>
      <c r="BD170" s="440">
        <f t="shared" si="560"/>
        <v>2.2000000000000002</v>
      </c>
      <c r="BE170" s="440">
        <f t="shared" si="561"/>
        <v>2.2000000000000002</v>
      </c>
      <c r="BF170" s="440">
        <f t="shared" si="562"/>
        <v>2.2000000000000002</v>
      </c>
      <c r="BG170" s="440">
        <f t="shared" si="563"/>
        <v>2.2000000000000002</v>
      </c>
      <c r="BH170" s="440">
        <f t="shared" si="564"/>
        <v>2.2000000000000002</v>
      </c>
      <c r="BI170" s="440">
        <f t="shared" si="565"/>
        <v>2.2000000000000002</v>
      </c>
      <c r="BJ170" s="440">
        <f t="shared" si="566"/>
        <v>2.2000000000000002</v>
      </c>
      <c r="BK170" s="440">
        <f t="shared" si="567"/>
        <v>2.2000000000000002</v>
      </c>
      <c r="BL170" s="440">
        <f t="shared" si="568"/>
        <v>2.2000000000000002</v>
      </c>
    </row>
    <row r="171" spans="1:64">
      <c r="A171" t="str">
        <v>b. Pengaduan Gangguan Berulang pada PLN Mobile</v>
      </c>
      <c r="B171">
        <v>2</v>
      </c>
      <c r="C171" t="str">
        <v>Pengaduan Gangguan Berulang pada PLN Mobile</v>
      </c>
      <c r="D171" s="105" t="s">
        <v>456</v>
      </c>
      <c r="E171" t="str">
        <v>Pengaduan Gangguan Berulang pada PLN Mobile</v>
      </c>
      <c r="G171">
        <v>0.04</v>
      </c>
      <c r="H171">
        <v>0.04</v>
      </c>
      <c r="I171">
        <v>0.04</v>
      </c>
      <c r="J171">
        <v>0.04</v>
      </c>
      <c r="K171">
        <v>0.04</v>
      </c>
      <c r="L171">
        <v>0.04</v>
      </c>
      <c r="M171">
        <v>0.04</v>
      </c>
      <c r="N171">
        <v>0.04</v>
      </c>
      <c r="O171">
        <v>0.04</v>
      </c>
      <c r="P171">
        <v>0.04</v>
      </c>
      <c r="Q171">
        <v>0.04</v>
      </c>
      <c r="R171">
        <v>0.04</v>
      </c>
      <c r="T171" t="str">
        <v>Pengaduan Gangguan Berulang pada PLN Mobile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3.0349013657056147E-2</v>
      </c>
      <c r="AG171">
        <v>3.0349013657056147E-2</v>
      </c>
      <c r="AI171" t="str">
        <v>Pengaduan Gangguan Berulang pada PLN Mobile</v>
      </c>
      <c r="AK171" s="440">
        <f t="shared" si="641"/>
        <v>110</v>
      </c>
      <c r="AL171" s="440">
        <f t="shared" si="642"/>
        <v>110</v>
      </c>
      <c r="AM171" s="440">
        <f t="shared" si="643"/>
        <v>110</v>
      </c>
      <c r="AN171" s="440">
        <f t="shared" si="644"/>
        <v>110</v>
      </c>
      <c r="AO171" s="440">
        <f t="shared" si="645"/>
        <v>110</v>
      </c>
      <c r="AP171" s="440">
        <f t="shared" si="646"/>
        <v>110</v>
      </c>
      <c r="AQ171" s="440">
        <f t="shared" si="647"/>
        <v>110</v>
      </c>
      <c r="AR171" s="440">
        <f t="shared" si="648"/>
        <v>110</v>
      </c>
      <c r="AS171" s="440">
        <f t="shared" si="649"/>
        <v>110</v>
      </c>
      <c r="AT171" s="440">
        <f t="shared" si="650"/>
        <v>110</v>
      </c>
      <c r="AU171" s="440">
        <f t="shared" si="651"/>
        <v>110</v>
      </c>
      <c r="AV171" s="440">
        <f t="shared" si="652"/>
        <v>110</v>
      </c>
      <c r="AX171" t="str">
        <v>Pengaduan Gangguan Berulang pada PLN Mobile</v>
      </c>
      <c r="AY171" s="105" t="s">
        <v>452</v>
      </c>
      <c r="AZ171">
        <v>2</v>
      </c>
      <c r="BA171" s="440">
        <f t="shared" si="557"/>
        <v>2.2000000000000002</v>
      </c>
      <c r="BB171" s="440">
        <f t="shared" si="558"/>
        <v>2.2000000000000002</v>
      </c>
      <c r="BC171" s="440">
        <f t="shared" si="559"/>
        <v>2.2000000000000002</v>
      </c>
      <c r="BD171" s="440">
        <f t="shared" si="560"/>
        <v>2.2000000000000002</v>
      </c>
      <c r="BE171" s="440">
        <f t="shared" si="561"/>
        <v>2.2000000000000002</v>
      </c>
      <c r="BF171" s="440">
        <f t="shared" si="562"/>
        <v>2.2000000000000002</v>
      </c>
      <c r="BG171" s="440">
        <f t="shared" si="563"/>
        <v>2.2000000000000002</v>
      </c>
      <c r="BH171" s="440">
        <f t="shared" si="564"/>
        <v>2.2000000000000002</v>
      </c>
      <c r="BI171" s="440">
        <f t="shared" si="565"/>
        <v>2.2000000000000002</v>
      </c>
      <c r="BJ171" s="440">
        <f t="shared" si="566"/>
        <v>2.2000000000000002</v>
      </c>
      <c r="BK171" s="440">
        <f t="shared" si="567"/>
        <v>2.2000000000000002</v>
      </c>
      <c r="BL171" s="440">
        <f t="shared" si="568"/>
        <v>2.2000000000000002</v>
      </c>
    </row>
    <row r="172" spans="1:64">
      <c r="A172" t="str">
        <v>c. Rating PLN Mobile</v>
      </c>
      <c r="B172">
        <v>2</v>
      </c>
      <c r="C172" t="str">
        <v>Rating PLN Mobile</v>
      </c>
      <c r="D172" s="105" t="s">
        <v>456</v>
      </c>
      <c r="E172" t="str">
        <v>Rating PLN Mobile</v>
      </c>
      <c r="G172">
        <v>4.9000000000000004</v>
      </c>
      <c r="H172">
        <v>4.9000000000000004</v>
      </c>
      <c r="I172">
        <v>4.9000000000000004</v>
      </c>
      <c r="J172">
        <v>4.9000000000000004</v>
      </c>
      <c r="K172">
        <v>4.9000000000000004</v>
      </c>
      <c r="L172">
        <v>4.9000000000000004</v>
      </c>
      <c r="M172">
        <v>4.9000000000000004</v>
      </c>
      <c r="N172">
        <v>4.9000000000000004</v>
      </c>
      <c r="O172">
        <v>4.9000000000000004</v>
      </c>
      <c r="P172">
        <v>4.9000000000000004</v>
      </c>
      <c r="Q172">
        <v>4.9000000000000004</v>
      </c>
      <c r="R172">
        <v>4.9000000000000004</v>
      </c>
      <c r="T172" t="str">
        <v>Rating PLN Mobile</v>
      </c>
      <c r="V172">
        <v>4.91</v>
      </c>
      <c r="W172">
        <v>4.91</v>
      </c>
      <c r="X172">
        <v>4.91</v>
      </c>
      <c r="Y172">
        <v>4.91</v>
      </c>
      <c r="Z172">
        <v>4.9000000000000004</v>
      </c>
      <c r="AA172">
        <v>4.9000000000000004</v>
      </c>
      <c r="AB172">
        <v>4.9000000000000004</v>
      </c>
      <c r="AC172">
        <v>4.9000000000000004</v>
      </c>
      <c r="AD172">
        <v>4.9000000000000004</v>
      </c>
      <c r="AE172">
        <v>4.9000000000000004</v>
      </c>
      <c r="AF172">
        <v>4.9000000000000004</v>
      </c>
      <c r="AG172">
        <v>4.9000000000000004</v>
      </c>
      <c r="AI172" t="str">
        <v>Rating PLN Mobile</v>
      </c>
      <c r="AK172" s="440">
        <f t="shared" ref="AK172:AK173" si="653">IF(V172/G172*100&gt;110,110,V172/G172*100)</f>
        <v>100.20408163265306</v>
      </c>
      <c r="AL172" s="440">
        <f t="shared" ref="AL172:AL173" si="654">IF(W172/H172*100&gt;110,110,W172/H172*100)</f>
        <v>100.20408163265306</v>
      </c>
      <c r="AM172" s="440">
        <f t="shared" ref="AM172:AM173" si="655">IF(X172/I172*100&gt;110,110,X172/I172*100)</f>
        <v>100.20408163265306</v>
      </c>
      <c r="AN172" s="440">
        <f t="shared" ref="AN172:AN173" si="656">IF(Y172/J172*100&gt;110,110,Y172/J172*100)</f>
        <v>100.20408163265306</v>
      </c>
      <c r="AO172" s="440">
        <f t="shared" ref="AO172:AO173" si="657">IF(Z172/K172*100&gt;110,110,Z172/K172*100)</f>
        <v>100</v>
      </c>
      <c r="AP172" s="440">
        <f t="shared" ref="AP172:AP173" si="658">IF(AA172/L172*100&gt;110,110,AA172/L172*100)</f>
        <v>100</v>
      </c>
      <c r="AQ172" s="440">
        <f t="shared" ref="AQ172:AQ173" si="659">IF(AB172/M172*100&gt;110,110,AB172/M172*100)</f>
        <v>100</v>
      </c>
      <c r="AR172" s="440">
        <f t="shared" ref="AR172:AR173" si="660">IF(AC172/N172*100&gt;110,110,AC172/N172*100)</f>
        <v>100</v>
      </c>
      <c r="AS172" s="440">
        <f t="shared" ref="AS172:AS173" si="661">IF(AD172/O172*100&gt;110,110,AD172/O172*100)</f>
        <v>100</v>
      </c>
      <c r="AT172" s="440">
        <f t="shared" ref="AT172:AT173" si="662">IF(AE172/P172*100&gt;110,110,AE172/P172*100)</f>
        <v>100</v>
      </c>
      <c r="AU172" s="440">
        <f t="shared" ref="AU172:AU173" si="663">IF(AF172/Q172*100&gt;110,110,AF172/Q172*100)</f>
        <v>100</v>
      </c>
      <c r="AV172" s="440">
        <f t="shared" ref="AV172:AV173" si="664">IF(AG172/R172*100&gt;110,110,AG172/R172*100)</f>
        <v>100</v>
      </c>
      <c r="AX172" t="str">
        <v>Rating PLN Mobile</v>
      </c>
      <c r="AY172" s="105" t="s">
        <v>452</v>
      </c>
      <c r="AZ172">
        <v>2</v>
      </c>
      <c r="BA172" s="440">
        <f t="shared" si="557"/>
        <v>2</v>
      </c>
      <c r="BB172" s="440">
        <f t="shared" si="558"/>
        <v>2</v>
      </c>
      <c r="BC172" s="440">
        <f t="shared" si="559"/>
        <v>2</v>
      </c>
      <c r="BD172" s="440">
        <f t="shared" si="560"/>
        <v>2</v>
      </c>
      <c r="BE172" s="440">
        <f t="shared" si="561"/>
        <v>2</v>
      </c>
      <c r="BF172" s="440">
        <f t="shared" si="562"/>
        <v>2</v>
      </c>
      <c r="BG172" s="440">
        <f t="shared" si="563"/>
        <v>2</v>
      </c>
      <c r="BH172" s="440">
        <f t="shared" si="564"/>
        <v>2</v>
      </c>
      <c r="BI172" s="440">
        <f t="shared" si="565"/>
        <v>2</v>
      </c>
      <c r="BJ172" s="440">
        <f t="shared" si="566"/>
        <v>2</v>
      </c>
      <c r="BK172" s="440">
        <f t="shared" si="567"/>
        <v>2</v>
      </c>
      <c r="BL172" s="440">
        <f t="shared" si="568"/>
        <v>2</v>
      </c>
    </row>
    <row r="173" spans="1:64">
      <c r="A173" t="str">
        <v>d. Jumlah Kali Transaksi Keuangan melalui PLN Mobile</v>
      </c>
      <c r="B173">
        <v>2</v>
      </c>
      <c r="C173" t="str">
        <v>Jumlah Kali Transaksi Keuangan melalui PLN Mobile</v>
      </c>
      <c r="D173" s="105" t="s">
        <v>456</v>
      </c>
      <c r="E173" t="str">
        <v>Jumlah Kali Transaksi Keuangan melalui PLN Mobile</v>
      </c>
      <c r="G173">
        <v>1826</v>
      </c>
      <c r="H173">
        <v>3476</v>
      </c>
      <c r="I173">
        <v>5303</v>
      </c>
      <c r="J173">
        <v>7070</v>
      </c>
      <c r="K173">
        <v>8896</v>
      </c>
      <c r="L173">
        <v>10664</v>
      </c>
      <c r="M173">
        <v>11862</v>
      </c>
      <c r="N173">
        <v>13060</v>
      </c>
      <c r="O173">
        <v>14219</v>
      </c>
      <c r="P173">
        <v>15417</v>
      </c>
      <c r="Q173">
        <v>16576</v>
      </c>
      <c r="R173">
        <v>17774</v>
      </c>
      <c r="T173" t="str">
        <v>Jumlah Kali Transaksi Keuangan melalui PLN Mobile</v>
      </c>
      <c r="V173">
        <v>1054</v>
      </c>
      <c r="W173">
        <v>2171</v>
      </c>
      <c r="X173">
        <v>5189</v>
      </c>
      <c r="Y173">
        <v>7623</v>
      </c>
      <c r="Z173">
        <v>10199</v>
      </c>
      <c r="AA173">
        <v>12631</v>
      </c>
      <c r="AB173">
        <v>15277</v>
      </c>
      <c r="AC173">
        <v>16938</v>
      </c>
      <c r="AD173">
        <v>18553</v>
      </c>
      <c r="AE173">
        <v>20118</v>
      </c>
      <c r="AF173">
        <v>0</v>
      </c>
      <c r="AG173">
        <v>0</v>
      </c>
      <c r="AI173" t="str">
        <v>Jumlah Kali Transaksi Keuangan melalui PLN Mobile</v>
      </c>
      <c r="AK173" s="440">
        <f t="shared" si="653"/>
        <v>57.721796276013151</v>
      </c>
      <c r="AL173" s="440">
        <f t="shared" si="654"/>
        <v>62.456846950517843</v>
      </c>
      <c r="AM173" s="440">
        <f t="shared" si="655"/>
        <v>97.850273430133882</v>
      </c>
      <c r="AN173" s="440">
        <f t="shared" si="656"/>
        <v>107.82178217821783</v>
      </c>
      <c r="AO173" s="440">
        <f t="shared" si="657"/>
        <v>110</v>
      </c>
      <c r="AP173" s="440">
        <f t="shared" si="658"/>
        <v>110</v>
      </c>
      <c r="AQ173" s="440">
        <f t="shared" si="659"/>
        <v>110</v>
      </c>
      <c r="AR173" s="440">
        <f t="shared" si="660"/>
        <v>110</v>
      </c>
      <c r="AS173" s="440">
        <f t="shared" si="661"/>
        <v>110</v>
      </c>
      <c r="AT173" s="440">
        <f t="shared" si="662"/>
        <v>110</v>
      </c>
      <c r="AU173" s="440">
        <f t="shared" si="663"/>
        <v>0</v>
      </c>
      <c r="AV173" s="440">
        <f t="shared" si="664"/>
        <v>0</v>
      </c>
      <c r="AX173" t="str">
        <v>Jumlah Kali Transaksi Keuangan melalui PLN Mobile</v>
      </c>
      <c r="AY173" s="105" t="s">
        <v>452</v>
      </c>
      <c r="AZ173">
        <v>2</v>
      </c>
      <c r="BA173" s="440">
        <f t="shared" si="557"/>
        <v>1.1499999999999999</v>
      </c>
      <c r="BB173" s="440">
        <f t="shared" si="558"/>
        <v>1.24</v>
      </c>
      <c r="BC173" s="440">
        <f t="shared" si="559"/>
        <v>1.95</v>
      </c>
      <c r="BD173" s="440">
        <f t="shared" si="560"/>
        <v>2.15</v>
      </c>
      <c r="BE173" s="440">
        <f t="shared" si="561"/>
        <v>2.2000000000000002</v>
      </c>
      <c r="BF173" s="440">
        <f t="shared" si="562"/>
        <v>2.2000000000000002</v>
      </c>
      <c r="BG173" s="440">
        <f t="shared" si="563"/>
        <v>2.2000000000000002</v>
      </c>
      <c r="BH173" s="440">
        <f t="shared" si="564"/>
        <v>2.2000000000000002</v>
      </c>
      <c r="BI173" s="440">
        <f t="shared" si="565"/>
        <v>2.2000000000000002</v>
      </c>
      <c r="BJ173" s="440">
        <f t="shared" si="566"/>
        <v>2.2000000000000002</v>
      </c>
      <c r="BK173" s="440">
        <f t="shared" si="567"/>
        <v>0</v>
      </c>
      <c r="BL173" s="440">
        <f t="shared" si="568"/>
        <v>0</v>
      </c>
    </row>
    <row r="174" spans="1:64">
      <c r="A174" t="str">
        <v>a. Response Time atas Gangguan (diluar Clear Tamper)</v>
      </c>
      <c r="B174">
        <v>2</v>
      </c>
      <c r="C174" t="str">
        <v>Response Time atas Gangguan (diluar Clear Tamper)</v>
      </c>
      <c r="D174" s="105" t="s">
        <v>456</v>
      </c>
      <c r="E174" t="str">
        <v>Response Time atas Gangguan (diluar Clear Tamper)</v>
      </c>
      <c r="G174">
        <v>30</v>
      </c>
      <c r="H174">
        <v>30</v>
      </c>
      <c r="I174">
        <v>30</v>
      </c>
      <c r="J174">
        <v>30</v>
      </c>
      <c r="K174">
        <v>30</v>
      </c>
      <c r="L174">
        <v>30</v>
      </c>
      <c r="M174">
        <v>30</v>
      </c>
      <c r="N174">
        <v>30</v>
      </c>
      <c r="O174">
        <v>30</v>
      </c>
      <c r="P174">
        <v>30</v>
      </c>
      <c r="Q174">
        <v>30</v>
      </c>
      <c r="R174">
        <v>30</v>
      </c>
      <c r="T174" t="str">
        <v>Response Time atas Gangguan (diluar Clear Tamper)</v>
      </c>
      <c r="V174">
        <v>6.2834097859327196</v>
      </c>
      <c r="W174">
        <v>6.3765533778148438</v>
      </c>
      <c r="X174">
        <v>6.4610717515751759</v>
      </c>
      <c r="Y174">
        <v>6.5008917231226153</v>
      </c>
      <c r="Z174">
        <v>7.8207133784980929</v>
      </c>
      <c r="AA174">
        <v>7.9532516180450692</v>
      </c>
      <c r="AB174">
        <v>8.0479217891500525</v>
      </c>
      <c r="AC174">
        <v>8.3654567384501846</v>
      </c>
      <c r="AD174">
        <v>8.7027642371561775</v>
      </c>
      <c r="AE174">
        <v>8.973954579907625</v>
      </c>
      <c r="AF174">
        <v>8.973954579907625</v>
      </c>
      <c r="AG174">
        <v>8.973954579907625</v>
      </c>
      <c r="AI174" t="str">
        <v>Response Time atas Gangguan (diluar Clear Tamper)</v>
      </c>
      <c r="AK174" s="440">
        <f t="shared" ref="AK174" si="665">IFERROR(IF((2-(V174/G174))*100&gt;110,110,(2-(V174/G174))*100),100)</f>
        <v>110</v>
      </c>
      <c r="AL174" s="440">
        <f t="shared" ref="AL174" si="666">IFERROR(IF((2-(W174/H174))*100&gt;110,110,(2-(W174/H174))*100),100)</f>
        <v>110</v>
      </c>
      <c r="AM174" s="440">
        <f t="shared" ref="AM174" si="667">IFERROR(IF((2-(X174/I174))*100&gt;110,110,(2-(X174/I174))*100),100)</f>
        <v>110</v>
      </c>
      <c r="AN174" s="440">
        <f t="shared" ref="AN174" si="668">IFERROR(IF((2-(Y174/J174))*100&gt;110,110,(2-(Y174/J174))*100),100)</f>
        <v>110</v>
      </c>
      <c r="AO174" s="440">
        <f t="shared" ref="AO174" si="669">IFERROR(IF((2-(Z174/K174))*100&gt;110,110,(2-(Z174/K174))*100),100)</f>
        <v>110</v>
      </c>
      <c r="AP174" s="440">
        <f t="shared" ref="AP174" si="670">IFERROR(IF((2-(AA174/L174))*100&gt;110,110,(2-(AA174/L174))*100),100)</f>
        <v>110</v>
      </c>
      <c r="AQ174" s="440">
        <f t="shared" ref="AQ174" si="671">IFERROR(IF((2-(AB174/M174))*100&gt;110,110,(2-(AB174/M174))*100),100)</f>
        <v>110</v>
      </c>
      <c r="AR174" s="440">
        <f t="shared" ref="AR174" si="672">IFERROR(IF((2-(AC174/N174))*100&gt;110,110,(2-(AC174/N174))*100),100)</f>
        <v>110</v>
      </c>
      <c r="AS174" s="440">
        <f t="shared" ref="AS174" si="673">IFERROR(IF((2-(AD174/O174))*100&gt;110,110,(2-(AD174/O174))*100),100)</f>
        <v>110</v>
      </c>
      <c r="AT174" s="440">
        <f t="shared" ref="AT174" si="674">IFERROR(IF((2-(AE174/P174))*100&gt;110,110,(2-(AE174/P174))*100),100)</f>
        <v>110</v>
      </c>
      <c r="AU174" s="440">
        <f t="shared" ref="AU174" si="675">IFERROR(IF((2-(AF174/Q174))*100&gt;110,110,(2-(AF174/Q174))*100),100)</f>
        <v>110</v>
      </c>
      <c r="AV174" s="440">
        <f t="shared" ref="AV174" si="676">IFERROR(IF((2-(AG174/R174))*100&gt;110,110,(2-(AG174/R174))*100),100)</f>
        <v>110</v>
      </c>
      <c r="AX174" t="str">
        <v>Response Time atas Gangguan (diluar Clear Tamper)</v>
      </c>
      <c r="AY174" s="105" t="s">
        <v>452</v>
      </c>
      <c r="AZ174">
        <v>1.5</v>
      </c>
      <c r="BA174" s="440">
        <f t="shared" si="557"/>
        <v>1.65</v>
      </c>
      <c r="BB174" s="440">
        <f t="shared" si="558"/>
        <v>1.65</v>
      </c>
      <c r="BC174" s="440">
        <f t="shared" si="559"/>
        <v>1.65</v>
      </c>
      <c r="BD174" s="440">
        <f t="shared" si="560"/>
        <v>1.65</v>
      </c>
      <c r="BE174" s="440">
        <f t="shared" si="561"/>
        <v>1.65</v>
      </c>
      <c r="BF174" s="440">
        <f t="shared" si="562"/>
        <v>1.65</v>
      </c>
      <c r="BG174" s="440">
        <f t="shared" si="563"/>
        <v>1.65</v>
      </c>
      <c r="BH174" s="440">
        <f t="shared" si="564"/>
        <v>1.65</v>
      </c>
      <c r="BI174" s="440">
        <f t="shared" si="565"/>
        <v>1.65</v>
      </c>
      <c r="BJ174" s="440">
        <f t="shared" si="566"/>
        <v>1.65</v>
      </c>
      <c r="BK174" s="440">
        <f t="shared" si="567"/>
        <v>1.65</v>
      </c>
      <c r="BL174" s="440">
        <f t="shared" si="568"/>
        <v>1.65</v>
      </c>
    </row>
    <row r="175" spans="1:64">
      <c r="A175" t="str">
        <v>b. Success Rate Auto Dispatch Gangguan Individual (diluar Clear Tamper)</v>
      </c>
      <c r="B175">
        <v>2</v>
      </c>
      <c r="C175" t="str">
        <v>Success Rate Auto Dispatch Gangguan Individual (diluar Clear Tamper)</v>
      </c>
      <c r="D175" s="105" t="s">
        <v>456</v>
      </c>
      <c r="E175" t="str">
        <v>Success Rate Auto Dispatch Gangguan Individual (diluar Clear Tamper)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T175" t="str">
        <v>Success Rate Auto Dispatch Gangguan Individual (diluar Clear Tamper)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I175" t="str">
        <v>Success Rate Auto Dispatch Gangguan Individual (diluar Clear Tamper)</v>
      </c>
      <c r="AK175" s="440">
        <f t="shared" ref="AK175:AK186" si="677">IFERROR(IF(V175/G175*100&gt;110,110,V175/G175*100),100)</f>
        <v>100</v>
      </c>
      <c r="AL175" s="440">
        <f t="shared" ref="AL175:AL186" si="678">IFERROR(IF(W175/H175*100&gt;110,110,W175/H175*100),100)</f>
        <v>100</v>
      </c>
      <c r="AM175" s="440">
        <f t="shared" ref="AM175:AM186" si="679">IFERROR(IF(X175/I175*100&gt;110,110,X175/I175*100),100)</f>
        <v>100</v>
      </c>
      <c r="AN175" s="440">
        <f t="shared" ref="AN175:AN186" si="680">IFERROR(IF(Y175/J175*100&gt;110,110,Y175/J175*100),100)</f>
        <v>100</v>
      </c>
      <c r="AO175" s="440">
        <f t="shared" ref="AO175:AO186" si="681">IFERROR(IF(Z175/K175*100&gt;110,110,Z175/K175*100),100)</f>
        <v>100</v>
      </c>
      <c r="AP175" s="440">
        <f t="shared" ref="AP175:AP186" si="682">IFERROR(IF(AA175/L175*100&gt;110,110,AA175/L175*100),100)</f>
        <v>100</v>
      </c>
      <c r="AQ175" s="440">
        <f t="shared" ref="AQ175:AQ186" si="683">IFERROR(IF(AB175/M175*100&gt;110,110,AB175/M175*100),100)</f>
        <v>100</v>
      </c>
      <c r="AR175" s="440">
        <f t="shared" ref="AR175:AR186" si="684">IFERROR(IF(AC175/N175*100&gt;110,110,AC175/N175*100),100)</f>
        <v>100</v>
      </c>
      <c r="AS175" s="440">
        <f t="shared" ref="AS175:AS186" si="685">IFERROR(IF(AD175/O175*100&gt;110,110,AD175/O175*100),100)</f>
        <v>100</v>
      </c>
      <c r="AT175" s="440">
        <f t="shared" ref="AT175:AT186" si="686">IFERROR(IF(AE175/P175*100&gt;110,110,AE175/P175*100),100)</f>
        <v>100</v>
      </c>
      <c r="AU175" s="440">
        <f t="shared" ref="AU175:AU186" si="687">IFERROR(IF(AF175/Q175*100&gt;110,110,AF175/Q175*100),100)</f>
        <v>100</v>
      </c>
      <c r="AV175" s="440">
        <f t="shared" ref="AV175:AV186" si="688">IFERROR(IF(AG175/R175*100&gt;110,110,AG175/R175*100),100)</f>
        <v>100</v>
      </c>
      <c r="AX175" t="str">
        <v>Success Rate Auto Dispatch Gangguan Individual (diluar Clear Tamper)</v>
      </c>
      <c r="AY175" s="105" t="s">
        <v>452</v>
      </c>
      <c r="AZ175">
        <v>1.5</v>
      </c>
      <c r="BA175" s="440">
        <f t="shared" si="557"/>
        <v>1.5</v>
      </c>
      <c r="BB175" s="440">
        <f t="shared" si="558"/>
        <v>1.5</v>
      </c>
      <c r="BC175" s="440">
        <f t="shared" si="559"/>
        <v>1.5</v>
      </c>
      <c r="BD175" s="440">
        <f t="shared" si="560"/>
        <v>1.5</v>
      </c>
      <c r="BE175" s="440">
        <f t="shared" si="561"/>
        <v>1.5</v>
      </c>
      <c r="BF175" s="440">
        <f t="shared" si="562"/>
        <v>1.5</v>
      </c>
      <c r="BG175" s="440">
        <f t="shared" si="563"/>
        <v>1.5</v>
      </c>
      <c r="BH175" s="440">
        <f t="shared" si="564"/>
        <v>1.5</v>
      </c>
      <c r="BI175" s="440">
        <f t="shared" si="565"/>
        <v>1.5</v>
      </c>
      <c r="BJ175" s="440">
        <f t="shared" si="566"/>
        <v>1.5</v>
      </c>
      <c r="BK175" s="440">
        <f t="shared" si="567"/>
        <v>1.5</v>
      </c>
      <c r="BL175" s="440">
        <f t="shared" si="568"/>
        <v>1.5</v>
      </c>
    </row>
    <row r="176" spans="1:64">
      <c r="A176" t="str">
        <v>a. Recovery Time Gangguan Meluas TM</v>
      </c>
      <c r="B176">
        <v>2</v>
      </c>
      <c r="C176" t="str">
        <v>Recovery Time Gangguan Meluas TM</v>
      </c>
      <c r="D176" s="105" t="s">
        <v>456</v>
      </c>
      <c r="E176" t="str">
        <v>Recovery Time Gangguan Meluas TM</v>
      </c>
      <c r="G176">
        <v>100</v>
      </c>
      <c r="H176">
        <v>100</v>
      </c>
      <c r="I176">
        <v>100</v>
      </c>
      <c r="J176">
        <v>100</v>
      </c>
      <c r="K176">
        <v>100</v>
      </c>
      <c r="L176">
        <v>100</v>
      </c>
      <c r="M176">
        <v>100</v>
      </c>
      <c r="N176">
        <v>100</v>
      </c>
      <c r="O176">
        <v>100</v>
      </c>
      <c r="P176">
        <v>100</v>
      </c>
      <c r="Q176">
        <v>100</v>
      </c>
      <c r="R176">
        <v>100</v>
      </c>
      <c r="T176" t="str">
        <v>Recovery Time Gangguan Meluas TM</v>
      </c>
      <c r="V176">
        <v>108.25</v>
      </c>
      <c r="W176">
        <v>84.25</v>
      </c>
      <c r="X176">
        <v>101.25</v>
      </c>
      <c r="Y176">
        <v>107</v>
      </c>
      <c r="Z176">
        <v>109.5</v>
      </c>
      <c r="AA176">
        <v>109.5</v>
      </c>
      <c r="AB176">
        <v>109.5</v>
      </c>
      <c r="AC176">
        <v>110</v>
      </c>
      <c r="AD176">
        <v>110</v>
      </c>
      <c r="AE176">
        <v>110</v>
      </c>
      <c r="AF176">
        <v>0</v>
      </c>
      <c r="AG176">
        <v>0</v>
      </c>
      <c r="AI176" t="str">
        <v>Recovery Time Gangguan Meluas TM</v>
      </c>
      <c r="AK176" s="440">
        <f t="shared" si="677"/>
        <v>108.25</v>
      </c>
      <c r="AL176" s="440">
        <f t="shared" si="678"/>
        <v>84.25</v>
      </c>
      <c r="AM176" s="440">
        <f t="shared" si="679"/>
        <v>101.25</v>
      </c>
      <c r="AN176" s="440">
        <f t="shared" si="680"/>
        <v>107</v>
      </c>
      <c r="AO176" s="440">
        <f t="shared" si="681"/>
        <v>109.5</v>
      </c>
      <c r="AP176" s="440">
        <f t="shared" si="682"/>
        <v>109.5</v>
      </c>
      <c r="AQ176" s="440">
        <f t="shared" si="683"/>
        <v>109.5</v>
      </c>
      <c r="AR176" s="440">
        <f t="shared" si="684"/>
        <v>110.00000000000001</v>
      </c>
      <c r="AS176" s="440">
        <f t="shared" si="685"/>
        <v>110.00000000000001</v>
      </c>
      <c r="AT176" s="440">
        <f t="shared" si="686"/>
        <v>110.00000000000001</v>
      </c>
      <c r="AU176" s="440">
        <f t="shared" si="687"/>
        <v>0</v>
      </c>
      <c r="AV176" s="440">
        <f t="shared" si="688"/>
        <v>0</v>
      </c>
      <c r="AX176" t="str">
        <v>Recovery Time Gangguan Meluas TM</v>
      </c>
      <c r="AY176" s="105" t="s">
        <v>452</v>
      </c>
      <c r="AZ176">
        <v>3</v>
      </c>
      <c r="BA176" s="440">
        <f t="shared" si="557"/>
        <v>3.24</v>
      </c>
      <c r="BB176" s="440">
        <f t="shared" si="558"/>
        <v>2.52</v>
      </c>
      <c r="BC176" s="440">
        <f t="shared" si="559"/>
        <v>3.03</v>
      </c>
      <c r="BD176" s="440">
        <f t="shared" si="560"/>
        <v>3.21</v>
      </c>
      <c r="BE176" s="440">
        <f t="shared" si="561"/>
        <v>3.28</v>
      </c>
      <c r="BF176" s="440">
        <f t="shared" si="562"/>
        <v>3.28</v>
      </c>
      <c r="BG176" s="440">
        <f t="shared" si="563"/>
        <v>3.28</v>
      </c>
      <c r="BH176" s="440">
        <f t="shared" si="564"/>
        <v>3.3</v>
      </c>
      <c r="BI176" s="440">
        <f t="shared" si="565"/>
        <v>3.3</v>
      </c>
      <c r="BJ176" s="440">
        <f t="shared" si="566"/>
        <v>3.3</v>
      </c>
      <c r="BK176" s="440">
        <f t="shared" si="567"/>
        <v>0</v>
      </c>
      <c r="BL176" s="440">
        <f t="shared" si="568"/>
        <v>0</v>
      </c>
    </row>
    <row r="177" spans="1:64">
      <c r="A177" t="str">
        <v>b. Penormalan Siaga 1 Gangguan TM</v>
      </c>
      <c r="B177">
        <v>2</v>
      </c>
      <c r="C177" t="str">
        <v>Penormalan Siaga 1 Gangguan TM</v>
      </c>
      <c r="D177" s="105" t="s">
        <v>456</v>
      </c>
      <c r="E177" t="str">
        <v>Penormalan Siaga 1 Gangguan TM</v>
      </c>
      <c r="G177">
        <v>100</v>
      </c>
      <c r="H177">
        <v>100</v>
      </c>
      <c r="I177">
        <v>100</v>
      </c>
      <c r="J177">
        <v>100</v>
      </c>
      <c r="K177">
        <v>100</v>
      </c>
      <c r="L177">
        <v>100</v>
      </c>
      <c r="M177">
        <v>100</v>
      </c>
      <c r="N177">
        <v>100</v>
      </c>
      <c r="O177">
        <v>100</v>
      </c>
      <c r="P177">
        <v>100</v>
      </c>
      <c r="Q177">
        <v>100</v>
      </c>
      <c r="R177">
        <v>100</v>
      </c>
      <c r="T177" t="str">
        <v>Penormalan Siaga 1 Gangguan TM</v>
      </c>
      <c r="V177">
        <v>110</v>
      </c>
      <c r="W177">
        <v>110</v>
      </c>
      <c r="X177">
        <v>110</v>
      </c>
      <c r="Y177">
        <v>110</v>
      </c>
      <c r="Z177">
        <v>110</v>
      </c>
      <c r="AA177">
        <v>110</v>
      </c>
      <c r="AB177">
        <v>110</v>
      </c>
      <c r="AC177">
        <v>110</v>
      </c>
      <c r="AD177">
        <v>110</v>
      </c>
      <c r="AE177">
        <v>110</v>
      </c>
      <c r="AF177">
        <v>0</v>
      </c>
      <c r="AG177">
        <v>0</v>
      </c>
      <c r="AI177" t="str">
        <v>Penormalan Siaga 1 Gangguan TM</v>
      </c>
      <c r="AK177" s="440">
        <f t="shared" si="677"/>
        <v>110.00000000000001</v>
      </c>
      <c r="AL177" s="440">
        <f t="shared" si="678"/>
        <v>110.00000000000001</v>
      </c>
      <c r="AM177" s="440">
        <f t="shared" si="679"/>
        <v>110.00000000000001</v>
      </c>
      <c r="AN177" s="440">
        <f t="shared" si="680"/>
        <v>110.00000000000001</v>
      </c>
      <c r="AO177" s="440">
        <f t="shared" si="681"/>
        <v>110.00000000000001</v>
      </c>
      <c r="AP177" s="440">
        <f t="shared" si="682"/>
        <v>110.00000000000001</v>
      </c>
      <c r="AQ177" s="440">
        <f t="shared" si="683"/>
        <v>110.00000000000001</v>
      </c>
      <c r="AR177" s="440">
        <f t="shared" si="684"/>
        <v>110.00000000000001</v>
      </c>
      <c r="AS177" s="440">
        <f t="shared" si="685"/>
        <v>110.00000000000001</v>
      </c>
      <c r="AT177" s="440">
        <f t="shared" si="686"/>
        <v>110.00000000000001</v>
      </c>
      <c r="AU177" s="440">
        <f t="shared" si="687"/>
        <v>0</v>
      </c>
      <c r="AV177" s="440">
        <f t="shared" si="688"/>
        <v>0</v>
      </c>
      <c r="AX177" t="str">
        <v>Penormalan Siaga 1 Gangguan TM</v>
      </c>
      <c r="AY177" s="105" t="s">
        <v>452</v>
      </c>
      <c r="AZ177">
        <v>3</v>
      </c>
      <c r="BA177" s="440">
        <f t="shared" si="557"/>
        <v>3.3</v>
      </c>
      <c r="BB177" s="440">
        <f t="shared" si="558"/>
        <v>3.3</v>
      </c>
      <c r="BC177" s="440">
        <f t="shared" si="559"/>
        <v>3.3</v>
      </c>
      <c r="BD177" s="440">
        <f t="shared" si="560"/>
        <v>3.3</v>
      </c>
      <c r="BE177" s="440">
        <f t="shared" si="561"/>
        <v>3.3</v>
      </c>
      <c r="BF177" s="440">
        <f t="shared" si="562"/>
        <v>3.3</v>
      </c>
      <c r="BG177" s="440">
        <f t="shared" si="563"/>
        <v>3.3</v>
      </c>
      <c r="BH177" s="440">
        <f t="shared" si="564"/>
        <v>3.3</v>
      </c>
      <c r="BI177" s="440">
        <f t="shared" si="565"/>
        <v>3.3</v>
      </c>
      <c r="BJ177" s="440">
        <f t="shared" si="566"/>
        <v>3.3</v>
      </c>
      <c r="BK177" s="440">
        <f t="shared" si="567"/>
        <v>0</v>
      </c>
      <c r="BL177" s="440">
        <f t="shared" si="568"/>
        <v>0</v>
      </c>
    </row>
    <row r="178" spans="1:64">
      <c r="A178" t="str">
        <v>a. Penambahan Daya Tersambung</v>
      </c>
      <c r="B178">
        <v>2</v>
      </c>
      <c r="C178" t="str">
        <v>Penambahan Daya Tersambung</v>
      </c>
      <c r="D178" s="105" t="s">
        <v>456</v>
      </c>
      <c r="E178" t="str">
        <v>Penambahan Daya Tersambung</v>
      </c>
      <c r="G178">
        <v>0.19</v>
      </c>
      <c r="H178">
        <v>0.38</v>
      </c>
      <c r="I178">
        <v>0.59</v>
      </c>
      <c r="J178">
        <v>0.79</v>
      </c>
      <c r="K178">
        <v>1.0900000000000001</v>
      </c>
      <c r="L178">
        <v>1.38</v>
      </c>
      <c r="M178">
        <v>1.69</v>
      </c>
      <c r="N178">
        <v>1.99</v>
      </c>
      <c r="O178">
        <v>2.2799999999999998</v>
      </c>
      <c r="P178">
        <v>2.59</v>
      </c>
      <c r="Q178">
        <v>2.88</v>
      </c>
      <c r="R178">
        <v>3.49</v>
      </c>
      <c r="T178" t="str">
        <v>Penambahan Daya Tersambung</v>
      </c>
      <c r="V178">
        <v>0.11225</v>
      </c>
      <c r="W178">
        <v>0.23485</v>
      </c>
      <c r="X178">
        <v>0.34660000000000002</v>
      </c>
      <c r="Y178">
        <v>0.46213333333333334</v>
      </c>
      <c r="Z178">
        <v>0.58793333333333331</v>
      </c>
      <c r="AA178">
        <v>0.69793333333333329</v>
      </c>
      <c r="AB178">
        <v>0.8138333333333333</v>
      </c>
      <c r="AC178">
        <v>1.0222333333333333</v>
      </c>
      <c r="AD178">
        <v>1.1843333333333332</v>
      </c>
      <c r="AE178">
        <v>1.3987833333333333</v>
      </c>
      <c r="AF178">
        <v>0</v>
      </c>
      <c r="AG178">
        <v>0</v>
      </c>
      <c r="AI178" t="str">
        <v>Penambahan Daya Tersambung</v>
      </c>
      <c r="AK178" s="440">
        <f t="shared" si="677"/>
        <v>59.078947368421055</v>
      </c>
      <c r="AL178" s="440">
        <f t="shared" si="678"/>
        <v>61.802631578947363</v>
      </c>
      <c r="AM178" s="440">
        <f t="shared" si="679"/>
        <v>58.745762711864415</v>
      </c>
      <c r="AN178" s="440">
        <f t="shared" si="680"/>
        <v>58.497890295358644</v>
      </c>
      <c r="AO178" s="440">
        <f t="shared" si="681"/>
        <v>53.938837920489291</v>
      </c>
      <c r="AP178" s="440">
        <f t="shared" si="682"/>
        <v>50.574879227053138</v>
      </c>
      <c r="AQ178" s="440">
        <f t="shared" si="683"/>
        <v>48.155818540433927</v>
      </c>
      <c r="AR178" s="440">
        <f t="shared" si="684"/>
        <v>51.368509212730316</v>
      </c>
      <c r="AS178" s="440">
        <f t="shared" si="685"/>
        <v>51.94444444444445</v>
      </c>
      <c r="AT178" s="440">
        <f t="shared" si="686"/>
        <v>54.007078507078511</v>
      </c>
      <c r="AU178" s="440">
        <f t="shared" si="687"/>
        <v>0</v>
      </c>
      <c r="AV178" s="440">
        <f t="shared" si="688"/>
        <v>0</v>
      </c>
      <c r="AX178" t="str">
        <v>Penambahan Daya Tersambung</v>
      </c>
      <c r="AY178" s="105" t="s">
        <v>452</v>
      </c>
      <c r="AZ178">
        <v>3</v>
      </c>
      <c r="BA178" s="440">
        <f t="shared" si="557"/>
        <v>1.77</v>
      </c>
      <c r="BB178" s="440">
        <f t="shared" si="558"/>
        <v>1.85</v>
      </c>
      <c r="BC178" s="440">
        <f t="shared" si="559"/>
        <v>1.76</v>
      </c>
      <c r="BD178" s="440">
        <f t="shared" si="560"/>
        <v>1.75</v>
      </c>
      <c r="BE178" s="440">
        <f t="shared" si="561"/>
        <v>1.61</v>
      </c>
      <c r="BF178" s="440">
        <f t="shared" si="562"/>
        <v>1.51</v>
      </c>
      <c r="BG178" s="440">
        <f t="shared" si="563"/>
        <v>1.44</v>
      </c>
      <c r="BH178" s="440">
        <f t="shared" si="564"/>
        <v>1.54</v>
      </c>
      <c r="BI178" s="440">
        <f t="shared" si="565"/>
        <v>1.55</v>
      </c>
      <c r="BJ178" s="440">
        <f t="shared" si="566"/>
        <v>1.62</v>
      </c>
      <c r="BK178" s="440">
        <f t="shared" si="567"/>
        <v>0</v>
      </c>
      <c r="BL178" s="440">
        <f t="shared" si="568"/>
        <v>0</v>
      </c>
    </row>
    <row r="179" spans="1:64">
      <c r="A179" t="str">
        <v>b. Penambahan Jumlah Pelanggan</v>
      </c>
      <c r="B179">
        <v>2</v>
      </c>
      <c r="C179" t="str">
        <v>Penambahan Jumlah Pelanggan</v>
      </c>
      <c r="D179" s="105" t="s">
        <v>456</v>
      </c>
      <c r="E179" t="str">
        <v>Penambahan Jumlah Pelanggan</v>
      </c>
      <c r="G179">
        <v>154</v>
      </c>
      <c r="H179">
        <v>313</v>
      </c>
      <c r="I179">
        <v>480</v>
      </c>
      <c r="J179">
        <v>641</v>
      </c>
      <c r="K179">
        <v>888</v>
      </c>
      <c r="L179">
        <v>1127</v>
      </c>
      <c r="M179">
        <v>1374</v>
      </c>
      <c r="N179">
        <v>1621</v>
      </c>
      <c r="O179">
        <v>1860</v>
      </c>
      <c r="P179">
        <v>2107</v>
      </c>
      <c r="Q179">
        <v>2346</v>
      </c>
      <c r="R179">
        <v>2594</v>
      </c>
      <c r="T179" t="str">
        <v>Penambahan Jumlah Pelanggan</v>
      </c>
      <c r="V179">
        <v>62</v>
      </c>
      <c r="W179">
        <v>170</v>
      </c>
      <c r="X179">
        <v>263</v>
      </c>
      <c r="Y179">
        <v>366</v>
      </c>
      <c r="Z179">
        <v>447</v>
      </c>
      <c r="AA179">
        <v>554</v>
      </c>
      <c r="AB179">
        <v>639</v>
      </c>
      <c r="AC179">
        <v>775</v>
      </c>
      <c r="AD179">
        <v>898</v>
      </c>
      <c r="AE179">
        <v>1060</v>
      </c>
      <c r="AF179">
        <v>0</v>
      </c>
      <c r="AG179">
        <v>0</v>
      </c>
      <c r="AI179" t="str">
        <v>Penambahan Jumlah Pelanggan</v>
      </c>
      <c r="AK179" s="440">
        <f t="shared" si="677"/>
        <v>40.259740259740262</v>
      </c>
      <c r="AL179" s="440">
        <f t="shared" si="678"/>
        <v>54.31309904153354</v>
      </c>
      <c r="AM179" s="440">
        <f t="shared" si="679"/>
        <v>54.791666666666671</v>
      </c>
      <c r="AN179" s="440">
        <f t="shared" si="680"/>
        <v>57.098283931357251</v>
      </c>
      <c r="AO179" s="440">
        <f t="shared" si="681"/>
        <v>50.337837837837839</v>
      </c>
      <c r="AP179" s="440">
        <f t="shared" si="682"/>
        <v>49.157054125998222</v>
      </c>
      <c r="AQ179" s="440">
        <f t="shared" si="683"/>
        <v>46.506550218340607</v>
      </c>
      <c r="AR179" s="440">
        <f t="shared" si="684"/>
        <v>47.809993830968537</v>
      </c>
      <c r="AS179" s="440">
        <f t="shared" si="685"/>
        <v>48.27956989247312</v>
      </c>
      <c r="AT179" s="440">
        <f t="shared" si="686"/>
        <v>50.308495491219738</v>
      </c>
      <c r="AU179" s="440">
        <f t="shared" si="687"/>
        <v>0</v>
      </c>
      <c r="AV179" s="440">
        <f t="shared" si="688"/>
        <v>0</v>
      </c>
      <c r="AX179" t="str">
        <v>Penambahan Jumlah Pelanggan</v>
      </c>
      <c r="AY179" s="105" t="s">
        <v>452</v>
      </c>
      <c r="AZ179">
        <v>3</v>
      </c>
      <c r="BA179" s="440">
        <f t="shared" si="557"/>
        <v>1.2</v>
      </c>
      <c r="BB179" s="440">
        <f t="shared" si="558"/>
        <v>1.62</v>
      </c>
      <c r="BC179" s="440">
        <f t="shared" si="559"/>
        <v>1.64</v>
      </c>
      <c r="BD179" s="440">
        <f t="shared" si="560"/>
        <v>1.71</v>
      </c>
      <c r="BE179" s="440">
        <f t="shared" si="561"/>
        <v>1.51</v>
      </c>
      <c r="BF179" s="440">
        <f t="shared" si="562"/>
        <v>1.47</v>
      </c>
      <c r="BG179" s="440">
        <f t="shared" si="563"/>
        <v>1.39</v>
      </c>
      <c r="BH179" s="440">
        <f t="shared" si="564"/>
        <v>1.43</v>
      </c>
      <c r="BI179" s="440">
        <f t="shared" si="565"/>
        <v>1.44</v>
      </c>
      <c r="BJ179" s="440">
        <f t="shared" si="566"/>
        <v>1.5</v>
      </c>
      <c r="BK179" s="440">
        <f t="shared" si="567"/>
        <v>0</v>
      </c>
      <c r="BL179" s="440">
        <f t="shared" si="568"/>
        <v>0</v>
      </c>
    </row>
    <row r="180" spans="1:64">
      <c r="A180" t="str">
        <v>c. Jumlah Penambahan Pelanggan Produk Tematik</v>
      </c>
      <c r="B180">
        <v>2</v>
      </c>
      <c r="C180" t="str">
        <v>Jumlah Penambahan Pelanggan Produk Tematik</v>
      </c>
      <c r="D180" s="105" t="s">
        <v>456</v>
      </c>
      <c r="E180" t="str">
        <v>Jumlah Penambahan Pelanggan Produk Tematik</v>
      </c>
      <c r="G180">
        <v>22</v>
      </c>
      <c r="H180">
        <v>44</v>
      </c>
      <c r="I180">
        <v>66</v>
      </c>
      <c r="J180">
        <v>88</v>
      </c>
      <c r="K180">
        <v>110</v>
      </c>
      <c r="L180">
        <v>132</v>
      </c>
      <c r="M180">
        <v>147</v>
      </c>
      <c r="N180">
        <v>162</v>
      </c>
      <c r="O180">
        <v>177</v>
      </c>
      <c r="P180">
        <v>192</v>
      </c>
      <c r="Q180">
        <v>207</v>
      </c>
      <c r="R180">
        <v>222</v>
      </c>
      <c r="T180" t="str">
        <v>Jumlah Penambahan Pelanggan Produk Tematik</v>
      </c>
      <c r="V180">
        <v>19</v>
      </c>
      <c r="W180">
        <v>39</v>
      </c>
      <c r="X180">
        <v>42</v>
      </c>
      <c r="Y180">
        <v>42</v>
      </c>
      <c r="Z180">
        <v>58</v>
      </c>
      <c r="AA180">
        <v>68</v>
      </c>
      <c r="AB180">
        <v>84</v>
      </c>
      <c r="AC180">
        <v>108</v>
      </c>
      <c r="AD180">
        <v>118</v>
      </c>
      <c r="AE180">
        <v>143</v>
      </c>
      <c r="AF180">
        <v>0</v>
      </c>
      <c r="AG180">
        <v>0</v>
      </c>
      <c r="AI180" t="str">
        <v>Jumlah Penambahan Pelanggan Produk Tematik</v>
      </c>
      <c r="AK180" s="440">
        <f t="shared" si="677"/>
        <v>86.36363636363636</v>
      </c>
      <c r="AL180" s="440">
        <f t="shared" si="678"/>
        <v>88.63636363636364</v>
      </c>
      <c r="AM180" s="440">
        <f t="shared" si="679"/>
        <v>63.636363636363633</v>
      </c>
      <c r="AN180" s="440">
        <f t="shared" si="680"/>
        <v>47.727272727272727</v>
      </c>
      <c r="AO180" s="440">
        <f t="shared" si="681"/>
        <v>52.72727272727272</v>
      </c>
      <c r="AP180" s="440">
        <f t="shared" si="682"/>
        <v>51.515151515151516</v>
      </c>
      <c r="AQ180" s="440">
        <f t="shared" si="683"/>
        <v>57.142857142857139</v>
      </c>
      <c r="AR180" s="440">
        <f t="shared" si="684"/>
        <v>66.666666666666657</v>
      </c>
      <c r="AS180" s="440">
        <f t="shared" si="685"/>
        <v>66.666666666666657</v>
      </c>
      <c r="AT180" s="440">
        <f t="shared" si="686"/>
        <v>74.479166666666657</v>
      </c>
      <c r="AU180" s="440">
        <f t="shared" si="687"/>
        <v>0</v>
      </c>
      <c r="AV180" s="440">
        <f t="shared" si="688"/>
        <v>0</v>
      </c>
      <c r="AX180" t="str">
        <v>Jumlah Penambahan Pelanggan Produk Tematik</v>
      </c>
      <c r="AY180" s="105" t="s">
        <v>452</v>
      </c>
      <c r="AZ180">
        <v>2</v>
      </c>
      <c r="BA180" s="440">
        <f t="shared" si="557"/>
        <v>1.72</v>
      </c>
      <c r="BB180" s="440">
        <f t="shared" si="558"/>
        <v>1.77</v>
      </c>
      <c r="BC180" s="440">
        <f t="shared" si="559"/>
        <v>1.27</v>
      </c>
      <c r="BD180" s="440">
        <f t="shared" si="560"/>
        <v>0.95</v>
      </c>
      <c r="BE180" s="440">
        <f t="shared" si="561"/>
        <v>1.05</v>
      </c>
      <c r="BF180" s="440">
        <f t="shared" si="562"/>
        <v>1.03</v>
      </c>
      <c r="BG180" s="440">
        <f t="shared" si="563"/>
        <v>1.1399999999999999</v>
      </c>
      <c r="BH180" s="440">
        <f t="shared" si="564"/>
        <v>1.33</v>
      </c>
      <c r="BI180" s="440">
        <f t="shared" si="565"/>
        <v>1.33</v>
      </c>
      <c r="BJ180" s="440">
        <f t="shared" si="566"/>
        <v>1.48</v>
      </c>
      <c r="BK180" s="440">
        <f t="shared" si="567"/>
        <v>0</v>
      </c>
      <c r="BL180" s="440">
        <f t="shared" si="568"/>
        <v>0</v>
      </c>
    </row>
    <row r="181" spans="1:64">
      <c r="A181" t="str">
        <v>d. Implementasi Kesesuaian Sektor Bisnis sesuai KBLI 2020</v>
      </c>
      <c r="B181">
        <v>2</v>
      </c>
      <c r="C181" t="str">
        <v>Implementasi Kesesuaian Sektor Bisnis sesuai KBLI 2020</v>
      </c>
      <c r="D181" s="105" t="s">
        <v>456</v>
      </c>
      <c r="E181" t="str">
        <v>Implementasi Kesesuaian Sektor Bisnis sesuai KBLI 2020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T181" t="str">
        <v>Implementasi Kesesuaian Sektor Bisnis sesuai KBLI 2020</v>
      </c>
      <c r="V181">
        <v>17</v>
      </c>
      <c r="W181">
        <v>18</v>
      </c>
      <c r="X181">
        <v>34</v>
      </c>
      <c r="Y181">
        <v>34</v>
      </c>
      <c r="Z181">
        <v>50</v>
      </c>
      <c r="AA181">
        <v>99</v>
      </c>
      <c r="AB181">
        <v>99</v>
      </c>
      <c r="AC181">
        <v>133</v>
      </c>
      <c r="AD181">
        <v>138</v>
      </c>
      <c r="AE181">
        <v>146</v>
      </c>
      <c r="AF181">
        <v>0</v>
      </c>
      <c r="AG181">
        <v>0</v>
      </c>
      <c r="AI181" t="str">
        <v>Implementasi Kesesuaian Sektor Bisnis sesuai KBLI 2020</v>
      </c>
      <c r="AK181" s="440">
        <f t="shared" si="677"/>
        <v>100</v>
      </c>
      <c r="AL181" s="440">
        <f t="shared" si="678"/>
        <v>100</v>
      </c>
      <c r="AM181" s="440">
        <f t="shared" si="679"/>
        <v>100</v>
      </c>
      <c r="AN181" s="440">
        <f t="shared" si="680"/>
        <v>100</v>
      </c>
      <c r="AO181" s="440">
        <f t="shared" si="681"/>
        <v>100</v>
      </c>
      <c r="AP181" s="440">
        <f t="shared" si="682"/>
        <v>100</v>
      </c>
      <c r="AQ181" s="440">
        <f t="shared" si="683"/>
        <v>100</v>
      </c>
      <c r="AR181" s="440">
        <f t="shared" si="684"/>
        <v>100</v>
      </c>
      <c r="AS181" s="440">
        <f t="shared" si="685"/>
        <v>100</v>
      </c>
      <c r="AT181" s="440">
        <f t="shared" si="686"/>
        <v>100</v>
      </c>
      <c r="AU181" s="440">
        <f t="shared" si="687"/>
        <v>100</v>
      </c>
      <c r="AV181" s="440">
        <f t="shared" si="688"/>
        <v>100</v>
      </c>
      <c r="AX181" t="str">
        <v>Implementasi Kesesuaian Sektor Bisnis sesuai KBLI 2020</v>
      </c>
      <c r="AY181" s="105" t="s">
        <v>452</v>
      </c>
      <c r="AZ181">
        <v>2</v>
      </c>
      <c r="BA181" s="440">
        <f t="shared" si="557"/>
        <v>2</v>
      </c>
      <c r="BB181" s="440">
        <f t="shared" si="558"/>
        <v>2</v>
      </c>
      <c r="BC181" s="440">
        <f t="shared" si="559"/>
        <v>2</v>
      </c>
      <c r="BD181" s="440">
        <f t="shared" si="560"/>
        <v>2</v>
      </c>
      <c r="BE181" s="440">
        <f t="shared" si="561"/>
        <v>2</v>
      </c>
      <c r="BF181" s="440">
        <f t="shared" si="562"/>
        <v>2</v>
      </c>
      <c r="BG181" s="440">
        <f t="shared" si="563"/>
        <v>2</v>
      </c>
      <c r="BH181" s="440">
        <f t="shared" si="564"/>
        <v>2</v>
      </c>
      <c r="BI181" s="440">
        <f t="shared" si="565"/>
        <v>2</v>
      </c>
      <c r="BJ181" s="440">
        <f t="shared" si="566"/>
        <v>2</v>
      </c>
      <c r="BK181" s="440">
        <f t="shared" si="567"/>
        <v>2</v>
      </c>
      <c r="BL181" s="440">
        <f t="shared" si="568"/>
        <v>2</v>
      </c>
    </row>
    <row r="182" spans="1:64">
      <c r="A182" t="str">
        <v>a. Penambahan Jumlah Pelanggan Rumah Tangga Lisdes</v>
      </c>
      <c r="B182">
        <v>2</v>
      </c>
      <c r="C182" t="str">
        <v>Penambahan Jumlah Pelanggan Rumah Tangga Lisdes</v>
      </c>
      <c r="D182" s="105" t="s">
        <v>456</v>
      </c>
      <c r="E182" t="str">
        <v>Penambahan Jumlah Pelanggan Rumah Tangga Lisdes</v>
      </c>
      <c r="G182">
        <v>6</v>
      </c>
      <c r="H182">
        <v>10</v>
      </c>
      <c r="I182">
        <v>20</v>
      </c>
      <c r="J182">
        <v>22</v>
      </c>
      <c r="K182">
        <v>24</v>
      </c>
      <c r="L182">
        <v>26</v>
      </c>
      <c r="M182">
        <v>28</v>
      </c>
      <c r="N182">
        <v>30</v>
      </c>
      <c r="O182">
        <v>32</v>
      </c>
      <c r="P182">
        <v>34</v>
      </c>
      <c r="Q182">
        <v>36</v>
      </c>
      <c r="R182">
        <v>37</v>
      </c>
      <c r="T182" t="str">
        <v>Penambahan Jumlah Pelanggan Rumah Tangga Lisdes</v>
      </c>
      <c r="V182">
        <v>2</v>
      </c>
      <c r="W182">
        <v>2</v>
      </c>
      <c r="X182">
        <v>3</v>
      </c>
      <c r="Y182">
        <v>9</v>
      </c>
      <c r="Z182">
        <v>11</v>
      </c>
      <c r="AA182">
        <v>11</v>
      </c>
      <c r="AB182">
        <v>13</v>
      </c>
      <c r="AC182">
        <v>14</v>
      </c>
      <c r="AD182">
        <v>15</v>
      </c>
      <c r="AE182">
        <v>17</v>
      </c>
      <c r="AF182">
        <v>0</v>
      </c>
      <c r="AG182">
        <v>0</v>
      </c>
      <c r="AI182" t="str">
        <v>Penambahan Jumlah Pelanggan Rumah Tangga Lisdes</v>
      </c>
      <c r="AK182" s="440">
        <f t="shared" si="677"/>
        <v>33.333333333333329</v>
      </c>
      <c r="AL182" s="440">
        <f t="shared" si="678"/>
        <v>20</v>
      </c>
      <c r="AM182" s="440">
        <f t="shared" si="679"/>
        <v>15</v>
      </c>
      <c r="AN182" s="440">
        <f t="shared" si="680"/>
        <v>40.909090909090914</v>
      </c>
      <c r="AO182" s="440">
        <f t="shared" si="681"/>
        <v>45.833333333333329</v>
      </c>
      <c r="AP182" s="440">
        <f t="shared" si="682"/>
        <v>42.307692307692307</v>
      </c>
      <c r="AQ182" s="440">
        <f t="shared" si="683"/>
        <v>46.428571428571431</v>
      </c>
      <c r="AR182" s="440">
        <f t="shared" si="684"/>
        <v>46.666666666666664</v>
      </c>
      <c r="AS182" s="440">
        <f t="shared" si="685"/>
        <v>46.875</v>
      </c>
      <c r="AT182" s="440">
        <f t="shared" si="686"/>
        <v>50</v>
      </c>
      <c r="AU182" s="440">
        <f t="shared" si="687"/>
        <v>0</v>
      </c>
      <c r="AV182" s="440">
        <f t="shared" si="688"/>
        <v>0</v>
      </c>
      <c r="AX182" t="str">
        <v>Penambahan Jumlah Pelanggan Rumah Tangga Lisdes</v>
      </c>
      <c r="AY182" s="105" t="s">
        <v>452</v>
      </c>
      <c r="AZ182">
        <v>2</v>
      </c>
      <c r="BA182" s="440">
        <f t="shared" si="557"/>
        <v>0.66</v>
      </c>
      <c r="BB182" s="440">
        <f t="shared" si="558"/>
        <v>0.4</v>
      </c>
      <c r="BC182" s="440">
        <f t="shared" si="559"/>
        <v>0.3</v>
      </c>
      <c r="BD182" s="440">
        <f t="shared" si="560"/>
        <v>0.81</v>
      </c>
      <c r="BE182" s="440">
        <f t="shared" si="561"/>
        <v>0.91</v>
      </c>
      <c r="BF182" s="440">
        <f t="shared" si="562"/>
        <v>0.84</v>
      </c>
      <c r="BG182" s="440">
        <f t="shared" si="563"/>
        <v>0.92</v>
      </c>
      <c r="BH182" s="440">
        <f t="shared" si="564"/>
        <v>0.93</v>
      </c>
      <c r="BI182" s="440">
        <f t="shared" si="565"/>
        <v>0.93</v>
      </c>
      <c r="BJ182" s="440">
        <f t="shared" si="566"/>
        <v>1</v>
      </c>
      <c r="BK182" s="440">
        <f t="shared" si="567"/>
        <v>0</v>
      </c>
      <c r="BL182" s="440">
        <f t="shared" si="568"/>
        <v>0</v>
      </c>
    </row>
    <row r="183" spans="1:64">
      <c r="A183" t="str">
        <v>b. Peningkatan kWh Penjualan dari Pelanggan Rumah Tangga Lisdes</v>
      </c>
      <c r="B183">
        <v>2</v>
      </c>
      <c r="C183" t="str">
        <v>Peningkatan kWh Penjualan dari Pelanggan Rumah Tangga Lisdes</v>
      </c>
      <c r="D183" s="105" t="s">
        <v>456</v>
      </c>
      <c r="E183" t="str">
        <v>Peningkatan kWh Penjualan dari Pelanggan Rumah Tangga Lisdes</v>
      </c>
      <c r="G183">
        <v>777.6</v>
      </c>
      <c r="H183">
        <v>1296</v>
      </c>
      <c r="I183">
        <v>2592</v>
      </c>
      <c r="J183">
        <v>2851.2</v>
      </c>
      <c r="K183">
        <v>3110.4</v>
      </c>
      <c r="L183">
        <v>3369.6</v>
      </c>
      <c r="M183">
        <v>3628.8</v>
      </c>
      <c r="N183">
        <v>3888</v>
      </c>
      <c r="O183">
        <v>4147.2</v>
      </c>
      <c r="P183">
        <v>4406.3999999999996</v>
      </c>
      <c r="Q183">
        <v>4665.6000000000004</v>
      </c>
      <c r="R183">
        <v>4795.2</v>
      </c>
      <c r="T183" t="str">
        <v>Peningkatan kWh Penjualan dari Pelanggan Rumah Tangga Lisdes</v>
      </c>
      <c r="V183">
        <v>450.9</v>
      </c>
      <c r="W183">
        <v>962</v>
      </c>
      <c r="X183">
        <v>977.7</v>
      </c>
      <c r="Y183">
        <v>1322.5</v>
      </c>
      <c r="Z183">
        <v>1472.9</v>
      </c>
      <c r="AA183">
        <v>1760.1000000000001</v>
      </c>
      <c r="AB183">
        <v>2503.7000000000003</v>
      </c>
      <c r="AC183">
        <v>2848.1000000000004</v>
      </c>
      <c r="AD183">
        <v>3297.5000000000005</v>
      </c>
      <c r="AE183">
        <v>4031.7000000000007</v>
      </c>
      <c r="AF183">
        <v>0</v>
      </c>
      <c r="AG183">
        <v>0</v>
      </c>
      <c r="AI183" t="str">
        <v>Peningkatan kWh Penjualan dari Pelanggan Rumah Tangga Lisdes</v>
      </c>
      <c r="AK183" s="440">
        <f t="shared" si="677"/>
        <v>57.986111111111107</v>
      </c>
      <c r="AL183" s="440">
        <f t="shared" si="678"/>
        <v>74.228395061728392</v>
      </c>
      <c r="AM183" s="440">
        <f t="shared" si="679"/>
        <v>37.719907407407412</v>
      </c>
      <c r="AN183" s="440">
        <f t="shared" si="680"/>
        <v>46.383978675645345</v>
      </c>
      <c r="AO183" s="440">
        <f t="shared" si="681"/>
        <v>47.354038065843625</v>
      </c>
      <c r="AP183" s="440">
        <f t="shared" si="682"/>
        <v>52.234686609686619</v>
      </c>
      <c r="AQ183" s="440">
        <f t="shared" si="683"/>
        <v>68.995260141093468</v>
      </c>
      <c r="AR183" s="440">
        <f t="shared" si="684"/>
        <v>73.253600823045275</v>
      </c>
      <c r="AS183" s="440">
        <f t="shared" si="685"/>
        <v>79.511477623456813</v>
      </c>
      <c r="AT183" s="440">
        <f t="shared" si="686"/>
        <v>91.496459694989127</v>
      </c>
      <c r="AU183" s="440">
        <f t="shared" si="687"/>
        <v>0</v>
      </c>
      <c r="AV183" s="440">
        <f t="shared" si="688"/>
        <v>0</v>
      </c>
      <c r="AX183" t="str">
        <v>Peningkatan kWh Penjualan dari Pelanggan Rumah Tangga Lisdes</v>
      </c>
      <c r="AY183" s="105" t="s">
        <v>452</v>
      </c>
      <c r="AZ183">
        <v>2</v>
      </c>
      <c r="BA183" s="440">
        <f t="shared" si="557"/>
        <v>1.1499999999999999</v>
      </c>
      <c r="BB183" s="440">
        <f t="shared" si="558"/>
        <v>1.48</v>
      </c>
      <c r="BC183" s="440">
        <f t="shared" si="559"/>
        <v>0.75</v>
      </c>
      <c r="BD183" s="440">
        <f t="shared" si="560"/>
        <v>0.92</v>
      </c>
      <c r="BE183" s="440">
        <f t="shared" si="561"/>
        <v>0.94</v>
      </c>
      <c r="BF183" s="440">
        <f t="shared" si="562"/>
        <v>1.04</v>
      </c>
      <c r="BG183" s="440">
        <f t="shared" si="563"/>
        <v>1.37</v>
      </c>
      <c r="BH183" s="440">
        <f t="shared" si="564"/>
        <v>1.46</v>
      </c>
      <c r="BI183" s="440">
        <f t="shared" si="565"/>
        <v>1.59</v>
      </c>
      <c r="BJ183" s="440">
        <f t="shared" si="566"/>
        <v>1.82</v>
      </c>
      <c r="BK183" s="440">
        <f t="shared" si="567"/>
        <v>0</v>
      </c>
      <c r="BL183" s="440">
        <f t="shared" si="568"/>
        <v>0</v>
      </c>
    </row>
    <row r="184" spans="1:64">
      <c r="A184" t="str">
        <v>a. Jumlah Pengguna Swa Cam</v>
      </c>
      <c r="B184">
        <v>2</v>
      </c>
      <c r="C184" t="str">
        <v>Jumlah Pengguna Swa Cam</v>
      </c>
      <c r="D184" s="105" t="s">
        <v>456</v>
      </c>
      <c r="E184" t="str">
        <v>Jumlah Pengguna Swa Cam</v>
      </c>
      <c r="G184">
        <v>1449</v>
      </c>
      <c r="H184">
        <v>1449</v>
      </c>
      <c r="I184">
        <v>1449</v>
      </c>
      <c r="J184">
        <v>1449</v>
      </c>
      <c r="K184">
        <v>1449</v>
      </c>
      <c r="L184">
        <v>1449</v>
      </c>
      <c r="M184">
        <v>1449</v>
      </c>
      <c r="N184">
        <v>1449</v>
      </c>
      <c r="O184">
        <v>1449</v>
      </c>
      <c r="P184">
        <v>1449</v>
      </c>
      <c r="Q184">
        <v>1449</v>
      </c>
      <c r="R184">
        <v>1449</v>
      </c>
      <c r="T184" t="str">
        <v>Jumlah Pengguna Swa Cam</v>
      </c>
      <c r="V184">
        <v>3652</v>
      </c>
      <c r="W184">
        <v>2886</v>
      </c>
      <c r="X184">
        <v>2577.5</v>
      </c>
      <c r="Y184">
        <v>2413</v>
      </c>
      <c r="Z184">
        <v>2114.1999999999998</v>
      </c>
      <c r="AA184">
        <v>2007.8333333333333</v>
      </c>
      <c r="AB184">
        <v>1907.2857142857142</v>
      </c>
      <c r="AC184">
        <v>1822.5</v>
      </c>
      <c r="AD184">
        <v>1775.3333333333333</v>
      </c>
      <c r="AE184">
        <v>1753.4</v>
      </c>
      <c r="AF184">
        <v>1753.4</v>
      </c>
      <c r="AG184">
        <v>1753.4</v>
      </c>
      <c r="AI184" t="str">
        <v>Jumlah Pengguna Swa Cam</v>
      </c>
      <c r="AK184" s="440">
        <f t="shared" si="677"/>
        <v>110</v>
      </c>
      <c r="AL184" s="440">
        <f t="shared" si="678"/>
        <v>110</v>
      </c>
      <c r="AM184" s="440">
        <f t="shared" si="679"/>
        <v>110</v>
      </c>
      <c r="AN184" s="440">
        <f t="shared" si="680"/>
        <v>110</v>
      </c>
      <c r="AO184" s="440">
        <f t="shared" si="681"/>
        <v>110</v>
      </c>
      <c r="AP184" s="440">
        <f t="shared" si="682"/>
        <v>110</v>
      </c>
      <c r="AQ184" s="440">
        <f t="shared" si="683"/>
        <v>110</v>
      </c>
      <c r="AR184" s="440">
        <f t="shared" si="684"/>
        <v>110</v>
      </c>
      <c r="AS184" s="440">
        <f t="shared" si="685"/>
        <v>110</v>
      </c>
      <c r="AT184" s="440">
        <f t="shared" si="686"/>
        <v>110</v>
      </c>
      <c r="AU184" s="440">
        <f t="shared" si="687"/>
        <v>110</v>
      </c>
      <c r="AV184" s="440">
        <f t="shared" si="688"/>
        <v>110</v>
      </c>
      <c r="AX184" t="str">
        <v>Jumlah Pengguna Swa Cam</v>
      </c>
      <c r="AY184" s="105" t="s">
        <v>452</v>
      </c>
      <c r="AZ184">
        <v>4</v>
      </c>
      <c r="BA184" s="440">
        <f t="shared" si="557"/>
        <v>4.4000000000000004</v>
      </c>
      <c r="BB184" s="440">
        <f t="shared" si="558"/>
        <v>4.4000000000000004</v>
      </c>
      <c r="BC184" s="440">
        <f t="shared" si="559"/>
        <v>4.4000000000000004</v>
      </c>
      <c r="BD184" s="440">
        <f t="shared" si="560"/>
        <v>4.4000000000000004</v>
      </c>
      <c r="BE184" s="440">
        <f t="shared" si="561"/>
        <v>4.4000000000000004</v>
      </c>
      <c r="BF184" s="440">
        <f t="shared" si="562"/>
        <v>4.4000000000000004</v>
      </c>
      <c r="BG184" s="440">
        <f t="shared" si="563"/>
        <v>4.4000000000000004</v>
      </c>
      <c r="BH184" s="440">
        <f t="shared" si="564"/>
        <v>4.4000000000000004</v>
      </c>
      <c r="BI184" s="440">
        <f t="shared" si="565"/>
        <v>4.4000000000000004</v>
      </c>
      <c r="BJ184" s="440">
        <f t="shared" si="566"/>
        <v>4.4000000000000004</v>
      </c>
      <c r="BK184" s="440">
        <f t="shared" si="567"/>
        <v>4.4000000000000004</v>
      </c>
      <c r="BL184" s="440">
        <f t="shared" si="568"/>
        <v>4.4000000000000004</v>
      </c>
    </row>
    <row r="185" spans="1:64">
      <c r="A185" t="str">
        <v>b. Tindak Lanjut LBKB (Laporan Bulanan Kelainan Baca Meter)</v>
      </c>
      <c r="B185">
        <v>2</v>
      </c>
      <c r="C185" t="str">
        <v>Tindak Lanjut LBKB (Laporan Bulanan Kelainan Baca Meter)</v>
      </c>
      <c r="D185" s="105" t="s">
        <v>456</v>
      </c>
      <c r="E185" t="str">
        <v>Tindak Lanjut LBKB (Laporan Bulanan Kelainan Baca Meter)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T185" t="str">
        <v>Tindak Lanjut LBKB (Laporan Bulanan Kelainan Baca Meter)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I185" t="str">
        <v>Tindak Lanjut LBKB (Laporan Bulanan Kelainan Baca Meter)</v>
      </c>
      <c r="AK185" s="440">
        <f t="shared" si="677"/>
        <v>100</v>
      </c>
      <c r="AL185" s="440">
        <f t="shared" si="678"/>
        <v>100</v>
      </c>
      <c r="AM185" s="440">
        <f t="shared" si="679"/>
        <v>100</v>
      </c>
      <c r="AN185" s="440">
        <f t="shared" si="680"/>
        <v>100</v>
      </c>
      <c r="AO185" s="440">
        <f t="shared" si="681"/>
        <v>100</v>
      </c>
      <c r="AP185" s="440">
        <f t="shared" si="682"/>
        <v>100</v>
      </c>
      <c r="AQ185" s="440">
        <f t="shared" si="683"/>
        <v>100</v>
      </c>
      <c r="AR185" s="440">
        <f t="shared" si="684"/>
        <v>100</v>
      </c>
      <c r="AS185" s="440">
        <f t="shared" si="685"/>
        <v>100</v>
      </c>
      <c r="AT185" s="440">
        <f t="shared" si="686"/>
        <v>100</v>
      </c>
      <c r="AU185" s="440">
        <f t="shared" si="687"/>
        <v>100</v>
      </c>
      <c r="AV185" s="440">
        <f t="shared" si="688"/>
        <v>100</v>
      </c>
      <c r="AX185" t="str">
        <v>Tindak Lanjut LBKB (Laporan Bulanan Kelainan Baca Meter)</v>
      </c>
      <c r="AY185" s="105" t="s">
        <v>452</v>
      </c>
      <c r="AZ185">
        <v>4</v>
      </c>
      <c r="BA185" s="440">
        <f t="shared" si="557"/>
        <v>4</v>
      </c>
      <c r="BB185" s="440">
        <f t="shared" si="558"/>
        <v>4</v>
      </c>
      <c r="BC185" s="440">
        <f t="shared" si="559"/>
        <v>4</v>
      </c>
      <c r="BD185" s="440">
        <f t="shared" si="560"/>
        <v>4</v>
      </c>
      <c r="BE185" s="440">
        <f t="shared" si="561"/>
        <v>4</v>
      </c>
      <c r="BF185" s="440">
        <f t="shared" si="562"/>
        <v>4</v>
      </c>
      <c r="BG185" s="440">
        <f t="shared" si="563"/>
        <v>4</v>
      </c>
      <c r="BH185" s="440">
        <f t="shared" si="564"/>
        <v>4</v>
      </c>
      <c r="BI185" s="440">
        <f t="shared" si="565"/>
        <v>4</v>
      </c>
      <c r="BJ185" s="440">
        <f t="shared" si="566"/>
        <v>4</v>
      </c>
      <c r="BK185" s="440">
        <f t="shared" si="567"/>
        <v>4</v>
      </c>
      <c r="BL185" s="440">
        <f t="shared" si="568"/>
        <v>4</v>
      </c>
    </row>
    <row r="186" spans="1:64">
      <c r="A186" t="str">
        <v>Sisa Stand Bongkar Migrasi</v>
      </c>
      <c r="B186" t="e">
        <v>#VALUE!</v>
      </c>
      <c r="C186" t="str">
        <v>Sisa Stand Bongkar Migrasi</v>
      </c>
      <c r="D186" s="105" t="s">
        <v>456</v>
      </c>
      <c r="E186" t="str">
        <v>Sisa Stand Bongkar Migrasi</v>
      </c>
      <c r="G186">
        <v>100</v>
      </c>
      <c r="H186">
        <v>100</v>
      </c>
      <c r="I186">
        <v>100</v>
      </c>
      <c r="J186">
        <v>100</v>
      </c>
      <c r="K186">
        <v>100</v>
      </c>
      <c r="L186">
        <v>100</v>
      </c>
      <c r="M186">
        <v>100</v>
      </c>
      <c r="N186">
        <v>100</v>
      </c>
      <c r="O186">
        <v>100</v>
      </c>
      <c r="P186">
        <v>100</v>
      </c>
      <c r="Q186">
        <v>100</v>
      </c>
      <c r="R186">
        <v>100</v>
      </c>
      <c r="T186" t="str">
        <v>Sisa Stand Bongkar Migrasi</v>
      </c>
      <c r="V186">
        <v>100</v>
      </c>
      <c r="W186">
        <v>100</v>
      </c>
      <c r="X186">
        <v>100</v>
      </c>
      <c r="Y186">
        <v>100</v>
      </c>
      <c r="Z186">
        <v>100</v>
      </c>
      <c r="AA186">
        <v>100</v>
      </c>
      <c r="AB186">
        <v>100</v>
      </c>
      <c r="AC186">
        <v>100</v>
      </c>
      <c r="AD186">
        <v>100</v>
      </c>
      <c r="AE186">
        <v>100</v>
      </c>
      <c r="AF186">
        <v>100</v>
      </c>
      <c r="AG186">
        <v>100</v>
      </c>
      <c r="AI186" t="str">
        <v>Sisa Stand Bongkar Migrasi</v>
      </c>
      <c r="AK186" s="440">
        <f t="shared" si="677"/>
        <v>100</v>
      </c>
      <c r="AL186" s="440">
        <f t="shared" si="678"/>
        <v>100</v>
      </c>
      <c r="AM186" s="440">
        <f t="shared" si="679"/>
        <v>100</v>
      </c>
      <c r="AN186" s="440">
        <f t="shared" si="680"/>
        <v>100</v>
      </c>
      <c r="AO186" s="440">
        <f t="shared" si="681"/>
        <v>100</v>
      </c>
      <c r="AP186" s="440">
        <f t="shared" si="682"/>
        <v>100</v>
      </c>
      <c r="AQ186" s="440">
        <f t="shared" si="683"/>
        <v>100</v>
      </c>
      <c r="AR186" s="440">
        <f t="shared" si="684"/>
        <v>100</v>
      </c>
      <c r="AS186" s="440">
        <f t="shared" si="685"/>
        <v>100</v>
      </c>
      <c r="AT186" s="440">
        <f t="shared" si="686"/>
        <v>100</v>
      </c>
      <c r="AU186" s="440">
        <f t="shared" si="687"/>
        <v>100</v>
      </c>
      <c r="AV186" s="440">
        <f t="shared" si="688"/>
        <v>100</v>
      </c>
      <c r="AX186" t="str">
        <v>Sisa Stand Bongkar Migrasi</v>
      </c>
      <c r="AY186" s="105" t="s">
        <v>452</v>
      </c>
      <c r="AZ186">
        <v>3</v>
      </c>
      <c r="BA186" s="440">
        <f t="shared" si="557"/>
        <v>3</v>
      </c>
      <c r="BB186" s="440">
        <f t="shared" si="558"/>
        <v>3</v>
      </c>
      <c r="BC186" s="440">
        <f t="shared" si="559"/>
        <v>3</v>
      </c>
      <c r="BD186" s="440">
        <f t="shared" si="560"/>
        <v>3</v>
      </c>
      <c r="BE186" s="440">
        <f t="shared" si="561"/>
        <v>3</v>
      </c>
      <c r="BF186" s="440">
        <f t="shared" si="562"/>
        <v>3</v>
      </c>
      <c r="BG186" s="440">
        <f t="shared" si="563"/>
        <v>3</v>
      </c>
      <c r="BH186" s="440">
        <f t="shared" si="564"/>
        <v>3</v>
      </c>
      <c r="BI186" s="440">
        <f t="shared" si="565"/>
        <v>3</v>
      </c>
      <c r="BJ186" s="440">
        <f t="shared" si="566"/>
        <v>3</v>
      </c>
      <c r="BK186" s="440">
        <f t="shared" si="567"/>
        <v>3</v>
      </c>
      <c r="BL186" s="440">
        <f t="shared" si="568"/>
        <v>3</v>
      </c>
    </row>
    <row r="187" spans="1:64">
      <c r="A187" t="str">
        <v>a. Persentase Rata-Rata Saldo Tanggal 20 Non Kogol 1 dan Non Kogol 2</v>
      </c>
      <c r="B187">
        <v>2</v>
      </c>
      <c r="C187" t="str">
        <v>Persentase Rata-Rata Saldo Tanggal 20 Non Kogol 1 dan Non Kogol 2</v>
      </c>
      <c r="D187" s="105" t="s">
        <v>456</v>
      </c>
      <c r="E187" t="str">
        <v>Persentase Rata-Rata Saldo Tanggal 20 Non Kogol 1 dan Non Kogol 2</v>
      </c>
      <c r="G187">
        <v>354</v>
      </c>
      <c r="H187">
        <v>354</v>
      </c>
      <c r="I187">
        <v>354</v>
      </c>
      <c r="J187">
        <v>354</v>
      </c>
      <c r="K187">
        <v>354</v>
      </c>
      <c r="L187">
        <v>354</v>
      </c>
      <c r="M187">
        <v>354</v>
      </c>
      <c r="N187">
        <v>354</v>
      </c>
      <c r="O187">
        <v>354</v>
      </c>
      <c r="P187">
        <v>354</v>
      </c>
      <c r="Q187">
        <v>354</v>
      </c>
      <c r="R187">
        <v>354</v>
      </c>
      <c r="T187" t="str">
        <v>Persentase Rata-Rata Saldo Tanggal 20 Non Kogol 1 dan Non Kogol 2</v>
      </c>
      <c r="V187">
        <v>432.64853799999997</v>
      </c>
      <c r="W187">
        <v>262.09724999999997</v>
      </c>
      <c r="X187">
        <v>203.27037699999997</v>
      </c>
      <c r="Y187">
        <v>204.79259424999998</v>
      </c>
      <c r="Z187">
        <v>203.12221959999997</v>
      </c>
      <c r="AA187">
        <v>204.70423233333329</v>
      </c>
      <c r="AB187">
        <v>207.58398814285712</v>
      </c>
      <c r="AC187">
        <v>212.62195174999999</v>
      </c>
      <c r="AD187">
        <v>214.83072299999998</v>
      </c>
      <c r="AE187">
        <v>215.15237779999998</v>
      </c>
      <c r="AF187">
        <v>215.15237779999998</v>
      </c>
      <c r="AG187">
        <v>215.15237779999998</v>
      </c>
      <c r="AI187" t="str">
        <v>Persentase Rata-Rata Saldo Tanggal 20 Non Kogol 1 dan Non Kogol 2</v>
      </c>
      <c r="AK187" s="440">
        <f t="shared" ref="AK187:AK188" si="689">IFERROR(IF((2-(V187/G187))*100&gt;110,110,(2-(V187/G187))*100),100)</f>
        <v>77.782898870056499</v>
      </c>
      <c r="AL187" s="440">
        <f t="shared" ref="AL187:AL188" si="690">IFERROR(IF((2-(W187/H187))*100&gt;110,110,(2-(W187/H187))*100),100)</f>
        <v>110</v>
      </c>
      <c r="AM187" s="440">
        <f t="shared" ref="AM187:AM188" si="691">IFERROR(IF((2-(X187/I187))*100&gt;110,110,(2-(X187/I187))*100),100)</f>
        <v>110</v>
      </c>
      <c r="AN187" s="440">
        <f t="shared" ref="AN187:AN188" si="692">IFERROR(IF((2-(Y187/J187))*100&gt;110,110,(2-(Y187/J187))*100),100)</f>
        <v>110</v>
      </c>
      <c r="AO187" s="440">
        <f t="shared" ref="AO187:AO188" si="693">IFERROR(IF((2-(Z187/K187))*100&gt;110,110,(2-(Z187/K187))*100),100)</f>
        <v>110</v>
      </c>
      <c r="AP187" s="440">
        <f t="shared" ref="AP187:AP188" si="694">IFERROR(IF((2-(AA187/L187))*100&gt;110,110,(2-(AA187/L187))*100),100)</f>
        <v>110</v>
      </c>
      <c r="AQ187" s="440">
        <f t="shared" ref="AQ187:AQ188" si="695">IFERROR(IF((2-(AB187/M187))*100&gt;110,110,(2-(AB187/M187))*100),100)</f>
        <v>110</v>
      </c>
      <c r="AR187" s="440">
        <f t="shared" ref="AR187:AR188" si="696">IFERROR(IF((2-(AC187/N187))*100&gt;110,110,(2-(AC187/N187))*100),100)</f>
        <v>110</v>
      </c>
      <c r="AS187" s="440">
        <f t="shared" ref="AS187:AS188" si="697">IFERROR(IF((2-(AD187/O187))*100&gt;110,110,(2-(AD187/O187))*100),100)</f>
        <v>110</v>
      </c>
      <c r="AT187" s="440">
        <f t="shared" ref="AT187:AT188" si="698">IFERROR(IF((2-(AE187/P187))*100&gt;110,110,(2-(AE187/P187))*100),100)</f>
        <v>110</v>
      </c>
      <c r="AU187" s="440">
        <f t="shared" ref="AU187:AU188" si="699">IFERROR(IF((2-(AF187/Q187))*100&gt;110,110,(2-(AF187/Q187))*100),100)</f>
        <v>110</v>
      </c>
      <c r="AV187" s="440">
        <f t="shared" ref="AV187:AV188" si="700">IFERROR(IF((2-(AG187/R187))*100&gt;110,110,(2-(AG187/R187))*100),100)</f>
        <v>110</v>
      </c>
      <c r="AX187" t="str">
        <v>Persentase Rata-Rata Saldo Tanggal 20 Non Kogol 1 dan Non Kogol 2</v>
      </c>
      <c r="AY187" s="105" t="s">
        <v>452</v>
      </c>
      <c r="AZ187">
        <v>3</v>
      </c>
      <c r="BA187" s="440">
        <f t="shared" si="557"/>
        <v>2.33</v>
      </c>
      <c r="BB187" s="440">
        <f t="shared" si="558"/>
        <v>3.3</v>
      </c>
      <c r="BC187" s="440">
        <f t="shared" si="559"/>
        <v>3.3</v>
      </c>
      <c r="BD187" s="440">
        <f t="shared" si="560"/>
        <v>3.3</v>
      </c>
      <c r="BE187" s="440">
        <f t="shared" si="561"/>
        <v>3.3</v>
      </c>
      <c r="BF187" s="440">
        <f t="shared" si="562"/>
        <v>3.3</v>
      </c>
      <c r="BG187" s="440">
        <f t="shared" si="563"/>
        <v>3.3</v>
      </c>
      <c r="BH187" s="440">
        <f t="shared" si="564"/>
        <v>3.3</v>
      </c>
      <c r="BI187" s="440">
        <f t="shared" si="565"/>
        <v>3.3</v>
      </c>
      <c r="BJ187" s="440">
        <f t="shared" si="566"/>
        <v>3.3</v>
      </c>
      <c r="BK187" s="440">
        <f t="shared" si="567"/>
        <v>3.3</v>
      </c>
      <c r="BL187" s="440">
        <f t="shared" si="568"/>
        <v>3.3</v>
      </c>
    </row>
    <row r="188" spans="1:64">
      <c r="A188" t="str">
        <v>b. Pencapaian Saldo Rata-Rata Akhir Bulan Non Kogol 1 dan Non Kogol 2</v>
      </c>
      <c r="B188">
        <v>2</v>
      </c>
      <c r="C188" t="str">
        <v>Pencapaian Saldo Rata-Rata Akhir Bulan Non Kogol 1 dan Non Kogol 2</v>
      </c>
      <c r="D188" s="105" t="s">
        <v>456</v>
      </c>
      <c r="E188" t="str">
        <v>Pencapaian Saldo Rata-Rata Akhir Bulan Non Kogol 1 dan Non Kogol 2</v>
      </c>
      <c r="G188">
        <v>4.17</v>
      </c>
      <c r="H188">
        <v>4.17</v>
      </c>
      <c r="I188">
        <v>4.17</v>
      </c>
      <c r="J188">
        <v>4.17</v>
      </c>
      <c r="K188">
        <v>4.17</v>
      </c>
      <c r="L188">
        <v>4.17</v>
      </c>
      <c r="M188">
        <v>4.17</v>
      </c>
      <c r="N188">
        <v>4.17</v>
      </c>
      <c r="O188">
        <v>4.17</v>
      </c>
      <c r="P188">
        <v>4.17</v>
      </c>
      <c r="Q188">
        <v>4.17</v>
      </c>
      <c r="R188">
        <v>4.17</v>
      </c>
      <c r="T188" t="str">
        <v>Pencapaian Saldo Rata-Rata Akhir Bulan Non Kogol 1 dan Non Kogol 2</v>
      </c>
      <c r="V188">
        <v>5.237749</v>
      </c>
      <c r="W188">
        <v>2.6188745</v>
      </c>
      <c r="X188">
        <v>1.7459163333333334</v>
      </c>
      <c r="Y188">
        <v>2.9689424999999998</v>
      </c>
      <c r="Z188">
        <v>2.7957200000000002</v>
      </c>
      <c r="AA188">
        <v>2.4672841666666669</v>
      </c>
      <c r="AB188">
        <v>2.6471661428571429</v>
      </c>
      <c r="AC188">
        <v>2.6505557500000001</v>
      </c>
      <c r="AD188">
        <v>2.399983555555556</v>
      </c>
      <c r="AE188">
        <v>2.2811970000000001</v>
      </c>
      <c r="AF188">
        <v>2.2811970000000001</v>
      </c>
      <c r="AG188">
        <v>2.2811970000000001</v>
      </c>
      <c r="AI188" t="str">
        <v>Pencapaian Saldo Rata-Rata Akhir Bulan Non Kogol 1 dan Non Kogol 2</v>
      </c>
      <c r="AK188" s="440">
        <f t="shared" si="689"/>
        <v>74.394508393285363</v>
      </c>
      <c r="AL188" s="440">
        <f t="shared" si="690"/>
        <v>110</v>
      </c>
      <c r="AM188" s="440">
        <f t="shared" si="691"/>
        <v>110</v>
      </c>
      <c r="AN188" s="440">
        <f t="shared" si="692"/>
        <v>110</v>
      </c>
      <c r="AO188" s="440">
        <f t="shared" si="693"/>
        <v>110</v>
      </c>
      <c r="AP188" s="440">
        <f t="shared" si="694"/>
        <v>110</v>
      </c>
      <c r="AQ188" s="440">
        <f t="shared" si="695"/>
        <v>110</v>
      </c>
      <c r="AR188" s="440">
        <f t="shared" si="696"/>
        <v>110</v>
      </c>
      <c r="AS188" s="440">
        <f t="shared" si="697"/>
        <v>110</v>
      </c>
      <c r="AT188" s="440">
        <f t="shared" si="698"/>
        <v>110</v>
      </c>
      <c r="AU188" s="440">
        <f t="shared" si="699"/>
        <v>110</v>
      </c>
      <c r="AV188" s="440">
        <f t="shared" si="700"/>
        <v>110</v>
      </c>
      <c r="AX188" t="str">
        <v>Pencapaian Saldo Rata-Rata Akhir Bulan Non Kogol 1 dan Non Kogol 2</v>
      </c>
      <c r="AY188" s="105" t="s">
        <v>452</v>
      </c>
      <c r="AZ188">
        <v>3</v>
      </c>
      <c r="BA188" s="440">
        <f t="shared" si="557"/>
        <v>2.23</v>
      </c>
      <c r="BB188" s="440">
        <f t="shared" si="558"/>
        <v>3.3</v>
      </c>
      <c r="BC188" s="440">
        <f t="shared" si="559"/>
        <v>3.3</v>
      </c>
      <c r="BD188" s="440">
        <f t="shared" si="560"/>
        <v>3.3</v>
      </c>
      <c r="BE188" s="440">
        <f t="shared" si="561"/>
        <v>3.3</v>
      </c>
      <c r="BF188" s="440">
        <f t="shared" si="562"/>
        <v>3.3</v>
      </c>
      <c r="BG188" s="440">
        <f t="shared" si="563"/>
        <v>3.3</v>
      </c>
      <c r="BH188" s="440">
        <f t="shared" si="564"/>
        <v>3.3</v>
      </c>
      <c r="BI188" s="440">
        <f t="shared" si="565"/>
        <v>3.3</v>
      </c>
      <c r="BJ188" s="440">
        <f t="shared" si="566"/>
        <v>3.3</v>
      </c>
      <c r="BK188" s="440">
        <f t="shared" si="567"/>
        <v>3.3</v>
      </c>
      <c r="BL188" s="440">
        <f t="shared" si="568"/>
        <v>3.3</v>
      </c>
    </row>
    <row r="189" spans="1:64">
      <c r="A189" t="str">
        <v>c. Pencapaian Pelunasan PRR</v>
      </c>
      <c r="B189">
        <v>2</v>
      </c>
      <c r="C189" t="str">
        <v>Pencapaian Pelunasan PRR</v>
      </c>
      <c r="D189" s="105" t="s">
        <v>456</v>
      </c>
      <c r="E189" t="str">
        <v>Pencapaian Pelunasan PRR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T189" t="str">
        <v>Pencapaian Pelunasan PRR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I189" t="str">
        <v>Pencapaian Pelunasan PRR</v>
      </c>
      <c r="AK189" s="440">
        <f t="shared" ref="AK189" si="701">IFERROR(IF(V189/G189*100&gt;110,110,V189/G189*100),100)</f>
        <v>100</v>
      </c>
      <c r="AL189" s="440">
        <f t="shared" ref="AL189" si="702">IFERROR(IF(W189/H189*100&gt;110,110,W189/H189*100),100)</f>
        <v>100</v>
      </c>
      <c r="AM189" s="440">
        <f t="shared" ref="AM189" si="703">IFERROR(IF(X189/I189*100&gt;110,110,X189/I189*100),100)</f>
        <v>100</v>
      </c>
      <c r="AN189" s="440">
        <f t="shared" ref="AN189" si="704">IFERROR(IF(Y189/J189*100&gt;110,110,Y189/J189*100),100)</f>
        <v>100</v>
      </c>
      <c r="AO189" s="440">
        <f t="shared" ref="AO189" si="705">IFERROR(IF(Z189/K189*100&gt;110,110,Z189/K189*100),100)</f>
        <v>100</v>
      </c>
      <c r="AP189" s="440">
        <f t="shared" ref="AP189" si="706">IFERROR(IF(AA189/L189*100&gt;110,110,AA189/L189*100),100)</f>
        <v>100</v>
      </c>
      <c r="AQ189" s="440">
        <f t="shared" ref="AQ189" si="707">IFERROR(IF(AB189/M189*100&gt;110,110,AB189/M189*100),100)</f>
        <v>100</v>
      </c>
      <c r="AR189" s="440">
        <f t="shared" ref="AR189" si="708">IFERROR(IF(AC189/N189*100&gt;110,110,AC189/N189*100),100)</f>
        <v>100</v>
      </c>
      <c r="AS189" s="440">
        <f t="shared" ref="AS189" si="709">IFERROR(IF(AD189/O189*100&gt;110,110,AD189/O189*100),100)</f>
        <v>100</v>
      </c>
      <c r="AT189" s="440">
        <f t="shared" ref="AT189" si="710">IFERROR(IF(AE189/P189*100&gt;110,110,AE189/P189*100),100)</f>
        <v>100</v>
      </c>
      <c r="AU189" s="440">
        <f t="shared" ref="AU189" si="711">IFERROR(IF(AF189/Q189*100&gt;110,110,AF189/Q189*100),100)</f>
        <v>100</v>
      </c>
      <c r="AV189" s="440">
        <f t="shared" ref="AV189" si="712">IFERROR(IF(AG189/R189*100&gt;110,110,AG189/R189*100),100)</f>
        <v>100</v>
      </c>
      <c r="AX189" t="str">
        <v>Pencapaian Pelunasan PRR</v>
      </c>
      <c r="AY189" s="105" t="s">
        <v>452</v>
      </c>
      <c r="AZ189">
        <v>3</v>
      </c>
      <c r="BA189" s="440">
        <f t="shared" si="557"/>
        <v>3</v>
      </c>
      <c r="BB189" s="440">
        <f t="shared" si="558"/>
        <v>3</v>
      </c>
      <c r="BC189" s="440">
        <f t="shared" si="559"/>
        <v>3</v>
      </c>
      <c r="BD189" s="440">
        <f t="shared" si="560"/>
        <v>3</v>
      </c>
      <c r="BE189" s="440">
        <f t="shared" si="561"/>
        <v>3</v>
      </c>
      <c r="BF189" s="440">
        <f t="shared" si="562"/>
        <v>3</v>
      </c>
      <c r="BG189" s="440">
        <f t="shared" si="563"/>
        <v>3</v>
      </c>
      <c r="BH189" s="440">
        <f t="shared" si="564"/>
        <v>3</v>
      </c>
      <c r="BI189" s="440">
        <f t="shared" si="565"/>
        <v>3</v>
      </c>
      <c r="BJ189" s="440">
        <f t="shared" si="566"/>
        <v>3</v>
      </c>
      <c r="BK189" s="440">
        <f t="shared" si="567"/>
        <v>3</v>
      </c>
      <c r="BL189" s="440">
        <f t="shared" si="568"/>
        <v>3</v>
      </c>
    </row>
    <row r="200" spans="1:64">
      <c r="A200" s="826" t="s">
        <v>6</v>
      </c>
      <c r="B200" s="826"/>
      <c r="C200" s="826"/>
      <c r="D200" s="826"/>
    </row>
    <row r="201" spans="1:64">
      <c r="A201" s="826"/>
      <c r="B201" s="826"/>
      <c r="C201" s="826"/>
      <c r="D201" s="826"/>
      <c r="AZ201" t="s">
        <v>100</v>
      </c>
      <c r="BA201" s="440">
        <v>100</v>
      </c>
      <c r="BB201" s="440">
        <v>100</v>
      </c>
      <c r="BC201" s="440">
        <v>100</v>
      </c>
      <c r="BD201" s="440">
        <v>100</v>
      </c>
      <c r="BE201" s="440">
        <v>100</v>
      </c>
      <c r="BF201" s="440">
        <v>100</v>
      </c>
      <c r="BG201" s="440">
        <v>100</v>
      </c>
      <c r="BH201" s="440">
        <v>100</v>
      </c>
      <c r="BI201" s="440">
        <v>100</v>
      </c>
      <c r="BJ201" s="440">
        <v>100</v>
      </c>
      <c r="BK201" s="440">
        <v>100</v>
      </c>
      <c r="BL201" s="440">
        <v>100</v>
      </c>
    </row>
    <row r="202" spans="1:64">
      <c r="A202" s="826"/>
      <c r="B202" s="826"/>
      <c r="C202" s="826"/>
      <c r="D202" s="826"/>
      <c r="AZ202" t="s">
        <v>254</v>
      </c>
      <c r="BA202" s="447">
        <f>SUM(BA205:BA234)</f>
        <v>93.620000000000019</v>
      </c>
      <c r="BB202" s="447">
        <f t="shared" ref="BB202:BI202" si="713">SUM(BB205:BB234)</f>
        <v>91.61</v>
      </c>
      <c r="BC202" s="447">
        <f t="shared" si="713"/>
        <v>97.929999999999978</v>
      </c>
      <c r="BD202" s="447">
        <f t="shared" si="713"/>
        <v>98.360000000000014</v>
      </c>
      <c r="BE202" s="447">
        <f t="shared" si="713"/>
        <v>97.539999999999992</v>
      </c>
      <c r="BF202" s="447">
        <f t="shared" si="713"/>
        <v>101.43</v>
      </c>
      <c r="BG202" s="447">
        <f t="shared" si="713"/>
        <v>102.19</v>
      </c>
      <c r="BH202" s="447">
        <f t="shared" si="713"/>
        <v>102.86</v>
      </c>
      <c r="BI202" s="447">
        <f t="shared" si="713"/>
        <v>103.55</v>
      </c>
      <c r="BJ202" s="447"/>
      <c r="BK202" s="447"/>
      <c r="BL202" s="447"/>
    </row>
    <row r="203" spans="1:64">
      <c r="E203" s="21" t="s">
        <v>100</v>
      </c>
      <c r="G203">
        <v>1</v>
      </c>
      <c r="H203">
        <v>2</v>
      </c>
      <c r="I203">
        <v>3</v>
      </c>
      <c r="J203">
        <v>4</v>
      </c>
      <c r="K203">
        <v>5</v>
      </c>
      <c r="L203">
        <v>6</v>
      </c>
      <c r="M203">
        <v>7</v>
      </c>
      <c r="N203">
        <v>8</v>
      </c>
      <c r="O203">
        <v>9</v>
      </c>
      <c r="P203">
        <v>10</v>
      </c>
      <c r="Q203">
        <v>11</v>
      </c>
      <c r="R203">
        <v>12</v>
      </c>
      <c r="T203" s="21" t="s">
        <v>254</v>
      </c>
      <c r="V203">
        <v>1</v>
      </c>
      <c r="W203">
        <v>2</v>
      </c>
      <c r="X203">
        <v>3</v>
      </c>
      <c r="Y203">
        <v>4</v>
      </c>
      <c r="Z203">
        <v>5</v>
      </c>
      <c r="AA203">
        <v>6</v>
      </c>
      <c r="AB203">
        <v>7</v>
      </c>
      <c r="AC203">
        <v>8</v>
      </c>
      <c r="AD203">
        <v>9</v>
      </c>
      <c r="AE203">
        <v>10</v>
      </c>
      <c r="AF203">
        <v>11</v>
      </c>
      <c r="AG203">
        <v>12</v>
      </c>
      <c r="AI203" s="21" t="s">
        <v>102</v>
      </c>
      <c r="AK203">
        <v>1</v>
      </c>
      <c r="AL203">
        <v>2</v>
      </c>
      <c r="AM203">
        <v>3</v>
      </c>
      <c r="AN203">
        <v>4</v>
      </c>
      <c r="AO203">
        <v>5</v>
      </c>
      <c r="AP203">
        <v>6</v>
      </c>
      <c r="AQ203">
        <v>7</v>
      </c>
      <c r="AR203">
        <v>8</v>
      </c>
      <c r="AS203">
        <v>9</v>
      </c>
      <c r="AT203">
        <v>10</v>
      </c>
      <c r="AU203">
        <v>11</v>
      </c>
      <c r="AV203">
        <v>12</v>
      </c>
      <c r="AX203" s="21" t="s">
        <v>99</v>
      </c>
      <c r="BA203">
        <v>1</v>
      </c>
      <c r="BB203">
        <v>2</v>
      </c>
      <c r="BC203">
        <v>3</v>
      </c>
      <c r="BD203">
        <v>4</v>
      </c>
      <c r="BE203">
        <v>5</v>
      </c>
      <c r="BF203">
        <v>6</v>
      </c>
      <c r="BG203">
        <v>7</v>
      </c>
      <c r="BH203">
        <v>8</v>
      </c>
      <c r="BI203">
        <v>9</v>
      </c>
      <c r="BJ203">
        <v>10</v>
      </c>
      <c r="BK203">
        <v>11</v>
      </c>
      <c r="BL203">
        <v>12</v>
      </c>
    </row>
    <row r="204" spans="1:64">
      <c r="A204" t="s">
        <v>448</v>
      </c>
      <c r="B204" t="s">
        <v>449</v>
      </c>
      <c r="C204" t="s">
        <v>450</v>
      </c>
      <c r="E204" s="21" t="s">
        <v>451</v>
      </c>
      <c r="G204" s="438">
        <f>DATE(2025,G203+1,0)</f>
        <v>45688</v>
      </c>
      <c r="H204" s="438">
        <f t="shared" ref="H204:R204" si="714">DATE(2025,H203+1,0)</f>
        <v>45716</v>
      </c>
      <c r="I204" s="438">
        <f t="shared" si="714"/>
        <v>45747</v>
      </c>
      <c r="J204" s="438">
        <f t="shared" si="714"/>
        <v>45777</v>
      </c>
      <c r="K204" s="438">
        <f t="shared" si="714"/>
        <v>45808</v>
      </c>
      <c r="L204" s="438">
        <f t="shared" si="714"/>
        <v>45838</v>
      </c>
      <c r="M204" s="438">
        <f t="shared" si="714"/>
        <v>45869</v>
      </c>
      <c r="N204" s="438">
        <f t="shared" si="714"/>
        <v>45900</v>
      </c>
      <c r="O204" s="438">
        <f t="shared" si="714"/>
        <v>45930</v>
      </c>
      <c r="P204" s="438">
        <f t="shared" si="714"/>
        <v>45961</v>
      </c>
      <c r="Q204" s="438">
        <f t="shared" si="714"/>
        <v>45991</v>
      </c>
      <c r="R204" s="438">
        <f t="shared" si="714"/>
        <v>46022</v>
      </c>
      <c r="T204" s="21" t="s">
        <v>451</v>
      </c>
      <c r="V204" s="438">
        <f>DATE(2025,V203+1,0)</f>
        <v>45688</v>
      </c>
      <c r="W204" s="438">
        <f t="shared" ref="W204:AG204" si="715">DATE(2025,W203+1,0)</f>
        <v>45716</v>
      </c>
      <c r="X204" s="438">
        <f t="shared" si="715"/>
        <v>45747</v>
      </c>
      <c r="Y204" s="438">
        <f t="shared" si="715"/>
        <v>45777</v>
      </c>
      <c r="Z204" s="438">
        <f t="shared" si="715"/>
        <v>45808</v>
      </c>
      <c r="AA204" s="438">
        <f t="shared" si="715"/>
        <v>45838</v>
      </c>
      <c r="AB204" s="438">
        <f t="shared" si="715"/>
        <v>45869</v>
      </c>
      <c r="AC204" s="438">
        <f t="shared" si="715"/>
        <v>45900</v>
      </c>
      <c r="AD204" s="438">
        <f t="shared" si="715"/>
        <v>45930</v>
      </c>
      <c r="AE204" s="438">
        <f t="shared" si="715"/>
        <v>45961</v>
      </c>
      <c r="AF204" s="438">
        <f t="shared" si="715"/>
        <v>45991</v>
      </c>
      <c r="AG204" s="438">
        <f t="shared" si="715"/>
        <v>46022</v>
      </c>
      <c r="AI204" s="21" t="s">
        <v>451</v>
      </c>
      <c r="AK204" s="438">
        <f>DATE(2025,AK203+1,0)</f>
        <v>45688</v>
      </c>
      <c r="AL204" s="438">
        <f t="shared" ref="AL204:AV204" si="716">DATE(2025,AL203+1,0)</f>
        <v>45716</v>
      </c>
      <c r="AM204" s="438">
        <f t="shared" si="716"/>
        <v>45747</v>
      </c>
      <c r="AN204" s="438">
        <f t="shared" si="716"/>
        <v>45777</v>
      </c>
      <c r="AO204" s="438">
        <f t="shared" si="716"/>
        <v>45808</v>
      </c>
      <c r="AP204" s="438">
        <f t="shared" si="716"/>
        <v>45838</v>
      </c>
      <c r="AQ204" s="438">
        <f t="shared" si="716"/>
        <v>45869</v>
      </c>
      <c r="AR204" s="438">
        <f t="shared" si="716"/>
        <v>45900</v>
      </c>
      <c r="AS204" s="438">
        <f t="shared" si="716"/>
        <v>45930</v>
      </c>
      <c r="AT204" s="438">
        <f t="shared" si="716"/>
        <v>45961</v>
      </c>
      <c r="AU204" s="438">
        <f t="shared" si="716"/>
        <v>45991</v>
      </c>
      <c r="AV204" s="438">
        <f t="shared" si="716"/>
        <v>46022</v>
      </c>
      <c r="AX204" s="21" t="s">
        <v>451</v>
      </c>
      <c r="BA204" s="438">
        <f>DATE(2025,BA203+1,0)</f>
        <v>45688</v>
      </c>
      <c r="BB204" s="438">
        <f t="shared" ref="BB204:BL204" si="717">DATE(2025,BB203+1,0)</f>
        <v>45716</v>
      </c>
      <c r="BC204" s="438">
        <f t="shared" si="717"/>
        <v>45747</v>
      </c>
      <c r="BD204" s="438">
        <f t="shared" si="717"/>
        <v>45777</v>
      </c>
      <c r="BE204" s="438">
        <f t="shared" si="717"/>
        <v>45808</v>
      </c>
      <c r="BF204" s="438">
        <f t="shared" si="717"/>
        <v>45838</v>
      </c>
      <c r="BG204" s="438">
        <f t="shared" si="717"/>
        <v>45869</v>
      </c>
      <c r="BH204" s="438">
        <f t="shared" si="717"/>
        <v>45900</v>
      </c>
      <c r="BI204" s="438">
        <f t="shared" si="717"/>
        <v>45930</v>
      </c>
      <c r="BJ204" s="438">
        <f t="shared" si="717"/>
        <v>45961</v>
      </c>
      <c r="BK204" s="438">
        <f t="shared" si="717"/>
        <v>45991</v>
      </c>
      <c r="BL204" s="438">
        <f t="shared" si="717"/>
        <v>46022</v>
      </c>
    </row>
    <row r="205" spans="1:64">
      <c r="A205" t="str" cm="1">
        <f t="array" ref="A205:A234">_xlfn._xlws.FILTER(ULP!$AV$9:$AV$58,ULP!$AW$9:$AW$58&gt;0)</f>
        <v>Penjualan Tenaga Listrik</v>
      </c>
      <c r="B205" t="e" cm="1">
        <f t="array" ref="B205:B234">SEARCH(".",_xlfn.ANCHORARRAY(A205))</f>
        <v>#VALUE!</v>
      </c>
      <c r="C205" t="str" cm="1">
        <f t="array" ref="C205:C234">IF(ISERROR(_xlfn.ANCHORARRAY(B205))=TRUE,_xlfn.ANCHORARRAY(A205),RIGHT(_xlfn.ANCHORARRAY(A205),LEN(_xlfn.ANCHORARRAY(A205))-_xlfn.ANCHORARRAY(B205)-1))</f>
        <v>Penjualan Tenaga Listrik</v>
      </c>
      <c r="D205" s="105" t="s">
        <v>456</v>
      </c>
      <c r="E205" t="str" cm="1">
        <f t="array" ref="E205:E234">_xlfn.ANCHORARRAY($C$205)</f>
        <v>Penjualan Tenaga Listrik</v>
      </c>
      <c r="G205" s="440" cm="1">
        <f t="array" ref="G205:G234">INDEX(T.KOTARAYA!I$7:I$55,MATCH(_xlfn.ANCHORARRAY($A$205),T.KOTARAYA!$B$7:$B$55,0))</f>
        <v>2.91</v>
      </c>
      <c r="H205" s="440" cm="1">
        <f t="array" ref="H205:H234">INDEX(T.KOTARAYA!J$7:J$55,MATCH(_xlfn.ANCHORARRAY($A$205),T.KOTARAYA!$B$7:$B$55,0))</f>
        <v>5.68</v>
      </c>
      <c r="I205" s="440" cm="1">
        <f t="array" ref="I205:I234">INDEX(T.KOTARAYA!K$7:K$55,MATCH(_xlfn.ANCHORARRAY($A$205),T.KOTARAYA!$B$7:$B$55,0))</f>
        <v>8.77</v>
      </c>
      <c r="J205" s="440" cm="1">
        <f t="array" ref="J205:J234">INDEX(T.KOTARAYA!L$7:L$55,MATCH(_xlfn.ANCHORARRAY($A$205),T.KOTARAYA!$B$7:$B$55,0))</f>
        <v>11.75</v>
      </c>
      <c r="K205" s="440" cm="1">
        <f t="array" ref="K205:K234">INDEX(T.KOTARAYA!M$7:M$55,MATCH(_xlfn.ANCHORARRAY($A$205),T.KOTARAYA!$B$7:$B$55,0))</f>
        <v>14.81</v>
      </c>
      <c r="L205" s="440" cm="1">
        <f t="array" ref="L205:L234">INDEX(T.KOTARAYA!N$7:N$55,MATCH(_xlfn.ANCHORARRAY($A$205),T.KOTARAYA!$B$7:$B$55,0))</f>
        <v>17.68</v>
      </c>
      <c r="M205" s="440" cm="1">
        <f t="array" ref="M205:M234">INDEX(T.KOTARAYA!O$7:O$55,MATCH(_xlfn.ANCHORARRAY($A$205),T.KOTARAYA!$B$7:$B$55,0))</f>
        <v>20.6</v>
      </c>
      <c r="N205" s="440" cm="1">
        <f t="array" ref="N205:N234">INDEX(T.KOTARAYA!P$7:P$55,MATCH(_xlfn.ANCHORARRAY($A$205),T.KOTARAYA!$B$7:$B$55,0))</f>
        <v>23.59</v>
      </c>
      <c r="O205" s="440" cm="1">
        <f t="array" ref="O205:O234">INDEX(T.KOTARAYA!Q$7:Q$55,MATCH(_xlfn.ANCHORARRAY($A$205),T.KOTARAYA!$B$7:$B$55,0))</f>
        <v>26.61</v>
      </c>
      <c r="P205" s="440" cm="1">
        <f t="array" ref="P205:P234">INDEX(T.KOTARAYA!R$7:R$55,MATCH(_xlfn.ANCHORARRAY($A$205),T.KOTARAYA!$B$7:$B$55,0))</f>
        <v>29.76</v>
      </c>
      <c r="Q205" s="440" cm="1">
        <f t="array" ref="Q205:Q234">INDEX(T.KOTARAYA!S$7:S$55,MATCH(_xlfn.ANCHORARRAY($A$205),T.KOTARAYA!$B$7:$B$55,0))</f>
        <v>32.86</v>
      </c>
      <c r="R205" s="440" cm="1">
        <f t="array" ref="R205:R234">INDEX(T.KOTARAYA!T$7:T$55,MATCH(_xlfn.ANCHORARRAY($A$205),T.KOTARAYA!$B$7:$B$55,0))</f>
        <v>35.99</v>
      </c>
      <c r="T205" t="str" cm="1">
        <f t="array" ref="T205:T234">_xlfn.ANCHORARRAY($C$205)</f>
        <v>Penjualan Tenaga Listrik</v>
      </c>
      <c r="V205" cm="1">
        <f t="array" ref="V205:V234">INDEX('R.KOTARAYA'!I$7:I$55,MATCH(_xlfn.ANCHORARRAY($A$205),'R.KOTARAYA'!$B$7:$B$55,0))</f>
        <v>3.8265327429999996</v>
      </c>
      <c r="W205" cm="1">
        <f t="array" ref="W205:W234">INDEX('R.KOTARAYA'!J$7:J$55,MATCH(_xlfn.ANCHORARRAY($A$205),'R.KOTARAYA'!$B$7:$B$55,0))</f>
        <v>6.8866293559999994</v>
      </c>
      <c r="X205" cm="1">
        <f t="array" ref="X205:X234">INDEX('R.KOTARAYA'!K$7:K$55,MATCH(_xlfn.ANCHORARRAY($A$205),'R.KOTARAYA'!$B$7:$B$55,0))</f>
        <v>9.8826701059999991</v>
      </c>
      <c r="Y205" cm="1">
        <f t="array" ref="Y205:Y234">INDEX('R.KOTARAYA'!L$7:L$55,MATCH(_xlfn.ANCHORARRAY($A$205),'R.KOTARAYA'!$B$7:$B$55,0))</f>
        <v>12.415903127999998</v>
      </c>
      <c r="Z205" cm="1">
        <f t="array" ref="Z205:Z234">INDEX('R.KOTARAYA'!M$7:M$55,MATCH(_xlfn.ANCHORARRAY($A$205),'R.KOTARAYA'!$B$7:$B$55,0))</f>
        <v>15.194438718999997</v>
      </c>
      <c r="AA205" cm="1">
        <f t="array" ref="AA205:AA234">INDEX('R.KOTARAYA'!N$7:N$55,MATCH(_xlfn.ANCHORARRAY($A$205),'R.KOTARAYA'!$B$7:$B$55,0))</f>
        <v>18.081826379999995</v>
      </c>
      <c r="AB205" cm="1">
        <f t="array" ref="AB205:AB234">INDEX('R.KOTARAYA'!O$7:O$55,MATCH(_xlfn.ANCHORARRAY($A$205),'R.KOTARAYA'!$B$7:$B$55,0))</f>
        <v>21.134440472999994</v>
      </c>
      <c r="AC205" cm="1">
        <f t="array" ref="AC205:AC234">INDEX('R.KOTARAYA'!P$7:P$55,MATCH(_xlfn.ANCHORARRAY($A$205),'R.KOTARAYA'!$B$7:$B$55,0))</f>
        <v>24.063353978999995</v>
      </c>
      <c r="AD205" cm="1">
        <f t="array" ref="AD205:AD234">INDEX('R.KOTARAYA'!Q$7:Q$55,MATCH(_xlfn.ANCHORARRAY($A$205),'R.KOTARAYA'!$B$7:$B$55,0))</f>
        <v>26.957476767999996</v>
      </c>
      <c r="AE205" cm="1">
        <f t="array" ref="AE205:AE234">INDEX('R.KOTARAYA'!R$7:R$55,MATCH(_xlfn.ANCHORARRAY($A$205),'R.KOTARAYA'!$B$7:$B$55,0))</f>
        <v>30.078666773999995</v>
      </c>
      <c r="AF205" cm="1">
        <f t="array" ref="AF205:AF234">INDEX('R.KOTARAYA'!S$7:S$55,MATCH(_xlfn.ANCHORARRAY($A$205),'R.KOTARAYA'!$B$7:$B$55,0))</f>
        <v>0</v>
      </c>
      <c r="AG205" cm="1">
        <f t="array" ref="AG205:AG234">INDEX('R.KOTARAYA'!T$7:T$55,MATCH(_xlfn.ANCHORARRAY($A$205),'R.KOTARAYA'!$B$7:$B$55,0))</f>
        <v>0</v>
      </c>
      <c r="AI205" t="str" cm="1">
        <f t="array" ref="AI205:AI234">_xlfn.ANCHORARRAY($C$205)</f>
        <v>Penjualan Tenaga Listrik</v>
      </c>
      <c r="AK205" s="440">
        <f>IF(V205/G205*100&gt;110,110,V205/G205*100)</f>
        <v>110</v>
      </c>
      <c r="AL205" s="440">
        <f t="shared" ref="AL205" si="718">IF(W205/H205*100&gt;110,110,W205/H205*100)</f>
        <v>110</v>
      </c>
      <c r="AM205" s="440">
        <f t="shared" ref="AM205" si="719">IF(X205/I205*100&gt;110,110,X205/I205*100)</f>
        <v>110</v>
      </c>
      <c r="AN205" s="440">
        <f t="shared" ref="AN205" si="720">IF(Y205/J205*100&gt;110,110,Y205/J205*100)</f>
        <v>105.66726066382977</v>
      </c>
      <c r="AO205" s="440">
        <f t="shared" ref="AO205" si="721">IF(Z205/K205*100&gt;110,110,Z205/K205*100)</f>
        <v>102.59580498987168</v>
      </c>
      <c r="AP205" s="440">
        <f t="shared" ref="AP205" si="722">IF(AA205/L205*100&gt;110,110,AA205/L205*100)</f>
        <v>102.27277364253391</v>
      </c>
      <c r="AQ205" s="440">
        <f t="shared" ref="AQ205" si="723">IF(AB205/M205*100&gt;110,110,AB205/M205*100)</f>
        <v>102.59437122815531</v>
      </c>
      <c r="AR205" s="440">
        <f t="shared" ref="AR205" si="724">IF(AC205/N205*100&gt;110,110,AC205/N205*100)</f>
        <v>102.0065874480712</v>
      </c>
      <c r="AS205" s="440">
        <f t="shared" ref="AS205" si="725">IF(AD205/O205*100&gt;110,110,AD205/O205*100)</f>
        <v>101.30581273205561</v>
      </c>
      <c r="AT205" s="440">
        <f t="shared" ref="AT205" si="726">IF(AE205/P205*100&gt;110,110,AE205/P205*100)</f>
        <v>101.07078889112901</v>
      </c>
      <c r="AU205" s="440">
        <f t="shared" ref="AU205" si="727">IF(AF205/Q205*100&gt;110,110,AF205/Q205*100)</f>
        <v>0</v>
      </c>
      <c r="AV205" s="440">
        <f t="shared" ref="AV205" si="728">IF(AG205/R205*100&gt;110,110,AG205/R205*100)</f>
        <v>0</v>
      </c>
      <c r="AX205" t="str" cm="1">
        <f t="array" ref="AX205:AX234">_xlfn.ANCHORARRAY($C$205)</f>
        <v>Penjualan Tenaga Listrik</v>
      </c>
      <c r="AY205" s="105" t="s">
        <v>452</v>
      </c>
      <c r="AZ205">
        <v>14</v>
      </c>
      <c r="BA205" s="440">
        <f t="shared" ref="BA205:BA234" si="729">ROUNDDOWN(AK205/100*$AZ205,2)</f>
        <v>15.4</v>
      </c>
      <c r="BB205" s="440">
        <f t="shared" ref="BB205:BB234" si="730">ROUNDDOWN(AL205/100*$AZ205,2)</f>
        <v>15.4</v>
      </c>
      <c r="BC205" s="440">
        <f t="shared" ref="BC205:BC234" si="731">ROUNDDOWN(AM205/100*$AZ205,2)</f>
        <v>15.4</v>
      </c>
      <c r="BD205" s="440">
        <f t="shared" ref="BD205:BD234" si="732">ROUNDDOWN(AN205/100*$AZ205,2)</f>
        <v>14.79</v>
      </c>
      <c r="BE205" s="440">
        <f t="shared" ref="BE205:BE234" si="733">ROUNDDOWN(AO205/100*$AZ205,2)</f>
        <v>14.36</v>
      </c>
      <c r="BF205" s="440">
        <f t="shared" ref="BF205:BF234" si="734">ROUNDDOWN(AP205/100*$AZ205,2)</f>
        <v>14.31</v>
      </c>
      <c r="BG205" s="440">
        <f t="shared" ref="BG205:BG234" si="735">ROUNDDOWN(AQ205/100*$AZ205,2)</f>
        <v>14.36</v>
      </c>
      <c r="BH205" s="440">
        <f t="shared" ref="BH205:BH234" si="736">ROUNDDOWN(AR205/100*$AZ205,2)</f>
        <v>14.28</v>
      </c>
      <c r="BI205" s="440">
        <f t="shared" ref="BI205:BI234" si="737">ROUNDDOWN(AS205/100*$AZ205,2)</f>
        <v>14.18</v>
      </c>
      <c r="BJ205" s="440">
        <f t="shared" ref="BJ205:BJ234" si="738">ROUNDDOWN(AT205/100*$AZ205,2)</f>
        <v>14.14</v>
      </c>
      <c r="BK205" s="440">
        <f t="shared" ref="BK205:BK234" si="739">ROUNDDOWN(AU205/100*$AZ205,2)</f>
        <v>0</v>
      </c>
      <c r="BL205" s="440">
        <f t="shared" ref="BL205:BL234" si="740">ROUNDDOWN(AV205/100*$AZ205,2)</f>
        <v>0</v>
      </c>
    </row>
    <row r="206" spans="1:64">
      <c r="A206" t="str">
        <v>a. SAIDI (sesuai kewenangan)</v>
      </c>
      <c r="B206">
        <v>2</v>
      </c>
      <c r="C206" t="str">
        <v>SAIDI (sesuai kewenangan)</v>
      </c>
      <c r="D206" s="105" t="s">
        <v>456</v>
      </c>
      <c r="E206" t="str">
        <v>SAIDI (sesuai kewenangan)</v>
      </c>
      <c r="G206" s="440">
        <v>70.355964102564087</v>
      </c>
      <c r="H206" s="440">
        <v>140.71192820512817</v>
      </c>
      <c r="I206" s="440">
        <v>211.06789230769226</v>
      </c>
      <c r="J206" s="440">
        <v>281.42385641025635</v>
      </c>
      <c r="K206" s="440">
        <v>351.77982051282044</v>
      </c>
      <c r="L206" s="440">
        <v>422.13578461538452</v>
      </c>
      <c r="M206" s="440">
        <v>492.49174871794861</v>
      </c>
      <c r="N206" s="440">
        <v>562.8477128205127</v>
      </c>
      <c r="O206" s="440">
        <v>633.20367692307673</v>
      </c>
      <c r="P206" s="440">
        <v>703.55964102564076</v>
      </c>
      <c r="Q206" s="440">
        <v>773.91560512820479</v>
      </c>
      <c r="R206" s="440">
        <v>844.27156923076882</v>
      </c>
      <c r="T206" t="str">
        <v>SAIDI (sesuai kewenangan)</v>
      </c>
      <c r="V206">
        <v>1.331227143437627</v>
      </c>
      <c r="W206">
        <v>1.7393945530019237</v>
      </c>
      <c r="X206">
        <v>3.5206724949562878</v>
      </c>
      <c r="Y206">
        <v>5.2966133458269189</v>
      </c>
      <c r="Z206">
        <v>42.734803349234411</v>
      </c>
      <c r="AA206">
        <v>53.015522745411005</v>
      </c>
      <c r="AB206">
        <v>95.901216238608114</v>
      </c>
      <c r="AC206">
        <v>110.25374950403385</v>
      </c>
      <c r="AD206">
        <v>109.91086827726943</v>
      </c>
      <c r="AE206">
        <v>116.23594563615524</v>
      </c>
      <c r="AF206">
        <v>0</v>
      </c>
      <c r="AG206">
        <v>0</v>
      </c>
      <c r="AI206" t="str">
        <v>SAIDI (sesuai kewenangan)</v>
      </c>
      <c r="AK206" s="440">
        <f t="shared" ref="AK206:AK207" si="741">IF((2-(V206/G206))*100&gt;110,110,(2-(V206/G206))*100)</f>
        <v>110</v>
      </c>
      <c r="AL206" s="440">
        <f t="shared" ref="AL206:AL207" si="742">IF((2-(W206/H206))*100&gt;110,110,(2-(W206/H206))*100)</f>
        <v>110</v>
      </c>
      <c r="AM206" s="440">
        <f t="shared" ref="AM206:AM207" si="743">IF((2-(X206/I206))*100&gt;110,110,(2-(X206/I206))*100)</f>
        <v>110</v>
      </c>
      <c r="AN206" s="440">
        <f t="shared" ref="AN206:AN207" si="744">IF((2-(Y206/J206))*100&gt;110,110,(2-(Y206/J206))*100)</f>
        <v>110</v>
      </c>
      <c r="AO206" s="440">
        <f t="shared" ref="AO206:AO207" si="745">IF((2-(Z206/K206))*100&gt;110,110,(2-(Z206/K206))*100)</f>
        <v>110</v>
      </c>
      <c r="AP206" s="440">
        <f t="shared" ref="AP206:AP207" si="746">IF((2-(AA206/L206))*100&gt;110,110,(2-(AA206/L206))*100)</f>
        <v>110</v>
      </c>
      <c r="AQ206" s="440">
        <f t="shared" ref="AQ206:AQ207" si="747">IF((2-(AB206/M206))*100&gt;110,110,(2-(AB206/M206))*100)</f>
        <v>110</v>
      </c>
      <c r="AR206" s="440">
        <f t="shared" ref="AR206:AR207" si="748">IF((2-(AC206/N206))*100&gt;110,110,(2-(AC206/N206))*100)</f>
        <v>110</v>
      </c>
      <c r="AS206" s="440">
        <f t="shared" ref="AS206:AS207" si="749">IF((2-(AD206/O206))*100&gt;110,110,(2-(AD206/O206))*100)</f>
        <v>110</v>
      </c>
      <c r="AT206" s="440">
        <f t="shared" ref="AT206:AT207" si="750">IF((2-(AE206/P206))*100&gt;110,110,(2-(AE206/P206))*100)</f>
        <v>110</v>
      </c>
      <c r="AU206" s="440">
        <f t="shared" ref="AU206:AU207" si="751">IF((2-(AF206/Q206))*100&gt;110,110,(2-(AF206/Q206))*100)</f>
        <v>110</v>
      </c>
      <c r="AV206" s="440">
        <f t="shared" ref="AV206:AV207" si="752">IF((2-(AG206/R206))*100&gt;110,110,(2-(AG206/R206))*100)</f>
        <v>110</v>
      </c>
      <c r="AX206" t="str">
        <v>SAIDI (sesuai kewenangan)</v>
      </c>
      <c r="AY206" s="105" t="s">
        <v>452</v>
      </c>
      <c r="AZ206">
        <v>6</v>
      </c>
      <c r="BA206" s="440">
        <f t="shared" si="729"/>
        <v>6.6</v>
      </c>
      <c r="BB206" s="440">
        <f t="shared" si="730"/>
        <v>6.6</v>
      </c>
      <c r="BC206" s="440">
        <f t="shared" si="731"/>
        <v>6.6</v>
      </c>
      <c r="BD206" s="440">
        <f t="shared" si="732"/>
        <v>6.6</v>
      </c>
      <c r="BE206" s="440">
        <f t="shared" si="733"/>
        <v>6.6</v>
      </c>
      <c r="BF206" s="440">
        <f t="shared" si="734"/>
        <v>6.6</v>
      </c>
      <c r="BG206" s="440">
        <f t="shared" si="735"/>
        <v>6.6</v>
      </c>
      <c r="BH206" s="440">
        <f t="shared" si="736"/>
        <v>6.6</v>
      </c>
      <c r="BI206" s="440">
        <f t="shared" si="737"/>
        <v>6.6</v>
      </c>
      <c r="BJ206" s="440">
        <f t="shared" si="738"/>
        <v>6.6</v>
      </c>
      <c r="BK206" s="440">
        <f t="shared" si="739"/>
        <v>6.6</v>
      </c>
      <c r="BL206" s="440">
        <f t="shared" si="740"/>
        <v>6.6</v>
      </c>
    </row>
    <row r="207" spans="1:64">
      <c r="A207" t="str">
        <v>b. SAIFI (sesuai kewenangan)</v>
      </c>
      <c r="B207">
        <v>2</v>
      </c>
      <c r="C207" t="str">
        <v>SAIFI (sesuai kewenangan)</v>
      </c>
      <c r="D207" s="105" t="s">
        <v>456</v>
      </c>
      <c r="E207" t="str">
        <v>SAIFI (sesuai kewenangan)</v>
      </c>
      <c r="G207" s="440">
        <v>0.22</v>
      </c>
      <c r="H207" s="440">
        <v>0.44</v>
      </c>
      <c r="I207" s="440">
        <v>0.65</v>
      </c>
      <c r="J207" s="440">
        <v>0.87</v>
      </c>
      <c r="K207" s="440">
        <v>1.0900000000000001</v>
      </c>
      <c r="L207" s="440">
        <v>1.31</v>
      </c>
      <c r="M207" s="440">
        <v>1.53</v>
      </c>
      <c r="N207" s="440">
        <v>1.75</v>
      </c>
      <c r="O207" s="440">
        <v>1.96</v>
      </c>
      <c r="P207" s="440">
        <v>2.1800000000000002</v>
      </c>
      <c r="Q207" s="440">
        <v>2.4</v>
      </c>
      <c r="R207" s="440">
        <v>2.62</v>
      </c>
      <c r="T207" t="str">
        <v>SAIFI (sesuai kewenangan)</v>
      </c>
      <c r="V207">
        <v>6.3795205201137753E-2</v>
      </c>
      <c r="W207">
        <v>8.2076203975566128E-2</v>
      </c>
      <c r="X207">
        <v>0.23930733019502354</v>
      </c>
      <c r="Y207">
        <v>0.39170738237065794</v>
      </c>
      <c r="Z207">
        <v>0.84358007805984592</v>
      </c>
      <c r="AA207">
        <v>1.0790103750997606</v>
      </c>
      <c r="AB207">
        <v>1.3599005799502899</v>
      </c>
      <c r="AC207">
        <v>1.4534783758762069</v>
      </c>
      <c r="AD207">
        <v>1.452438944111645</v>
      </c>
      <c r="AE207">
        <v>1.5039462911413133</v>
      </c>
      <c r="AF207">
        <v>0</v>
      </c>
      <c r="AG207">
        <v>0</v>
      </c>
      <c r="AI207" t="str">
        <v>SAIFI (sesuai kewenangan)</v>
      </c>
      <c r="AK207" s="440">
        <f t="shared" si="741"/>
        <v>110</v>
      </c>
      <c r="AL207" s="440">
        <f t="shared" si="742"/>
        <v>110</v>
      </c>
      <c r="AM207" s="440">
        <f t="shared" si="743"/>
        <v>110</v>
      </c>
      <c r="AN207" s="440">
        <f t="shared" si="744"/>
        <v>110</v>
      </c>
      <c r="AO207" s="440">
        <f t="shared" si="745"/>
        <v>110</v>
      </c>
      <c r="AP207" s="440">
        <f t="shared" si="746"/>
        <v>110</v>
      </c>
      <c r="AQ207" s="440">
        <f t="shared" si="747"/>
        <v>110</v>
      </c>
      <c r="AR207" s="440">
        <f t="shared" si="748"/>
        <v>110</v>
      </c>
      <c r="AS207" s="440">
        <f t="shared" si="749"/>
        <v>110</v>
      </c>
      <c r="AT207" s="440">
        <f t="shared" si="750"/>
        <v>110</v>
      </c>
      <c r="AU207" s="440">
        <f t="shared" si="751"/>
        <v>110</v>
      </c>
      <c r="AV207" s="440">
        <f t="shared" si="752"/>
        <v>110</v>
      </c>
      <c r="AX207" t="str">
        <v>SAIFI (sesuai kewenangan)</v>
      </c>
      <c r="AY207" s="105" t="s">
        <v>452</v>
      </c>
      <c r="AZ207">
        <v>6</v>
      </c>
      <c r="BA207" s="440">
        <f t="shared" si="729"/>
        <v>6.6</v>
      </c>
      <c r="BB207" s="440">
        <f t="shared" si="730"/>
        <v>6.6</v>
      </c>
      <c r="BC207" s="440">
        <f t="shared" si="731"/>
        <v>6.6</v>
      </c>
      <c r="BD207" s="440">
        <f t="shared" si="732"/>
        <v>6.6</v>
      </c>
      <c r="BE207" s="440">
        <f t="shared" si="733"/>
        <v>6.6</v>
      </c>
      <c r="BF207" s="440">
        <f t="shared" si="734"/>
        <v>6.6</v>
      </c>
      <c r="BG207" s="440">
        <f t="shared" si="735"/>
        <v>6.6</v>
      </c>
      <c r="BH207" s="440">
        <f t="shared" si="736"/>
        <v>6.6</v>
      </c>
      <c r="BI207" s="440">
        <f t="shared" si="737"/>
        <v>6.6</v>
      </c>
      <c r="BJ207" s="440">
        <f t="shared" si="738"/>
        <v>6.6</v>
      </c>
      <c r="BK207" s="440">
        <f t="shared" si="739"/>
        <v>6.6</v>
      </c>
      <c r="BL207" s="440">
        <f t="shared" si="740"/>
        <v>6.6</v>
      </c>
    </row>
    <row r="208" spans="1:64">
      <c r="A208" t="str">
        <v>c. ENS (sesuai kewenangan)</v>
      </c>
      <c r="B208">
        <v>2</v>
      </c>
      <c r="C208" t="str">
        <v>ENS (sesuai kewenangan)</v>
      </c>
      <c r="D208" s="105" t="s">
        <v>456</v>
      </c>
      <c r="E208" t="str">
        <v>ENS (sesuai kewenangan)</v>
      </c>
      <c r="G208" s="440">
        <v>1.05</v>
      </c>
      <c r="H208" s="440">
        <v>2.1</v>
      </c>
      <c r="I208" s="440">
        <v>3.15</v>
      </c>
      <c r="J208" s="440">
        <v>4.2</v>
      </c>
      <c r="K208" s="440">
        <v>5.25</v>
      </c>
      <c r="L208" s="440">
        <v>6.3</v>
      </c>
      <c r="M208" s="440">
        <v>7.35</v>
      </c>
      <c r="N208" s="440">
        <v>8.4</v>
      </c>
      <c r="O208" s="440">
        <v>9.4499999999999993</v>
      </c>
      <c r="P208" s="440">
        <v>10.5</v>
      </c>
      <c r="Q208" s="440">
        <v>11.55</v>
      </c>
      <c r="R208" s="440">
        <v>12.6</v>
      </c>
      <c r="T208" t="str">
        <v>ENS (sesuai kewenangan)</v>
      </c>
      <c r="V208">
        <v>8.2000000000000003E-2</v>
      </c>
      <c r="W208">
        <v>0.10600000000000001</v>
      </c>
      <c r="X208">
        <v>0.21900000000000003</v>
      </c>
      <c r="Y208">
        <v>0.30600000000000005</v>
      </c>
      <c r="Z208">
        <v>1.962</v>
      </c>
      <c r="AA208">
        <v>2.4239999999999999</v>
      </c>
      <c r="AB208">
        <v>4.2130000000000001</v>
      </c>
      <c r="AC208">
        <v>4.7990000000000004</v>
      </c>
      <c r="AD208">
        <v>4.8029999999999999</v>
      </c>
      <c r="AE208">
        <v>5.1120000000000001</v>
      </c>
      <c r="AF208">
        <v>0</v>
      </c>
      <c r="AG208">
        <v>0</v>
      </c>
      <c r="AI208" t="str">
        <v>ENS (sesuai kewenangan)</v>
      </c>
      <c r="AK208" s="440">
        <f t="shared" ref="AK208" si="753">IF(((G208-(V208-G208))/G208)*100&gt;110,110,((G208-(V208-G208))/G208)*100)</f>
        <v>110</v>
      </c>
      <c r="AL208" s="440">
        <f t="shared" ref="AL208" si="754">IF(((H208-(W208-H208))/H208)*100&gt;110,110,((H208-(W208-H208))/H208)*100)</f>
        <v>110</v>
      </c>
      <c r="AM208" s="440">
        <f t="shared" ref="AM208" si="755">IF(((I208-(X208-I208))/I208)*100&gt;110,110,((I208-(X208-I208))/I208)*100)</f>
        <v>110</v>
      </c>
      <c r="AN208" s="440">
        <f t="shared" ref="AN208" si="756">IF(((J208-(Y208-J208))/J208)*100&gt;110,110,((J208-(Y208-J208))/J208)*100)</f>
        <v>110</v>
      </c>
      <c r="AO208" s="440">
        <f t="shared" ref="AO208" si="757">IF(((K208-(Z208-K208))/K208)*100&gt;110,110,((K208-(Z208-K208))/K208)*100)</f>
        <v>110</v>
      </c>
      <c r="AP208" s="440">
        <f t="shared" ref="AP208" si="758">IF(((L208-(AA208-L208))/L208)*100&gt;110,110,((L208-(AA208-L208))/L208)*100)</f>
        <v>110</v>
      </c>
      <c r="AQ208" s="440">
        <f t="shared" ref="AQ208" si="759">IF(((M208-(AB208-M208))/M208)*100&gt;110,110,((M208-(AB208-M208))/M208)*100)</f>
        <v>110</v>
      </c>
      <c r="AR208" s="440">
        <f t="shared" ref="AR208" si="760">IF(((N208-(AC208-N208))/N208)*100&gt;110,110,((N208-(AC208-N208))/N208)*100)</f>
        <v>110</v>
      </c>
      <c r="AS208" s="440">
        <f t="shared" ref="AS208" si="761">IF(((O208-(AD208-O208))/O208)*100&gt;110,110,((O208-(AD208-O208))/O208)*100)</f>
        <v>110</v>
      </c>
      <c r="AT208" s="440">
        <f t="shared" ref="AT208" si="762">IF(((P208-(AE208-P208))/P208)*100&gt;110,110,((P208-(AE208-P208))/P208)*100)</f>
        <v>110</v>
      </c>
      <c r="AU208" s="440">
        <f t="shared" ref="AU208" si="763">IF(((Q208-(AF208-Q208))/Q208)*100&gt;110,110,((Q208-(AF208-Q208))/Q208)*100)</f>
        <v>110</v>
      </c>
      <c r="AV208" s="440">
        <f t="shared" ref="AV208" si="764">IF(((R208-(AG208-R208))/R208)*100&gt;110,110,((R208-(AG208-R208))/R208)*100)</f>
        <v>110</v>
      </c>
      <c r="AX208" t="str">
        <v>ENS (sesuai kewenangan)</v>
      </c>
      <c r="AY208" s="105" t="s">
        <v>452</v>
      </c>
      <c r="AZ208">
        <v>2</v>
      </c>
      <c r="BA208" s="440">
        <f t="shared" si="729"/>
        <v>2.2000000000000002</v>
      </c>
      <c r="BB208" s="440">
        <f t="shared" si="730"/>
        <v>2.2000000000000002</v>
      </c>
      <c r="BC208" s="440">
        <f t="shared" si="731"/>
        <v>2.2000000000000002</v>
      </c>
      <c r="BD208" s="440">
        <f t="shared" si="732"/>
        <v>2.2000000000000002</v>
      </c>
      <c r="BE208" s="440">
        <f t="shared" si="733"/>
        <v>2.2000000000000002</v>
      </c>
      <c r="BF208" s="440">
        <f t="shared" si="734"/>
        <v>2.2000000000000002</v>
      </c>
      <c r="BG208" s="440">
        <f t="shared" si="735"/>
        <v>2.2000000000000002</v>
      </c>
      <c r="BH208" s="440">
        <f t="shared" si="736"/>
        <v>2.2000000000000002</v>
      </c>
      <c r="BI208" s="440">
        <f t="shared" si="737"/>
        <v>2.2000000000000002</v>
      </c>
      <c r="BJ208" s="440">
        <f t="shared" si="738"/>
        <v>2.2000000000000002</v>
      </c>
      <c r="BK208" s="440">
        <f t="shared" si="739"/>
        <v>2.2000000000000002</v>
      </c>
      <c r="BL208" s="440">
        <f t="shared" si="740"/>
        <v>2.2000000000000002</v>
      </c>
    </row>
    <row r="209" spans="1:64">
      <c r="A209" t="str">
        <v>a. Susut Distribusi Tanpa E-min (sesuai kewenangan)</v>
      </c>
      <c r="B209">
        <v>2</v>
      </c>
      <c r="C209" t="str">
        <v>Susut Distribusi Tanpa E-min (sesuai kewenangan)</v>
      </c>
      <c r="D209" s="105" t="s">
        <v>456</v>
      </c>
      <c r="E209" t="str">
        <v>Susut Distribusi Tanpa E-min (sesuai kewenangan)</v>
      </c>
      <c r="G209" s="440">
        <v>6.91</v>
      </c>
      <c r="H209" s="440">
        <v>6.91</v>
      </c>
      <c r="I209" s="440">
        <v>6.91</v>
      </c>
      <c r="J209" s="440">
        <v>6.78</v>
      </c>
      <c r="K209" s="440">
        <v>6.66</v>
      </c>
      <c r="L209" s="440">
        <v>6.53</v>
      </c>
      <c r="M209" s="440">
        <v>6.49</v>
      </c>
      <c r="N209" s="440">
        <v>6.44</v>
      </c>
      <c r="O209" s="440">
        <v>6.39</v>
      </c>
      <c r="P209" s="440">
        <v>6.34</v>
      </c>
      <c r="Q209" s="440">
        <v>6.3</v>
      </c>
      <c r="R209" s="440">
        <v>6.25</v>
      </c>
      <c r="T209" t="str">
        <v>Susut Distribusi Tanpa E-min (sesuai kewenangan)</v>
      </c>
      <c r="V209">
        <v>-19.545105319366737</v>
      </c>
      <c r="W209">
        <v>-12.482892240818543</v>
      </c>
      <c r="X209">
        <v>-3.658603530244986</v>
      </c>
      <c r="Y209">
        <v>2.6133052700012485</v>
      </c>
      <c r="Z209">
        <v>5.1738350593882574</v>
      </c>
      <c r="AA209">
        <v>-9.6744978307337881</v>
      </c>
      <c r="AB209">
        <v>-7.4007255182904936</v>
      </c>
      <c r="AC209">
        <v>-5.423386120709992</v>
      </c>
      <c r="AD209">
        <v>-3.9737177716277801</v>
      </c>
      <c r="AE209">
        <v>-2.8846261129859885</v>
      </c>
      <c r="AF209">
        <v>0</v>
      </c>
      <c r="AG209">
        <v>0</v>
      </c>
      <c r="AI209" t="str">
        <v>Susut Distribusi Tanpa E-min (sesuai kewenangan)</v>
      </c>
      <c r="AK209" s="440">
        <f t="shared" ref="AK209" si="765">IF((2-(V209/G209))*100&gt;110,110,(2-(V209/G209))*100)</f>
        <v>110</v>
      </c>
      <c r="AL209" s="440">
        <f t="shared" ref="AL209" si="766">IF((2-(W209/H209))*100&gt;110,110,(2-(W209/H209))*100)</f>
        <v>110</v>
      </c>
      <c r="AM209" s="440">
        <f t="shared" ref="AM209" si="767">IF((2-(X209/I209))*100&gt;110,110,(2-(X209/I209))*100)</f>
        <v>110</v>
      </c>
      <c r="AN209" s="440">
        <f t="shared" ref="AN209" si="768">IF((2-(Y209/J209))*100&gt;110,110,(2-(Y209/J209))*100)</f>
        <v>110</v>
      </c>
      <c r="AO209" s="440">
        <f t="shared" ref="AO209" si="769">IF((2-(Z209/K209))*100&gt;110,110,(2-(Z209/K209))*100)</f>
        <v>110</v>
      </c>
      <c r="AP209" s="440">
        <f t="shared" ref="AP209" si="770">IF((2-(AA209/L209))*100&gt;110,110,(2-(AA209/L209))*100)</f>
        <v>110</v>
      </c>
      <c r="AQ209" s="440">
        <f t="shared" ref="AQ209" si="771">IF((2-(AB209/M209))*100&gt;110,110,(2-(AB209/M209))*100)</f>
        <v>110</v>
      </c>
      <c r="AR209" s="440">
        <f t="shared" ref="AR209" si="772">IF((2-(AC209/N209))*100&gt;110,110,(2-(AC209/N209))*100)</f>
        <v>110</v>
      </c>
      <c r="AS209" s="440">
        <f t="shared" ref="AS209" si="773">IF((2-(AD209/O209))*100&gt;110,110,(2-(AD209/O209))*100)</f>
        <v>110</v>
      </c>
      <c r="AT209" s="440">
        <f t="shared" ref="AT209" si="774">IF((2-(AE209/P209))*100&gt;110,110,(2-(AE209/P209))*100)</f>
        <v>110</v>
      </c>
      <c r="AU209" s="440">
        <f t="shared" ref="AU209" si="775">IF((2-(AF209/Q209))*100&gt;110,110,(2-(AF209/Q209))*100)</f>
        <v>110</v>
      </c>
      <c r="AV209" s="440">
        <f t="shared" ref="AV209" si="776">IF((2-(AG209/R209))*100&gt;110,110,(2-(AG209/R209))*100)</f>
        <v>110</v>
      </c>
      <c r="AX209" t="str">
        <v>Susut Distribusi Tanpa E-min (sesuai kewenangan)</v>
      </c>
      <c r="AY209" s="105" t="s">
        <v>452</v>
      </c>
      <c r="AZ209">
        <v>4</v>
      </c>
      <c r="BA209" s="440">
        <f t="shared" si="729"/>
        <v>4.4000000000000004</v>
      </c>
      <c r="BB209" s="440">
        <f t="shared" si="730"/>
        <v>4.4000000000000004</v>
      </c>
      <c r="BC209" s="440">
        <f t="shared" si="731"/>
        <v>4.4000000000000004</v>
      </c>
      <c r="BD209" s="440">
        <f t="shared" si="732"/>
        <v>4.4000000000000004</v>
      </c>
      <c r="BE209" s="440">
        <f t="shared" si="733"/>
        <v>4.4000000000000004</v>
      </c>
      <c r="BF209" s="440">
        <f t="shared" si="734"/>
        <v>4.4000000000000004</v>
      </c>
      <c r="BG209" s="440">
        <f t="shared" si="735"/>
        <v>4.4000000000000004</v>
      </c>
      <c r="BH209" s="440">
        <f t="shared" si="736"/>
        <v>4.4000000000000004</v>
      </c>
      <c r="BI209" s="440">
        <f t="shared" si="737"/>
        <v>4.4000000000000004</v>
      </c>
      <c r="BJ209" s="440">
        <f t="shared" si="738"/>
        <v>4.4000000000000004</v>
      </c>
      <c r="BK209" s="440">
        <f t="shared" si="739"/>
        <v>4.4000000000000004</v>
      </c>
      <c r="BL209" s="440">
        <f t="shared" si="740"/>
        <v>4.4000000000000004</v>
      </c>
    </row>
    <row r="210" spans="1:64">
      <c r="A210" t="str">
        <v>b. Penyelesaian Temuan P2TL</v>
      </c>
      <c r="B210">
        <v>2</v>
      </c>
      <c r="C210" t="str">
        <v>Penyelesaian Temuan P2TL</v>
      </c>
      <c r="D210" s="105" t="s">
        <v>456</v>
      </c>
      <c r="E210" t="str">
        <v>Penyelesaian Temuan P2TL</v>
      </c>
      <c r="G210" s="440">
        <v>3.5087719298245621</v>
      </c>
      <c r="H210" s="440">
        <v>7.0175438596491242</v>
      </c>
      <c r="I210" s="440">
        <v>10.526315789473683</v>
      </c>
      <c r="J210" s="440">
        <v>14.035087719298248</v>
      </c>
      <c r="K210" s="440">
        <v>17.543859649122808</v>
      </c>
      <c r="L210" s="440">
        <v>21.052631578947366</v>
      </c>
      <c r="M210" s="440">
        <v>34.210526315789473</v>
      </c>
      <c r="N210" s="440">
        <v>47.368421052631575</v>
      </c>
      <c r="O210" s="440">
        <v>60.526315789473685</v>
      </c>
      <c r="P210" s="440">
        <v>73.68421052631578</v>
      </c>
      <c r="Q210" s="440">
        <v>86.842105263157904</v>
      </c>
      <c r="R210" s="440">
        <v>100</v>
      </c>
      <c r="T210" t="str">
        <v>Penyelesaian Temuan P2TL</v>
      </c>
      <c r="V210">
        <v>0</v>
      </c>
      <c r="W210">
        <v>1.3772222222222221</v>
      </c>
      <c r="X210">
        <v>1.6577777777777778</v>
      </c>
      <c r="Y210">
        <v>3.77</v>
      </c>
      <c r="Z210">
        <v>3.77</v>
      </c>
      <c r="AA210">
        <v>29.850555555555555</v>
      </c>
      <c r="AB210">
        <v>111.56055555555555</v>
      </c>
      <c r="AC210">
        <v>117.32444444444444</v>
      </c>
      <c r="AD210">
        <v>118.70166666666667</v>
      </c>
      <c r="AE210">
        <v>120.07888888888888</v>
      </c>
      <c r="AF210">
        <v>120.07888888888888</v>
      </c>
      <c r="AG210">
        <v>120.07888888888888</v>
      </c>
      <c r="AI210" t="str">
        <v>Penyelesaian Temuan P2TL</v>
      </c>
      <c r="AK210" s="440">
        <f t="shared" ref="AK210:AK211" si="777">IF(V210/G210*100&gt;110,110,V210/G210*100)</f>
        <v>0</v>
      </c>
      <c r="AL210" s="440">
        <f t="shared" ref="AL210:AL211" si="778">IF(W210/H210*100&gt;110,110,W210/H210*100)</f>
        <v>19.625416666666663</v>
      </c>
      <c r="AM210" s="440">
        <f t="shared" ref="AM210:AM211" si="779">IF(X210/I210*100&gt;110,110,X210/I210*100)</f>
        <v>15.74888888888889</v>
      </c>
      <c r="AN210" s="440">
        <f t="shared" ref="AN210:AN211" si="780">IF(Y210/J210*100&gt;110,110,Y210/J210*100)</f>
        <v>26.861249999999991</v>
      </c>
      <c r="AO210" s="440">
        <f t="shared" ref="AO210:AO211" si="781">IF(Z210/K210*100&gt;110,110,Z210/K210*100)</f>
        <v>21.489000000000001</v>
      </c>
      <c r="AP210" s="440">
        <f t="shared" ref="AP210:AP211" si="782">IF(AA210/L210*100&gt;110,110,AA210/L210*100)</f>
        <v>110</v>
      </c>
      <c r="AQ210" s="440">
        <f t="shared" ref="AQ210:AQ211" si="783">IF(AB210/M210*100&gt;110,110,AB210/M210*100)</f>
        <v>110</v>
      </c>
      <c r="AR210" s="440">
        <f t="shared" ref="AR210:AR211" si="784">IF(AC210/N210*100&gt;110,110,AC210/N210*100)</f>
        <v>110</v>
      </c>
      <c r="AS210" s="440">
        <f t="shared" ref="AS210:AS211" si="785">IF(AD210/O210*100&gt;110,110,AD210/O210*100)</f>
        <v>110</v>
      </c>
      <c r="AT210" s="440">
        <f t="shared" ref="AT210:AT211" si="786">IF(AE210/P210*100&gt;110,110,AE210/P210*100)</f>
        <v>110</v>
      </c>
      <c r="AU210" s="440">
        <f t="shared" ref="AU210:AU211" si="787">IF(AF210/Q210*100&gt;110,110,AF210/Q210*100)</f>
        <v>110</v>
      </c>
      <c r="AV210" s="440">
        <f t="shared" ref="AV210:AV211" si="788">IF(AG210/R210*100&gt;110,110,AG210/R210*100)</f>
        <v>110</v>
      </c>
      <c r="AX210" t="str">
        <v>Penyelesaian Temuan P2TL</v>
      </c>
      <c r="AY210" s="105" t="s">
        <v>452</v>
      </c>
      <c r="AZ210">
        <v>4</v>
      </c>
      <c r="BA210" s="440">
        <f t="shared" si="729"/>
        <v>0</v>
      </c>
      <c r="BB210" s="440">
        <f t="shared" si="730"/>
        <v>0.78</v>
      </c>
      <c r="BC210" s="440">
        <f t="shared" si="731"/>
        <v>0.62</v>
      </c>
      <c r="BD210" s="440">
        <f t="shared" si="732"/>
        <v>1.07</v>
      </c>
      <c r="BE210" s="440">
        <f t="shared" si="733"/>
        <v>0.85</v>
      </c>
      <c r="BF210" s="440">
        <f t="shared" si="734"/>
        <v>4.4000000000000004</v>
      </c>
      <c r="BG210" s="440">
        <f t="shared" si="735"/>
        <v>4.4000000000000004</v>
      </c>
      <c r="BH210" s="440">
        <f t="shared" si="736"/>
        <v>4.4000000000000004</v>
      </c>
      <c r="BI210" s="440">
        <f t="shared" si="737"/>
        <v>4.4000000000000004</v>
      </c>
      <c r="BJ210" s="440">
        <f t="shared" si="738"/>
        <v>4.4000000000000004</v>
      </c>
      <c r="BK210" s="440">
        <f t="shared" si="739"/>
        <v>4.4000000000000004</v>
      </c>
      <c r="BL210" s="440">
        <f t="shared" si="740"/>
        <v>4.4000000000000004</v>
      </c>
    </row>
    <row r="211" spans="1:64">
      <c r="A211" t="str">
        <v>d. Penyelesaian Ganti Meter</v>
      </c>
      <c r="B211">
        <v>2</v>
      </c>
      <c r="C211" t="str">
        <v>Penyelesaian Ganti Meter</v>
      </c>
      <c r="D211" s="105" t="s">
        <v>456</v>
      </c>
      <c r="E211" t="str">
        <v>Penyelesaian Ganti Meter</v>
      </c>
      <c r="G211" s="440">
        <v>49</v>
      </c>
      <c r="H211" s="440">
        <v>97</v>
      </c>
      <c r="I211" s="440">
        <v>145</v>
      </c>
      <c r="J211" s="440">
        <v>192</v>
      </c>
      <c r="K211" s="440">
        <v>228</v>
      </c>
      <c r="L211" s="440">
        <v>262</v>
      </c>
      <c r="M211" s="440">
        <v>369</v>
      </c>
      <c r="N211" s="440">
        <v>476</v>
      </c>
      <c r="O211" s="440">
        <v>583</v>
      </c>
      <c r="P211" s="440">
        <v>688</v>
      </c>
      <c r="Q211" s="440">
        <v>688</v>
      </c>
      <c r="R211" s="440">
        <v>688</v>
      </c>
      <c r="T211" t="str">
        <v>Penyelesaian Ganti Meter</v>
      </c>
      <c r="V211">
        <v>3</v>
      </c>
      <c r="W211">
        <v>4</v>
      </c>
      <c r="X211">
        <v>143</v>
      </c>
      <c r="Y211">
        <v>321</v>
      </c>
      <c r="Z211">
        <v>384</v>
      </c>
      <c r="AA211">
        <v>466</v>
      </c>
      <c r="AB211">
        <v>552</v>
      </c>
      <c r="AC211">
        <v>560</v>
      </c>
      <c r="AD211">
        <v>682</v>
      </c>
      <c r="AE211">
        <v>684</v>
      </c>
      <c r="AF211">
        <v>684</v>
      </c>
      <c r="AG211">
        <v>684</v>
      </c>
      <c r="AI211" t="str">
        <v>Penyelesaian Ganti Meter</v>
      </c>
      <c r="AK211" s="440">
        <f t="shared" si="777"/>
        <v>6.1224489795918364</v>
      </c>
      <c r="AL211" s="440">
        <f t="shared" si="778"/>
        <v>4.1237113402061851</v>
      </c>
      <c r="AM211" s="440">
        <f t="shared" si="779"/>
        <v>98.620689655172413</v>
      </c>
      <c r="AN211" s="440">
        <f t="shared" si="780"/>
        <v>110</v>
      </c>
      <c r="AO211" s="440">
        <f t="shared" si="781"/>
        <v>110</v>
      </c>
      <c r="AP211" s="440">
        <f t="shared" si="782"/>
        <v>110</v>
      </c>
      <c r="AQ211" s="440">
        <f t="shared" si="783"/>
        <v>110</v>
      </c>
      <c r="AR211" s="440">
        <f t="shared" si="784"/>
        <v>110</v>
      </c>
      <c r="AS211" s="440">
        <f t="shared" si="785"/>
        <v>110</v>
      </c>
      <c r="AT211" s="440">
        <f t="shared" si="786"/>
        <v>99.418604651162795</v>
      </c>
      <c r="AU211" s="440">
        <f t="shared" si="787"/>
        <v>99.418604651162795</v>
      </c>
      <c r="AV211" s="440">
        <f t="shared" si="788"/>
        <v>99.418604651162795</v>
      </c>
      <c r="AX211" t="str">
        <v>Penyelesaian Ganti Meter</v>
      </c>
      <c r="AY211" s="105" t="s">
        <v>452</v>
      </c>
      <c r="AZ211">
        <v>4</v>
      </c>
      <c r="BA211" s="440">
        <f t="shared" si="729"/>
        <v>0.24</v>
      </c>
      <c r="BB211" s="440">
        <f t="shared" si="730"/>
        <v>0.16</v>
      </c>
      <c r="BC211" s="440">
        <f t="shared" si="731"/>
        <v>3.94</v>
      </c>
      <c r="BD211" s="440">
        <f t="shared" si="732"/>
        <v>4.4000000000000004</v>
      </c>
      <c r="BE211" s="440">
        <f t="shared" si="733"/>
        <v>4.4000000000000004</v>
      </c>
      <c r="BF211" s="440">
        <f t="shared" si="734"/>
        <v>4.4000000000000004</v>
      </c>
      <c r="BG211" s="440">
        <f t="shared" si="735"/>
        <v>4.4000000000000004</v>
      </c>
      <c r="BH211" s="440">
        <f t="shared" si="736"/>
        <v>4.4000000000000004</v>
      </c>
      <c r="BI211" s="440">
        <f t="shared" si="737"/>
        <v>4.4000000000000004</v>
      </c>
      <c r="BJ211" s="440">
        <f t="shared" si="738"/>
        <v>3.97</v>
      </c>
      <c r="BK211" s="440">
        <f t="shared" si="739"/>
        <v>3.97</v>
      </c>
      <c r="BL211" s="440">
        <f t="shared" si="740"/>
        <v>3.97</v>
      </c>
    </row>
    <row r="212" spans="1:64">
      <c r="A212" t="str">
        <v>a. Gangguan TM &gt; 5 Menit</v>
      </c>
      <c r="B212">
        <v>2</v>
      </c>
      <c r="C212" t="str">
        <v>Gangguan TM &gt; 5 Menit</v>
      </c>
      <c r="D212" s="105" t="s">
        <v>456</v>
      </c>
      <c r="E212" t="str">
        <v>Gangguan TM &gt; 5 Menit</v>
      </c>
      <c r="G212" s="440">
        <v>2</v>
      </c>
      <c r="H212" s="440">
        <v>5</v>
      </c>
      <c r="I212" s="440">
        <v>7</v>
      </c>
      <c r="J212" s="440">
        <v>9</v>
      </c>
      <c r="K212" s="440">
        <v>12</v>
      </c>
      <c r="L212" s="440">
        <v>14.000000000000002</v>
      </c>
      <c r="M212" s="440">
        <v>16</v>
      </c>
      <c r="N212" s="440">
        <v>19</v>
      </c>
      <c r="O212" s="440">
        <v>21</v>
      </c>
      <c r="P212" s="440">
        <v>23</v>
      </c>
      <c r="Q212" s="440">
        <v>26</v>
      </c>
      <c r="R212" s="440">
        <v>26</v>
      </c>
      <c r="T212" t="str">
        <v>Gangguan TM &gt; 5 Menit</v>
      </c>
      <c r="V212">
        <v>1</v>
      </c>
      <c r="W212">
        <v>1</v>
      </c>
      <c r="X212">
        <v>6</v>
      </c>
      <c r="Y212">
        <v>7</v>
      </c>
      <c r="Z212">
        <v>9</v>
      </c>
      <c r="AA212">
        <v>11</v>
      </c>
      <c r="AB212">
        <v>11</v>
      </c>
      <c r="AC212">
        <v>11</v>
      </c>
      <c r="AD212">
        <v>11</v>
      </c>
      <c r="AE212">
        <v>11</v>
      </c>
      <c r="AF212">
        <v>11</v>
      </c>
      <c r="AG212">
        <v>11</v>
      </c>
      <c r="AI212" t="str">
        <v>Gangguan TM &gt; 5 Menit</v>
      </c>
      <c r="AK212" s="440">
        <f t="shared" ref="AK212" si="789">IF(((G212-(V212-G212))/G212)*100&gt;110,110,((G212-(V212-G212))/G212)*100)</f>
        <v>110</v>
      </c>
      <c r="AL212" s="440">
        <f t="shared" ref="AL212" si="790">IF(((H212-(W212-H212))/H212)*100&gt;110,110,((H212-(W212-H212))/H212)*100)</f>
        <v>110</v>
      </c>
      <c r="AM212" s="440">
        <f t="shared" ref="AM212" si="791">IF(((I212-(X212-I212))/I212)*100&gt;110,110,((I212-(X212-I212))/I212)*100)</f>
        <v>110</v>
      </c>
      <c r="AN212" s="440">
        <f t="shared" ref="AN212" si="792">IF(((J212-(Y212-J212))/J212)*100&gt;110,110,((J212-(Y212-J212))/J212)*100)</f>
        <v>110</v>
      </c>
      <c r="AO212" s="440">
        <f t="shared" ref="AO212" si="793">IF(((K212-(Z212-K212))/K212)*100&gt;110,110,((K212-(Z212-K212))/K212)*100)</f>
        <v>110</v>
      </c>
      <c r="AP212" s="440">
        <f t="shared" ref="AP212" si="794">IF(((L212-(AA212-L212))/L212)*100&gt;110,110,((L212-(AA212-L212))/L212)*100)</f>
        <v>110</v>
      </c>
      <c r="AQ212" s="440">
        <f t="shared" ref="AQ212" si="795">IF(((M212-(AB212-M212))/M212)*100&gt;110,110,((M212-(AB212-M212))/M212)*100)</f>
        <v>110</v>
      </c>
      <c r="AR212" s="440">
        <f t="shared" ref="AR212" si="796">IF(((N212-(AC212-N212))/N212)*100&gt;110,110,((N212-(AC212-N212))/N212)*100)</f>
        <v>110</v>
      </c>
      <c r="AS212" s="440">
        <f t="shared" ref="AS212" si="797">IF(((O212-(AD212-O212))/O212)*100&gt;110,110,((O212-(AD212-O212))/O212)*100)</f>
        <v>110</v>
      </c>
      <c r="AT212" s="440">
        <f t="shared" ref="AT212" si="798">IF(((P212-(AE212-P212))/P212)*100&gt;110,110,((P212-(AE212-P212))/P212)*100)</f>
        <v>110</v>
      </c>
      <c r="AU212" s="440">
        <f t="shared" ref="AU212" si="799">IF(((Q212-(AF212-Q212))/Q212)*100&gt;110,110,((Q212-(AF212-Q212))/Q212)*100)</f>
        <v>110</v>
      </c>
      <c r="AV212" s="440">
        <f t="shared" ref="AV212" si="800">IF(((R212-(AG212-R212))/R212)*100&gt;110,110,((R212-(AG212-R212))/R212)*100)</f>
        <v>110</v>
      </c>
      <c r="AX212" t="str">
        <v>Gangguan TM &gt; 5 Menit</v>
      </c>
      <c r="AY212" s="105" t="s">
        <v>452</v>
      </c>
      <c r="AZ212">
        <v>3</v>
      </c>
      <c r="BA212" s="440">
        <f t="shared" si="729"/>
        <v>3.3</v>
      </c>
      <c r="BB212" s="440">
        <f t="shared" si="730"/>
        <v>3.3</v>
      </c>
      <c r="BC212" s="440">
        <f t="shared" si="731"/>
        <v>3.3</v>
      </c>
      <c r="BD212" s="440">
        <f t="shared" si="732"/>
        <v>3.3</v>
      </c>
      <c r="BE212" s="440">
        <f t="shared" si="733"/>
        <v>3.3</v>
      </c>
      <c r="BF212" s="440">
        <f t="shared" si="734"/>
        <v>3.3</v>
      </c>
      <c r="BG212" s="440">
        <f t="shared" si="735"/>
        <v>3.3</v>
      </c>
      <c r="BH212" s="440">
        <f t="shared" si="736"/>
        <v>3.3</v>
      </c>
      <c r="BI212" s="440">
        <f t="shared" si="737"/>
        <v>3.3</v>
      </c>
      <c r="BJ212" s="440">
        <f t="shared" si="738"/>
        <v>3.3</v>
      </c>
      <c r="BK212" s="440">
        <f t="shared" si="739"/>
        <v>3.3</v>
      </c>
      <c r="BL212" s="440">
        <f t="shared" si="740"/>
        <v>3.3</v>
      </c>
    </row>
    <row r="213" spans="1:64">
      <c r="A213" t="str">
        <v>b. Gangguan TM ≤ 5 Menit</v>
      </c>
      <c r="B213">
        <v>2</v>
      </c>
      <c r="C213" t="str">
        <v>Gangguan TM ≤ 5 Menit</v>
      </c>
      <c r="D213" s="105" t="s">
        <v>456</v>
      </c>
      <c r="E213" t="str">
        <v>Gangguan TM ≤ 5 Menit</v>
      </c>
      <c r="G213" s="440">
        <v>2</v>
      </c>
      <c r="H213" s="440">
        <v>3</v>
      </c>
      <c r="I213" s="440">
        <v>5</v>
      </c>
      <c r="J213" s="440">
        <v>7</v>
      </c>
      <c r="K213" s="440">
        <v>8</v>
      </c>
      <c r="L213" s="440">
        <v>10</v>
      </c>
      <c r="M213" s="440">
        <v>12</v>
      </c>
      <c r="N213" s="440">
        <v>14</v>
      </c>
      <c r="O213" s="440">
        <v>15</v>
      </c>
      <c r="P213" s="440">
        <v>17</v>
      </c>
      <c r="Q213" s="440">
        <v>19</v>
      </c>
      <c r="R213" s="440">
        <v>20</v>
      </c>
      <c r="T213" t="str">
        <v>Gangguan TM ≤ 5 Menit</v>
      </c>
      <c r="V213">
        <v>1</v>
      </c>
      <c r="W213">
        <v>4</v>
      </c>
      <c r="X213">
        <v>4</v>
      </c>
      <c r="Y213">
        <v>4</v>
      </c>
      <c r="Z213">
        <v>6</v>
      </c>
      <c r="AA213">
        <v>7</v>
      </c>
      <c r="AB213">
        <v>10</v>
      </c>
      <c r="AC213">
        <v>10</v>
      </c>
      <c r="AD213">
        <v>12</v>
      </c>
      <c r="AE213">
        <v>12</v>
      </c>
      <c r="AF213">
        <v>12</v>
      </c>
      <c r="AG213">
        <v>12</v>
      </c>
      <c r="AI213" t="str">
        <v>Gangguan TM ≤ 5 Menit</v>
      </c>
      <c r="AK213" s="440">
        <f t="shared" ref="AK213" si="801">IF((2-(V213/G213))*100&gt;110,110,(2-(V213/G213))*100)</f>
        <v>110</v>
      </c>
      <c r="AL213" s="440">
        <f t="shared" ref="AL213" si="802">IF((2-(W213/H213))*100&gt;110,110,(2-(W213/H213))*100)</f>
        <v>66.666666666666671</v>
      </c>
      <c r="AM213" s="440">
        <f t="shared" ref="AM213" si="803">IF((2-(X213/I213))*100&gt;110,110,(2-(X213/I213))*100)</f>
        <v>110</v>
      </c>
      <c r="AN213" s="440">
        <f t="shared" ref="AN213" si="804">IF((2-(Y213/J213))*100&gt;110,110,(2-(Y213/J213))*100)</f>
        <v>110</v>
      </c>
      <c r="AO213" s="440">
        <f t="shared" ref="AO213" si="805">IF((2-(Z213/K213))*100&gt;110,110,(2-(Z213/K213))*100)</f>
        <v>110</v>
      </c>
      <c r="AP213" s="440">
        <f t="shared" ref="AP213" si="806">IF((2-(AA213/L213))*100&gt;110,110,(2-(AA213/L213))*100)</f>
        <v>110</v>
      </c>
      <c r="AQ213" s="440">
        <f t="shared" ref="AQ213" si="807">IF((2-(AB213/M213))*100&gt;110,110,(2-(AB213/M213))*100)</f>
        <v>110</v>
      </c>
      <c r="AR213" s="440">
        <f t="shared" ref="AR213" si="808">IF((2-(AC213/N213))*100&gt;110,110,(2-(AC213/N213))*100)</f>
        <v>110</v>
      </c>
      <c r="AS213" s="440">
        <f t="shared" ref="AS213" si="809">IF((2-(AD213/O213))*100&gt;110,110,(2-(AD213/O213))*100)</f>
        <v>110</v>
      </c>
      <c r="AT213" s="440">
        <f t="shared" ref="AT213" si="810">IF((2-(AE213/P213))*100&gt;110,110,(2-(AE213/P213))*100)</f>
        <v>110</v>
      </c>
      <c r="AU213" s="440">
        <f t="shared" ref="AU213" si="811">IF((2-(AF213/Q213))*100&gt;110,110,(2-(AF213/Q213))*100)</f>
        <v>110</v>
      </c>
      <c r="AV213" s="440">
        <f t="shared" ref="AV213" si="812">IF((2-(AG213/R213))*100&gt;110,110,(2-(AG213/R213))*100)</f>
        <v>110</v>
      </c>
      <c r="AX213" t="str">
        <v>Gangguan TM ≤ 5 Menit</v>
      </c>
      <c r="AY213" s="105" t="s">
        <v>452</v>
      </c>
      <c r="AZ213">
        <v>3</v>
      </c>
      <c r="BA213" s="440">
        <f t="shared" si="729"/>
        <v>3.3</v>
      </c>
      <c r="BB213" s="440">
        <f t="shared" si="730"/>
        <v>2</v>
      </c>
      <c r="BC213" s="440">
        <f t="shared" si="731"/>
        <v>3.3</v>
      </c>
      <c r="BD213" s="440">
        <f t="shared" si="732"/>
        <v>3.3</v>
      </c>
      <c r="BE213" s="440">
        <f t="shared" si="733"/>
        <v>3.3</v>
      </c>
      <c r="BF213" s="440">
        <f t="shared" si="734"/>
        <v>3.3</v>
      </c>
      <c r="BG213" s="440">
        <f t="shared" si="735"/>
        <v>3.3</v>
      </c>
      <c r="BH213" s="440">
        <f t="shared" si="736"/>
        <v>3.3</v>
      </c>
      <c r="BI213" s="440">
        <f t="shared" si="737"/>
        <v>3.3</v>
      </c>
      <c r="BJ213" s="440">
        <f t="shared" si="738"/>
        <v>3.3</v>
      </c>
      <c r="BK213" s="440">
        <f t="shared" si="739"/>
        <v>3.3</v>
      </c>
      <c r="BL213" s="440">
        <f t="shared" si="740"/>
        <v>3.3</v>
      </c>
    </row>
    <row r="214" spans="1:64">
      <c r="A214" t="str">
        <v>c. Kerusakan Peralatan Distribusi (PHB TM dan Trafo) Sesuai Kewenangan</v>
      </c>
      <c r="B214">
        <v>2</v>
      </c>
      <c r="C214" t="str">
        <v>Kerusakan Peralatan Distribusi (PHB TM dan Trafo) Sesuai Kewenangan</v>
      </c>
      <c r="D214" s="105" t="s">
        <v>456</v>
      </c>
      <c r="E214" t="str">
        <v>Kerusakan Peralatan Distribusi (PHB TM dan Trafo) Sesuai Kewenangan</v>
      </c>
      <c r="G214" s="440">
        <v>0</v>
      </c>
      <c r="H214" s="440">
        <v>0</v>
      </c>
      <c r="I214" s="440">
        <v>1</v>
      </c>
      <c r="J214" s="440">
        <v>1</v>
      </c>
      <c r="K214" s="440">
        <v>1</v>
      </c>
      <c r="L214" s="440">
        <v>1</v>
      </c>
      <c r="M214" s="440">
        <v>1</v>
      </c>
      <c r="N214" s="440">
        <v>1</v>
      </c>
      <c r="O214" s="440">
        <v>1</v>
      </c>
      <c r="P214" s="440">
        <v>1</v>
      </c>
      <c r="Q214" s="440">
        <v>1</v>
      </c>
      <c r="R214" s="440">
        <v>1</v>
      </c>
      <c r="T214" t="str">
        <v>Kerusakan Peralatan Distribusi (PHB TM dan Trafo) Sesuai Kewenangan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I214" t="str">
        <v>Kerusakan Peralatan Distribusi (PHB TM dan Trafo) Sesuai Kewenangan</v>
      </c>
      <c r="AK214" s="440">
        <f t="shared" ref="AK214:AK216" si="813">IFERROR(IF((2-(V214/G214))*100&gt;110,110,(2-(V214/G214))*100),100)</f>
        <v>100</v>
      </c>
      <c r="AL214" s="440">
        <f t="shared" ref="AL214:AL216" si="814">IFERROR(IF((2-(W214/H214))*100&gt;110,110,(2-(W214/H214))*100),100)</f>
        <v>100</v>
      </c>
      <c r="AM214" s="440">
        <f t="shared" ref="AM214:AM216" si="815">IFERROR(IF((2-(X214/I214))*100&gt;110,110,(2-(X214/I214))*100),100)</f>
        <v>110</v>
      </c>
      <c r="AN214" s="440">
        <f t="shared" ref="AN214:AN216" si="816">IFERROR(IF((2-(Y214/J214))*100&gt;110,110,(2-(Y214/J214))*100),100)</f>
        <v>110</v>
      </c>
      <c r="AO214" s="440">
        <f t="shared" ref="AO214:AO216" si="817">IFERROR(IF((2-(Z214/K214))*100&gt;110,110,(2-(Z214/K214))*100),100)</f>
        <v>110</v>
      </c>
      <c r="AP214" s="440">
        <f t="shared" ref="AP214:AP216" si="818">IFERROR(IF((2-(AA214/L214))*100&gt;110,110,(2-(AA214/L214))*100),100)</f>
        <v>110</v>
      </c>
      <c r="AQ214" s="440">
        <f t="shared" ref="AQ214:AQ216" si="819">IFERROR(IF((2-(AB214/M214))*100&gt;110,110,(2-(AB214/M214))*100),100)</f>
        <v>110</v>
      </c>
      <c r="AR214" s="440">
        <f t="shared" ref="AR214:AR216" si="820">IFERROR(IF((2-(AC214/N214))*100&gt;110,110,(2-(AC214/N214))*100),100)</f>
        <v>110</v>
      </c>
      <c r="AS214" s="440">
        <f t="shared" ref="AS214:AS216" si="821">IFERROR(IF((2-(AD214/O214))*100&gt;110,110,(2-(AD214/O214))*100),100)</f>
        <v>110</v>
      </c>
      <c r="AT214" s="440">
        <f t="shared" ref="AT214:AT216" si="822">IFERROR(IF((2-(AE214/P214))*100&gt;110,110,(2-(AE214/P214))*100),100)</f>
        <v>110</v>
      </c>
      <c r="AU214" s="440">
        <f t="shared" ref="AU214:AU216" si="823">IFERROR(IF((2-(AF214/Q214))*100&gt;110,110,(2-(AF214/Q214))*100),100)</f>
        <v>110</v>
      </c>
      <c r="AV214" s="440">
        <f t="shared" ref="AV214:AV216" si="824">IFERROR(IF((2-(AG214/R214))*100&gt;110,110,(2-(AG214/R214))*100),100)</f>
        <v>110</v>
      </c>
      <c r="AX214" t="str">
        <v>Kerusakan Peralatan Distribusi (PHB TM dan Trafo) Sesuai Kewenangan</v>
      </c>
      <c r="AY214" s="105" t="s">
        <v>452</v>
      </c>
      <c r="AZ214">
        <v>3</v>
      </c>
      <c r="BA214" s="440">
        <f t="shared" si="729"/>
        <v>3</v>
      </c>
      <c r="BB214" s="440">
        <f t="shared" si="730"/>
        <v>3</v>
      </c>
      <c r="BC214" s="440">
        <f t="shared" si="731"/>
        <v>3.3</v>
      </c>
      <c r="BD214" s="440">
        <f t="shared" si="732"/>
        <v>3.3</v>
      </c>
      <c r="BE214" s="440">
        <f t="shared" si="733"/>
        <v>3.3</v>
      </c>
      <c r="BF214" s="440">
        <f t="shared" si="734"/>
        <v>3.3</v>
      </c>
      <c r="BG214" s="440">
        <f t="shared" si="735"/>
        <v>3.3</v>
      </c>
      <c r="BH214" s="440">
        <f t="shared" si="736"/>
        <v>3.3</v>
      </c>
      <c r="BI214" s="440">
        <f t="shared" si="737"/>
        <v>3.3</v>
      </c>
      <c r="BJ214" s="440">
        <f t="shared" si="738"/>
        <v>3.3</v>
      </c>
      <c r="BK214" s="440">
        <f t="shared" si="739"/>
        <v>3.3</v>
      </c>
      <c r="BL214" s="440">
        <f t="shared" si="740"/>
        <v>3.3</v>
      </c>
    </row>
    <row r="215" spans="1:64">
      <c r="A215" t="str">
        <v>a. Feedback Rating Negatif pada PLN Mobile - Gangguan</v>
      </c>
      <c r="B215">
        <v>2</v>
      </c>
      <c r="C215" t="str">
        <v>Feedback Rating Negatif pada PLN Mobile - Gangguan</v>
      </c>
      <c r="D215" s="105" t="s">
        <v>456</v>
      </c>
      <c r="E215" t="str">
        <v>Feedback Rating Negatif pada PLN Mobile - Gangguan</v>
      </c>
      <c r="G215" s="440">
        <v>0.09</v>
      </c>
      <c r="H215" s="440">
        <v>0.09</v>
      </c>
      <c r="I215" s="440">
        <v>0.09</v>
      </c>
      <c r="J215" s="440">
        <v>0.09</v>
      </c>
      <c r="K215" s="440">
        <v>0.09</v>
      </c>
      <c r="L215" s="440">
        <v>0.09</v>
      </c>
      <c r="M215" s="440">
        <v>0.09</v>
      </c>
      <c r="N215" s="440">
        <v>0.09</v>
      </c>
      <c r="O215" s="440">
        <v>0.09</v>
      </c>
      <c r="P215" s="440">
        <v>0.09</v>
      </c>
      <c r="Q215" s="440">
        <v>0.09</v>
      </c>
      <c r="R215" s="440">
        <v>0.09</v>
      </c>
      <c r="T215" t="str">
        <v>Feedback Rating Negatif pada PLN Mobile - Gangguan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I215" t="str">
        <v>Feedback Rating Negatif pada PLN Mobile - Gangguan</v>
      </c>
      <c r="AK215" s="440">
        <f t="shared" si="813"/>
        <v>110</v>
      </c>
      <c r="AL215" s="440">
        <f t="shared" si="814"/>
        <v>110</v>
      </c>
      <c r="AM215" s="440">
        <f t="shared" si="815"/>
        <v>110</v>
      </c>
      <c r="AN215" s="440">
        <f t="shared" si="816"/>
        <v>110</v>
      </c>
      <c r="AO215" s="440">
        <f t="shared" si="817"/>
        <v>110</v>
      </c>
      <c r="AP215" s="440">
        <f t="shared" si="818"/>
        <v>110</v>
      </c>
      <c r="AQ215" s="440">
        <f t="shared" si="819"/>
        <v>110</v>
      </c>
      <c r="AR215" s="440">
        <f t="shared" si="820"/>
        <v>110</v>
      </c>
      <c r="AS215" s="440">
        <f t="shared" si="821"/>
        <v>110</v>
      </c>
      <c r="AT215" s="440">
        <f t="shared" si="822"/>
        <v>110</v>
      </c>
      <c r="AU215" s="440">
        <f t="shared" si="823"/>
        <v>110</v>
      </c>
      <c r="AV215" s="440">
        <f t="shared" si="824"/>
        <v>110</v>
      </c>
      <c r="AX215" t="str">
        <v>Feedback Rating Negatif pada PLN Mobile - Gangguan</v>
      </c>
      <c r="AY215" s="105" t="s">
        <v>452</v>
      </c>
      <c r="AZ215">
        <v>2</v>
      </c>
      <c r="BA215" s="440">
        <f t="shared" si="729"/>
        <v>2.2000000000000002</v>
      </c>
      <c r="BB215" s="440">
        <f t="shared" si="730"/>
        <v>2.2000000000000002</v>
      </c>
      <c r="BC215" s="440">
        <f t="shared" si="731"/>
        <v>2.2000000000000002</v>
      </c>
      <c r="BD215" s="440">
        <f t="shared" si="732"/>
        <v>2.2000000000000002</v>
      </c>
      <c r="BE215" s="440">
        <f t="shared" si="733"/>
        <v>2.2000000000000002</v>
      </c>
      <c r="BF215" s="440">
        <f t="shared" si="734"/>
        <v>2.2000000000000002</v>
      </c>
      <c r="BG215" s="440">
        <f t="shared" si="735"/>
        <v>2.2000000000000002</v>
      </c>
      <c r="BH215" s="440">
        <f t="shared" si="736"/>
        <v>2.2000000000000002</v>
      </c>
      <c r="BI215" s="440">
        <f t="shared" si="737"/>
        <v>2.2000000000000002</v>
      </c>
      <c r="BJ215" s="440">
        <f t="shared" si="738"/>
        <v>2.2000000000000002</v>
      </c>
      <c r="BK215" s="440">
        <f t="shared" si="739"/>
        <v>2.2000000000000002</v>
      </c>
      <c r="BL215" s="440">
        <f t="shared" si="740"/>
        <v>2.2000000000000002</v>
      </c>
    </row>
    <row r="216" spans="1:64">
      <c r="A216" t="str">
        <v>b. Pengaduan Gangguan Berulang pada PLN Mobile</v>
      </c>
      <c r="B216">
        <v>2</v>
      </c>
      <c r="C216" t="str">
        <v>Pengaduan Gangguan Berulang pada PLN Mobile</v>
      </c>
      <c r="D216" s="105" t="s">
        <v>456</v>
      </c>
      <c r="E216" t="str">
        <v>Pengaduan Gangguan Berulang pada PLN Mobile</v>
      </c>
      <c r="G216" s="440">
        <v>0.04</v>
      </c>
      <c r="H216" s="440">
        <v>0.04</v>
      </c>
      <c r="I216" s="440">
        <v>0.04</v>
      </c>
      <c r="J216" s="440">
        <v>0.04</v>
      </c>
      <c r="K216" s="440">
        <v>0.04</v>
      </c>
      <c r="L216" s="440">
        <v>0.04</v>
      </c>
      <c r="M216" s="440">
        <v>0.04</v>
      </c>
      <c r="N216" s="440">
        <v>0.04</v>
      </c>
      <c r="O216" s="440">
        <v>0.04</v>
      </c>
      <c r="P216" s="440">
        <v>0.04</v>
      </c>
      <c r="Q216" s="440">
        <v>0.04</v>
      </c>
      <c r="R216" s="440">
        <v>0.04</v>
      </c>
      <c r="T216" t="str">
        <v>Pengaduan Gangguan Berulang pada PLN Mobile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I216" t="str">
        <v>Pengaduan Gangguan Berulang pada PLN Mobile</v>
      </c>
      <c r="AK216" s="440">
        <f t="shared" si="813"/>
        <v>110</v>
      </c>
      <c r="AL216" s="440">
        <f t="shared" si="814"/>
        <v>110</v>
      </c>
      <c r="AM216" s="440">
        <f t="shared" si="815"/>
        <v>110</v>
      </c>
      <c r="AN216" s="440">
        <f t="shared" si="816"/>
        <v>110</v>
      </c>
      <c r="AO216" s="440">
        <f t="shared" si="817"/>
        <v>110</v>
      </c>
      <c r="AP216" s="440">
        <f t="shared" si="818"/>
        <v>110</v>
      </c>
      <c r="AQ216" s="440">
        <f t="shared" si="819"/>
        <v>110</v>
      </c>
      <c r="AR216" s="440">
        <f t="shared" si="820"/>
        <v>110</v>
      </c>
      <c r="AS216" s="440">
        <f t="shared" si="821"/>
        <v>110</v>
      </c>
      <c r="AT216" s="440">
        <f t="shared" si="822"/>
        <v>110</v>
      </c>
      <c r="AU216" s="440">
        <f t="shared" si="823"/>
        <v>110</v>
      </c>
      <c r="AV216" s="440">
        <f t="shared" si="824"/>
        <v>110</v>
      </c>
      <c r="AX216" t="str">
        <v>Pengaduan Gangguan Berulang pada PLN Mobile</v>
      </c>
      <c r="AY216" s="105" t="s">
        <v>452</v>
      </c>
      <c r="AZ216">
        <v>2</v>
      </c>
      <c r="BA216" s="440">
        <f t="shared" si="729"/>
        <v>2.2000000000000002</v>
      </c>
      <c r="BB216" s="440">
        <f t="shared" si="730"/>
        <v>2.2000000000000002</v>
      </c>
      <c r="BC216" s="440">
        <f t="shared" si="731"/>
        <v>2.2000000000000002</v>
      </c>
      <c r="BD216" s="440">
        <f t="shared" si="732"/>
        <v>2.2000000000000002</v>
      </c>
      <c r="BE216" s="440">
        <f t="shared" si="733"/>
        <v>2.2000000000000002</v>
      </c>
      <c r="BF216" s="440">
        <f t="shared" si="734"/>
        <v>2.2000000000000002</v>
      </c>
      <c r="BG216" s="440">
        <f t="shared" si="735"/>
        <v>2.2000000000000002</v>
      </c>
      <c r="BH216" s="440">
        <f t="shared" si="736"/>
        <v>2.2000000000000002</v>
      </c>
      <c r="BI216" s="440">
        <f t="shared" si="737"/>
        <v>2.2000000000000002</v>
      </c>
      <c r="BJ216" s="440">
        <f t="shared" si="738"/>
        <v>2.2000000000000002</v>
      </c>
      <c r="BK216" s="440">
        <f t="shared" si="739"/>
        <v>2.2000000000000002</v>
      </c>
      <c r="BL216" s="440">
        <f t="shared" si="740"/>
        <v>2.2000000000000002</v>
      </c>
    </row>
    <row r="217" spans="1:64">
      <c r="A217" t="str">
        <v>c. Rating PLN Mobile</v>
      </c>
      <c r="B217">
        <v>2</v>
      </c>
      <c r="C217" t="str">
        <v>Rating PLN Mobile</v>
      </c>
      <c r="D217" s="105" t="s">
        <v>456</v>
      </c>
      <c r="E217" t="str">
        <v>Rating PLN Mobile</v>
      </c>
      <c r="G217" s="440">
        <v>4.9000000000000004</v>
      </c>
      <c r="H217" s="440">
        <v>4.9000000000000004</v>
      </c>
      <c r="I217" s="440">
        <v>4.9000000000000004</v>
      </c>
      <c r="J217" s="440">
        <v>4.9000000000000004</v>
      </c>
      <c r="K217" s="440">
        <v>4.9000000000000004</v>
      </c>
      <c r="L217" s="440">
        <v>4.9000000000000004</v>
      </c>
      <c r="M217" s="440">
        <v>4.9000000000000004</v>
      </c>
      <c r="N217" s="440">
        <v>4.9000000000000004</v>
      </c>
      <c r="O217" s="440">
        <v>4.9000000000000004</v>
      </c>
      <c r="P217" s="440">
        <v>4.9000000000000004</v>
      </c>
      <c r="Q217" s="440">
        <v>4.9000000000000004</v>
      </c>
      <c r="R217" s="440">
        <v>4.9000000000000004</v>
      </c>
      <c r="T217" t="str">
        <v>Rating PLN Mobile</v>
      </c>
      <c r="V217">
        <v>4.91</v>
      </c>
      <c r="W217">
        <v>4.91</v>
      </c>
      <c r="X217">
        <v>4.91</v>
      </c>
      <c r="Y217">
        <v>4.91</v>
      </c>
      <c r="Z217">
        <v>4.9000000000000004</v>
      </c>
      <c r="AA217">
        <v>4.9000000000000004</v>
      </c>
      <c r="AB217">
        <v>4.9000000000000004</v>
      </c>
      <c r="AC217">
        <v>4.9000000000000004</v>
      </c>
      <c r="AD217">
        <v>4.9000000000000004</v>
      </c>
      <c r="AE217">
        <v>4.9000000000000004</v>
      </c>
      <c r="AF217">
        <v>4.9000000000000004</v>
      </c>
      <c r="AG217">
        <v>4.9000000000000004</v>
      </c>
      <c r="AI217" t="str">
        <v>Rating PLN Mobile</v>
      </c>
      <c r="AK217" s="440">
        <f t="shared" ref="AK217:AK218" si="825">IF(V217/G217*100&gt;110,110,V217/G217*100)</f>
        <v>100.20408163265306</v>
      </c>
      <c r="AL217" s="440">
        <f t="shared" ref="AL217:AL218" si="826">IF(W217/H217*100&gt;110,110,W217/H217*100)</f>
        <v>100.20408163265306</v>
      </c>
      <c r="AM217" s="440">
        <f t="shared" ref="AM217:AM218" si="827">IF(X217/I217*100&gt;110,110,X217/I217*100)</f>
        <v>100.20408163265306</v>
      </c>
      <c r="AN217" s="440">
        <f t="shared" ref="AN217:AN218" si="828">IF(Y217/J217*100&gt;110,110,Y217/J217*100)</f>
        <v>100.20408163265306</v>
      </c>
      <c r="AO217" s="440">
        <f t="shared" ref="AO217:AO218" si="829">IF(Z217/K217*100&gt;110,110,Z217/K217*100)</f>
        <v>100</v>
      </c>
      <c r="AP217" s="440">
        <f t="shared" ref="AP217:AP218" si="830">IF(AA217/L217*100&gt;110,110,AA217/L217*100)</f>
        <v>100</v>
      </c>
      <c r="AQ217" s="440">
        <f t="shared" ref="AQ217:AQ218" si="831">IF(AB217/M217*100&gt;110,110,AB217/M217*100)</f>
        <v>100</v>
      </c>
      <c r="AR217" s="440">
        <f t="shared" ref="AR217:AR218" si="832">IF(AC217/N217*100&gt;110,110,AC217/N217*100)</f>
        <v>100</v>
      </c>
      <c r="AS217" s="440">
        <f t="shared" ref="AS217:AS218" si="833">IF(AD217/O217*100&gt;110,110,AD217/O217*100)</f>
        <v>100</v>
      </c>
      <c r="AT217" s="440">
        <f t="shared" ref="AT217:AT218" si="834">IF(AE217/P217*100&gt;110,110,AE217/P217*100)</f>
        <v>100</v>
      </c>
      <c r="AU217" s="440">
        <f t="shared" ref="AU217:AU218" si="835">IF(AF217/Q217*100&gt;110,110,AF217/Q217*100)</f>
        <v>100</v>
      </c>
      <c r="AV217" s="440">
        <f t="shared" ref="AV217:AV218" si="836">IF(AG217/R217*100&gt;110,110,AG217/R217*100)</f>
        <v>100</v>
      </c>
      <c r="AX217" t="str">
        <v>Rating PLN Mobile</v>
      </c>
      <c r="AY217" s="105" t="s">
        <v>452</v>
      </c>
      <c r="AZ217">
        <v>2</v>
      </c>
      <c r="BA217" s="440">
        <f t="shared" si="729"/>
        <v>2</v>
      </c>
      <c r="BB217" s="440">
        <f t="shared" si="730"/>
        <v>2</v>
      </c>
      <c r="BC217" s="440">
        <f t="shared" si="731"/>
        <v>2</v>
      </c>
      <c r="BD217" s="440">
        <f t="shared" si="732"/>
        <v>2</v>
      </c>
      <c r="BE217" s="440">
        <f t="shared" si="733"/>
        <v>2</v>
      </c>
      <c r="BF217" s="440">
        <f t="shared" si="734"/>
        <v>2</v>
      </c>
      <c r="BG217" s="440">
        <f t="shared" si="735"/>
        <v>2</v>
      </c>
      <c r="BH217" s="440">
        <f t="shared" si="736"/>
        <v>2</v>
      </c>
      <c r="BI217" s="440">
        <f t="shared" si="737"/>
        <v>2</v>
      </c>
      <c r="BJ217" s="440">
        <f t="shared" si="738"/>
        <v>2</v>
      </c>
      <c r="BK217" s="440">
        <f t="shared" si="739"/>
        <v>2</v>
      </c>
      <c r="BL217" s="440">
        <f t="shared" si="740"/>
        <v>2</v>
      </c>
    </row>
    <row r="218" spans="1:64">
      <c r="A218" t="str">
        <v>d. Jumlah Kali Transaksi Keuangan melalui PLN Mobile</v>
      </c>
      <c r="B218">
        <v>2</v>
      </c>
      <c r="C218" t="str">
        <v>Jumlah Kali Transaksi Keuangan melalui PLN Mobile</v>
      </c>
      <c r="D218" s="105" t="s">
        <v>456</v>
      </c>
      <c r="E218" t="str">
        <v>Jumlah Kali Transaksi Keuangan melalui PLN Mobile</v>
      </c>
      <c r="G218" s="440">
        <v>1043</v>
      </c>
      <c r="H218" s="440">
        <v>1985</v>
      </c>
      <c r="I218" s="440">
        <v>3029</v>
      </c>
      <c r="J218" s="440">
        <v>4038</v>
      </c>
      <c r="K218" s="440">
        <v>5081</v>
      </c>
      <c r="L218" s="440">
        <v>6091</v>
      </c>
      <c r="M218" s="440">
        <v>6775</v>
      </c>
      <c r="N218" s="440">
        <v>7459</v>
      </c>
      <c r="O218" s="440">
        <v>8122</v>
      </c>
      <c r="P218" s="440">
        <v>8806</v>
      </c>
      <c r="Q218" s="440">
        <v>9468</v>
      </c>
      <c r="R218" s="440">
        <v>10152</v>
      </c>
      <c r="T218" t="str">
        <v>Jumlah Kali Transaksi Keuangan melalui PLN Mobile</v>
      </c>
      <c r="V218">
        <v>336</v>
      </c>
      <c r="W218">
        <v>836</v>
      </c>
      <c r="X218">
        <v>2820</v>
      </c>
      <c r="Y218">
        <v>4572</v>
      </c>
      <c r="Z218">
        <v>6041</v>
      </c>
      <c r="AA218">
        <v>7188</v>
      </c>
      <c r="AB218">
        <v>8105</v>
      </c>
      <c r="AC218">
        <v>9165</v>
      </c>
      <c r="AD218">
        <v>10638</v>
      </c>
      <c r="AE218">
        <v>12112</v>
      </c>
      <c r="AF218">
        <v>0</v>
      </c>
      <c r="AG218">
        <v>0</v>
      </c>
      <c r="AI218" t="str">
        <v>Jumlah Kali Transaksi Keuangan melalui PLN Mobile</v>
      </c>
      <c r="AK218" s="440">
        <f t="shared" si="825"/>
        <v>32.214765100671137</v>
      </c>
      <c r="AL218" s="440">
        <f t="shared" si="826"/>
        <v>42.115869017632242</v>
      </c>
      <c r="AM218" s="440">
        <f t="shared" si="827"/>
        <v>93.1000330141961</v>
      </c>
      <c r="AN218" s="440">
        <f t="shared" si="828"/>
        <v>110</v>
      </c>
      <c r="AO218" s="440">
        <f t="shared" si="829"/>
        <v>110</v>
      </c>
      <c r="AP218" s="440">
        <f t="shared" si="830"/>
        <v>110</v>
      </c>
      <c r="AQ218" s="440">
        <f t="shared" si="831"/>
        <v>110</v>
      </c>
      <c r="AR218" s="440">
        <f t="shared" si="832"/>
        <v>110</v>
      </c>
      <c r="AS218" s="440">
        <f t="shared" si="833"/>
        <v>110</v>
      </c>
      <c r="AT218" s="440">
        <f t="shared" si="834"/>
        <v>110</v>
      </c>
      <c r="AU218" s="440">
        <f t="shared" si="835"/>
        <v>0</v>
      </c>
      <c r="AV218" s="440">
        <f t="shared" si="836"/>
        <v>0</v>
      </c>
      <c r="AX218" t="str">
        <v>Jumlah Kali Transaksi Keuangan melalui PLN Mobile</v>
      </c>
      <c r="AY218" s="105" t="s">
        <v>452</v>
      </c>
      <c r="AZ218">
        <v>2</v>
      </c>
      <c r="BA218" s="440">
        <f t="shared" si="729"/>
        <v>0.64</v>
      </c>
      <c r="BB218" s="440">
        <f t="shared" si="730"/>
        <v>0.84</v>
      </c>
      <c r="BC218" s="440">
        <f t="shared" si="731"/>
        <v>1.86</v>
      </c>
      <c r="BD218" s="440">
        <f t="shared" si="732"/>
        <v>2.2000000000000002</v>
      </c>
      <c r="BE218" s="440">
        <f t="shared" si="733"/>
        <v>2.2000000000000002</v>
      </c>
      <c r="BF218" s="440">
        <f t="shared" si="734"/>
        <v>2.2000000000000002</v>
      </c>
      <c r="BG218" s="440">
        <f t="shared" si="735"/>
        <v>2.2000000000000002</v>
      </c>
      <c r="BH218" s="440">
        <f t="shared" si="736"/>
        <v>2.2000000000000002</v>
      </c>
      <c r="BI218" s="440">
        <f t="shared" si="737"/>
        <v>2.2000000000000002</v>
      </c>
      <c r="BJ218" s="440">
        <f t="shared" si="738"/>
        <v>2.2000000000000002</v>
      </c>
      <c r="BK218" s="440">
        <f t="shared" si="739"/>
        <v>0</v>
      </c>
      <c r="BL218" s="440">
        <f t="shared" si="740"/>
        <v>0</v>
      </c>
    </row>
    <row r="219" spans="1:64">
      <c r="A219" t="str">
        <v>a. Response Time atas Gangguan (diluar Clear Tamper)</v>
      </c>
      <c r="B219">
        <v>2</v>
      </c>
      <c r="C219" t="str">
        <v>Response Time atas Gangguan (diluar Clear Tamper)</v>
      </c>
      <c r="D219" s="105" t="s">
        <v>456</v>
      </c>
      <c r="E219" t="str">
        <v>Response Time atas Gangguan (diluar Clear Tamper)</v>
      </c>
      <c r="G219" s="440">
        <v>30</v>
      </c>
      <c r="H219" s="440">
        <v>30</v>
      </c>
      <c r="I219" s="440">
        <v>30</v>
      </c>
      <c r="J219" s="440">
        <v>30</v>
      </c>
      <c r="K219" s="440">
        <v>30</v>
      </c>
      <c r="L219" s="440">
        <v>30</v>
      </c>
      <c r="M219" s="440">
        <v>30</v>
      </c>
      <c r="N219" s="440">
        <v>30</v>
      </c>
      <c r="O219" s="440">
        <v>30</v>
      </c>
      <c r="P219" s="440">
        <v>30</v>
      </c>
      <c r="Q219" s="440">
        <v>30</v>
      </c>
      <c r="R219" s="440">
        <v>30</v>
      </c>
      <c r="T219" t="str">
        <v>Response Time atas Gangguan (diluar Clear Tamper)</v>
      </c>
      <c r="V219">
        <v>11.382941176470585</v>
      </c>
      <c r="W219">
        <v>10.881982520490874</v>
      </c>
      <c r="X219">
        <v>10.424033237555745</v>
      </c>
      <c r="Y219">
        <v>10.116471960890049</v>
      </c>
      <c r="Z219">
        <v>10.76317756871204</v>
      </c>
      <c r="AA219">
        <v>10.848403791187893</v>
      </c>
      <c r="AB219">
        <v>10.909279664384931</v>
      </c>
      <c r="AC219">
        <v>11.043343816369179</v>
      </c>
      <c r="AD219">
        <v>10.932176444057575</v>
      </c>
      <c r="AE219">
        <v>10.841825871895164</v>
      </c>
      <c r="AF219">
        <v>10.841825871895164</v>
      </c>
      <c r="AG219">
        <v>10.841825871895164</v>
      </c>
      <c r="AI219" t="str">
        <v>Response Time atas Gangguan (diluar Clear Tamper)</v>
      </c>
      <c r="AK219" s="440">
        <f t="shared" ref="AK219" si="837">IFERROR(IF((2-(V219/G219))*100&gt;110,110,(2-(V219/G219))*100),100)</f>
        <v>110</v>
      </c>
      <c r="AL219" s="440">
        <f t="shared" ref="AL219" si="838">IFERROR(IF((2-(W219/H219))*100&gt;110,110,(2-(W219/H219))*100),100)</f>
        <v>110</v>
      </c>
      <c r="AM219" s="440">
        <f t="shared" ref="AM219" si="839">IFERROR(IF((2-(X219/I219))*100&gt;110,110,(2-(X219/I219))*100),100)</f>
        <v>110</v>
      </c>
      <c r="AN219" s="440">
        <f t="shared" ref="AN219" si="840">IFERROR(IF((2-(Y219/J219))*100&gt;110,110,(2-(Y219/J219))*100),100)</f>
        <v>110</v>
      </c>
      <c r="AO219" s="440">
        <f t="shared" ref="AO219" si="841">IFERROR(IF((2-(Z219/K219))*100&gt;110,110,(2-(Z219/K219))*100),100)</f>
        <v>110</v>
      </c>
      <c r="AP219" s="440">
        <f t="shared" ref="AP219" si="842">IFERROR(IF((2-(AA219/L219))*100&gt;110,110,(2-(AA219/L219))*100),100)</f>
        <v>110</v>
      </c>
      <c r="AQ219" s="440">
        <f t="shared" ref="AQ219" si="843">IFERROR(IF((2-(AB219/M219))*100&gt;110,110,(2-(AB219/M219))*100),100)</f>
        <v>110</v>
      </c>
      <c r="AR219" s="440">
        <f t="shared" ref="AR219" si="844">IFERROR(IF((2-(AC219/N219))*100&gt;110,110,(2-(AC219/N219))*100),100)</f>
        <v>110</v>
      </c>
      <c r="AS219" s="440">
        <f t="shared" ref="AS219" si="845">IFERROR(IF((2-(AD219/O219))*100&gt;110,110,(2-(AD219/O219))*100),100)</f>
        <v>110</v>
      </c>
      <c r="AT219" s="440">
        <f t="shared" ref="AT219" si="846">IFERROR(IF((2-(AE219/P219))*100&gt;110,110,(2-(AE219/P219))*100),100)</f>
        <v>110</v>
      </c>
      <c r="AU219" s="440">
        <f t="shared" ref="AU219" si="847">IFERROR(IF((2-(AF219/Q219))*100&gt;110,110,(2-(AF219/Q219))*100),100)</f>
        <v>110</v>
      </c>
      <c r="AV219" s="440">
        <f t="shared" ref="AV219" si="848">IFERROR(IF((2-(AG219/R219))*100&gt;110,110,(2-(AG219/R219))*100),100)</f>
        <v>110</v>
      </c>
      <c r="AX219" t="str">
        <v>Response Time atas Gangguan (diluar Clear Tamper)</v>
      </c>
      <c r="AY219" s="105" t="s">
        <v>452</v>
      </c>
      <c r="AZ219">
        <v>1.5</v>
      </c>
      <c r="BA219" s="440">
        <f t="shared" si="729"/>
        <v>1.65</v>
      </c>
      <c r="BB219" s="440">
        <f t="shared" si="730"/>
        <v>1.65</v>
      </c>
      <c r="BC219" s="440">
        <f t="shared" si="731"/>
        <v>1.65</v>
      </c>
      <c r="BD219" s="440">
        <f t="shared" si="732"/>
        <v>1.65</v>
      </c>
      <c r="BE219" s="440">
        <f t="shared" si="733"/>
        <v>1.65</v>
      </c>
      <c r="BF219" s="440">
        <f t="shared" si="734"/>
        <v>1.65</v>
      </c>
      <c r="BG219" s="440">
        <f t="shared" si="735"/>
        <v>1.65</v>
      </c>
      <c r="BH219" s="440">
        <f t="shared" si="736"/>
        <v>1.65</v>
      </c>
      <c r="BI219" s="440">
        <f t="shared" si="737"/>
        <v>1.65</v>
      </c>
      <c r="BJ219" s="440">
        <f t="shared" si="738"/>
        <v>1.65</v>
      </c>
      <c r="BK219" s="440">
        <f t="shared" si="739"/>
        <v>1.65</v>
      </c>
      <c r="BL219" s="440">
        <f t="shared" si="740"/>
        <v>1.65</v>
      </c>
    </row>
    <row r="220" spans="1:64">
      <c r="A220" t="str">
        <v>b. Success Rate Auto Dispatch Gangguan Individual (diluar Clear Tamper)</v>
      </c>
      <c r="B220">
        <v>2</v>
      </c>
      <c r="C220" t="str">
        <v>Success Rate Auto Dispatch Gangguan Individual (diluar Clear Tamper)</v>
      </c>
      <c r="D220" s="105" t="s">
        <v>456</v>
      </c>
      <c r="E220" t="str">
        <v>Success Rate Auto Dispatch Gangguan Individual (diluar Clear Tamper)</v>
      </c>
      <c r="G220" s="440">
        <v>0</v>
      </c>
      <c r="H220" s="440">
        <v>0</v>
      </c>
      <c r="I220" s="440">
        <v>0</v>
      </c>
      <c r="J220" s="440">
        <v>0</v>
      </c>
      <c r="K220" s="440">
        <v>0</v>
      </c>
      <c r="L220" s="440">
        <v>0</v>
      </c>
      <c r="M220" s="440">
        <v>0</v>
      </c>
      <c r="N220" s="440">
        <v>0</v>
      </c>
      <c r="O220" s="440">
        <v>0</v>
      </c>
      <c r="P220" s="440">
        <v>0</v>
      </c>
      <c r="Q220" s="440">
        <v>0</v>
      </c>
      <c r="R220" s="440">
        <v>0</v>
      </c>
      <c r="T220" t="str">
        <v>Success Rate Auto Dispatch Gangguan Individual (diluar Clear Tamper)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I220" t="str">
        <v>Success Rate Auto Dispatch Gangguan Individual (diluar Clear Tamper)</v>
      </c>
      <c r="AK220" s="440">
        <f t="shared" ref="AK220:AK231" si="849">IFERROR(IF(V220/G220*100&gt;110,110,V220/G220*100),100)</f>
        <v>100</v>
      </c>
      <c r="AL220" s="440">
        <f t="shared" ref="AL220:AL231" si="850">IFERROR(IF(W220/H220*100&gt;110,110,W220/H220*100),100)</f>
        <v>100</v>
      </c>
      <c r="AM220" s="440">
        <f t="shared" ref="AM220:AM231" si="851">IFERROR(IF(X220/I220*100&gt;110,110,X220/I220*100),100)</f>
        <v>100</v>
      </c>
      <c r="AN220" s="440">
        <f t="shared" ref="AN220:AN231" si="852">IFERROR(IF(Y220/J220*100&gt;110,110,Y220/J220*100),100)</f>
        <v>100</v>
      </c>
      <c r="AO220" s="440">
        <f t="shared" ref="AO220:AO231" si="853">IFERROR(IF(Z220/K220*100&gt;110,110,Z220/K220*100),100)</f>
        <v>100</v>
      </c>
      <c r="AP220" s="440">
        <f t="shared" ref="AP220:AP231" si="854">IFERROR(IF(AA220/L220*100&gt;110,110,AA220/L220*100),100)</f>
        <v>100</v>
      </c>
      <c r="AQ220" s="440">
        <f t="shared" ref="AQ220:AQ231" si="855">IFERROR(IF(AB220/M220*100&gt;110,110,AB220/M220*100),100)</f>
        <v>100</v>
      </c>
      <c r="AR220" s="440">
        <f t="shared" ref="AR220:AR231" si="856">IFERROR(IF(AC220/N220*100&gt;110,110,AC220/N220*100),100)</f>
        <v>100</v>
      </c>
      <c r="AS220" s="440">
        <f t="shared" ref="AS220:AS231" si="857">IFERROR(IF(AD220/O220*100&gt;110,110,AD220/O220*100),100)</f>
        <v>100</v>
      </c>
      <c r="AT220" s="440">
        <f t="shared" ref="AT220:AT231" si="858">IFERROR(IF(AE220/P220*100&gt;110,110,AE220/P220*100),100)</f>
        <v>100</v>
      </c>
      <c r="AU220" s="440">
        <f t="shared" ref="AU220:AU231" si="859">IFERROR(IF(AF220/Q220*100&gt;110,110,AF220/Q220*100),100)</f>
        <v>100</v>
      </c>
      <c r="AV220" s="440">
        <f t="shared" ref="AV220:AV231" si="860">IFERROR(IF(AG220/R220*100&gt;110,110,AG220/R220*100),100)</f>
        <v>100</v>
      </c>
      <c r="AX220" t="str">
        <v>Success Rate Auto Dispatch Gangguan Individual (diluar Clear Tamper)</v>
      </c>
      <c r="AY220" s="105" t="s">
        <v>452</v>
      </c>
      <c r="AZ220">
        <v>1.5</v>
      </c>
      <c r="BA220" s="440">
        <f t="shared" si="729"/>
        <v>1.5</v>
      </c>
      <c r="BB220" s="440">
        <f t="shared" si="730"/>
        <v>1.5</v>
      </c>
      <c r="BC220" s="440">
        <f t="shared" si="731"/>
        <v>1.5</v>
      </c>
      <c r="BD220" s="440">
        <f t="shared" si="732"/>
        <v>1.5</v>
      </c>
      <c r="BE220" s="440">
        <f t="shared" si="733"/>
        <v>1.5</v>
      </c>
      <c r="BF220" s="440">
        <f t="shared" si="734"/>
        <v>1.5</v>
      </c>
      <c r="BG220" s="440">
        <f t="shared" si="735"/>
        <v>1.5</v>
      </c>
      <c r="BH220" s="440">
        <f t="shared" si="736"/>
        <v>1.5</v>
      </c>
      <c r="BI220" s="440">
        <f t="shared" si="737"/>
        <v>1.5</v>
      </c>
      <c r="BJ220" s="440">
        <f t="shared" si="738"/>
        <v>1.5</v>
      </c>
      <c r="BK220" s="440">
        <f t="shared" si="739"/>
        <v>1.5</v>
      </c>
      <c r="BL220" s="440">
        <f t="shared" si="740"/>
        <v>1.5</v>
      </c>
    </row>
    <row r="221" spans="1:64">
      <c r="A221" t="str">
        <v>a. Recovery Time Gangguan Meluas TM</v>
      </c>
      <c r="B221">
        <v>2</v>
      </c>
      <c r="C221" t="str">
        <v>Recovery Time Gangguan Meluas TM</v>
      </c>
      <c r="D221" s="105" t="s">
        <v>456</v>
      </c>
      <c r="E221" t="str">
        <v>Recovery Time Gangguan Meluas TM</v>
      </c>
      <c r="G221" s="440">
        <v>100</v>
      </c>
      <c r="H221" s="440">
        <v>100</v>
      </c>
      <c r="I221" s="440">
        <v>100</v>
      </c>
      <c r="J221" s="440">
        <v>100</v>
      </c>
      <c r="K221" s="440">
        <v>100</v>
      </c>
      <c r="L221" s="440">
        <v>100</v>
      </c>
      <c r="M221" s="440">
        <v>100</v>
      </c>
      <c r="N221" s="440">
        <v>100</v>
      </c>
      <c r="O221" s="440">
        <v>100</v>
      </c>
      <c r="P221" s="440">
        <v>100</v>
      </c>
      <c r="Q221" s="440">
        <v>100</v>
      </c>
      <c r="R221" s="440">
        <v>100</v>
      </c>
      <c r="T221" t="str">
        <v>Recovery Time Gangguan Meluas TM</v>
      </c>
      <c r="V221">
        <v>110</v>
      </c>
      <c r="W221">
        <v>110</v>
      </c>
      <c r="X221">
        <v>110</v>
      </c>
      <c r="Y221">
        <v>110</v>
      </c>
      <c r="Z221">
        <v>110</v>
      </c>
      <c r="AA221">
        <v>110</v>
      </c>
      <c r="AB221">
        <v>110</v>
      </c>
      <c r="AC221">
        <v>110</v>
      </c>
      <c r="AD221">
        <v>110</v>
      </c>
      <c r="AE221">
        <v>110</v>
      </c>
      <c r="AF221">
        <v>0</v>
      </c>
      <c r="AG221">
        <v>0</v>
      </c>
      <c r="AI221" t="str">
        <v>Recovery Time Gangguan Meluas TM</v>
      </c>
      <c r="AK221" s="440">
        <f t="shared" si="849"/>
        <v>110.00000000000001</v>
      </c>
      <c r="AL221" s="440">
        <f t="shared" si="850"/>
        <v>110.00000000000001</v>
      </c>
      <c r="AM221" s="440">
        <f t="shared" si="851"/>
        <v>110.00000000000001</v>
      </c>
      <c r="AN221" s="440">
        <f t="shared" si="852"/>
        <v>110.00000000000001</v>
      </c>
      <c r="AO221" s="440">
        <f t="shared" si="853"/>
        <v>110.00000000000001</v>
      </c>
      <c r="AP221" s="440">
        <f t="shared" si="854"/>
        <v>110.00000000000001</v>
      </c>
      <c r="AQ221" s="440">
        <f t="shared" si="855"/>
        <v>110.00000000000001</v>
      </c>
      <c r="AR221" s="440">
        <f t="shared" si="856"/>
        <v>110.00000000000001</v>
      </c>
      <c r="AS221" s="440">
        <f t="shared" si="857"/>
        <v>110.00000000000001</v>
      </c>
      <c r="AT221" s="440">
        <f t="shared" si="858"/>
        <v>110.00000000000001</v>
      </c>
      <c r="AU221" s="440">
        <f t="shared" si="859"/>
        <v>0</v>
      </c>
      <c r="AV221" s="440">
        <f t="shared" si="860"/>
        <v>0</v>
      </c>
      <c r="AX221" t="str">
        <v>Recovery Time Gangguan Meluas TM</v>
      </c>
      <c r="AY221" s="105" t="s">
        <v>452</v>
      </c>
      <c r="AZ221">
        <v>3</v>
      </c>
      <c r="BA221" s="440">
        <f t="shared" si="729"/>
        <v>3.3</v>
      </c>
      <c r="BB221" s="440">
        <f t="shared" si="730"/>
        <v>3.3</v>
      </c>
      <c r="BC221" s="440">
        <f t="shared" si="731"/>
        <v>3.3</v>
      </c>
      <c r="BD221" s="440">
        <f t="shared" si="732"/>
        <v>3.3</v>
      </c>
      <c r="BE221" s="440">
        <f t="shared" si="733"/>
        <v>3.3</v>
      </c>
      <c r="BF221" s="440">
        <f t="shared" si="734"/>
        <v>3.3</v>
      </c>
      <c r="BG221" s="440">
        <f t="shared" si="735"/>
        <v>3.3</v>
      </c>
      <c r="BH221" s="440">
        <f t="shared" si="736"/>
        <v>3.3</v>
      </c>
      <c r="BI221" s="440">
        <f t="shared" si="737"/>
        <v>3.3</v>
      </c>
      <c r="BJ221" s="440">
        <f t="shared" si="738"/>
        <v>3.3</v>
      </c>
      <c r="BK221" s="440">
        <f t="shared" si="739"/>
        <v>0</v>
      </c>
      <c r="BL221" s="440">
        <f t="shared" si="740"/>
        <v>0</v>
      </c>
    </row>
    <row r="222" spans="1:64">
      <c r="A222" t="str">
        <v>b. Penormalan Siaga 1 Gangguan TM</v>
      </c>
      <c r="B222">
        <v>2</v>
      </c>
      <c r="C222" t="str">
        <v>Penormalan Siaga 1 Gangguan TM</v>
      </c>
      <c r="D222" s="105" t="s">
        <v>456</v>
      </c>
      <c r="E222" t="str">
        <v>Penormalan Siaga 1 Gangguan TM</v>
      </c>
      <c r="G222" s="440">
        <v>100</v>
      </c>
      <c r="H222" s="440">
        <v>100</v>
      </c>
      <c r="I222" s="440">
        <v>100</v>
      </c>
      <c r="J222" s="440">
        <v>100</v>
      </c>
      <c r="K222" s="440">
        <v>100</v>
      </c>
      <c r="L222" s="440">
        <v>100</v>
      </c>
      <c r="M222" s="440">
        <v>100</v>
      </c>
      <c r="N222" s="440">
        <v>100</v>
      </c>
      <c r="O222" s="440">
        <v>100</v>
      </c>
      <c r="P222" s="440">
        <v>100</v>
      </c>
      <c r="Q222" s="440">
        <v>100</v>
      </c>
      <c r="R222" s="440">
        <v>100</v>
      </c>
      <c r="T222" t="str">
        <v>Penormalan Siaga 1 Gangguan TM</v>
      </c>
      <c r="V222">
        <v>110</v>
      </c>
      <c r="W222">
        <v>110</v>
      </c>
      <c r="X222">
        <v>110</v>
      </c>
      <c r="Y222">
        <v>110</v>
      </c>
      <c r="Z222">
        <v>110</v>
      </c>
      <c r="AA222">
        <v>110</v>
      </c>
      <c r="AB222">
        <v>110</v>
      </c>
      <c r="AC222">
        <v>110</v>
      </c>
      <c r="AD222">
        <v>110</v>
      </c>
      <c r="AE222">
        <v>110</v>
      </c>
      <c r="AF222">
        <v>110</v>
      </c>
      <c r="AG222">
        <v>0</v>
      </c>
      <c r="AI222" t="str">
        <v>Penormalan Siaga 1 Gangguan TM</v>
      </c>
      <c r="AK222" s="440">
        <f t="shared" si="849"/>
        <v>110.00000000000001</v>
      </c>
      <c r="AL222" s="440">
        <f t="shared" si="850"/>
        <v>110.00000000000001</v>
      </c>
      <c r="AM222" s="440">
        <f t="shared" si="851"/>
        <v>110.00000000000001</v>
      </c>
      <c r="AN222" s="440">
        <f t="shared" si="852"/>
        <v>110.00000000000001</v>
      </c>
      <c r="AO222" s="440">
        <f t="shared" si="853"/>
        <v>110.00000000000001</v>
      </c>
      <c r="AP222" s="440">
        <f t="shared" si="854"/>
        <v>110.00000000000001</v>
      </c>
      <c r="AQ222" s="440">
        <f t="shared" si="855"/>
        <v>110.00000000000001</v>
      </c>
      <c r="AR222" s="440">
        <f t="shared" si="856"/>
        <v>110.00000000000001</v>
      </c>
      <c r="AS222" s="440">
        <f t="shared" si="857"/>
        <v>110.00000000000001</v>
      </c>
      <c r="AT222" s="440">
        <f t="shared" si="858"/>
        <v>110.00000000000001</v>
      </c>
      <c r="AU222" s="440">
        <f t="shared" si="859"/>
        <v>110.00000000000001</v>
      </c>
      <c r="AV222" s="440">
        <f t="shared" si="860"/>
        <v>0</v>
      </c>
      <c r="AX222" t="str">
        <v>Penormalan Siaga 1 Gangguan TM</v>
      </c>
      <c r="AY222" s="105" t="s">
        <v>452</v>
      </c>
      <c r="AZ222">
        <v>3</v>
      </c>
      <c r="BA222" s="440">
        <f t="shared" si="729"/>
        <v>3.3</v>
      </c>
      <c r="BB222" s="440">
        <f t="shared" si="730"/>
        <v>3.3</v>
      </c>
      <c r="BC222" s="440">
        <f t="shared" si="731"/>
        <v>3.3</v>
      </c>
      <c r="BD222" s="440">
        <f t="shared" si="732"/>
        <v>3.3</v>
      </c>
      <c r="BE222" s="440">
        <f t="shared" si="733"/>
        <v>3.3</v>
      </c>
      <c r="BF222" s="440">
        <f t="shared" si="734"/>
        <v>3.3</v>
      </c>
      <c r="BG222" s="440">
        <f t="shared" si="735"/>
        <v>3.3</v>
      </c>
      <c r="BH222" s="440">
        <f t="shared" si="736"/>
        <v>3.3</v>
      </c>
      <c r="BI222" s="440">
        <f t="shared" si="737"/>
        <v>3.3</v>
      </c>
      <c r="BJ222" s="440">
        <f t="shared" si="738"/>
        <v>3.3</v>
      </c>
      <c r="BK222" s="440">
        <f t="shared" si="739"/>
        <v>3.3</v>
      </c>
      <c r="BL222" s="440">
        <f t="shared" si="740"/>
        <v>0</v>
      </c>
    </row>
    <row r="223" spans="1:64">
      <c r="A223" t="str">
        <v>a. Penambahan Daya Tersambung</v>
      </c>
      <c r="B223">
        <v>2</v>
      </c>
      <c r="C223" t="str">
        <v>Penambahan Daya Tersambung</v>
      </c>
      <c r="D223" s="105" t="s">
        <v>456</v>
      </c>
      <c r="E223" t="str">
        <v>Penambahan Daya Tersambung</v>
      </c>
      <c r="G223" s="440">
        <v>0.13</v>
      </c>
      <c r="H223" s="440">
        <v>0.27</v>
      </c>
      <c r="I223" s="440">
        <v>0.42</v>
      </c>
      <c r="J223" s="440">
        <v>0.55000000000000004</v>
      </c>
      <c r="K223" s="440">
        <v>0.77</v>
      </c>
      <c r="L223" s="440">
        <v>0.97</v>
      </c>
      <c r="M223" s="440">
        <v>1.19</v>
      </c>
      <c r="N223" s="440">
        <v>1.4</v>
      </c>
      <c r="O223" s="440">
        <v>1.61</v>
      </c>
      <c r="P223" s="440">
        <v>1.82</v>
      </c>
      <c r="Q223" s="440">
        <v>2.0299999999999998</v>
      </c>
      <c r="R223" s="440">
        <v>2.46</v>
      </c>
      <c r="T223" t="str">
        <v>Penambahan Daya Tersambung</v>
      </c>
      <c r="V223">
        <v>0.13285</v>
      </c>
      <c r="W223">
        <v>0.24404999999999999</v>
      </c>
      <c r="X223">
        <v>0.38155</v>
      </c>
      <c r="Y223">
        <v>0.57810000000000006</v>
      </c>
      <c r="Z223">
        <v>0.72620000000000007</v>
      </c>
      <c r="AA223">
        <v>0.87740000000000007</v>
      </c>
      <c r="AB223">
        <v>1.0797000000000001</v>
      </c>
      <c r="AC223">
        <v>1.2073500000000001</v>
      </c>
      <c r="AD223">
        <v>1.3872000000000002</v>
      </c>
      <c r="AE223">
        <v>1.6339000000000001</v>
      </c>
      <c r="AF223">
        <v>0</v>
      </c>
      <c r="AG223">
        <v>0</v>
      </c>
      <c r="AI223" t="str">
        <v>Penambahan Daya Tersambung</v>
      </c>
      <c r="AK223" s="440">
        <f t="shared" si="849"/>
        <v>102.19230769230769</v>
      </c>
      <c r="AL223" s="440">
        <f t="shared" si="850"/>
        <v>90.388888888888872</v>
      </c>
      <c r="AM223" s="440">
        <f t="shared" si="851"/>
        <v>90.845238095238102</v>
      </c>
      <c r="AN223" s="440">
        <f t="shared" si="852"/>
        <v>105.10909090909091</v>
      </c>
      <c r="AO223" s="440">
        <f t="shared" si="853"/>
        <v>94.311688311688314</v>
      </c>
      <c r="AP223" s="440">
        <f t="shared" si="854"/>
        <v>90.453608247422693</v>
      </c>
      <c r="AQ223" s="440">
        <f t="shared" si="855"/>
        <v>90.731092436974805</v>
      </c>
      <c r="AR223" s="440">
        <f t="shared" si="856"/>
        <v>86.239285714285728</v>
      </c>
      <c r="AS223" s="440">
        <f t="shared" si="857"/>
        <v>86.161490683229829</v>
      </c>
      <c r="AT223" s="440">
        <f t="shared" si="858"/>
        <v>89.77472527472527</v>
      </c>
      <c r="AU223" s="440">
        <f t="shared" si="859"/>
        <v>0</v>
      </c>
      <c r="AV223" s="440">
        <f t="shared" si="860"/>
        <v>0</v>
      </c>
      <c r="AX223" t="str">
        <v>Penambahan Daya Tersambung</v>
      </c>
      <c r="AY223" s="105" t="s">
        <v>452</v>
      </c>
      <c r="AZ223">
        <v>3</v>
      </c>
      <c r="BA223" s="440">
        <f t="shared" si="729"/>
        <v>3.06</v>
      </c>
      <c r="BB223" s="440">
        <f t="shared" si="730"/>
        <v>2.71</v>
      </c>
      <c r="BC223" s="440">
        <f t="shared" si="731"/>
        <v>2.72</v>
      </c>
      <c r="BD223" s="440">
        <f t="shared" si="732"/>
        <v>3.15</v>
      </c>
      <c r="BE223" s="440">
        <f t="shared" si="733"/>
        <v>2.82</v>
      </c>
      <c r="BF223" s="440">
        <f t="shared" si="734"/>
        <v>2.71</v>
      </c>
      <c r="BG223" s="440">
        <f t="shared" si="735"/>
        <v>2.72</v>
      </c>
      <c r="BH223" s="440">
        <f t="shared" si="736"/>
        <v>2.58</v>
      </c>
      <c r="BI223" s="440">
        <f t="shared" si="737"/>
        <v>2.58</v>
      </c>
      <c r="BJ223" s="440">
        <f t="shared" si="738"/>
        <v>2.69</v>
      </c>
      <c r="BK223" s="440">
        <f t="shared" si="739"/>
        <v>0</v>
      </c>
      <c r="BL223" s="440">
        <f t="shared" si="740"/>
        <v>0</v>
      </c>
    </row>
    <row r="224" spans="1:64">
      <c r="A224" t="str">
        <v>b. Penambahan Jumlah Pelanggan</v>
      </c>
      <c r="B224">
        <v>2</v>
      </c>
      <c r="C224" t="str">
        <v>Penambahan Jumlah Pelanggan</v>
      </c>
      <c r="D224" s="105" t="s">
        <v>456</v>
      </c>
      <c r="E224" t="str">
        <v>Penambahan Jumlah Pelanggan</v>
      </c>
      <c r="G224" s="440">
        <v>149</v>
      </c>
      <c r="H224" s="440">
        <v>304</v>
      </c>
      <c r="I224" s="440">
        <v>466</v>
      </c>
      <c r="J224" s="440">
        <v>622</v>
      </c>
      <c r="K224" s="440">
        <v>861</v>
      </c>
      <c r="L224" s="440">
        <v>1093</v>
      </c>
      <c r="M224" s="440">
        <v>1333</v>
      </c>
      <c r="N224" s="440">
        <v>1573</v>
      </c>
      <c r="O224" s="440">
        <v>1805</v>
      </c>
      <c r="P224" s="440">
        <v>2045</v>
      </c>
      <c r="Q224" s="440">
        <v>2277</v>
      </c>
      <c r="R224" s="440">
        <v>2517</v>
      </c>
      <c r="T224" t="str">
        <v>Penambahan Jumlah Pelanggan</v>
      </c>
      <c r="V224">
        <v>114</v>
      </c>
      <c r="W224">
        <v>213</v>
      </c>
      <c r="X224">
        <v>322</v>
      </c>
      <c r="Y224">
        <v>464</v>
      </c>
      <c r="Z224">
        <v>559</v>
      </c>
      <c r="AA224">
        <v>654</v>
      </c>
      <c r="AB224">
        <v>757</v>
      </c>
      <c r="AC224">
        <v>826</v>
      </c>
      <c r="AD224">
        <v>964</v>
      </c>
      <c r="AE224">
        <v>1117</v>
      </c>
      <c r="AF224">
        <v>0</v>
      </c>
      <c r="AG224">
        <v>0</v>
      </c>
      <c r="AI224" t="str">
        <v>Penambahan Jumlah Pelanggan</v>
      </c>
      <c r="AK224" s="440">
        <f t="shared" si="849"/>
        <v>76.510067114093957</v>
      </c>
      <c r="AL224" s="440">
        <f t="shared" si="850"/>
        <v>70.06578947368422</v>
      </c>
      <c r="AM224" s="440">
        <f t="shared" si="851"/>
        <v>69.098712446351925</v>
      </c>
      <c r="AN224" s="440">
        <f t="shared" si="852"/>
        <v>74.59807073954984</v>
      </c>
      <c r="AO224" s="440">
        <f t="shared" si="853"/>
        <v>64.924506387921028</v>
      </c>
      <c r="AP224" s="440">
        <f t="shared" si="854"/>
        <v>59.835315645013722</v>
      </c>
      <c r="AQ224" s="440">
        <f t="shared" si="855"/>
        <v>56.789197299324833</v>
      </c>
      <c r="AR224" s="440">
        <f t="shared" si="856"/>
        <v>52.511125238397973</v>
      </c>
      <c r="AS224" s="440">
        <f t="shared" si="857"/>
        <v>53.407202216066487</v>
      </c>
      <c r="AT224" s="440">
        <f t="shared" si="858"/>
        <v>54.621026894865523</v>
      </c>
      <c r="AU224" s="440">
        <f t="shared" si="859"/>
        <v>0</v>
      </c>
      <c r="AV224" s="440">
        <f t="shared" si="860"/>
        <v>0</v>
      </c>
      <c r="AX224" t="str">
        <v>Penambahan Jumlah Pelanggan</v>
      </c>
      <c r="AY224" s="105" t="s">
        <v>452</v>
      </c>
      <c r="AZ224">
        <v>3</v>
      </c>
      <c r="BA224" s="440">
        <f t="shared" si="729"/>
        <v>2.29</v>
      </c>
      <c r="BB224" s="440">
        <f t="shared" si="730"/>
        <v>2.1</v>
      </c>
      <c r="BC224" s="440">
        <f t="shared" si="731"/>
        <v>2.0699999999999998</v>
      </c>
      <c r="BD224" s="440">
        <f t="shared" si="732"/>
        <v>2.23</v>
      </c>
      <c r="BE224" s="440">
        <f t="shared" si="733"/>
        <v>1.94</v>
      </c>
      <c r="BF224" s="440">
        <f t="shared" si="734"/>
        <v>1.79</v>
      </c>
      <c r="BG224" s="440">
        <f t="shared" si="735"/>
        <v>1.7</v>
      </c>
      <c r="BH224" s="440">
        <f t="shared" si="736"/>
        <v>1.57</v>
      </c>
      <c r="BI224" s="440">
        <f t="shared" si="737"/>
        <v>1.6</v>
      </c>
      <c r="BJ224" s="440">
        <f t="shared" si="738"/>
        <v>1.63</v>
      </c>
      <c r="BK224" s="440">
        <f t="shared" si="739"/>
        <v>0</v>
      </c>
      <c r="BL224" s="440">
        <f t="shared" si="740"/>
        <v>0</v>
      </c>
    </row>
    <row r="225" spans="1:64">
      <c r="A225" t="str">
        <v>c. Jumlah Penambahan Pelanggan Produk Tematik</v>
      </c>
      <c r="B225">
        <v>2</v>
      </c>
      <c r="C225" t="str">
        <v>Jumlah Penambahan Pelanggan Produk Tematik</v>
      </c>
      <c r="D225" s="105" t="s">
        <v>456</v>
      </c>
      <c r="E225" t="str">
        <v>Jumlah Penambahan Pelanggan Produk Tematik</v>
      </c>
      <c r="G225" s="440">
        <v>20</v>
      </c>
      <c r="H225" s="440">
        <v>40</v>
      </c>
      <c r="I225" s="440">
        <v>60</v>
      </c>
      <c r="J225" s="440">
        <v>80</v>
      </c>
      <c r="K225" s="440">
        <v>100</v>
      </c>
      <c r="L225" s="440">
        <v>120</v>
      </c>
      <c r="M225" s="440">
        <v>133</v>
      </c>
      <c r="N225" s="440">
        <v>146</v>
      </c>
      <c r="O225" s="440">
        <v>159</v>
      </c>
      <c r="P225" s="440">
        <v>172</v>
      </c>
      <c r="Q225" s="440">
        <v>185</v>
      </c>
      <c r="R225" s="440">
        <v>198</v>
      </c>
      <c r="T225" t="str">
        <v>Jumlah Penambahan Pelanggan Produk Tematik</v>
      </c>
      <c r="V225">
        <v>28</v>
      </c>
      <c r="W225">
        <v>40</v>
      </c>
      <c r="X225">
        <v>64</v>
      </c>
      <c r="Y225">
        <v>64</v>
      </c>
      <c r="Z225">
        <v>97</v>
      </c>
      <c r="AA225">
        <v>138</v>
      </c>
      <c r="AB225">
        <v>144</v>
      </c>
      <c r="AC225">
        <v>175</v>
      </c>
      <c r="AD225">
        <v>198</v>
      </c>
      <c r="AE225">
        <v>218</v>
      </c>
      <c r="AF225">
        <v>0</v>
      </c>
      <c r="AG225">
        <v>0</v>
      </c>
      <c r="AI225" t="str">
        <v>Jumlah Penambahan Pelanggan Produk Tematik</v>
      </c>
      <c r="AK225" s="440">
        <f t="shared" si="849"/>
        <v>110</v>
      </c>
      <c r="AL225" s="440">
        <f t="shared" si="850"/>
        <v>100</v>
      </c>
      <c r="AM225" s="440">
        <f t="shared" si="851"/>
        <v>106.66666666666667</v>
      </c>
      <c r="AN225" s="440">
        <f t="shared" si="852"/>
        <v>80</v>
      </c>
      <c r="AO225" s="440">
        <f t="shared" si="853"/>
        <v>97</v>
      </c>
      <c r="AP225" s="440">
        <f t="shared" si="854"/>
        <v>110</v>
      </c>
      <c r="AQ225" s="440">
        <f t="shared" si="855"/>
        <v>108.27067669172932</v>
      </c>
      <c r="AR225" s="440">
        <f t="shared" si="856"/>
        <v>110</v>
      </c>
      <c r="AS225" s="440">
        <f t="shared" si="857"/>
        <v>110</v>
      </c>
      <c r="AT225" s="440">
        <f t="shared" si="858"/>
        <v>110</v>
      </c>
      <c r="AU225" s="440">
        <f t="shared" si="859"/>
        <v>0</v>
      </c>
      <c r="AV225" s="440">
        <f t="shared" si="860"/>
        <v>0</v>
      </c>
      <c r="AX225" t="str">
        <v>Jumlah Penambahan Pelanggan Produk Tematik</v>
      </c>
      <c r="AY225" s="105" t="s">
        <v>452</v>
      </c>
      <c r="AZ225">
        <v>2</v>
      </c>
      <c r="BA225" s="440">
        <f t="shared" si="729"/>
        <v>2.2000000000000002</v>
      </c>
      <c r="BB225" s="440">
        <f t="shared" si="730"/>
        <v>2</v>
      </c>
      <c r="BC225" s="440">
        <f t="shared" si="731"/>
        <v>2.13</v>
      </c>
      <c r="BD225" s="440">
        <f t="shared" si="732"/>
        <v>1.6</v>
      </c>
      <c r="BE225" s="440">
        <f t="shared" si="733"/>
        <v>1.94</v>
      </c>
      <c r="BF225" s="440">
        <f t="shared" si="734"/>
        <v>2.2000000000000002</v>
      </c>
      <c r="BG225" s="440">
        <f t="shared" si="735"/>
        <v>2.16</v>
      </c>
      <c r="BH225" s="440">
        <f t="shared" si="736"/>
        <v>2.2000000000000002</v>
      </c>
      <c r="BI225" s="440">
        <f t="shared" si="737"/>
        <v>2.2000000000000002</v>
      </c>
      <c r="BJ225" s="440">
        <f t="shared" si="738"/>
        <v>2.2000000000000002</v>
      </c>
      <c r="BK225" s="440">
        <f t="shared" si="739"/>
        <v>0</v>
      </c>
      <c r="BL225" s="440">
        <f t="shared" si="740"/>
        <v>0</v>
      </c>
    </row>
    <row r="226" spans="1:64">
      <c r="A226" t="str">
        <v>d. Implementasi Kesesuaian Sektor Bisnis sesuai KBLI 2020</v>
      </c>
      <c r="B226">
        <v>2</v>
      </c>
      <c r="C226" t="str">
        <v>Implementasi Kesesuaian Sektor Bisnis sesuai KBLI 2020</v>
      </c>
      <c r="D226" s="105" t="s">
        <v>456</v>
      </c>
      <c r="E226" t="str">
        <v>Implementasi Kesesuaian Sektor Bisnis sesuai KBLI 2020</v>
      </c>
      <c r="G226" s="440">
        <v>0</v>
      </c>
      <c r="H226" s="440">
        <v>0</v>
      </c>
      <c r="I226" s="440">
        <v>0</v>
      </c>
      <c r="J226" s="440">
        <v>0</v>
      </c>
      <c r="K226" s="440">
        <v>0</v>
      </c>
      <c r="L226" s="440">
        <v>0</v>
      </c>
      <c r="M226" s="440">
        <v>0</v>
      </c>
      <c r="N226" s="440">
        <v>0</v>
      </c>
      <c r="O226" s="440">
        <v>0</v>
      </c>
      <c r="P226" s="440">
        <v>0</v>
      </c>
      <c r="Q226" s="440">
        <v>0</v>
      </c>
      <c r="R226" s="440">
        <v>0</v>
      </c>
      <c r="T226" t="str">
        <v>Implementasi Kesesuaian Sektor Bisnis sesuai KBLI 2020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I226" t="str">
        <v>Implementasi Kesesuaian Sektor Bisnis sesuai KBLI 2020</v>
      </c>
      <c r="AK226" s="440">
        <f t="shared" si="849"/>
        <v>100</v>
      </c>
      <c r="AL226" s="440">
        <f t="shared" si="850"/>
        <v>100</v>
      </c>
      <c r="AM226" s="440">
        <f t="shared" si="851"/>
        <v>100</v>
      </c>
      <c r="AN226" s="440">
        <f t="shared" si="852"/>
        <v>100</v>
      </c>
      <c r="AO226" s="440">
        <f t="shared" si="853"/>
        <v>100</v>
      </c>
      <c r="AP226" s="440">
        <f t="shared" si="854"/>
        <v>100</v>
      </c>
      <c r="AQ226" s="440">
        <f t="shared" si="855"/>
        <v>100</v>
      </c>
      <c r="AR226" s="440">
        <f t="shared" si="856"/>
        <v>100</v>
      </c>
      <c r="AS226" s="440">
        <f t="shared" si="857"/>
        <v>100</v>
      </c>
      <c r="AT226" s="440">
        <f t="shared" si="858"/>
        <v>100</v>
      </c>
      <c r="AU226" s="440">
        <f t="shared" si="859"/>
        <v>100</v>
      </c>
      <c r="AV226" s="440">
        <f t="shared" si="860"/>
        <v>100</v>
      </c>
      <c r="AX226" t="str">
        <v>Implementasi Kesesuaian Sektor Bisnis sesuai KBLI 2020</v>
      </c>
      <c r="AY226" s="105" t="s">
        <v>452</v>
      </c>
      <c r="AZ226">
        <v>2</v>
      </c>
      <c r="BA226" s="440">
        <f t="shared" si="729"/>
        <v>2</v>
      </c>
      <c r="BB226" s="440">
        <f t="shared" si="730"/>
        <v>2</v>
      </c>
      <c r="BC226" s="440">
        <f t="shared" si="731"/>
        <v>2</v>
      </c>
      <c r="BD226" s="440">
        <f t="shared" si="732"/>
        <v>2</v>
      </c>
      <c r="BE226" s="440">
        <f t="shared" si="733"/>
        <v>2</v>
      </c>
      <c r="BF226" s="440">
        <f t="shared" si="734"/>
        <v>2</v>
      </c>
      <c r="BG226" s="440">
        <f t="shared" si="735"/>
        <v>2</v>
      </c>
      <c r="BH226" s="440">
        <f t="shared" si="736"/>
        <v>2</v>
      </c>
      <c r="BI226" s="440">
        <f t="shared" si="737"/>
        <v>2</v>
      </c>
      <c r="BJ226" s="440">
        <f t="shared" si="738"/>
        <v>2</v>
      </c>
      <c r="BK226" s="440">
        <f t="shared" si="739"/>
        <v>2</v>
      </c>
      <c r="BL226" s="440">
        <f t="shared" si="740"/>
        <v>2</v>
      </c>
    </row>
    <row r="227" spans="1:64">
      <c r="A227" t="str">
        <v>a. Penambahan Jumlah Pelanggan Rumah Tangga Lisdes</v>
      </c>
      <c r="B227">
        <v>2</v>
      </c>
      <c r="C227" t="str">
        <v>Penambahan Jumlah Pelanggan Rumah Tangga Lisdes</v>
      </c>
      <c r="D227" s="105" t="s">
        <v>456</v>
      </c>
      <c r="E227" t="str">
        <v>Penambahan Jumlah Pelanggan Rumah Tangga Lisdes</v>
      </c>
      <c r="G227" s="440">
        <v>1</v>
      </c>
      <c r="H227" s="440">
        <v>1</v>
      </c>
      <c r="I227" s="440">
        <v>1</v>
      </c>
      <c r="J227" s="440">
        <v>1</v>
      </c>
      <c r="K227" s="440">
        <v>2</v>
      </c>
      <c r="L227" s="440">
        <v>3</v>
      </c>
      <c r="M227" s="440">
        <v>11</v>
      </c>
      <c r="N227" s="440">
        <v>17</v>
      </c>
      <c r="O227" s="440">
        <v>27</v>
      </c>
      <c r="P227" s="440">
        <v>45</v>
      </c>
      <c r="Q227" s="440">
        <v>74</v>
      </c>
      <c r="R227" s="440">
        <v>123</v>
      </c>
      <c r="T227" t="str">
        <v>Penambahan Jumlah Pelanggan Rumah Tangga Lisdes</v>
      </c>
      <c r="V227">
        <v>12</v>
      </c>
      <c r="W227">
        <v>21</v>
      </c>
      <c r="X227">
        <v>26</v>
      </c>
      <c r="Y227">
        <v>38</v>
      </c>
      <c r="Z227">
        <v>56</v>
      </c>
      <c r="AA227">
        <v>64</v>
      </c>
      <c r="AB227">
        <v>68</v>
      </c>
      <c r="AC227">
        <v>75</v>
      </c>
      <c r="AD227">
        <v>83</v>
      </c>
      <c r="AE227">
        <v>92</v>
      </c>
      <c r="AF227">
        <v>0</v>
      </c>
      <c r="AG227">
        <v>0</v>
      </c>
      <c r="AI227" t="str">
        <v>Penambahan Jumlah Pelanggan Rumah Tangga Lisdes</v>
      </c>
      <c r="AK227" s="440">
        <f t="shared" si="849"/>
        <v>110</v>
      </c>
      <c r="AL227" s="440">
        <f t="shared" si="850"/>
        <v>110</v>
      </c>
      <c r="AM227" s="440">
        <f t="shared" si="851"/>
        <v>110</v>
      </c>
      <c r="AN227" s="440">
        <f t="shared" si="852"/>
        <v>110</v>
      </c>
      <c r="AO227" s="440">
        <f t="shared" si="853"/>
        <v>110</v>
      </c>
      <c r="AP227" s="440">
        <f t="shared" si="854"/>
        <v>110</v>
      </c>
      <c r="AQ227" s="440">
        <f t="shared" si="855"/>
        <v>110</v>
      </c>
      <c r="AR227" s="440">
        <f t="shared" si="856"/>
        <v>110</v>
      </c>
      <c r="AS227" s="440">
        <f t="shared" si="857"/>
        <v>110</v>
      </c>
      <c r="AT227" s="440">
        <f t="shared" si="858"/>
        <v>110</v>
      </c>
      <c r="AU227" s="440">
        <f t="shared" si="859"/>
        <v>0</v>
      </c>
      <c r="AV227" s="440">
        <f t="shared" si="860"/>
        <v>0</v>
      </c>
      <c r="AX227" t="str">
        <v>Penambahan Jumlah Pelanggan Rumah Tangga Lisdes</v>
      </c>
      <c r="AY227" s="105" t="s">
        <v>452</v>
      </c>
      <c r="AZ227">
        <v>2</v>
      </c>
      <c r="BA227" s="440">
        <f t="shared" si="729"/>
        <v>2.2000000000000002</v>
      </c>
      <c r="BB227" s="440">
        <f t="shared" si="730"/>
        <v>2.2000000000000002</v>
      </c>
      <c r="BC227" s="440">
        <f t="shared" si="731"/>
        <v>2.2000000000000002</v>
      </c>
      <c r="BD227" s="440">
        <f t="shared" si="732"/>
        <v>2.2000000000000002</v>
      </c>
      <c r="BE227" s="440">
        <f t="shared" si="733"/>
        <v>2.2000000000000002</v>
      </c>
      <c r="BF227" s="440">
        <f t="shared" si="734"/>
        <v>2.2000000000000002</v>
      </c>
      <c r="BG227" s="440">
        <f t="shared" si="735"/>
        <v>2.2000000000000002</v>
      </c>
      <c r="BH227" s="440">
        <f t="shared" si="736"/>
        <v>2.2000000000000002</v>
      </c>
      <c r="BI227" s="440">
        <f t="shared" si="737"/>
        <v>2.2000000000000002</v>
      </c>
      <c r="BJ227" s="440">
        <f t="shared" si="738"/>
        <v>2.2000000000000002</v>
      </c>
      <c r="BK227" s="440">
        <f t="shared" si="739"/>
        <v>0</v>
      </c>
      <c r="BL227" s="440">
        <f t="shared" si="740"/>
        <v>0</v>
      </c>
    </row>
    <row r="228" spans="1:64">
      <c r="A228" t="str">
        <v>b. Peningkatan kWh Penjualan dari Pelanggan Rumah Tangga Lisdes</v>
      </c>
      <c r="B228">
        <v>2</v>
      </c>
      <c r="C228" t="str">
        <v>Peningkatan kWh Penjualan dari Pelanggan Rumah Tangga Lisdes</v>
      </c>
      <c r="D228" s="105" t="s">
        <v>456</v>
      </c>
      <c r="E228" t="str">
        <v>Peningkatan kWh Penjualan dari Pelanggan Rumah Tangga Lisdes</v>
      </c>
      <c r="G228" s="440">
        <v>40.5</v>
      </c>
      <c r="H228" s="440">
        <v>40.5</v>
      </c>
      <c r="I228" s="440">
        <v>40.5</v>
      </c>
      <c r="J228" s="440">
        <v>40.5</v>
      </c>
      <c r="K228" s="440">
        <v>81</v>
      </c>
      <c r="L228" s="440">
        <v>121.5</v>
      </c>
      <c r="M228" s="440">
        <v>1470.433</v>
      </c>
      <c r="N228" s="440">
        <v>2272.4870000000001</v>
      </c>
      <c r="O228" s="440">
        <v>3609.2440000000001</v>
      </c>
      <c r="P228" s="440">
        <v>6015.4070000000002</v>
      </c>
      <c r="Q228" s="440">
        <v>9892.0030000000006</v>
      </c>
      <c r="R228" s="440">
        <v>16442.113000000001</v>
      </c>
      <c r="T228" t="str">
        <v>Peningkatan kWh Penjualan dari Pelanggan Rumah Tangga Lisdes</v>
      </c>
      <c r="V228">
        <v>2884.1</v>
      </c>
      <c r="W228">
        <v>7313.2000000000007</v>
      </c>
      <c r="X228">
        <v>8164.0000000000018</v>
      </c>
      <c r="Y228">
        <v>10604.7</v>
      </c>
      <c r="Z228">
        <v>14422.2</v>
      </c>
      <c r="AA228">
        <v>18369.099999999999</v>
      </c>
      <c r="AB228">
        <v>21815.199999999997</v>
      </c>
      <c r="AC228">
        <v>25685.599999999999</v>
      </c>
      <c r="AD228">
        <v>30036.1</v>
      </c>
      <c r="AE228">
        <v>35842.799999999996</v>
      </c>
      <c r="AF228">
        <v>0</v>
      </c>
      <c r="AG228">
        <v>0</v>
      </c>
      <c r="AI228" t="str">
        <v>Peningkatan kWh Penjualan dari Pelanggan Rumah Tangga Lisdes</v>
      </c>
      <c r="AK228" s="440">
        <f t="shared" si="849"/>
        <v>110</v>
      </c>
      <c r="AL228" s="440">
        <f t="shared" si="850"/>
        <v>110</v>
      </c>
      <c r="AM228" s="440">
        <f t="shared" si="851"/>
        <v>110</v>
      </c>
      <c r="AN228" s="440">
        <f t="shared" si="852"/>
        <v>110</v>
      </c>
      <c r="AO228" s="440">
        <f t="shared" si="853"/>
        <v>110</v>
      </c>
      <c r="AP228" s="440">
        <f t="shared" si="854"/>
        <v>110</v>
      </c>
      <c r="AQ228" s="440">
        <f t="shared" si="855"/>
        <v>110</v>
      </c>
      <c r="AR228" s="440">
        <f t="shared" si="856"/>
        <v>110</v>
      </c>
      <c r="AS228" s="440">
        <f t="shared" si="857"/>
        <v>110</v>
      </c>
      <c r="AT228" s="440">
        <f t="shared" si="858"/>
        <v>110</v>
      </c>
      <c r="AU228" s="440">
        <f t="shared" si="859"/>
        <v>0</v>
      </c>
      <c r="AV228" s="440">
        <f t="shared" si="860"/>
        <v>0</v>
      </c>
      <c r="AX228" t="str">
        <v>Peningkatan kWh Penjualan dari Pelanggan Rumah Tangga Lisdes</v>
      </c>
      <c r="AY228" s="105" t="s">
        <v>452</v>
      </c>
      <c r="AZ228">
        <v>2</v>
      </c>
      <c r="BA228" s="440">
        <f t="shared" si="729"/>
        <v>2.2000000000000002</v>
      </c>
      <c r="BB228" s="440">
        <f t="shared" si="730"/>
        <v>2.2000000000000002</v>
      </c>
      <c r="BC228" s="440">
        <f t="shared" si="731"/>
        <v>2.2000000000000002</v>
      </c>
      <c r="BD228" s="440">
        <f t="shared" si="732"/>
        <v>2.2000000000000002</v>
      </c>
      <c r="BE228" s="440">
        <f t="shared" si="733"/>
        <v>2.2000000000000002</v>
      </c>
      <c r="BF228" s="440">
        <f t="shared" si="734"/>
        <v>2.2000000000000002</v>
      </c>
      <c r="BG228" s="440">
        <f t="shared" si="735"/>
        <v>2.2000000000000002</v>
      </c>
      <c r="BH228" s="440">
        <f t="shared" si="736"/>
        <v>2.2000000000000002</v>
      </c>
      <c r="BI228" s="440">
        <f t="shared" si="737"/>
        <v>2.2000000000000002</v>
      </c>
      <c r="BJ228" s="440">
        <f t="shared" si="738"/>
        <v>2.2000000000000002</v>
      </c>
      <c r="BK228" s="440">
        <f t="shared" si="739"/>
        <v>0</v>
      </c>
      <c r="BL228" s="440">
        <f t="shared" si="740"/>
        <v>0</v>
      </c>
    </row>
    <row r="229" spans="1:64">
      <c r="A229" t="str">
        <v>a. Jumlah Pengguna Swa Cam</v>
      </c>
      <c r="B229">
        <v>2</v>
      </c>
      <c r="C229" t="str">
        <v>Jumlah Pengguna Swa Cam</v>
      </c>
      <c r="D229" s="105" t="s">
        <v>456</v>
      </c>
      <c r="E229" t="str">
        <v>Jumlah Pengguna Swa Cam</v>
      </c>
      <c r="G229" s="440">
        <v>743</v>
      </c>
      <c r="H229" s="440">
        <v>743</v>
      </c>
      <c r="I229" s="440">
        <v>743</v>
      </c>
      <c r="J229" s="440">
        <v>743</v>
      </c>
      <c r="K229" s="440">
        <v>743</v>
      </c>
      <c r="L229" s="440">
        <v>743</v>
      </c>
      <c r="M229" s="440">
        <v>743</v>
      </c>
      <c r="N229" s="440">
        <v>743</v>
      </c>
      <c r="O229" s="440">
        <v>743</v>
      </c>
      <c r="P229" s="440">
        <v>743</v>
      </c>
      <c r="Q229" s="440">
        <v>743</v>
      </c>
      <c r="R229" s="440">
        <v>743</v>
      </c>
      <c r="T229" t="str">
        <v>Jumlah Pengguna Swa Cam</v>
      </c>
      <c r="V229">
        <v>2044</v>
      </c>
      <c r="W229">
        <v>1820</v>
      </c>
      <c r="X229">
        <v>2257</v>
      </c>
      <c r="Y229">
        <v>1771</v>
      </c>
      <c r="Z229">
        <v>1611.6</v>
      </c>
      <c r="AA229">
        <v>1552.1666666666667</v>
      </c>
      <c r="AB229">
        <v>1439.4285714285713</v>
      </c>
      <c r="AC229">
        <v>1347.125</v>
      </c>
      <c r="AD229">
        <v>1302.3333333333333</v>
      </c>
      <c r="AE229">
        <v>1255.5</v>
      </c>
      <c r="AF229">
        <v>1255.5</v>
      </c>
      <c r="AG229">
        <v>1255.5</v>
      </c>
      <c r="AI229" t="str">
        <v>Jumlah Pengguna Swa Cam</v>
      </c>
      <c r="AK229" s="440">
        <f t="shared" si="849"/>
        <v>110</v>
      </c>
      <c r="AL229" s="440">
        <f t="shared" si="850"/>
        <v>110</v>
      </c>
      <c r="AM229" s="440">
        <f t="shared" si="851"/>
        <v>110</v>
      </c>
      <c r="AN229" s="440">
        <f t="shared" si="852"/>
        <v>110</v>
      </c>
      <c r="AO229" s="440">
        <f t="shared" si="853"/>
        <v>110</v>
      </c>
      <c r="AP229" s="440">
        <f t="shared" si="854"/>
        <v>110</v>
      </c>
      <c r="AQ229" s="440">
        <f t="shared" si="855"/>
        <v>110</v>
      </c>
      <c r="AR229" s="440">
        <f t="shared" si="856"/>
        <v>110</v>
      </c>
      <c r="AS229" s="440">
        <f t="shared" si="857"/>
        <v>110</v>
      </c>
      <c r="AT229" s="440">
        <f t="shared" si="858"/>
        <v>110</v>
      </c>
      <c r="AU229" s="440">
        <f t="shared" si="859"/>
        <v>110</v>
      </c>
      <c r="AV229" s="440">
        <f t="shared" si="860"/>
        <v>110</v>
      </c>
      <c r="AX229" t="str">
        <v>Jumlah Pengguna Swa Cam</v>
      </c>
      <c r="AY229" s="105" t="s">
        <v>452</v>
      </c>
      <c r="AZ229">
        <v>4</v>
      </c>
      <c r="BA229" s="440">
        <f t="shared" si="729"/>
        <v>4.4000000000000004</v>
      </c>
      <c r="BB229" s="440">
        <f t="shared" si="730"/>
        <v>4.4000000000000004</v>
      </c>
      <c r="BC229" s="440">
        <f t="shared" si="731"/>
        <v>4.4000000000000004</v>
      </c>
      <c r="BD229" s="440">
        <f t="shared" si="732"/>
        <v>4.4000000000000004</v>
      </c>
      <c r="BE229" s="440">
        <f t="shared" si="733"/>
        <v>4.4000000000000004</v>
      </c>
      <c r="BF229" s="440">
        <f t="shared" si="734"/>
        <v>4.4000000000000004</v>
      </c>
      <c r="BG229" s="440">
        <f t="shared" si="735"/>
        <v>4.4000000000000004</v>
      </c>
      <c r="BH229" s="440">
        <f t="shared" si="736"/>
        <v>4.4000000000000004</v>
      </c>
      <c r="BI229" s="440">
        <f t="shared" si="737"/>
        <v>4.4000000000000004</v>
      </c>
      <c r="BJ229" s="440">
        <f t="shared" si="738"/>
        <v>4.4000000000000004</v>
      </c>
      <c r="BK229" s="440">
        <f t="shared" si="739"/>
        <v>4.4000000000000004</v>
      </c>
      <c r="BL229" s="440">
        <f t="shared" si="740"/>
        <v>4.4000000000000004</v>
      </c>
    </row>
    <row r="230" spans="1:64">
      <c r="A230" t="str">
        <v>b. Tindak Lanjut LBKB (Laporan Bulanan Kelainan Baca Meter)</v>
      </c>
      <c r="B230">
        <v>2</v>
      </c>
      <c r="C230" t="str">
        <v>Tindak Lanjut LBKB (Laporan Bulanan Kelainan Baca Meter)</v>
      </c>
      <c r="D230" s="105" t="s">
        <v>456</v>
      </c>
      <c r="E230" t="str">
        <v>Tindak Lanjut LBKB (Laporan Bulanan Kelainan Baca Meter)</v>
      </c>
      <c r="G230" s="440">
        <v>0</v>
      </c>
      <c r="H230" s="440">
        <v>0</v>
      </c>
      <c r="I230" s="440">
        <v>0</v>
      </c>
      <c r="J230" s="440">
        <v>0</v>
      </c>
      <c r="K230" s="440">
        <v>0</v>
      </c>
      <c r="L230" s="440">
        <v>0</v>
      </c>
      <c r="M230" s="440">
        <v>0</v>
      </c>
      <c r="N230" s="440">
        <v>0</v>
      </c>
      <c r="O230" s="440">
        <v>0</v>
      </c>
      <c r="P230" s="440">
        <v>0</v>
      </c>
      <c r="Q230" s="440">
        <v>0</v>
      </c>
      <c r="R230" s="440">
        <v>0</v>
      </c>
      <c r="T230" t="str">
        <v>Tindak Lanjut LBKB (Laporan Bulanan Kelainan Baca Meter)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I230" t="str">
        <v>Tindak Lanjut LBKB (Laporan Bulanan Kelainan Baca Meter)</v>
      </c>
      <c r="AK230" s="440">
        <f t="shared" si="849"/>
        <v>100</v>
      </c>
      <c r="AL230" s="440">
        <f t="shared" si="850"/>
        <v>100</v>
      </c>
      <c r="AM230" s="440">
        <f t="shared" si="851"/>
        <v>100</v>
      </c>
      <c r="AN230" s="440">
        <f t="shared" si="852"/>
        <v>100</v>
      </c>
      <c r="AO230" s="440">
        <f t="shared" si="853"/>
        <v>100</v>
      </c>
      <c r="AP230" s="440">
        <f t="shared" si="854"/>
        <v>100</v>
      </c>
      <c r="AQ230" s="440">
        <f t="shared" si="855"/>
        <v>100</v>
      </c>
      <c r="AR230" s="440">
        <f t="shared" si="856"/>
        <v>100</v>
      </c>
      <c r="AS230" s="440">
        <f t="shared" si="857"/>
        <v>100</v>
      </c>
      <c r="AT230" s="440">
        <f t="shared" si="858"/>
        <v>100</v>
      </c>
      <c r="AU230" s="440">
        <f t="shared" si="859"/>
        <v>100</v>
      </c>
      <c r="AV230" s="440">
        <f t="shared" si="860"/>
        <v>100</v>
      </c>
      <c r="AX230" t="str">
        <v>Tindak Lanjut LBKB (Laporan Bulanan Kelainan Baca Meter)</v>
      </c>
      <c r="AY230" s="105" t="s">
        <v>452</v>
      </c>
      <c r="AZ230">
        <v>4</v>
      </c>
      <c r="BA230" s="440">
        <f t="shared" si="729"/>
        <v>4</v>
      </c>
      <c r="BB230" s="440">
        <f t="shared" si="730"/>
        <v>4</v>
      </c>
      <c r="BC230" s="440">
        <f t="shared" si="731"/>
        <v>4</v>
      </c>
      <c r="BD230" s="440">
        <f t="shared" si="732"/>
        <v>4</v>
      </c>
      <c r="BE230" s="440">
        <f t="shared" si="733"/>
        <v>4</v>
      </c>
      <c r="BF230" s="440">
        <f t="shared" si="734"/>
        <v>4</v>
      </c>
      <c r="BG230" s="440">
        <f t="shared" si="735"/>
        <v>4</v>
      </c>
      <c r="BH230" s="440">
        <f t="shared" si="736"/>
        <v>4</v>
      </c>
      <c r="BI230" s="440">
        <f t="shared" si="737"/>
        <v>4</v>
      </c>
      <c r="BJ230" s="440">
        <f t="shared" si="738"/>
        <v>4</v>
      </c>
      <c r="BK230" s="440">
        <f t="shared" si="739"/>
        <v>4</v>
      </c>
      <c r="BL230" s="440">
        <f t="shared" si="740"/>
        <v>4</v>
      </c>
    </row>
    <row r="231" spans="1:64">
      <c r="A231" t="str">
        <v>Sisa Stand Bongkar Migrasi</v>
      </c>
      <c r="B231" t="e">
        <v>#VALUE!</v>
      </c>
      <c r="C231" t="str">
        <v>Sisa Stand Bongkar Migrasi</v>
      </c>
      <c r="D231" s="105" t="s">
        <v>456</v>
      </c>
      <c r="E231" t="str">
        <v>Sisa Stand Bongkar Migrasi</v>
      </c>
      <c r="G231" s="440">
        <v>100</v>
      </c>
      <c r="H231" s="440">
        <v>100</v>
      </c>
      <c r="I231" s="440">
        <v>100</v>
      </c>
      <c r="J231" s="440">
        <v>100</v>
      </c>
      <c r="K231" s="440">
        <v>100</v>
      </c>
      <c r="L231" s="440">
        <v>100</v>
      </c>
      <c r="M231" s="440">
        <v>100</v>
      </c>
      <c r="N231" s="440">
        <v>100</v>
      </c>
      <c r="O231" s="440">
        <v>100</v>
      </c>
      <c r="P231" s="440">
        <v>100</v>
      </c>
      <c r="Q231" s="440">
        <v>100</v>
      </c>
      <c r="R231" s="440">
        <v>100</v>
      </c>
      <c r="T231" t="str">
        <v>Sisa Stand Bongkar Migrasi</v>
      </c>
      <c r="V231">
        <v>100</v>
      </c>
      <c r="W231">
        <v>100</v>
      </c>
      <c r="X231">
        <v>100</v>
      </c>
      <c r="Y231">
        <v>100</v>
      </c>
      <c r="Z231">
        <v>100</v>
      </c>
      <c r="AA231">
        <v>100</v>
      </c>
      <c r="AB231">
        <v>100</v>
      </c>
      <c r="AC231">
        <v>100</v>
      </c>
      <c r="AD231">
        <v>100</v>
      </c>
      <c r="AE231">
        <v>100</v>
      </c>
      <c r="AF231">
        <v>100</v>
      </c>
      <c r="AG231">
        <v>100</v>
      </c>
      <c r="AI231" t="str">
        <v>Sisa Stand Bongkar Migrasi</v>
      </c>
      <c r="AK231" s="440">
        <f t="shared" si="849"/>
        <v>100</v>
      </c>
      <c r="AL231" s="440">
        <f t="shared" si="850"/>
        <v>100</v>
      </c>
      <c r="AM231" s="440">
        <f t="shared" si="851"/>
        <v>100</v>
      </c>
      <c r="AN231" s="440">
        <f t="shared" si="852"/>
        <v>100</v>
      </c>
      <c r="AO231" s="440">
        <f t="shared" si="853"/>
        <v>100</v>
      </c>
      <c r="AP231" s="440">
        <f t="shared" si="854"/>
        <v>100</v>
      </c>
      <c r="AQ231" s="440">
        <f t="shared" si="855"/>
        <v>100</v>
      </c>
      <c r="AR231" s="440">
        <f t="shared" si="856"/>
        <v>100</v>
      </c>
      <c r="AS231" s="440">
        <f t="shared" si="857"/>
        <v>100</v>
      </c>
      <c r="AT231" s="440">
        <f t="shared" si="858"/>
        <v>100</v>
      </c>
      <c r="AU231" s="440">
        <f t="shared" si="859"/>
        <v>100</v>
      </c>
      <c r="AV231" s="440">
        <f t="shared" si="860"/>
        <v>100</v>
      </c>
      <c r="AX231" t="str">
        <v>Sisa Stand Bongkar Migrasi</v>
      </c>
      <c r="AY231" s="105" t="s">
        <v>452</v>
      </c>
      <c r="AZ231">
        <v>3</v>
      </c>
      <c r="BA231" s="440">
        <f t="shared" si="729"/>
        <v>3</v>
      </c>
      <c r="BB231" s="440">
        <f t="shared" si="730"/>
        <v>3</v>
      </c>
      <c r="BC231" s="440">
        <f t="shared" si="731"/>
        <v>3</v>
      </c>
      <c r="BD231" s="440">
        <f t="shared" si="732"/>
        <v>3</v>
      </c>
      <c r="BE231" s="440">
        <f t="shared" si="733"/>
        <v>3</v>
      </c>
      <c r="BF231" s="440">
        <f t="shared" si="734"/>
        <v>3</v>
      </c>
      <c r="BG231" s="440">
        <f t="shared" si="735"/>
        <v>3</v>
      </c>
      <c r="BH231" s="440">
        <f t="shared" si="736"/>
        <v>3</v>
      </c>
      <c r="BI231" s="440">
        <f t="shared" si="737"/>
        <v>3</v>
      </c>
      <c r="BJ231" s="440">
        <f t="shared" si="738"/>
        <v>3</v>
      </c>
      <c r="BK231" s="440">
        <f t="shared" si="739"/>
        <v>3</v>
      </c>
      <c r="BL231" s="440">
        <f t="shared" si="740"/>
        <v>3</v>
      </c>
    </row>
    <row r="232" spans="1:64">
      <c r="A232" t="str">
        <v>a. Persentase Rata-Rata Saldo Tanggal 20 Non Kogol 1 dan Non Kogol 2</v>
      </c>
      <c r="B232">
        <v>2</v>
      </c>
      <c r="C232" t="str">
        <v>Persentase Rata-Rata Saldo Tanggal 20 Non Kogol 1 dan Non Kogol 2</v>
      </c>
      <c r="D232" s="105" t="s">
        <v>456</v>
      </c>
      <c r="E232" t="str">
        <v>Persentase Rata-Rata Saldo Tanggal 20 Non Kogol 1 dan Non Kogol 2</v>
      </c>
      <c r="G232" s="440">
        <v>289</v>
      </c>
      <c r="H232" s="440">
        <v>289</v>
      </c>
      <c r="I232" s="440">
        <v>289</v>
      </c>
      <c r="J232" s="440">
        <v>289</v>
      </c>
      <c r="K232" s="440">
        <v>289</v>
      </c>
      <c r="L232" s="440">
        <v>289</v>
      </c>
      <c r="M232" s="440">
        <v>289</v>
      </c>
      <c r="N232" s="440">
        <v>289</v>
      </c>
      <c r="O232" s="440">
        <v>289</v>
      </c>
      <c r="P232" s="440">
        <v>289</v>
      </c>
      <c r="Q232" s="440">
        <v>289</v>
      </c>
      <c r="R232" s="440">
        <v>289</v>
      </c>
      <c r="T232" t="str">
        <v>Persentase Rata-Rata Saldo Tanggal 20 Non Kogol 1 dan Non Kogol 2</v>
      </c>
      <c r="V232">
        <v>336.80340699999999</v>
      </c>
      <c r="W232">
        <v>358.99369799999999</v>
      </c>
      <c r="X232">
        <v>383.11416499999996</v>
      </c>
      <c r="Y232">
        <v>389.12921399999993</v>
      </c>
      <c r="Z232">
        <v>390.48137859999997</v>
      </c>
      <c r="AA232">
        <v>381.68486200000001</v>
      </c>
      <c r="AB232">
        <v>374.00701100000003</v>
      </c>
      <c r="AC232">
        <v>333.715638625</v>
      </c>
      <c r="AD232">
        <v>303.05131788888889</v>
      </c>
      <c r="AE232">
        <v>303.05131788888889</v>
      </c>
      <c r="AF232">
        <v>303.05131788888889</v>
      </c>
      <c r="AG232">
        <v>303.05131788888889</v>
      </c>
      <c r="AI232" t="str">
        <v>Persentase Rata-Rata Saldo Tanggal 20 Non Kogol 1 dan Non Kogol 2</v>
      </c>
      <c r="AK232" s="440">
        <f t="shared" ref="AK232:AK233" si="861">IFERROR(IF((2-(V232/G232))*100&gt;110,110,(2-(V232/G232))*100),100)</f>
        <v>83.459028719723193</v>
      </c>
      <c r="AL232" s="440">
        <f t="shared" ref="AL232:AL233" si="862">IFERROR(IF((2-(W232/H232))*100&gt;110,110,(2-(W232/H232))*100),100)</f>
        <v>75.780727335640137</v>
      </c>
      <c r="AM232" s="440">
        <f t="shared" ref="AM232:AM233" si="863">IFERROR(IF((2-(X232/I232))*100&gt;110,110,(2-(X232/I232))*100),100)</f>
        <v>67.434544982698981</v>
      </c>
      <c r="AN232" s="440">
        <f t="shared" ref="AN232:AN233" si="864">IFERROR(IF((2-(Y232/J232))*100&gt;110,110,(2-(Y232/J232))*100),100)</f>
        <v>65.353213148788953</v>
      </c>
      <c r="AO232" s="440">
        <f t="shared" ref="AO232:AO233" si="865">IFERROR(IF((2-(Z232/K232))*100&gt;110,110,(2-(Z232/K232))*100),100)</f>
        <v>64.885336124567488</v>
      </c>
      <c r="AP232" s="440">
        <f t="shared" ref="AP232:AP233" si="866">IFERROR(IF((2-(AA232/L232))*100&gt;110,110,(2-(AA232/L232))*100),100)</f>
        <v>67.929113494809684</v>
      </c>
      <c r="AQ232" s="440">
        <f t="shared" ref="AQ232:AQ233" si="867">IFERROR(IF((2-(AB232/M232))*100&gt;110,110,(2-(AB232/M232))*100),100)</f>
        <v>70.585809342560538</v>
      </c>
      <c r="AR232" s="440">
        <f t="shared" ref="AR232:AR233" si="868">IFERROR(IF((2-(AC232/N232))*100&gt;110,110,(2-(AC232/N232))*100),100)</f>
        <v>84.527460683391013</v>
      </c>
      <c r="AS232" s="440">
        <f t="shared" ref="AS232:AS233" si="869">IFERROR(IF((2-(AD232/O232))*100&gt;110,110,(2-(AD232/O232))*100),100)</f>
        <v>95.137952287581712</v>
      </c>
      <c r="AT232" s="440">
        <f t="shared" ref="AT232:AT233" si="870">IFERROR(IF((2-(AE232/P232))*100&gt;110,110,(2-(AE232/P232))*100),100)</f>
        <v>95.137952287581712</v>
      </c>
      <c r="AU232" s="440">
        <f t="shared" ref="AU232:AU233" si="871">IFERROR(IF((2-(AF232/Q232))*100&gt;110,110,(2-(AF232/Q232))*100),100)</f>
        <v>95.137952287581712</v>
      </c>
      <c r="AV232" s="440">
        <f t="shared" ref="AV232:AV233" si="872">IFERROR(IF((2-(AG232/R232))*100&gt;110,110,(2-(AG232/R232))*100),100)</f>
        <v>95.137952287581712</v>
      </c>
      <c r="AX232" t="str">
        <v>Persentase Rata-Rata Saldo Tanggal 20 Non Kogol 1 dan Non Kogol 2</v>
      </c>
      <c r="AY232" s="105" t="s">
        <v>452</v>
      </c>
      <c r="AZ232">
        <v>3</v>
      </c>
      <c r="BA232" s="440">
        <f t="shared" si="729"/>
        <v>2.5</v>
      </c>
      <c r="BB232" s="440">
        <f t="shared" si="730"/>
        <v>2.27</v>
      </c>
      <c r="BC232" s="440">
        <f t="shared" si="731"/>
        <v>2.02</v>
      </c>
      <c r="BD232" s="440">
        <f t="shared" si="732"/>
        <v>1.96</v>
      </c>
      <c r="BE232" s="440">
        <f t="shared" si="733"/>
        <v>1.94</v>
      </c>
      <c r="BF232" s="440">
        <f t="shared" si="734"/>
        <v>2.0299999999999998</v>
      </c>
      <c r="BG232" s="440">
        <f t="shared" si="735"/>
        <v>2.11</v>
      </c>
      <c r="BH232" s="440">
        <f t="shared" si="736"/>
        <v>2.5299999999999998</v>
      </c>
      <c r="BI232" s="440">
        <f t="shared" si="737"/>
        <v>2.85</v>
      </c>
      <c r="BJ232" s="440">
        <f t="shared" si="738"/>
        <v>2.85</v>
      </c>
      <c r="BK232" s="440">
        <f t="shared" si="739"/>
        <v>2.85</v>
      </c>
      <c r="BL232" s="440">
        <f t="shared" si="740"/>
        <v>2.85</v>
      </c>
    </row>
    <row r="233" spans="1:64">
      <c r="A233" t="str">
        <v>b. Pencapaian Saldo Rata-Rata Akhir Bulan Non Kogol 1 dan Non Kogol 2</v>
      </c>
      <c r="B233">
        <v>2</v>
      </c>
      <c r="C233" t="str">
        <v>Pencapaian Saldo Rata-Rata Akhir Bulan Non Kogol 1 dan Non Kogol 2</v>
      </c>
      <c r="D233" s="105" t="s">
        <v>456</v>
      </c>
      <c r="E233" t="str">
        <v>Pencapaian Saldo Rata-Rata Akhir Bulan Non Kogol 1 dan Non Kogol 2</v>
      </c>
      <c r="G233" s="440">
        <v>161.27000000000001</v>
      </c>
      <c r="H233" s="440">
        <v>161.27000000000001</v>
      </c>
      <c r="I233" s="440">
        <v>161.27000000000001</v>
      </c>
      <c r="J233" s="440">
        <v>161.27000000000001</v>
      </c>
      <c r="K233" s="440">
        <v>161.27000000000001</v>
      </c>
      <c r="L233" s="440">
        <v>161.27000000000001</v>
      </c>
      <c r="M233" s="440">
        <v>161.27000000000001</v>
      </c>
      <c r="N233" s="440">
        <v>161.27000000000001</v>
      </c>
      <c r="O233" s="440">
        <v>161.27000000000001</v>
      </c>
      <c r="P233" s="440">
        <v>161.27000000000001</v>
      </c>
      <c r="Q233" s="440">
        <v>161.27000000000001</v>
      </c>
      <c r="R233" s="440">
        <v>161.27000000000001</v>
      </c>
      <c r="T233" t="str">
        <v>Pencapaian Saldo Rata-Rata Akhir Bulan Non Kogol 1 dan Non Kogol 2</v>
      </c>
      <c r="V233">
        <v>271.73677099999998</v>
      </c>
      <c r="W233">
        <v>306.05932250000001</v>
      </c>
      <c r="X233">
        <v>294.37288166666667</v>
      </c>
      <c r="Y233">
        <v>305.78675425</v>
      </c>
      <c r="Z233">
        <v>298.83761319999996</v>
      </c>
      <c r="AA233">
        <v>282.74577833333336</v>
      </c>
      <c r="AB233">
        <v>242.35352428571429</v>
      </c>
      <c r="AC233">
        <v>212.05933375000001</v>
      </c>
      <c r="AD233">
        <v>188.49718555555557</v>
      </c>
      <c r="AE233">
        <v>169.64746700000001</v>
      </c>
      <c r="AF233">
        <v>154.22497000000001</v>
      </c>
      <c r="AG233">
        <v>141.37288916666668</v>
      </c>
      <c r="AI233" t="str">
        <v>Pencapaian Saldo Rata-Rata Akhir Bulan Non Kogol 1 dan Non Kogol 2</v>
      </c>
      <c r="AK233" s="440">
        <f t="shared" si="861"/>
        <v>31.501971228374792</v>
      </c>
      <c r="AL233" s="440">
        <f t="shared" si="862"/>
        <v>10.219307682768042</v>
      </c>
      <c r="AM233" s="440">
        <f t="shared" si="863"/>
        <v>17.465814059238149</v>
      </c>
      <c r="AN233" s="440">
        <f t="shared" si="864"/>
        <v>10.388321293482994</v>
      </c>
      <c r="AO233" s="440">
        <f t="shared" si="865"/>
        <v>14.697331679791681</v>
      </c>
      <c r="AP233" s="440">
        <f t="shared" si="866"/>
        <v>24.675526549678594</v>
      </c>
      <c r="AQ233" s="440">
        <f t="shared" si="867"/>
        <v>49.72187989972452</v>
      </c>
      <c r="AR233" s="440">
        <f t="shared" si="868"/>
        <v>68.506644912258949</v>
      </c>
      <c r="AS233" s="440">
        <f t="shared" si="869"/>
        <v>83.11701769978572</v>
      </c>
      <c r="AT233" s="440">
        <f t="shared" si="870"/>
        <v>94.805315929807165</v>
      </c>
      <c r="AU233" s="440">
        <f t="shared" si="871"/>
        <v>104.3684690270974</v>
      </c>
      <c r="AV233" s="440">
        <f t="shared" si="872"/>
        <v>110</v>
      </c>
      <c r="AX233" t="str">
        <v>Pencapaian Saldo Rata-Rata Akhir Bulan Non Kogol 1 dan Non Kogol 2</v>
      </c>
      <c r="AY233" s="105" t="s">
        <v>452</v>
      </c>
      <c r="AZ233">
        <v>3</v>
      </c>
      <c r="BA233" s="440">
        <f t="shared" si="729"/>
        <v>0.94</v>
      </c>
      <c r="BB233" s="440">
        <f t="shared" si="730"/>
        <v>0.3</v>
      </c>
      <c r="BC233" s="440">
        <f t="shared" si="731"/>
        <v>0.52</v>
      </c>
      <c r="BD233" s="440">
        <f t="shared" si="732"/>
        <v>0.31</v>
      </c>
      <c r="BE233" s="440">
        <f t="shared" si="733"/>
        <v>0.44</v>
      </c>
      <c r="BF233" s="440">
        <f t="shared" si="734"/>
        <v>0.74</v>
      </c>
      <c r="BG233" s="440">
        <f t="shared" si="735"/>
        <v>1.49</v>
      </c>
      <c r="BH233" s="440">
        <f t="shared" si="736"/>
        <v>2.0499999999999998</v>
      </c>
      <c r="BI233" s="440">
        <f t="shared" si="737"/>
        <v>2.4900000000000002</v>
      </c>
      <c r="BJ233" s="440">
        <f t="shared" si="738"/>
        <v>2.84</v>
      </c>
      <c r="BK233" s="440">
        <f t="shared" si="739"/>
        <v>3.13</v>
      </c>
      <c r="BL233" s="440">
        <f t="shared" si="740"/>
        <v>3.3</v>
      </c>
    </row>
    <row r="234" spans="1:64">
      <c r="A234" t="str">
        <v>c. Pencapaian Pelunasan PRR</v>
      </c>
      <c r="B234">
        <v>2</v>
      </c>
      <c r="C234" t="str">
        <v>Pencapaian Pelunasan PRR</v>
      </c>
      <c r="D234" s="105" t="s">
        <v>456</v>
      </c>
      <c r="E234" t="str">
        <v>Pencapaian Pelunasan PRR</v>
      </c>
      <c r="G234" s="440">
        <v>0</v>
      </c>
      <c r="H234" s="440">
        <v>0</v>
      </c>
      <c r="I234" s="440">
        <v>0</v>
      </c>
      <c r="J234" s="440">
        <v>0</v>
      </c>
      <c r="K234" s="440">
        <v>0</v>
      </c>
      <c r="L234" s="440">
        <v>0</v>
      </c>
      <c r="M234" s="440">
        <v>0</v>
      </c>
      <c r="N234" s="440">
        <v>0</v>
      </c>
      <c r="O234" s="440">
        <v>0</v>
      </c>
      <c r="P234" s="440">
        <v>0</v>
      </c>
      <c r="Q234" s="440">
        <v>0</v>
      </c>
      <c r="R234" s="440">
        <v>0</v>
      </c>
      <c r="T234" t="str">
        <v>Pencapaian Pelunasan PRR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I234" t="str">
        <v>Pencapaian Pelunasan PRR</v>
      </c>
      <c r="AK234" s="440">
        <f t="shared" ref="AK234" si="873">IFERROR(IF(V234/G234*100&gt;110,110,V234/G234*100),100)</f>
        <v>100</v>
      </c>
      <c r="AL234" s="440">
        <f t="shared" ref="AL234" si="874">IFERROR(IF(W234/H234*100&gt;110,110,W234/H234*100),100)</f>
        <v>100</v>
      </c>
      <c r="AM234" s="440">
        <f t="shared" ref="AM234" si="875">IFERROR(IF(X234/I234*100&gt;110,110,X234/I234*100),100)</f>
        <v>100</v>
      </c>
      <c r="AN234" s="440">
        <f t="shared" ref="AN234" si="876">IFERROR(IF(Y234/J234*100&gt;110,110,Y234/J234*100),100)</f>
        <v>100</v>
      </c>
      <c r="AO234" s="440">
        <f t="shared" ref="AO234" si="877">IFERROR(IF(Z234/K234*100&gt;110,110,Z234/K234*100),100)</f>
        <v>100</v>
      </c>
      <c r="AP234" s="440">
        <f t="shared" ref="AP234" si="878">IFERROR(IF(AA234/L234*100&gt;110,110,AA234/L234*100),100)</f>
        <v>100</v>
      </c>
      <c r="AQ234" s="440">
        <f t="shared" ref="AQ234" si="879">IFERROR(IF(AB234/M234*100&gt;110,110,AB234/M234*100),100)</f>
        <v>100</v>
      </c>
      <c r="AR234" s="440">
        <f t="shared" ref="AR234" si="880">IFERROR(IF(AC234/N234*100&gt;110,110,AC234/N234*100),100)</f>
        <v>100</v>
      </c>
      <c r="AS234" s="440">
        <f t="shared" ref="AS234" si="881">IFERROR(IF(AD234/O234*100&gt;110,110,AD234/O234*100),100)</f>
        <v>100</v>
      </c>
      <c r="AT234" s="440">
        <f t="shared" ref="AT234" si="882">IFERROR(IF(AE234/P234*100&gt;110,110,AE234/P234*100),100)</f>
        <v>100</v>
      </c>
      <c r="AU234" s="440">
        <f t="shared" ref="AU234" si="883">IFERROR(IF(AF234/Q234*100&gt;110,110,AF234/Q234*100),100)</f>
        <v>100</v>
      </c>
      <c r="AV234" s="440">
        <f t="shared" ref="AV234" si="884">IFERROR(IF(AG234/R234*100&gt;110,110,AG234/R234*100),100)</f>
        <v>100</v>
      </c>
      <c r="AX234" t="str">
        <v>Pencapaian Pelunasan PRR</v>
      </c>
      <c r="AY234" s="105" t="s">
        <v>452</v>
      </c>
      <c r="AZ234">
        <v>3</v>
      </c>
      <c r="BA234" s="440">
        <f t="shared" si="729"/>
        <v>3</v>
      </c>
      <c r="BB234" s="440">
        <f t="shared" si="730"/>
        <v>3</v>
      </c>
      <c r="BC234" s="440">
        <f t="shared" si="731"/>
        <v>3</v>
      </c>
      <c r="BD234" s="440">
        <f t="shared" si="732"/>
        <v>3</v>
      </c>
      <c r="BE234" s="440">
        <f t="shared" si="733"/>
        <v>3</v>
      </c>
      <c r="BF234" s="440">
        <f t="shared" si="734"/>
        <v>3</v>
      </c>
      <c r="BG234" s="440">
        <f t="shared" si="735"/>
        <v>3</v>
      </c>
      <c r="BH234" s="440">
        <f t="shared" si="736"/>
        <v>3</v>
      </c>
      <c r="BI234" s="440">
        <f t="shared" si="737"/>
        <v>3</v>
      </c>
      <c r="BJ234" s="440">
        <f t="shared" si="738"/>
        <v>3</v>
      </c>
      <c r="BK234" s="440">
        <f t="shared" si="739"/>
        <v>3</v>
      </c>
      <c r="BL234" s="440">
        <f t="shared" si="740"/>
        <v>3</v>
      </c>
    </row>
    <row r="245" spans="1:64">
      <c r="A245" s="826" t="s">
        <v>5</v>
      </c>
      <c r="B245" s="826"/>
      <c r="C245" s="826"/>
      <c r="D245" s="826"/>
    </row>
    <row r="246" spans="1:64">
      <c r="A246" s="826"/>
      <c r="B246" s="826"/>
      <c r="C246" s="826"/>
      <c r="D246" s="826"/>
      <c r="AZ246" t="s">
        <v>100</v>
      </c>
      <c r="BA246" s="440">
        <v>100</v>
      </c>
      <c r="BB246" s="440">
        <v>100</v>
      </c>
      <c r="BC246" s="440">
        <v>100</v>
      </c>
      <c r="BD246" s="440">
        <v>100</v>
      </c>
      <c r="BE246" s="440">
        <v>100</v>
      </c>
      <c r="BF246" s="440">
        <v>100</v>
      </c>
      <c r="BG246" s="440">
        <v>100</v>
      </c>
      <c r="BH246" s="440">
        <v>100</v>
      </c>
      <c r="BI246" s="440">
        <v>100</v>
      </c>
      <c r="BJ246" s="440">
        <v>100</v>
      </c>
      <c r="BK246" s="440">
        <v>100</v>
      </c>
      <c r="BL246" s="440">
        <v>100</v>
      </c>
    </row>
    <row r="247" spans="1:64">
      <c r="A247" s="826"/>
      <c r="B247" s="826"/>
      <c r="C247" s="826"/>
      <c r="D247" s="826"/>
      <c r="AZ247" t="s">
        <v>254</v>
      </c>
      <c r="BA247" s="447">
        <f>SUM(BA250:BA279)</f>
        <v>88.97</v>
      </c>
      <c r="BB247" s="447">
        <f t="shared" ref="BB247:BI247" si="885">SUM(BB250:BB279)</f>
        <v>91.439999999999984</v>
      </c>
      <c r="BC247" s="447">
        <f t="shared" si="885"/>
        <v>96.59999999999998</v>
      </c>
      <c r="BD247" s="447">
        <f t="shared" si="885"/>
        <v>95.49</v>
      </c>
      <c r="BE247" s="447">
        <f t="shared" si="885"/>
        <v>96.419999999999987</v>
      </c>
      <c r="BF247" s="447">
        <f t="shared" si="885"/>
        <v>98.09</v>
      </c>
      <c r="BG247" s="447">
        <f t="shared" si="885"/>
        <v>98.420000000000016</v>
      </c>
      <c r="BH247" s="447">
        <f t="shared" si="885"/>
        <v>98.890000000000015</v>
      </c>
      <c r="BI247" s="447">
        <f t="shared" si="885"/>
        <v>100.15</v>
      </c>
      <c r="BJ247" s="447"/>
      <c r="BK247" s="447"/>
      <c r="BL247" s="447"/>
    </row>
    <row r="248" spans="1:64">
      <c r="E248" s="21" t="s">
        <v>100</v>
      </c>
      <c r="G248">
        <v>1</v>
      </c>
      <c r="H248">
        <v>2</v>
      </c>
      <c r="I248">
        <v>3</v>
      </c>
      <c r="J248">
        <v>4</v>
      </c>
      <c r="K248">
        <v>5</v>
      </c>
      <c r="L248">
        <v>6</v>
      </c>
      <c r="M248">
        <v>7</v>
      </c>
      <c r="N248">
        <v>8</v>
      </c>
      <c r="O248">
        <v>9</v>
      </c>
      <c r="P248">
        <v>10</v>
      </c>
      <c r="Q248">
        <v>11</v>
      </c>
      <c r="R248">
        <v>12</v>
      </c>
      <c r="T248" s="21" t="s">
        <v>254</v>
      </c>
      <c r="V248">
        <v>1</v>
      </c>
      <c r="W248">
        <v>2</v>
      </c>
      <c r="X248">
        <v>3</v>
      </c>
      <c r="Y248">
        <v>4</v>
      </c>
      <c r="Z248">
        <v>5</v>
      </c>
      <c r="AA248">
        <v>6</v>
      </c>
      <c r="AB248">
        <v>7</v>
      </c>
      <c r="AC248">
        <v>8</v>
      </c>
      <c r="AD248">
        <v>9</v>
      </c>
      <c r="AE248">
        <v>10</v>
      </c>
      <c r="AF248">
        <v>11</v>
      </c>
      <c r="AG248">
        <v>12</v>
      </c>
      <c r="AI248" s="21" t="s">
        <v>102</v>
      </c>
      <c r="AK248">
        <v>1</v>
      </c>
      <c r="AL248">
        <v>2</v>
      </c>
      <c r="AM248">
        <v>3</v>
      </c>
      <c r="AN248">
        <v>4</v>
      </c>
      <c r="AO248">
        <v>5</v>
      </c>
      <c r="AP248">
        <v>6</v>
      </c>
      <c r="AQ248">
        <v>7</v>
      </c>
      <c r="AR248">
        <v>8</v>
      </c>
      <c r="AS248">
        <v>9</v>
      </c>
      <c r="AT248">
        <v>10</v>
      </c>
      <c r="AU248">
        <v>11</v>
      </c>
      <c r="AV248">
        <v>12</v>
      </c>
      <c r="AX248" s="21" t="s">
        <v>99</v>
      </c>
      <c r="BA248">
        <v>1</v>
      </c>
      <c r="BB248">
        <v>2</v>
      </c>
      <c r="BC248">
        <v>3</v>
      </c>
      <c r="BD248">
        <v>4</v>
      </c>
      <c r="BE248">
        <v>5</v>
      </c>
      <c r="BF248">
        <v>6</v>
      </c>
      <c r="BG248">
        <v>7</v>
      </c>
      <c r="BH248">
        <v>8</v>
      </c>
      <c r="BI248">
        <v>9</v>
      </c>
      <c r="BJ248">
        <v>10</v>
      </c>
      <c r="BK248">
        <v>11</v>
      </c>
      <c r="BL248">
        <v>12</v>
      </c>
    </row>
    <row r="249" spans="1:64">
      <c r="A249" t="s">
        <v>448</v>
      </c>
      <c r="B249" t="s">
        <v>449</v>
      </c>
      <c r="C249" t="s">
        <v>450</v>
      </c>
      <c r="E249" s="21" t="s">
        <v>451</v>
      </c>
      <c r="G249" s="438">
        <f>DATE(2025,G248+1,0)</f>
        <v>45688</v>
      </c>
      <c r="H249" s="438">
        <f t="shared" ref="H249:R249" si="886">DATE(2025,H248+1,0)</f>
        <v>45716</v>
      </c>
      <c r="I249" s="438">
        <f t="shared" si="886"/>
        <v>45747</v>
      </c>
      <c r="J249" s="438">
        <f t="shared" si="886"/>
        <v>45777</v>
      </c>
      <c r="K249" s="438">
        <f t="shared" si="886"/>
        <v>45808</v>
      </c>
      <c r="L249" s="438">
        <f t="shared" si="886"/>
        <v>45838</v>
      </c>
      <c r="M249" s="438">
        <f t="shared" si="886"/>
        <v>45869</v>
      </c>
      <c r="N249" s="438">
        <f t="shared" si="886"/>
        <v>45900</v>
      </c>
      <c r="O249" s="438">
        <f t="shared" si="886"/>
        <v>45930</v>
      </c>
      <c r="P249" s="438">
        <f t="shared" si="886"/>
        <v>45961</v>
      </c>
      <c r="Q249" s="438">
        <f t="shared" si="886"/>
        <v>45991</v>
      </c>
      <c r="R249" s="438">
        <f t="shared" si="886"/>
        <v>46022</v>
      </c>
      <c r="T249" s="21" t="s">
        <v>451</v>
      </c>
      <c r="V249" s="438">
        <f>DATE(2025,V248+1,0)</f>
        <v>45688</v>
      </c>
      <c r="W249" s="438">
        <f t="shared" ref="W249:AG249" si="887">DATE(2025,W248+1,0)</f>
        <v>45716</v>
      </c>
      <c r="X249" s="438">
        <f t="shared" si="887"/>
        <v>45747</v>
      </c>
      <c r="Y249" s="438">
        <f t="shared" si="887"/>
        <v>45777</v>
      </c>
      <c r="Z249" s="438">
        <f t="shared" si="887"/>
        <v>45808</v>
      </c>
      <c r="AA249" s="438">
        <f t="shared" si="887"/>
        <v>45838</v>
      </c>
      <c r="AB249" s="438">
        <f t="shared" si="887"/>
        <v>45869</v>
      </c>
      <c r="AC249" s="438">
        <f t="shared" si="887"/>
        <v>45900</v>
      </c>
      <c r="AD249" s="438">
        <f t="shared" si="887"/>
        <v>45930</v>
      </c>
      <c r="AE249" s="438">
        <f t="shared" si="887"/>
        <v>45961</v>
      </c>
      <c r="AF249" s="438">
        <f t="shared" si="887"/>
        <v>45991</v>
      </c>
      <c r="AG249" s="438">
        <f t="shared" si="887"/>
        <v>46022</v>
      </c>
      <c r="AI249" s="21" t="s">
        <v>451</v>
      </c>
      <c r="AK249" s="438">
        <f>DATE(2025,AK248+1,0)</f>
        <v>45688</v>
      </c>
      <c r="AL249" s="438">
        <f t="shared" ref="AL249:AV249" si="888">DATE(2025,AL248+1,0)</f>
        <v>45716</v>
      </c>
      <c r="AM249" s="438">
        <f t="shared" si="888"/>
        <v>45747</v>
      </c>
      <c r="AN249" s="438">
        <f t="shared" si="888"/>
        <v>45777</v>
      </c>
      <c r="AO249" s="438">
        <f t="shared" si="888"/>
        <v>45808</v>
      </c>
      <c r="AP249" s="438">
        <f t="shared" si="888"/>
        <v>45838</v>
      </c>
      <c r="AQ249" s="438">
        <f t="shared" si="888"/>
        <v>45869</v>
      </c>
      <c r="AR249" s="438">
        <f t="shared" si="888"/>
        <v>45900</v>
      </c>
      <c r="AS249" s="438">
        <f t="shared" si="888"/>
        <v>45930</v>
      </c>
      <c r="AT249" s="438">
        <f t="shared" si="888"/>
        <v>45961</v>
      </c>
      <c r="AU249" s="438">
        <f t="shared" si="888"/>
        <v>45991</v>
      </c>
      <c r="AV249" s="438">
        <f t="shared" si="888"/>
        <v>46022</v>
      </c>
      <c r="AX249" s="21" t="s">
        <v>451</v>
      </c>
      <c r="BA249" s="438">
        <f>DATE(2025,BA248+1,0)</f>
        <v>45688</v>
      </c>
      <c r="BB249" s="438">
        <f t="shared" ref="BB249:BL249" si="889">DATE(2025,BB248+1,0)</f>
        <v>45716</v>
      </c>
      <c r="BC249" s="438">
        <f t="shared" si="889"/>
        <v>45747</v>
      </c>
      <c r="BD249" s="438">
        <f t="shared" si="889"/>
        <v>45777</v>
      </c>
      <c r="BE249" s="438">
        <f t="shared" si="889"/>
        <v>45808</v>
      </c>
      <c r="BF249" s="438">
        <f t="shared" si="889"/>
        <v>45838</v>
      </c>
      <c r="BG249" s="438">
        <f t="shared" si="889"/>
        <v>45869</v>
      </c>
      <c r="BH249" s="438">
        <f t="shared" si="889"/>
        <v>45900</v>
      </c>
      <c r="BI249" s="438">
        <f t="shared" si="889"/>
        <v>45930</v>
      </c>
      <c r="BJ249" s="438">
        <f t="shared" si="889"/>
        <v>45961</v>
      </c>
      <c r="BK249" s="438">
        <f t="shared" si="889"/>
        <v>45991</v>
      </c>
      <c r="BL249" s="438">
        <f t="shared" si="889"/>
        <v>46022</v>
      </c>
    </row>
    <row r="250" spans="1:64">
      <c r="A250" t="str" cm="1">
        <f t="array" ref="A250:A279">_xlfn._xlws.FILTER(ULP!$AK$9:$AK$58,ULP!$AL$9:$AL$58&gt;0)</f>
        <v>Penjualan Tenaga Listrik</v>
      </c>
      <c r="B250" t="e" cm="1">
        <f t="array" ref="B250:B279">SEARCH(".",_xlfn.ANCHORARRAY(A250))</f>
        <v>#VALUE!</v>
      </c>
      <c r="C250" t="str" cm="1">
        <f t="array" ref="C250:C279">IF(ISERROR(_xlfn.ANCHORARRAY(B250))=TRUE,_xlfn.ANCHORARRAY(A250),RIGHT(_xlfn.ANCHORARRAY(A250),LEN(_xlfn.ANCHORARRAY(A250))-_xlfn.ANCHORARRAY(B250)-1))</f>
        <v>Penjualan Tenaga Listrik</v>
      </c>
      <c r="D250" s="105" t="s">
        <v>456</v>
      </c>
      <c r="E250" t="str" cm="1">
        <f t="array" ref="E250:E279">_xlfn.ANCHORARRAY($C$250)</f>
        <v>Penjualan Tenaga Listrik</v>
      </c>
      <c r="G250" s="440" cm="1">
        <f t="array" ref="G250:G279">INDEX(T.MOUTONG!I$7:I$55,MATCH(_xlfn.ANCHORARRAY($A$250),T.MOUTONG!$B$7:$B$55,0))</f>
        <v>2.82</v>
      </c>
      <c r="H250" s="440" cm="1">
        <f t="array" ref="H250:H279">INDEX(T.MOUTONG!J$7:J$55,MATCH(_xlfn.ANCHORARRAY($A$250),T.MOUTONG!$B$7:$B$55,0))</f>
        <v>5.5</v>
      </c>
      <c r="I250" s="440" cm="1">
        <f t="array" ref="I250:I279">INDEX(T.MOUTONG!K$7:K$55,MATCH(_xlfn.ANCHORARRAY($A$250),T.MOUTONG!$B$7:$B$55,0))</f>
        <v>8.49</v>
      </c>
      <c r="J250" s="440" cm="1">
        <f t="array" ref="J250:J279">INDEX(T.MOUTONG!L$7:L$55,MATCH(_xlfn.ANCHORARRAY($A$250),T.MOUTONG!$B$7:$B$55,0))</f>
        <v>11.37</v>
      </c>
      <c r="K250" s="440" cm="1">
        <f t="array" ref="K250:K279">INDEX(T.MOUTONG!M$7:M$55,MATCH(_xlfn.ANCHORARRAY($A$250),T.MOUTONG!$B$7:$B$55,0))</f>
        <v>14.33</v>
      </c>
      <c r="L250" s="440" cm="1">
        <f t="array" ref="L250:L279">INDEX(T.MOUTONG!N$7:N$55,MATCH(_xlfn.ANCHORARRAY($A$250),T.MOUTONG!$B$7:$B$55,0))</f>
        <v>17.11</v>
      </c>
      <c r="M250" s="440" cm="1">
        <f t="array" ref="M250:M279">INDEX(T.MOUTONG!O$7:O$55,MATCH(_xlfn.ANCHORARRAY($A$250),T.MOUTONG!$B$7:$B$55,0))</f>
        <v>19.940000000000001</v>
      </c>
      <c r="N250" s="440" cm="1">
        <f t="array" ref="N250:N279">INDEX(T.MOUTONG!P$7:P$55,MATCH(_xlfn.ANCHORARRAY($A$250),T.MOUTONG!$B$7:$B$55,0))</f>
        <v>22.83</v>
      </c>
      <c r="O250" s="440" cm="1">
        <f t="array" ref="O250:O279">INDEX(T.MOUTONG!Q$7:Q$55,MATCH(_xlfn.ANCHORARRAY($A$250),T.MOUTONG!$B$7:$B$55,0))</f>
        <v>25.75</v>
      </c>
      <c r="P250" s="440" cm="1">
        <f t="array" ref="P250:P279">INDEX(T.MOUTONG!R$7:R$55,MATCH(_xlfn.ANCHORARRAY($A$250),T.MOUTONG!$B$7:$B$55,0))</f>
        <v>28.8</v>
      </c>
      <c r="Q250" s="440" cm="1">
        <f t="array" ref="Q250:Q279">INDEX(T.MOUTONG!S$7:S$55,MATCH(_xlfn.ANCHORARRAY($A$250),T.MOUTONG!$B$7:$B$55,0))</f>
        <v>31.8</v>
      </c>
      <c r="R250" s="440" cm="1">
        <f t="array" ref="R250:R279">INDEX(T.MOUTONG!T$7:T$55,MATCH(_xlfn.ANCHORARRAY($A$250),T.MOUTONG!$B$7:$B$55,0))</f>
        <v>34.83</v>
      </c>
      <c r="T250" t="str" cm="1">
        <f t="array" ref="T250:T279">_xlfn.ANCHORARRAY($C$250)</f>
        <v>Penjualan Tenaga Listrik</v>
      </c>
      <c r="V250" s="440" cm="1">
        <f t="array" ref="V250:V279">INDEX('R.MOUTONG'!I$7:I$55,MATCH(_xlfn.ANCHORARRAY($A$250),'R.MOUTONG'!$B$7:$B$55,0))</f>
        <v>3.2428241830000002</v>
      </c>
      <c r="W250" s="440" cm="1">
        <f t="array" ref="W250:W279">INDEX('R.MOUTONG'!J$7:J$55,MATCH(_xlfn.ANCHORARRAY($A$250),'R.MOUTONG'!$B$7:$B$55,0))</f>
        <v>5.7889627060000004</v>
      </c>
      <c r="X250" s="440" cm="1">
        <f t="array" ref="X250:X279">INDEX('R.MOUTONG'!K$7:K$55,MATCH(_xlfn.ANCHORARRAY($A$250),'R.MOUTONG'!$B$7:$B$55,0))</f>
        <v>8.5049774920000001</v>
      </c>
      <c r="Y250" s="440" cm="1">
        <f t="array" ref="Y250:Y279">INDEX('R.MOUTONG'!L$7:L$55,MATCH(_xlfn.ANCHORARRAY($A$250),'R.MOUTONG'!$B$7:$B$55,0))</f>
        <v>10.994418871000001</v>
      </c>
      <c r="Z250" s="440" cm="1">
        <f t="array" ref="Z250:Z279">INDEX('R.MOUTONG'!M$7:M$55,MATCH(_xlfn.ANCHORARRAY($A$250),'R.MOUTONG'!$B$7:$B$55,0))</f>
        <v>13.792614825000001</v>
      </c>
      <c r="AA250" s="440" cm="1">
        <f t="array" ref="AA250:AA279">INDEX('R.MOUTONG'!N$7:N$55,MATCH(_xlfn.ANCHORARRAY($A$250),'R.MOUTONG'!$B$7:$B$55,0))</f>
        <v>16.607850453000001</v>
      </c>
      <c r="AB250" s="440" cm="1">
        <f t="array" ref="AB250:AB279">INDEX('R.MOUTONG'!O$7:O$55,MATCH(_xlfn.ANCHORARRAY($A$250),'R.MOUTONG'!$B$7:$B$55,0))</f>
        <v>19.324304726000001</v>
      </c>
      <c r="AC250" s="440" cm="1">
        <f t="array" ref="AC250:AC279">INDEX('R.MOUTONG'!P$7:P$55,MATCH(_xlfn.ANCHORARRAY($A$250),'R.MOUTONG'!$B$7:$B$55,0))</f>
        <v>21.942900960000003</v>
      </c>
      <c r="AD250" s="440" cm="1">
        <f t="array" ref="AD250:AD279">INDEX('R.MOUTONG'!Q$7:Q$55,MATCH(_xlfn.ANCHORARRAY($A$250),'R.MOUTONG'!$B$7:$B$55,0))</f>
        <v>24.667147634000003</v>
      </c>
      <c r="AE250" s="440" cm="1">
        <f t="array" ref="AE250:AE279">INDEX('R.MOUTONG'!R$7:R$55,MATCH(_xlfn.ANCHORARRAY($A$250),'R.MOUTONG'!$B$7:$B$55,0))</f>
        <v>27.439910184000002</v>
      </c>
      <c r="AF250" s="440" cm="1">
        <f t="array" ref="AF250:AF279">INDEX('R.MOUTONG'!S$7:S$55,MATCH(_xlfn.ANCHORARRAY($A$250),'R.MOUTONG'!$B$7:$B$55,0))</f>
        <v>0</v>
      </c>
      <c r="AG250" s="440" cm="1">
        <f t="array" ref="AG250:AG279">INDEX('R.MOUTONG'!T$7:T$55,MATCH(_xlfn.ANCHORARRAY($A$250),'R.MOUTONG'!$B$7:$B$55,0))</f>
        <v>0</v>
      </c>
      <c r="AI250" t="str" cm="1">
        <f t="array" ref="AI250:AI279">_xlfn.ANCHORARRAY($C$250)</f>
        <v>Penjualan Tenaga Listrik</v>
      </c>
      <c r="AK250" s="440">
        <f>IF(V250/G250*100&gt;110,110,V250/G250*100)</f>
        <v>110</v>
      </c>
      <c r="AL250" s="440">
        <f t="shared" ref="AL250" si="890">IF(W250/H250*100&gt;110,110,W250/H250*100)</f>
        <v>105.2538673818182</v>
      </c>
      <c r="AM250" s="440">
        <f t="shared" ref="AM250" si="891">IF(X250/I250*100&gt;110,110,X250/I250*100)</f>
        <v>100.17641333333333</v>
      </c>
      <c r="AN250" s="440">
        <f t="shared" ref="AN250" si="892">IF(Y250/J250*100&gt;110,110,Y250/J250*100)</f>
        <v>96.696735892700104</v>
      </c>
      <c r="AO250" s="440">
        <f t="shared" ref="AO250" si="893">IF(Z250/K250*100&gt;110,110,Z250/K250*100)</f>
        <v>96.249928995115155</v>
      </c>
      <c r="AP250" s="440">
        <f t="shared" ref="AP250" si="894">IF(AA250/L250*100&gt;110,110,AA250/L250*100)</f>
        <v>97.065169216832274</v>
      </c>
      <c r="AQ250" s="440">
        <f t="shared" ref="AQ250" si="895">IF(AB250/M250*100&gt;110,110,AB250/M250*100)</f>
        <v>96.912260411233703</v>
      </c>
      <c r="AR250" s="440">
        <f t="shared" ref="AR250" si="896">IF(AC250/N250*100&gt;110,110,AC250/N250*100)</f>
        <v>96.114327463863361</v>
      </c>
      <c r="AS250" s="440">
        <f t="shared" ref="AS250" si="897">IF(AD250/O250*100&gt;110,110,AD250/O250*100)</f>
        <v>95.794748093203893</v>
      </c>
      <c r="AT250" s="440">
        <f t="shared" ref="AT250" si="898">IF(AE250/P250*100&gt;110,110,AE250/P250*100)</f>
        <v>95.277465916666671</v>
      </c>
      <c r="AU250" s="440">
        <f t="shared" ref="AU250" si="899">IF(AF250/Q250*100&gt;110,110,AF250/Q250*100)</f>
        <v>0</v>
      </c>
      <c r="AV250" s="440">
        <f t="shared" ref="AV250" si="900">IF(AG250/R250*100&gt;110,110,AG250/R250*100)</f>
        <v>0</v>
      </c>
      <c r="AX250" t="str" cm="1">
        <f t="array" ref="AX250:AX279">_xlfn.ANCHORARRAY($C$250)</f>
        <v>Penjualan Tenaga Listrik</v>
      </c>
      <c r="AY250" s="105" t="s">
        <v>452</v>
      </c>
      <c r="AZ250">
        <v>14</v>
      </c>
      <c r="BA250" s="440">
        <f t="shared" ref="BA250:BA279" si="901">ROUNDDOWN(AK250/100*$AZ250,2)</f>
        <v>15.4</v>
      </c>
      <c r="BB250" s="440">
        <f t="shared" ref="BB250:BB279" si="902">ROUNDDOWN(AL250/100*$AZ250,2)</f>
        <v>14.73</v>
      </c>
      <c r="BC250" s="440">
        <f t="shared" ref="BC250:BC279" si="903">ROUNDDOWN(AM250/100*$AZ250,2)</f>
        <v>14.02</v>
      </c>
      <c r="BD250" s="440">
        <f t="shared" ref="BD250:BD279" si="904">ROUNDDOWN(AN250/100*$AZ250,2)</f>
        <v>13.53</v>
      </c>
      <c r="BE250" s="440">
        <f t="shared" ref="BE250:BE279" si="905">ROUNDDOWN(AO250/100*$AZ250,2)</f>
        <v>13.47</v>
      </c>
      <c r="BF250" s="440">
        <f t="shared" ref="BF250:BF279" si="906">ROUNDDOWN(AP250/100*$AZ250,2)</f>
        <v>13.58</v>
      </c>
      <c r="BG250" s="440">
        <f t="shared" ref="BG250:BG279" si="907">ROUNDDOWN(AQ250/100*$AZ250,2)</f>
        <v>13.56</v>
      </c>
      <c r="BH250" s="440">
        <f t="shared" ref="BH250:BH279" si="908">ROUNDDOWN(AR250/100*$AZ250,2)</f>
        <v>13.45</v>
      </c>
      <c r="BI250" s="440">
        <f t="shared" ref="BI250:BI279" si="909">ROUNDDOWN(AS250/100*$AZ250,2)</f>
        <v>13.41</v>
      </c>
      <c r="BJ250" s="440">
        <f t="shared" ref="BJ250:BJ279" si="910">ROUNDDOWN(AT250/100*$AZ250,2)</f>
        <v>13.33</v>
      </c>
      <c r="BK250" s="440">
        <f t="shared" ref="BK250:BK279" si="911">ROUNDDOWN(AU250/100*$AZ250,2)</f>
        <v>0</v>
      </c>
      <c r="BL250" s="440">
        <f t="shared" ref="BL250:BL279" si="912">ROUNDDOWN(AV250/100*$AZ250,2)</f>
        <v>0</v>
      </c>
    </row>
    <row r="251" spans="1:64">
      <c r="A251" t="str">
        <v>a. SAIDI (sesuai kewenangan)</v>
      </c>
      <c r="B251">
        <v>2</v>
      </c>
      <c r="C251" t="str">
        <v>SAIDI (sesuai kewenangan)</v>
      </c>
      <c r="D251" s="105" t="s">
        <v>456</v>
      </c>
      <c r="E251" t="str">
        <v>SAIDI (sesuai kewenangan)</v>
      </c>
      <c r="G251" s="440">
        <v>17.309999999999999</v>
      </c>
      <c r="H251" s="440">
        <v>34.619999999999997</v>
      </c>
      <c r="I251" s="440">
        <v>51.92</v>
      </c>
      <c r="J251" s="440">
        <v>69.23</v>
      </c>
      <c r="K251" s="440">
        <v>86.54</v>
      </c>
      <c r="L251" s="440">
        <v>103.85</v>
      </c>
      <c r="M251" s="440">
        <v>121.16</v>
      </c>
      <c r="N251" s="440">
        <v>138.47</v>
      </c>
      <c r="O251" s="440">
        <v>155.77000000000001</v>
      </c>
      <c r="P251" s="440">
        <v>173.08</v>
      </c>
      <c r="Q251" s="440">
        <v>190.39</v>
      </c>
      <c r="R251" s="440">
        <v>207.7</v>
      </c>
      <c r="T251" t="str">
        <v>SAIDI (sesuai kewenangan)</v>
      </c>
      <c r="V251" s="440">
        <v>0.92438209165273988</v>
      </c>
      <c r="W251" s="440">
        <v>1.3442828353631824</v>
      </c>
      <c r="X251" s="440">
        <v>2.4056408238226421</v>
      </c>
      <c r="Y251" s="440">
        <v>15.731639601885805</v>
      </c>
      <c r="Z251" s="440">
        <v>55.858462611120792</v>
      </c>
      <c r="AA251" s="440">
        <v>73.554834782608694</v>
      </c>
      <c r="AB251" s="440">
        <v>90.279628585065311</v>
      </c>
      <c r="AC251" s="440">
        <v>90.410040317336467</v>
      </c>
      <c r="AD251" s="440">
        <v>94.163549824758789</v>
      </c>
      <c r="AE251" s="440">
        <v>105.67082560896746</v>
      </c>
      <c r="AF251" s="440">
        <v>0</v>
      </c>
      <c r="AG251" s="440">
        <v>0</v>
      </c>
      <c r="AI251" t="str">
        <v>SAIDI (sesuai kewenangan)</v>
      </c>
      <c r="AK251" s="440">
        <f t="shared" ref="AK251:AK252" si="913">IF((2-(V251/G251))*100&gt;110,110,(2-(V251/G251))*100)</f>
        <v>110</v>
      </c>
      <c r="AL251" s="440">
        <f t="shared" ref="AL251:AL252" si="914">IF((2-(W251/H251))*100&gt;110,110,(2-(W251/H251))*100)</f>
        <v>110</v>
      </c>
      <c r="AM251" s="440">
        <f t="shared" ref="AM251:AM252" si="915">IF((2-(X251/I251))*100&gt;110,110,(2-(X251/I251))*100)</f>
        <v>110</v>
      </c>
      <c r="AN251" s="440">
        <f t="shared" ref="AN251:AN252" si="916">IF((2-(Y251/J251))*100&gt;110,110,(2-(Y251/J251))*100)</f>
        <v>110</v>
      </c>
      <c r="AO251" s="440">
        <f t="shared" ref="AO251:AO252" si="917">IF((2-(Z251/K251))*100&gt;110,110,(2-(Z251/K251))*100)</f>
        <v>110</v>
      </c>
      <c r="AP251" s="440">
        <f t="shared" ref="AP251:AP252" si="918">IF((2-(AA251/L251))*100&gt;110,110,(2-(AA251/L251))*100)</f>
        <v>110</v>
      </c>
      <c r="AQ251" s="440">
        <f t="shared" ref="AQ251:AQ252" si="919">IF((2-(AB251/M251))*100&gt;110,110,(2-(AB251/M251))*100)</f>
        <v>110</v>
      </c>
      <c r="AR251" s="440">
        <f t="shared" ref="AR251:AR252" si="920">IF((2-(AC251/N251))*100&gt;110,110,(2-(AC251/N251))*100)</f>
        <v>110</v>
      </c>
      <c r="AS251" s="440">
        <f t="shared" ref="AS251:AS252" si="921">IF((2-(AD251/O251))*100&gt;110,110,(2-(AD251/O251))*100)</f>
        <v>110</v>
      </c>
      <c r="AT251" s="440">
        <f t="shared" ref="AT251:AT252" si="922">IF((2-(AE251/P251))*100&gt;110,110,(2-(AE251/P251))*100)</f>
        <v>110</v>
      </c>
      <c r="AU251" s="440">
        <f t="shared" ref="AU251:AU252" si="923">IF((2-(AF251/Q251))*100&gt;110,110,(2-(AF251/Q251))*100)</f>
        <v>110</v>
      </c>
      <c r="AV251" s="440">
        <f t="shared" ref="AV251:AV252" si="924">IF((2-(AG251/R251))*100&gt;110,110,(2-(AG251/R251))*100)</f>
        <v>110</v>
      </c>
      <c r="AX251" t="str">
        <v>SAIDI (sesuai kewenangan)</v>
      </c>
      <c r="AY251" s="105" t="s">
        <v>452</v>
      </c>
      <c r="AZ251">
        <v>6</v>
      </c>
      <c r="BA251" s="440">
        <f t="shared" si="901"/>
        <v>6.6</v>
      </c>
      <c r="BB251" s="440">
        <f t="shared" si="902"/>
        <v>6.6</v>
      </c>
      <c r="BC251" s="440">
        <f t="shared" si="903"/>
        <v>6.6</v>
      </c>
      <c r="BD251" s="440">
        <f t="shared" si="904"/>
        <v>6.6</v>
      </c>
      <c r="BE251" s="440">
        <f t="shared" si="905"/>
        <v>6.6</v>
      </c>
      <c r="BF251" s="440">
        <f t="shared" si="906"/>
        <v>6.6</v>
      </c>
      <c r="BG251" s="440">
        <f t="shared" si="907"/>
        <v>6.6</v>
      </c>
      <c r="BH251" s="440">
        <f t="shared" si="908"/>
        <v>6.6</v>
      </c>
      <c r="BI251" s="440">
        <f t="shared" si="909"/>
        <v>6.6</v>
      </c>
      <c r="BJ251" s="440">
        <f t="shared" si="910"/>
        <v>6.6</v>
      </c>
      <c r="BK251" s="440">
        <f t="shared" si="911"/>
        <v>6.6</v>
      </c>
      <c r="BL251" s="440">
        <f t="shared" si="912"/>
        <v>6.6</v>
      </c>
    </row>
    <row r="252" spans="1:64">
      <c r="A252" t="str">
        <v>b. SAIFI (sesuai kewenangan)</v>
      </c>
      <c r="B252">
        <v>2</v>
      </c>
      <c r="C252" t="str">
        <v>SAIFI (sesuai kewenangan)</v>
      </c>
      <c r="D252" s="105" t="s">
        <v>456</v>
      </c>
      <c r="E252" t="str">
        <v>SAIFI (sesuai kewenangan)</v>
      </c>
      <c r="G252" s="440">
        <v>0.17</v>
      </c>
      <c r="H252" s="440">
        <v>0.34</v>
      </c>
      <c r="I252" s="440">
        <v>0.51</v>
      </c>
      <c r="J252" s="440">
        <v>0.68</v>
      </c>
      <c r="K252" s="440">
        <v>0.85</v>
      </c>
      <c r="L252" s="440">
        <v>1.02</v>
      </c>
      <c r="M252" s="440">
        <v>1.19</v>
      </c>
      <c r="N252" s="440">
        <v>1.37</v>
      </c>
      <c r="O252" s="440">
        <v>1.54</v>
      </c>
      <c r="P252" s="440">
        <v>1.71</v>
      </c>
      <c r="Q252" s="440">
        <v>1.88</v>
      </c>
      <c r="R252" s="440">
        <v>2.0499999999999998</v>
      </c>
      <c r="T252" t="str">
        <v>SAIFI (sesuai kewenangan)</v>
      </c>
      <c r="V252" s="440">
        <v>1.8647198522297476E-2</v>
      </c>
      <c r="W252" s="440">
        <v>5.9712608428984494E-2</v>
      </c>
      <c r="X252" s="440">
        <v>0.16476452840089204</v>
      </c>
      <c r="Y252" s="440">
        <v>0.3115505500261917</v>
      </c>
      <c r="Z252" s="440">
        <v>0.59399511940038352</v>
      </c>
      <c r="AA252" s="440">
        <v>0.7974347826086956</v>
      </c>
      <c r="AB252" s="440">
        <v>1.0018223629973533</v>
      </c>
      <c r="AC252" s="440">
        <v>1.0083669311137122</v>
      </c>
      <c r="AD252" s="440">
        <v>1.0747263207996192</v>
      </c>
      <c r="AE252" s="440">
        <v>1.3467988790687648</v>
      </c>
      <c r="AF252" s="440">
        <v>0</v>
      </c>
      <c r="AG252" s="440">
        <v>0</v>
      </c>
      <c r="AI252" t="str">
        <v>SAIFI (sesuai kewenangan)</v>
      </c>
      <c r="AK252" s="440">
        <f t="shared" si="913"/>
        <v>110</v>
      </c>
      <c r="AL252" s="440">
        <f t="shared" si="914"/>
        <v>110</v>
      </c>
      <c r="AM252" s="440">
        <f t="shared" si="915"/>
        <v>110</v>
      </c>
      <c r="AN252" s="440">
        <f t="shared" si="916"/>
        <v>110</v>
      </c>
      <c r="AO252" s="440">
        <f t="shared" si="917"/>
        <v>110</v>
      </c>
      <c r="AP252" s="440">
        <f t="shared" si="918"/>
        <v>110</v>
      </c>
      <c r="AQ252" s="440">
        <f t="shared" si="919"/>
        <v>110</v>
      </c>
      <c r="AR252" s="440">
        <f t="shared" si="920"/>
        <v>110</v>
      </c>
      <c r="AS252" s="440">
        <f t="shared" si="921"/>
        <v>110</v>
      </c>
      <c r="AT252" s="440">
        <f t="shared" si="922"/>
        <v>110</v>
      </c>
      <c r="AU252" s="440">
        <f t="shared" si="923"/>
        <v>110</v>
      </c>
      <c r="AV252" s="440">
        <f t="shared" si="924"/>
        <v>110</v>
      </c>
      <c r="AX252" t="str">
        <v>SAIFI (sesuai kewenangan)</v>
      </c>
      <c r="AY252" s="105" t="s">
        <v>452</v>
      </c>
      <c r="AZ252">
        <v>6</v>
      </c>
      <c r="BA252" s="440">
        <f t="shared" si="901"/>
        <v>6.6</v>
      </c>
      <c r="BB252" s="440">
        <f t="shared" si="902"/>
        <v>6.6</v>
      </c>
      <c r="BC252" s="440">
        <f t="shared" si="903"/>
        <v>6.6</v>
      </c>
      <c r="BD252" s="440">
        <f t="shared" si="904"/>
        <v>6.6</v>
      </c>
      <c r="BE252" s="440">
        <f t="shared" si="905"/>
        <v>6.6</v>
      </c>
      <c r="BF252" s="440">
        <f t="shared" si="906"/>
        <v>6.6</v>
      </c>
      <c r="BG252" s="440">
        <f t="shared" si="907"/>
        <v>6.6</v>
      </c>
      <c r="BH252" s="440">
        <f t="shared" si="908"/>
        <v>6.6</v>
      </c>
      <c r="BI252" s="440">
        <f t="shared" si="909"/>
        <v>6.6</v>
      </c>
      <c r="BJ252" s="440">
        <f t="shared" si="910"/>
        <v>6.6</v>
      </c>
      <c r="BK252" s="440">
        <f t="shared" si="911"/>
        <v>6.6</v>
      </c>
      <c r="BL252" s="440">
        <f t="shared" si="912"/>
        <v>6.6</v>
      </c>
    </row>
    <row r="253" spans="1:64">
      <c r="A253" t="str">
        <v>c. ENS (sesuai kewenangan)</v>
      </c>
      <c r="B253">
        <v>2</v>
      </c>
      <c r="C253" t="str">
        <v>ENS (sesuai kewenangan)</v>
      </c>
      <c r="D253" s="105" t="s">
        <v>456</v>
      </c>
      <c r="E253" t="str">
        <v>ENS (sesuai kewenangan)</v>
      </c>
      <c r="G253" s="440">
        <v>0.86</v>
      </c>
      <c r="H253" s="440">
        <v>1.72</v>
      </c>
      <c r="I253" s="440">
        <v>2.58</v>
      </c>
      <c r="J253" s="440">
        <v>3.45</v>
      </c>
      <c r="K253" s="440">
        <v>4.3099999999999996</v>
      </c>
      <c r="L253" s="440">
        <v>5.17</v>
      </c>
      <c r="M253" s="440">
        <v>6.03</v>
      </c>
      <c r="N253" s="440">
        <v>6.89</v>
      </c>
      <c r="O253" s="440">
        <v>7.75</v>
      </c>
      <c r="P253" s="440">
        <v>8.61</v>
      </c>
      <c r="Q253" s="440">
        <v>9.4700000000000006</v>
      </c>
      <c r="R253" s="440">
        <v>10.34</v>
      </c>
      <c r="T253" t="str">
        <v>ENS (sesuai kewenangan)</v>
      </c>
      <c r="V253" s="440">
        <v>0.154</v>
      </c>
      <c r="W253" s="440">
        <v>0.17499999999999999</v>
      </c>
      <c r="X253" s="440">
        <v>0.24199999999999999</v>
      </c>
      <c r="Y253" s="440">
        <v>0.88700000000000001</v>
      </c>
      <c r="Z253" s="440">
        <v>3.0979999999999999</v>
      </c>
      <c r="AA253" s="440">
        <v>4.1280000000000001</v>
      </c>
      <c r="AB253" s="440">
        <v>4.9930000000000003</v>
      </c>
      <c r="AC253" s="440">
        <v>5.0020000000000007</v>
      </c>
      <c r="AD253" s="440">
        <v>5.2640000000000011</v>
      </c>
      <c r="AE253" s="440">
        <v>5.8870000000000013</v>
      </c>
      <c r="AF253" s="440">
        <v>0</v>
      </c>
      <c r="AG253" s="440">
        <v>0</v>
      </c>
      <c r="AI253" t="str">
        <v>ENS (sesuai kewenangan)</v>
      </c>
      <c r="AK253" s="440">
        <f t="shared" ref="AK253" si="925">IF(((G253-(V253-G253))/G253)*100&gt;110,110,((G253-(V253-G253))/G253)*100)</f>
        <v>110</v>
      </c>
      <c r="AL253" s="440">
        <f t="shared" ref="AL253" si="926">IF(((H253-(W253-H253))/H253)*100&gt;110,110,((H253-(W253-H253))/H253)*100)</f>
        <v>110</v>
      </c>
      <c r="AM253" s="440">
        <f t="shared" ref="AM253" si="927">IF(((I253-(X253-I253))/I253)*100&gt;110,110,((I253-(X253-I253))/I253)*100)</f>
        <v>110</v>
      </c>
      <c r="AN253" s="440">
        <f t="shared" ref="AN253" si="928">IF(((J253-(Y253-J253))/J253)*100&gt;110,110,((J253-(Y253-J253))/J253)*100)</f>
        <v>110</v>
      </c>
      <c r="AO253" s="440">
        <f t="shared" ref="AO253" si="929">IF(((K253-(Z253-K253))/K253)*100&gt;110,110,((K253-(Z253-K253))/K253)*100)</f>
        <v>110</v>
      </c>
      <c r="AP253" s="440">
        <f t="shared" ref="AP253" si="930">IF(((L253-(AA253-L253))/L253)*100&gt;110,110,((L253-(AA253-L253))/L253)*100)</f>
        <v>110</v>
      </c>
      <c r="AQ253" s="440">
        <f t="shared" ref="AQ253" si="931">IF(((M253-(AB253-M253))/M253)*100&gt;110,110,((M253-(AB253-M253))/M253)*100)</f>
        <v>110</v>
      </c>
      <c r="AR253" s="440">
        <f t="shared" ref="AR253" si="932">IF(((N253-(AC253-N253))/N253)*100&gt;110,110,((N253-(AC253-N253))/N253)*100)</f>
        <v>110</v>
      </c>
      <c r="AS253" s="440">
        <f t="shared" ref="AS253" si="933">IF(((O253-(AD253-O253))/O253)*100&gt;110,110,((O253-(AD253-O253))/O253)*100)</f>
        <v>110</v>
      </c>
      <c r="AT253" s="440">
        <f t="shared" ref="AT253" si="934">IF(((P253-(AE253-P253))/P253)*100&gt;110,110,((P253-(AE253-P253))/P253)*100)</f>
        <v>110</v>
      </c>
      <c r="AU253" s="440">
        <f t="shared" ref="AU253" si="935">IF(((Q253-(AF253-Q253))/Q253)*100&gt;110,110,((Q253-(AF253-Q253))/Q253)*100)</f>
        <v>110</v>
      </c>
      <c r="AV253" s="440">
        <f t="shared" ref="AV253" si="936">IF(((R253-(AG253-R253))/R253)*100&gt;110,110,((R253-(AG253-R253))/R253)*100)</f>
        <v>110</v>
      </c>
      <c r="AX253" t="str">
        <v>ENS (sesuai kewenangan)</v>
      </c>
      <c r="AY253" s="105" t="s">
        <v>452</v>
      </c>
      <c r="AZ253">
        <v>2</v>
      </c>
      <c r="BA253" s="440">
        <f t="shared" si="901"/>
        <v>2.2000000000000002</v>
      </c>
      <c r="BB253" s="440">
        <f t="shared" si="902"/>
        <v>2.2000000000000002</v>
      </c>
      <c r="BC253" s="440">
        <f t="shared" si="903"/>
        <v>2.2000000000000002</v>
      </c>
      <c r="BD253" s="440">
        <f t="shared" si="904"/>
        <v>2.2000000000000002</v>
      </c>
      <c r="BE253" s="440">
        <f t="shared" si="905"/>
        <v>2.2000000000000002</v>
      </c>
      <c r="BF253" s="440">
        <f t="shared" si="906"/>
        <v>2.2000000000000002</v>
      </c>
      <c r="BG253" s="440">
        <f t="shared" si="907"/>
        <v>2.2000000000000002</v>
      </c>
      <c r="BH253" s="440">
        <f t="shared" si="908"/>
        <v>2.2000000000000002</v>
      </c>
      <c r="BI253" s="440">
        <f t="shared" si="909"/>
        <v>2.2000000000000002</v>
      </c>
      <c r="BJ253" s="440">
        <f t="shared" si="910"/>
        <v>2.2000000000000002</v>
      </c>
      <c r="BK253" s="440">
        <f t="shared" si="911"/>
        <v>2.2000000000000002</v>
      </c>
      <c r="BL253" s="440">
        <f t="shared" si="912"/>
        <v>2.2000000000000002</v>
      </c>
    </row>
    <row r="254" spans="1:64">
      <c r="A254" t="str">
        <v>a. Susut Distribusi Tanpa E-min (sesuai kewenangan)</v>
      </c>
      <c r="B254">
        <v>2</v>
      </c>
      <c r="C254" t="str">
        <v>Susut Distribusi Tanpa E-min (sesuai kewenangan)</v>
      </c>
      <c r="D254" s="105" t="s">
        <v>456</v>
      </c>
      <c r="E254" t="str">
        <v>Susut Distribusi Tanpa E-min (sesuai kewenangan)</v>
      </c>
      <c r="G254" s="440">
        <v>10.62</v>
      </c>
      <c r="H254" s="440">
        <v>10.62</v>
      </c>
      <c r="I254" s="440">
        <v>10.62</v>
      </c>
      <c r="J254" s="440">
        <v>10.42</v>
      </c>
      <c r="K254" s="440">
        <v>10.23</v>
      </c>
      <c r="L254" s="440">
        <v>10.039999999999999</v>
      </c>
      <c r="M254" s="440">
        <v>9.9600000000000009</v>
      </c>
      <c r="N254" s="440">
        <v>9.89</v>
      </c>
      <c r="O254" s="440">
        <v>9.82</v>
      </c>
      <c r="P254" s="440">
        <v>9.75</v>
      </c>
      <c r="Q254" s="440">
        <v>9.67</v>
      </c>
      <c r="R254" s="440">
        <v>9.6</v>
      </c>
      <c r="T254" t="str">
        <v>Susut Distribusi Tanpa E-min (sesuai kewenangan)</v>
      </c>
      <c r="V254" s="440">
        <v>-12.631806947440765</v>
      </c>
      <c r="W254" s="440">
        <v>-4.8323047376231782</v>
      </c>
      <c r="X254" s="440">
        <v>2.4670830796497727</v>
      </c>
      <c r="Y254" s="440">
        <v>7.3814707844409595</v>
      </c>
      <c r="Z254" s="440">
        <v>9.2717188915289448</v>
      </c>
      <c r="AA254" s="440">
        <v>9.4679601842999137</v>
      </c>
      <c r="AB254" s="440">
        <v>9.4971667817519112</v>
      </c>
      <c r="AC254" s="440">
        <v>9.7770328229887475</v>
      </c>
      <c r="AD254" s="440">
        <v>9.9033668486832145</v>
      </c>
      <c r="AE254" s="440">
        <v>10.094916190258923</v>
      </c>
      <c r="AF254" s="440">
        <v>0</v>
      </c>
      <c r="AG254" s="440">
        <v>0</v>
      </c>
      <c r="AI254" t="str">
        <v>Susut Distribusi Tanpa E-min (sesuai kewenangan)</v>
      </c>
      <c r="AK254" s="440">
        <f t="shared" ref="AK254" si="937">IF((2-(V254/G254))*100&gt;110,110,(2-(V254/G254))*100)</f>
        <v>110</v>
      </c>
      <c r="AL254" s="440">
        <f t="shared" ref="AL254" si="938">IF((2-(W254/H254))*100&gt;110,110,(2-(W254/H254))*100)</f>
        <v>110</v>
      </c>
      <c r="AM254" s="440">
        <f t="shared" ref="AM254" si="939">IF((2-(X254/I254))*100&gt;110,110,(2-(X254/I254))*100)</f>
        <v>110</v>
      </c>
      <c r="AN254" s="440">
        <f t="shared" ref="AN254" si="940">IF((2-(Y254/J254))*100&gt;110,110,(2-(Y254/J254))*100)</f>
        <v>110</v>
      </c>
      <c r="AO254" s="440">
        <f t="shared" ref="AO254" si="941">IF((2-(Z254/K254))*100&gt;110,110,(2-(Z254/K254))*100)</f>
        <v>109.36736176413544</v>
      </c>
      <c r="AP254" s="440">
        <f t="shared" ref="AP254" si="942">IF((2-(AA254/L254))*100&gt;110,110,(2-(AA254/L254))*100)</f>
        <v>105.69760772609646</v>
      </c>
      <c r="AQ254" s="440">
        <f t="shared" ref="AQ254" si="943">IF((2-(AB254/M254))*100&gt;110,110,(2-(AB254/M254))*100)</f>
        <v>104.64691986192859</v>
      </c>
      <c r="AR254" s="440">
        <f t="shared" ref="AR254" si="944">IF((2-(AC254/N254))*100&gt;110,110,(2-(AC254/N254))*100)</f>
        <v>101.14223637018456</v>
      </c>
      <c r="AS254" s="440">
        <f t="shared" ref="AS254" si="945">IF((2-(AD254/O254))*100&gt;110,110,(2-(AD254/O254))*100)</f>
        <v>99.1510504207412</v>
      </c>
      <c r="AT254" s="440">
        <f t="shared" ref="AT254" si="946">IF((2-(AE254/P254))*100&gt;110,110,(2-(AE254/P254))*100)</f>
        <v>96.46239804862644</v>
      </c>
      <c r="AU254" s="440">
        <f t="shared" ref="AU254" si="947">IF((2-(AF254/Q254))*100&gt;110,110,(2-(AF254/Q254))*100)</f>
        <v>110</v>
      </c>
      <c r="AV254" s="440">
        <f t="shared" ref="AV254" si="948">IF((2-(AG254/R254))*100&gt;110,110,(2-(AG254/R254))*100)</f>
        <v>110</v>
      </c>
      <c r="AX254" t="str">
        <v>Susut Distribusi Tanpa E-min (sesuai kewenangan)</v>
      </c>
      <c r="AY254" s="105" t="s">
        <v>452</v>
      </c>
      <c r="AZ254">
        <v>4</v>
      </c>
      <c r="BA254" s="440">
        <f t="shared" si="901"/>
        <v>4.4000000000000004</v>
      </c>
      <c r="BB254" s="440">
        <f t="shared" si="902"/>
        <v>4.4000000000000004</v>
      </c>
      <c r="BC254" s="440">
        <f t="shared" si="903"/>
        <v>4.4000000000000004</v>
      </c>
      <c r="BD254" s="440">
        <f t="shared" si="904"/>
        <v>4.4000000000000004</v>
      </c>
      <c r="BE254" s="440">
        <f t="shared" si="905"/>
        <v>4.37</v>
      </c>
      <c r="BF254" s="440">
        <f t="shared" si="906"/>
        <v>4.22</v>
      </c>
      <c r="BG254" s="440">
        <f t="shared" si="907"/>
        <v>4.18</v>
      </c>
      <c r="BH254" s="440">
        <f t="shared" si="908"/>
        <v>4.04</v>
      </c>
      <c r="BI254" s="440">
        <f t="shared" si="909"/>
        <v>3.96</v>
      </c>
      <c r="BJ254" s="440">
        <f t="shared" si="910"/>
        <v>3.85</v>
      </c>
      <c r="BK254" s="440">
        <f t="shared" si="911"/>
        <v>4.4000000000000004</v>
      </c>
      <c r="BL254" s="440">
        <f t="shared" si="912"/>
        <v>4.4000000000000004</v>
      </c>
    </row>
    <row r="255" spans="1:64">
      <c r="A255" t="str">
        <v>b. Penyelesaian Temuan P2TL</v>
      </c>
      <c r="B255">
        <v>2</v>
      </c>
      <c r="C255" t="str">
        <v>Penyelesaian Temuan P2TL</v>
      </c>
      <c r="D255" s="105" t="s">
        <v>456</v>
      </c>
      <c r="E255" t="str">
        <v>Penyelesaian Temuan P2TL</v>
      </c>
      <c r="G255" s="440">
        <v>4.166666666666667</v>
      </c>
      <c r="H255" s="440">
        <v>8.3333333333333339</v>
      </c>
      <c r="I255" s="440">
        <v>12.5</v>
      </c>
      <c r="J255" s="440">
        <v>16.666666666666668</v>
      </c>
      <c r="K255" s="440">
        <v>20.833333333333336</v>
      </c>
      <c r="L255" s="440">
        <v>25.000000000000007</v>
      </c>
      <c r="M255" s="440">
        <v>37.5</v>
      </c>
      <c r="N255" s="440">
        <v>50</v>
      </c>
      <c r="O255" s="440">
        <v>62.5</v>
      </c>
      <c r="P255" s="440">
        <v>75</v>
      </c>
      <c r="Q255" s="440">
        <v>87.5</v>
      </c>
      <c r="R255" s="440">
        <v>100</v>
      </c>
      <c r="T255" t="str">
        <v>Penyelesaian Temuan P2TL</v>
      </c>
      <c r="V255" s="440">
        <v>0</v>
      </c>
      <c r="W255" s="440">
        <v>0</v>
      </c>
      <c r="X255" s="440">
        <v>1.2395</v>
      </c>
      <c r="Y255" s="440">
        <v>1.2395</v>
      </c>
      <c r="Z255" s="440">
        <v>9.9145000000000003</v>
      </c>
      <c r="AA255" s="440">
        <v>25.887499999999999</v>
      </c>
      <c r="AB255" s="440">
        <v>87.801500000000004</v>
      </c>
      <c r="AC255" s="440">
        <v>87.801500000000004</v>
      </c>
      <c r="AD255" s="440">
        <v>89.040999999999997</v>
      </c>
      <c r="AE255" s="440">
        <v>89.040999999999997</v>
      </c>
      <c r="AF255" s="440">
        <v>89.040999999999997</v>
      </c>
      <c r="AG255" s="440">
        <v>89.040999999999997</v>
      </c>
      <c r="AI255" t="str">
        <v>Penyelesaian Temuan P2TL</v>
      </c>
      <c r="AK255" s="440">
        <f t="shared" ref="AK255:AK256" si="949">IF(V255/G255*100&gt;110,110,V255/G255*100)</f>
        <v>0</v>
      </c>
      <c r="AL255" s="440">
        <f t="shared" ref="AL255:AL256" si="950">IF(W255/H255*100&gt;110,110,W255/H255*100)</f>
        <v>0</v>
      </c>
      <c r="AM255" s="440">
        <f t="shared" ref="AM255:AM256" si="951">IF(X255/I255*100&gt;110,110,X255/I255*100)</f>
        <v>9.9160000000000004</v>
      </c>
      <c r="AN255" s="440">
        <f t="shared" ref="AN255:AN256" si="952">IF(Y255/J255*100&gt;110,110,Y255/J255*100)</f>
        <v>7.4369999999999994</v>
      </c>
      <c r="AO255" s="440">
        <f t="shared" ref="AO255:AO256" si="953">IF(Z255/K255*100&gt;110,110,Z255/K255*100)</f>
        <v>47.589599999999997</v>
      </c>
      <c r="AP255" s="440">
        <f t="shared" ref="AP255:AP256" si="954">IF(AA255/L255*100&gt;110,110,AA255/L255*100)</f>
        <v>103.54999999999997</v>
      </c>
      <c r="AQ255" s="440">
        <f t="shared" ref="AQ255:AQ256" si="955">IF(AB255/M255*100&gt;110,110,AB255/M255*100)</f>
        <v>110</v>
      </c>
      <c r="AR255" s="440">
        <f t="shared" ref="AR255:AR256" si="956">IF(AC255/N255*100&gt;110,110,AC255/N255*100)</f>
        <v>110</v>
      </c>
      <c r="AS255" s="440">
        <f t="shared" ref="AS255:AS256" si="957">IF(AD255/O255*100&gt;110,110,AD255/O255*100)</f>
        <v>110</v>
      </c>
      <c r="AT255" s="440">
        <f t="shared" ref="AT255:AT256" si="958">IF(AE255/P255*100&gt;110,110,AE255/P255*100)</f>
        <v>110</v>
      </c>
      <c r="AU255" s="440">
        <f t="shared" ref="AU255:AU256" si="959">IF(AF255/Q255*100&gt;110,110,AF255/Q255*100)</f>
        <v>101.76114285714286</v>
      </c>
      <c r="AV255" s="440">
        <f t="shared" ref="AV255:AV256" si="960">IF(AG255/R255*100&gt;110,110,AG255/R255*100)</f>
        <v>89.040999999999997</v>
      </c>
      <c r="AX255" t="str">
        <v>Penyelesaian Temuan P2TL</v>
      </c>
      <c r="AY255" s="105" t="s">
        <v>452</v>
      </c>
      <c r="AZ255">
        <v>4</v>
      </c>
      <c r="BA255" s="440">
        <f t="shared" si="901"/>
        <v>0</v>
      </c>
      <c r="BB255" s="440">
        <f t="shared" si="902"/>
        <v>0</v>
      </c>
      <c r="BC255" s="440">
        <f t="shared" si="903"/>
        <v>0.39</v>
      </c>
      <c r="BD255" s="440">
        <f t="shared" si="904"/>
        <v>0.28999999999999998</v>
      </c>
      <c r="BE255" s="440">
        <f t="shared" si="905"/>
        <v>1.9</v>
      </c>
      <c r="BF255" s="440">
        <f t="shared" si="906"/>
        <v>4.1399999999999997</v>
      </c>
      <c r="BG255" s="440">
        <f t="shared" si="907"/>
        <v>4.4000000000000004</v>
      </c>
      <c r="BH255" s="440">
        <f t="shared" si="908"/>
        <v>4.4000000000000004</v>
      </c>
      <c r="BI255" s="440">
        <f t="shared" si="909"/>
        <v>4.4000000000000004</v>
      </c>
      <c r="BJ255" s="440">
        <f t="shared" si="910"/>
        <v>4.4000000000000004</v>
      </c>
      <c r="BK255" s="440">
        <f t="shared" si="911"/>
        <v>4.07</v>
      </c>
      <c r="BL255" s="440">
        <f t="shared" si="912"/>
        <v>3.56</v>
      </c>
    </row>
    <row r="256" spans="1:64">
      <c r="A256" t="str">
        <v>c. Penyelesaian Ganti Meter</v>
      </c>
      <c r="B256">
        <v>2</v>
      </c>
      <c r="C256" t="str">
        <v>Penyelesaian Ganti Meter</v>
      </c>
      <c r="D256" s="105" t="s">
        <v>456</v>
      </c>
      <c r="E256" t="str">
        <v>Penyelesaian Ganti Meter</v>
      </c>
      <c r="G256" s="440">
        <v>43</v>
      </c>
      <c r="H256" s="440">
        <v>85</v>
      </c>
      <c r="I256" s="440">
        <v>127</v>
      </c>
      <c r="J256" s="440">
        <v>170</v>
      </c>
      <c r="K256" s="440">
        <v>208</v>
      </c>
      <c r="L256" s="440">
        <v>244</v>
      </c>
      <c r="M256" s="440">
        <v>357</v>
      </c>
      <c r="N256" s="440">
        <v>470</v>
      </c>
      <c r="O256" s="440">
        <v>583</v>
      </c>
      <c r="P256" s="440">
        <v>698</v>
      </c>
      <c r="Q256" s="440">
        <v>698</v>
      </c>
      <c r="R256" s="440">
        <v>698</v>
      </c>
      <c r="T256" t="str">
        <v>Penyelesaian Ganti Meter</v>
      </c>
      <c r="V256" s="440">
        <v>0</v>
      </c>
      <c r="W256" s="440">
        <v>73</v>
      </c>
      <c r="X256" s="440">
        <v>243</v>
      </c>
      <c r="Y256" s="440">
        <v>292</v>
      </c>
      <c r="Z256" s="440">
        <v>345</v>
      </c>
      <c r="AA256" s="440">
        <v>369</v>
      </c>
      <c r="AB256" s="440">
        <v>420</v>
      </c>
      <c r="AC256" s="440">
        <v>510</v>
      </c>
      <c r="AD256" s="440">
        <v>641</v>
      </c>
      <c r="AE256" s="440">
        <v>690</v>
      </c>
      <c r="AF256" s="440">
        <v>690</v>
      </c>
      <c r="AG256" s="440">
        <v>690</v>
      </c>
      <c r="AI256" t="str">
        <v>Penyelesaian Ganti Meter</v>
      </c>
      <c r="AK256" s="440">
        <f t="shared" si="949"/>
        <v>0</v>
      </c>
      <c r="AL256" s="440">
        <f t="shared" si="950"/>
        <v>85.882352941176464</v>
      </c>
      <c r="AM256" s="440">
        <f t="shared" si="951"/>
        <v>110</v>
      </c>
      <c r="AN256" s="440">
        <f t="shared" si="952"/>
        <v>110</v>
      </c>
      <c r="AO256" s="440">
        <f t="shared" si="953"/>
        <v>110</v>
      </c>
      <c r="AP256" s="440">
        <f t="shared" si="954"/>
        <v>110</v>
      </c>
      <c r="AQ256" s="440">
        <f t="shared" si="955"/>
        <v>110</v>
      </c>
      <c r="AR256" s="440">
        <f t="shared" si="956"/>
        <v>108.51063829787233</v>
      </c>
      <c r="AS256" s="440">
        <f t="shared" si="957"/>
        <v>109.94854202401372</v>
      </c>
      <c r="AT256" s="440">
        <f t="shared" si="958"/>
        <v>98.853868194842406</v>
      </c>
      <c r="AU256" s="440">
        <f t="shared" si="959"/>
        <v>98.853868194842406</v>
      </c>
      <c r="AV256" s="440">
        <f t="shared" si="960"/>
        <v>98.853868194842406</v>
      </c>
      <c r="AX256" t="str">
        <v>Penyelesaian Ganti Meter</v>
      </c>
      <c r="AY256" s="105" t="s">
        <v>452</v>
      </c>
      <c r="AZ256">
        <v>4</v>
      </c>
      <c r="BA256" s="440">
        <f t="shared" si="901"/>
        <v>0</v>
      </c>
      <c r="BB256" s="440">
        <f t="shared" si="902"/>
        <v>3.43</v>
      </c>
      <c r="BC256" s="440">
        <f t="shared" si="903"/>
        <v>4.4000000000000004</v>
      </c>
      <c r="BD256" s="440">
        <f t="shared" si="904"/>
        <v>4.4000000000000004</v>
      </c>
      <c r="BE256" s="440">
        <f t="shared" si="905"/>
        <v>4.4000000000000004</v>
      </c>
      <c r="BF256" s="440">
        <f t="shared" si="906"/>
        <v>4.4000000000000004</v>
      </c>
      <c r="BG256" s="440">
        <f t="shared" si="907"/>
        <v>4.4000000000000004</v>
      </c>
      <c r="BH256" s="440">
        <f t="shared" si="908"/>
        <v>4.34</v>
      </c>
      <c r="BI256" s="440">
        <f t="shared" si="909"/>
        <v>4.3899999999999997</v>
      </c>
      <c r="BJ256" s="440">
        <f t="shared" si="910"/>
        <v>3.95</v>
      </c>
      <c r="BK256" s="440">
        <f t="shared" si="911"/>
        <v>3.95</v>
      </c>
      <c r="BL256" s="440">
        <f t="shared" si="912"/>
        <v>3.95</v>
      </c>
    </row>
    <row r="257" spans="1:64">
      <c r="A257" t="str">
        <v>a. Gangguan TM &gt; 5 Menit</v>
      </c>
      <c r="B257">
        <v>2</v>
      </c>
      <c r="C257" t="str">
        <v>Gangguan TM &gt; 5 Menit</v>
      </c>
      <c r="D257" s="105" t="s">
        <v>456</v>
      </c>
      <c r="E257" t="str">
        <v>Gangguan TM &gt; 5 Menit</v>
      </c>
      <c r="G257" s="440">
        <v>1</v>
      </c>
      <c r="H257" s="440">
        <v>2</v>
      </c>
      <c r="I257" s="440">
        <v>3</v>
      </c>
      <c r="J257" s="440">
        <v>4</v>
      </c>
      <c r="K257" s="440">
        <v>5</v>
      </c>
      <c r="L257" s="440">
        <v>6</v>
      </c>
      <c r="M257" s="440">
        <v>7</v>
      </c>
      <c r="N257" s="440">
        <v>9</v>
      </c>
      <c r="O257" s="440">
        <v>10</v>
      </c>
      <c r="P257" s="440">
        <v>11</v>
      </c>
      <c r="Q257" s="440">
        <v>12</v>
      </c>
      <c r="R257" s="440">
        <v>12</v>
      </c>
      <c r="T257" t="str">
        <v>Gangguan TM &gt; 5 Menit</v>
      </c>
      <c r="V257" s="440">
        <v>0</v>
      </c>
      <c r="W257" s="440">
        <v>1</v>
      </c>
      <c r="X257" s="440">
        <v>2</v>
      </c>
      <c r="Y257" s="440">
        <v>3</v>
      </c>
      <c r="Z257" s="440">
        <v>4</v>
      </c>
      <c r="AA257" s="440">
        <v>5</v>
      </c>
      <c r="AB257" s="440">
        <v>7</v>
      </c>
      <c r="AC257" s="440">
        <v>7</v>
      </c>
      <c r="AD257" s="440">
        <v>7</v>
      </c>
      <c r="AE257" s="440">
        <v>9</v>
      </c>
      <c r="AF257" s="440">
        <v>9</v>
      </c>
      <c r="AG257" s="440">
        <v>9</v>
      </c>
      <c r="AI257" t="str">
        <v>Gangguan TM &gt; 5 Menit</v>
      </c>
      <c r="AK257" s="440">
        <f t="shared" ref="AK257" si="961">IF(((G257-(V257-G257))/G257)*100&gt;110,110,((G257-(V257-G257))/G257)*100)</f>
        <v>110</v>
      </c>
      <c r="AL257" s="440">
        <f t="shared" ref="AL257" si="962">IF(((H257-(W257-H257))/H257)*100&gt;110,110,((H257-(W257-H257))/H257)*100)</f>
        <v>110</v>
      </c>
      <c r="AM257" s="440">
        <f t="shared" ref="AM257" si="963">IF(((I257-(X257-I257))/I257)*100&gt;110,110,((I257-(X257-I257))/I257)*100)</f>
        <v>110</v>
      </c>
      <c r="AN257" s="440">
        <f t="shared" ref="AN257" si="964">IF(((J257-(Y257-J257))/J257)*100&gt;110,110,((J257-(Y257-J257))/J257)*100)</f>
        <v>110</v>
      </c>
      <c r="AO257" s="440">
        <f t="shared" ref="AO257" si="965">IF(((K257-(Z257-K257))/K257)*100&gt;110,110,((K257-(Z257-K257))/K257)*100)</f>
        <v>110</v>
      </c>
      <c r="AP257" s="440">
        <f t="shared" ref="AP257" si="966">IF(((L257-(AA257-L257))/L257)*100&gt;110,110,((L257-(AA257-L257))/L257)*100)</f>
        <v>110</v>
      </c>
      <c r="AQ257" s="440">
        <f t="shared" ref="AQ257" si="967">IF(((M257-(AB257-M257))/M257)*100&gt;110,110,((M257-(AB257-M257))/M257)*100)</f>
        <v>100</v>
      </c>
      <c r="AR257" s="440">
        <f t="shared" ref="AR257" si="968">IF(((N257-(AC257-N257))/N257)*100&gt;110,110,((N257-(AC257-N257))/N257)*100)</f>
        <v>110</v>
      </c>
      <c r="AS257" s="440">
        <f t="shared" ref="AS257" si="969">IF(((O257-(AD257-O257))/O257)*100&gt;110,110,((O257-(AD257-O257))/O257)*100)</f>
        <v>110</v>
      </c>
      <c r="AT257" s="440">
        <f t="shared" ref="AT257" si="970">IF(((P257-(AE257-P257))/P257)*100&gt;110,110,((P257-(AE257-P257))/P257)*100)</f>
        <v>110</v>
      </c>
      <c r="AU257" s="440">
        <f t="shared" ref="AU257" si="971">IF(((Q257-(AF257-Q257))/Q257)*100&gt;110,110,((Q257-(AF257-Q257))/Q257)*100)</f>
        <v>110</v>
      </c>
      <c r="AV257" s="440">
        <f t="shared" ref="AV257" si="972">IF(((R257-(AG257-R257))/R257)*100&gt;110,110,((R257-(AG257-R257))/R257)*100)</f>
        <v>110</v>
      </c>
      <c r="AX257" t="str">
        <v>Gangguan TM &gt; 5 Menit</v>
      </c>
      <c r="AY257" s="105" t="s">
        <v>452</v>
      </c>
      <c r="AZ257">
        <v>3</v>
      </c>
      <c r="BA257" s="440">
        <f t="shared" si="901"/>
        <v>3.3</v>
      </c>
      <c r="BB257" s="440">
        <f t="shared" si="902"/>
        <v>3.3</v>
      </c>
      <c r="BC257" s="440">
        <f t="shared" si="903"/>
        <v>3.3</v>
      </c>
      <c r="BD257" s="440">
        <f t="shared" si="904"/>
        <v>3.3</v>
      </c>
      <c r="BE257" s="440">
        <f t="shared" si="905"/>
        <v>3.3</v>
      </c>
      <c r="BF257" s="440">
        <f t="shared" si="906"/>
        <v>3.3</v>
      </c>
      <c r="BG257" s="440">
        <f t="shared" si="907"/>
        <v>3</v>
      </c>
      <c r="BH257" s="440">
        <f t="shared" si="908"/>
        <v>3.3</v>
      </c>
      <c r="BI257" s="440">
        <f t="shared" si="909"/>
        <v>3.3</v>
      </c>
      <c r="BJ257" s="440">
        <f t="shared" si="910"/>
        <v>3.3</v>
      </c>
      <c r="BK257" s="440">
        <f t="shared" si="911"/>
        <v>3.3</v>
      </c>
      <c r="BL257" s="440">
        <f t="shared" si="912"/>
        <v>3.3</v>
      </c>
    </row>
    <row r="258" spans="1:64">
      <c r="A258" t="str">
        <v>b. Gangguan TM ≤ 5 Menit</v>
      </c>
      <c r="B258">
        <v>2</v>
      </c>
      <c r="C258" t="str">
        <v>Gangguan TM ≤ 5 Menit</v>
      </c>
      <c r="D258" s="105" t="s">
        <v>456</v>
      </c>
      <c r="E258" t="str">
        <v>Gangguan TM ≤ 5 Menit</v>
      </c>
      <c r="G258" s="440">
        <v>2</v>
      </c>
      <c r="H258" s="440">
        <v>3</v>
      </c>
      <c r="I258" s="440">
        <v>5</v>
      </c>
      <c r="J258" s="440">
        <v>7</v>
      </c>
      <c r="K258" s="440">
        <v>8</v>
      </c>
      <c r="L258" s="440">
        <v>10</v>
      </c>
      <c r="M258" s="440">
        <v>12</v>
      </c>
      <c r="N258" s="440">
        <v>14</v>
      </c>
      <c r="O258" s="440">
        <v>15</v>
      </c>
      <c r="P258" s="440">
        <v>17</v>
      </c>
      <c r="Q258" s="440">
        <v>19</v>
      </c>
      <c r="R258" s="440">
        <v>20</v>
      </c>
      <c r="T258" t="str">
        <v>Gangguan TM ≤ 5 Menit</v>
      </c>
      <c r="V258" s="440">
        <v>0</v>
      </c>
      <c r="W258" s="440">
        <v>0</v>
      </c>
      <c r="X258" s="440">
        <v>0</v>
      </c>
      <c r="Y258" s="440">
        <v>0</v>
      </c>
      <c r="Z258" s="440">
        <v>0</v>
      </c>
      <c r="AA258" s="440">
        <v>0</v>
      </c>
      <c r="AB258" s="440">
        <v>0</v>
      </c>
      <c r="AC258" s="440">
        <v>0</v>
      </c>
      <c r="AD258" s="440">
        <v>0</v>
      </c>
      <c r="AE258" s="440">
        <v>0</v>
      </c>
      <c r="AF258" s="440">
        <v>0</v>
      </c>
      <c r="AG258" s="440">
        <v>0</v>
      </c>
      <c r="AI258" t="str">
        <v>Gangguan TM ≤ 5 Menit</v>
      </c>
      <c r="AK258" s="440">
        <f t="shared" ref="AK258" si="973">IF((2-(V258/G258))*100&gt;110,110,(2-(V258/G258))*100)</f>
        <v>110</v>
      </c>
      <c r="AL258" s="440">
        <f t="shared" ref="AL258" si="974">IF((2-(W258/H258))*100&gt;110,110,(2-(W258/H258))*100)</f>
        <v>110</v>
      </c>
      <c r="AM258" s="440">
        <f t="shared" ref="AM258" si="975">IF((2-(X258/I258))*100&gt;110,110,(2-(X258/I258))*100)</f>
        <v>110</v>
      </c>
      <c r="AN258" s="440">
        <f t="shared" ref="AN258" si="976">IF((2-(Y258/J258))*100&gt;110,110,(2-(Y258/J258))*100)</f>
        <v>110</v>
      </c>
      <c r="AO258" s="440">
        <f t="shared" ref="AO258" si="977">IF((2-(Z258/K258))*100&gt;110,110,(2-(Z258/K258))*100)</f>
        <v>110</v>
      </c>
      <c r="AP258" s="440">
        <f t="shared" ref="AP258" si="978">IF((2-(AA258/L258))*100&gt;110,110,(2-(AA258/L258))*100)</f>
        <v>110</v>
      </c>
      <c r="AQ258" s="440">
        <f t="shared" ref="AQ258" si="979">IF((2-(AB258/M258))*100&gt;110,110,(2-(AB258/M258))*100)</f>
        <v>110</v>
      </c>
      <c r="AR258" s="440">
        <f t="shared" ref="AR258" si="980">IF((2-(AC258/N258))*100&gt;110,110,(2-(AC258/N258))*100)</f>
        <v>110</v>
      </c>
      <c r="AS258" s="440">
        <f t="shared" ref="AS258" si="981">IF((2-(AD258/O258))*100&gt;110,110,(2-(AD258/O258))*100)</f>
        <v>110</v>
      </c>
      <c r="AT258" s="440">
        <f t="shared" ref="AT258" si="982">IF((2-(AE258/P258))*100&gt;110,110,(2-(AE258/P258))*100)</f>
        <v>110</v>
      </c>
      <c r="AU258" s="440">
        <f t="shared" ref="AU258" si="983">IF((2-(AF258/Q258))*100&gt;110,110,(2-(AF258/Q258))*100)</f>
        <v>110</v>
      </c>
      <c r="AV258" s="440">
        <f t="shared" ref="AV258" si="984">IF((2-(AG258/R258))*100&gt;110,110,(2-(AG258/R258))*100)</f>
        <v>110</v>
      </c>
      <c r="AX258" t="str">
        <v>Gangguan TM ≤ 5 Menit</v>
      </c>
      <c r="AY258" s="105" t="s">
        <v>452</v>
      </c>
      <c r="AZ258">
        <v>3</v>
      </c>
      <c r="BA258" s="440">
        <f t="shared" si="901"/>
        <v>3.3</v>
      </c>
      <c r="BB258" s="440">
        <f t="shared" si="902"/>
        <v>3.3</v>
      </c>
      <c r="BC258" s="440">
        <f t="shared" si="903"/>
        <v>3.3</v>
      </c>
      <c r="BD258" s="440">
        <f t="shared" si="904"/>
        <v>3.3</v>
      </c>
      <c r="BE258" s="440">
        <f t="shared" si="905"/>
        <v>3.3</v>
      </c>
      <c r="BF258" s="440">
        <f t="shared" si="906"/>
        <v>3.3</v>
      </c>
      <c r="BG258" s="440">
        <f t="shared" si="907"/>
        <v>3.3</v>
      </c>
      <c r="BH258" s="440">
        <f t="shared" si="908"/>
        <v>3.3</v>
      </c>
      <c r="BI258" s="440">
        <f t="shared" si="909"/>
        <v>3.3</v>
      </c>
      <c r="BJ258" s="440">
        <f t="shared" si="910"/>
        <v>3.3</v>
      </c>
      <c r="BK258" s="440">
        <f t="shared" si="911"/>
        <v>3.3</v>
      </c>
      <c r="BL258" s="440">
        <f t="shared" si="912"/>
        <v>3.3</v>
      </c>
    </row>
    <row r="259" spans="1:64">
      <c r="A259" t="str">
        <v>c. Kerusakan Peralatan Distribusi (PHB TM dan Trafo) Sesuai Kewenangan</v>
      </c>
      <c r="B259">
        <v>2</v>
      </c>
      <c r="C259" t="str">
        <v>Kerusakan Peralatan Distribusi (PHB TM dan Trafo) Sesuai Kewenangan</v>
      </c>
      <c r="D259" s="105" t="s">
        <v>456</v>
      </c>
      <c r="E259" t="str">
        <v>Kerusakan Peralatan Distribusi (PHB TM dan Trafo) Sesuai Kewenangan</v>
      </c>
      <c r="G259" s="440">
        <v>0</v>
      </c>
      <c r="H259" s="440">
        <v>0</v>
      </c>
      <c r="I259" s="440">
        <v>1</v>
      </c>
      <c r="J259" s="440">
        <v>1</v>
      </c>
      <c r="K259" s="440">
        <v>1</v>
      </c>
      <c r="L259" s="440">
        <v>1</v>
      </c>
      <c r="M259" s="440">
        <v>1</v>
      </c>
      <c r="N259" s="440">
        <v>1</v>
      </c>
      <c r="O259" s="440">
        <v>1</v>
      </c>
      <c r="P259" s="440">
        <v>1</v>
      </c>
      <c r="Q259" s="440">
        <v>1</v>
      </c>
      <c r="R259" s="440">
        <v>1</v>
      </c>
      <c r="T259" t="str">
        <v>Kerusakan Peralatan Distribusi (PHB TM dan Trafo) Sesuai Kewenangan</v>
      </c>
      <c r="V259" s="440">
        <v>0</v>
      </c>
      <c r="W259" s="440">
        <v>0</v>
      </c>
      <c r="X259" s="440">
        <v>0</v>
      </c>
      <c r="Y259" s="440">
        <v>0</v>
      </c>
      <c r="Z259" s="440">
        <v>0</v>
      </c>
      <c r="AA259" s="440">
        <v>0</v>
      </c>
      <c r="AB259" s="440">
        <v>0</v>
      </c>
      <c r="AC259" s="440">
        <v>0</v>
      </c>
      <c r="AD259" s="440">
        <v>0</v>
      </c>
      <c r="AE259" s="440">
        <v>0</v>
      </c>
      <c r="AF259" s="440">
        <v>0</v>
      </c>
      <c r="AG259" s="440">
        <v>0</v>
      </c>
      <c r="AI259" t="str">
        <v>Kerusakan Peralatan Distribusi (PHB TM dan Trafo) Sesuai Kewenangan</v>
      </c>
      <c r="AK259" s="440">
        <f t="shared" ref="AK259:AK261" si="985">IFERROR(IF((2-(V259/G259))*100&gt;110,110,(2-(V259/G259))*100),100)</f>
        <v>100</v>
      </c>
      <c r="AL259" s="440">
        <f t="shared" ref="AL259:AL261" si="986">IFERROR(IF((2-(W259/H259))*100&gt;110,110,(2-(W259/H259))*100),100)</f>
        <v>100</v>
      </c>
      <c r="AM259" s="440">
        <f t="shared" ref="AM259:AM261" si="987">IFERROR(IF((2-(X259/I259))*100&gt;110,110,(2-(X259/I259))*100),100)</f>
        <v>110</v>
      </c>
      <c r="AN259" s="440">
        <f t="shared" ref="AN259:AN261" si="988">IFERROR(IF((2-(Y259/J259))*100&gt;110,110,(2-(Y259/J259))*100),100)</f>
        <v>110</v>
      </c>
      <c r="AO259" s="440">
        <f t="shared" ref="AO259:AO261" si="989">IFERROR(IF((2-(Z259/K259))*100&gt;110,110,(2-(Z259/K259))*100),100)</f>
        <v>110</v>
      </c>
      <c r="AP259" s="440">
        <f t="shared" ref="AP259:AP261" si="990">IFERROR(IF((2-(AA259/L259))*100&gt;110,110,(2-(AA259/L259))*100),100)</f>
        <v>110</v>
      </c>
      <c r="AQ259" s="440">
        <f t="shared" ref="AQ259:AQ261" si="991">IFERROR(IF((2-(AB259/M259))*100&gt;110,110,(2-(AB259/M259))*100),100)</f>
        <v>110</v>
      </c>
      <c r="AR259" s="440">
        <f t="shared" ref="AR259:AR261" si="992">IFERROR(IF((2-(AC259/N259))*100&gt;110,110,(2-(AC259/N259))*100),100)</f>
        <v>110</v>
      </c>
      <c r="AS259" s="440">
        <f t="shared" ref="AS259:AS261" si="993">IFERROR(IF((2-(AD259/O259))*100&gt;110,110,(2-(AD259/O259))*100),100)</f>
        <v>110</v>
      </c>
      <c r="AT259" s="440">
        <f t="shared" ref="AT259:AT261" si="994">IFERROR(IF((2-(AE259/P259))*100&gt;110,110,(2-(AE259/P259))*100),100)</f>
        <v>110</v>
      </c>
      <c r="AU259" s="440">
        <f t="shared" ref="AU259:AU261" si="995">IFERROR(IF((2-(AF259/Q259))*100&gt;110,110,(2-(AF259/Q259))*100),100)</f>
        <v>110</v>
      </c>
      <c r="AV259" s="440">
        <f t="shared" ref="AV259:AV261" si="996">IFERROR(IF((2-(AG259/R259))*100&gt;110,110,(2-(AG259/R259))*100),100)</f>
        <v>110</v>
      </c>
      <c r="AX259" t="str">
        <v>Kerusakan Peralatan Distribusi (PHB TM dan Trafo) Sesuai Kewenangan</v>
      </c>
      <c r="AY259" s="105" t="s">
        <v>452</v>
      </c>
      <c r="AZ259">
        <v>3</v>
      </c>
      <c r="BA259" s="440">
        <f t="shared" si="901"/>
        <v>3</v>
      </c>
      <c r="BB259" s="440">
        <f t="shared" si="902"/>
        <v>3</v>
      </c>
      <c r="BC259" s="440">
        <f t="shared" si="903"/>
        <v>3.3</v>
      </c>
      <c r="BD259" s="440">
        <f t="shared" si="904"/>
        <v>3.3</v>
      </c>
      <c r="BE259" s="440">
        <f t="shared" si="905"/>
        <v>3.3</v>
      </c>
      <c r="BF259" s="440">
        <f t="shared" si="906"/>
        <v>3.3</v>
      </c>
      <c r="BG259" s="440">
        <f t="shared" si="907"/>
        <v>3.3</v>
      </c>
      <c r="BH259" s="440">
        <f t="shared" si="908"/>
        <v>3.3</v>
      </c>
      <c r="BI259" s="440">
        <f t="shared" si="909"/>
        <v>3.3</v>
      </c>
      <c r="BJ259" s="440">
        <f t="shared" si="910"/>
        <v>3.3</v>
      </c>
      <c r="BK259" s="440">
        <f t="shared" si="911"/>
        <v>3.3</v>
      </c>
      <c r="BL259" s="440">
        <f t="shared" si="912"/>
        <v>3.3</v>
      </c>
    </row>
    <row r="260" spans="1:64">
      <c r="A260" t="str">
        <v>a. Feedback Rating Negatif pada PLN Mobile - Gangguan</v>
      </c>
      <c r="B260">
        <v>2</v>
      </c>
      <c r="C260" t="str">
        <v>Feedback Rating Negatif pada PLN Mobile - Gangguan</v>
      </c>
      <c r="D260" s="105" t="s">
        <v>456</v>
      </c>
      <c r="E260" t="str">
        <v>Feedback Rating Negatif pada PLN Mobile - Gangguan</v>
      </c>
      <c r="G260" s="440">
        <v>0.09</v>
      </c>
      <c r="H260" s="440">
        <v>0.09</v>
      </c>
      <c r="I260" s="440">
        <v>0.09</v>
      </c>
      <c r="J260" s="440">
        <v>0.09</v>
      </c>
      <c r="K260" s="440">
        <v>0.09</v>
      </c>
      <c r="L260" s="440">
        <v>0.09</v>
      </c>
      <c r="M260" s="440">
        <v>0.09</v>
      </c>
      <c r="N260" s="440">
        <v>0.09</v>
      </c>
      <c r="O260" s="440">
        <v>0.09</v>
      </c>
      <c r="P260" s="440">
        <v>0.09</v>
      </c>
      <c r="Q260" s="440">
        <v>0.09</v>
      </c>
      <c r="R260" s="440">
        <v>0.09</v>
      </c>
      <c r="T260" t="str">
        <v>Feedback Rating Negatif pada PLN Mobile - Gangguan</v>
      </c>
      <c r="V260" s="440">
        <v>0</v>
      </c>
      <c r="W260" s="440">
        <v>0</v>
      </c>
      <c r="X260" s="440">
        <v>0</v>
      </c>
      <c r="Y260" s="440">
        <v>0</v>
      </c>
      <c r="Z260" s="440">
        <v>0</v>
      </c>
      <c r="AA260" s="440">
        <v>0</v>
      </c>
      <c r="AB260" s="440">
        <v>0</v>
      </c>
      <c r="AC260" s="440">
        <v>0</v>
      </c>
      <c r="AD260" s="440">
        <v>0</v>
      </c>
      <c r="AE260" s="440">
        <v>0</v>
      </c>
      <c r="AF260" s="440">
        <v>0</v>
      </c>
      <c r="AG260" s="440">
        <v>0</v>
      </c>
      <c r="AI260" t="str">
        <v>Feedback Rating Negatif pada PLN Mobile - Gangguan</v>
      </c>
      <c r="AK260" s="440">
        <f t="shared" si="985"/>
        <v>110</v>
      </c>
      <c r="AL260" s="440">
        <f t="shared" si="986"/>
        <v>110</v>
      </c>
      <c r="AM260" s="440">
        <f t="shared" si="987"/>
        <v>110</v>
      </c>
      <c r="AN260" s="440">
        <f t="shared" si="988"/>
        <v>110</v>
      </c>
      <c r="AO260" s="440">
        <f t="shared" si="989"/>
        <v>110</v>
      </c>
      <c r="AP260" s="440">
        <f t="shared" si="990"/>
        <v>110</v>
      </c>
      <c r="AQ260" s="440">
        <f t="shared" si="991"/>
        <v>110</v>
      </c>
      <c r="AR260" s="440">
        <f t="shared" si="992"/>
        <v>110</v>
      </c>
      <c r="AS260" s="440">
        <f t="shared" si="993"/>
        <v>110</v>
      </c>
      <c r="AT260" s="440">
        <f t="shared" si="994"/>
        <v>110</v>
      </c>
      <c r="AU260" s="440">
        <f t="shared" si="995"/>
        <v>110</v>
      </c>
      <c r="AV260" s="440">
        <f t="shared" si="996"/>
        <v>110</v>
      </c>
      <c r="AX260" t="str">
        <v>Feedback Rating Negatif pada PLN Mobile - Gangguan</v>
      </c>
      <c r="AY260" s="105" t="s">
        <v>452</v>
      </c>
      <c r="AZ260">
        <v>2</v>
      </c>
      <c r="BA260" s="440">
        <f t="shared" si="901"/>
        <v>2.2000000000000002</v>
      </c>
      <c r="BB260" s="440">
        <f t="shared" si="902"/>
        <v>2.2000000000000002</v>
      </c>
      <c r="BC260" s="440">
        <f t="shared" si="903"/>
        <v>2.2000000000000002</v>
      </c>
      <c r="BD260" s="440">
        <f t="shared" si="904"/>
        <v>2.2000000000000002</v>
      </c>
      <c r="BE260" s="440">
        <f t="shared" si="905"/>
        <v>2.2000000000000002</v>
      </c>
      <c r="BF260" s="440">
        <f t="shared" si="906"/>
        <v>2.2000000000000002</v>
      </c>
      <c r="BG260" s="440">
        <f t="shared" si="907"/>
        <v>2.2000000000000002</v>
      </c>
      <c r="BH260" s="440">
        <f t="shared" si="908"/>
        <v>2.2000000000000002</v>
      </c>
      <c r="BI260" s="440">
        <f t="shared" si="909"/>
        <v>2.2000000000000002</v>
      </c>
      <c r="BJ260" s="440">
        <f t="shared" si="910"/>
        <v>2.2000000000000002</v>
      </c>
      <c r="BK260" s="440">
        <f t="shared" si="911"/>
        <v>2.2000000000000002</v>
      </c>
      <c r="BL260" s="440">
        <f t="shared" si="912"/>
        <v>2.2000000000000002</v>
      </c>
    </row>
    <row r="261" spans="1:64">
      <c r="A261" t="str">
        <v>b. Pengaduan Gangguan Berulang pada PLN Mobile</v>
      </c>
      <c r="B261">
        <v>2</v>
      </c>
      <c r="C261" t="str">
        <v>Pengaduan Gangguan Berulang pada PLN Mobile</v>
      </c>
      <c r="D261" s="105" t="s">
        <v>456</v>
      </c>
      <c r="E261" t="str">
        <v>Pengaduan Gangguan Berulang pada PLN Mobile</v>
      </c>
      <c r="G261" s="440">
        <v>0.04</v>
      </c>
      <c r="H261" s="440">
        <v>0.04</v>
      </c>
      <c r="I261" s="440">
        <v>0.04</v>
      </c>
      <c r="J261" s="440">
        <v>0.04</v>
      </c>
      <c r="K261" s="440">
        <v>0.04</v>
      </c>
      <c r="L261" s="440">
        <v>0.04</v>
      </c>
      <c r="M261" s="440">
        <v>0.04</v>
      </c>
      <c r="N261" s="440">
        <v>0.04</v>
      </c>
      <c r="O261" s="440">
        <v>0.04</v>
      </c>
      <c r="P261" s="440">
        <v>0.04</v>
      </c>
      <c r="Q261" s="440">
        <v>0.04</v>
      </c>
      <c r="R261" s="440">
        <v>0.04</v>
      </c>
      <c r="T261" t="str">
        <v>Pengaduan Gangguan Berulang pada PLN Mobile</v>
      </c>
      <c r="V261" s="440">
        <v>0</v>
      </c>
      <c r="W261" s="440">
        <v>0</v>
      </c>
      <c r="X261" s="440">
        <v>0</v>
      </c>
      <c r="Y261" s="440">
        <v>0</v>
      </c>
      <c r="Z261" s="440">
        <v>0</v>
      </c>
      <c r="AA261" s="440">
        <v>0</v>
      </c>
      <c r="AB261" s="440">
        <v>0</v>
      </c>
      <c r="AC261" s="440">
        <v>0</v>
      </c>
      <c r="AD261" s="440">
        <v>0</v>
      </c>
      <c r="AE261" s="440">
        <v>0</v>
      </c>
      <c r="AF261" s="440">
        <v>0</v>
      </c>
      <c r="AG261" s="440">
        <v>0</v>
      </c>
      <c r="AI261" t="str">
        <v>Pengaduan Gangguan Berulang pada PLN Mobile</v>
      </c>
      <c r="AK261" s="440">
        <f t="shared" si="985"/>
        <v>110</v>
      </c>
      <c r="AL261" s="440">
        <f t="shared" si="986"/>
        <v>110</v>
      </c>
      <c r="AM261" s="440">
        <f t="shared" si="987"/>
        <v>110</v>
      </c>
      <c r="AN261" s="440">
        <f t="shared" si="988"/>
        <v>110</v>
      </c>
      <c r="AO261" s="440">
        <f t="shared" si="989"/>
        <v>110</v>
      </c>
      <c r="AP261" s="440">
        <f t="shared" si="990"/>
        <v>110</v>
      </c>
      <c r="AQ261" s="440">
        <f t="shared" si="991"/>
        <v>110</v>
      </c>
      <c r="AR261" s="440">
        <f t="shared" si="992"/>
        <v>110</v>
      </c>
      <c r="AS261" s="440">
        <f t="shared" si="993"/>
        <v>110</v>
      </c>
      <c r="AT261" s="440">
        <f t="shared" si="994"/>
        <v>110</v>
      </c>
      <c r="AU261" s="440">
        <f t="shared" si="995"/>
        <v>110</v>
      </c>
      <c r="AV261" s="440">
        <f t="shared" si="996"/>
        <v>110</v>
      </c>
      <c r="AX261" t="str">
        <v>Pengaduan Gangguan Berulang pada PLN Mobile</v>
      </c>
      <c r="AY261" s="105" t="s">
        <v>452</v>
      </c>
      <c r="AZ261">
        <v>2</v>
      </c>
      <c r="BA261" s="440">
        <f t="shared" si="901"/>
        <v>2.2000000000000002</v>
      </c>
      <c r="BB261" s="440">
        <f t="shared" si="902"/>
        <v>2.2000000000000002</v>
      </c>
      <c r="BC261" s="440">
        <f t="shared" si="903"/>
        <v>2.2000000000000002</v>
      </c>
      <c r="BD261" s="440">
        <f t="shared" si="904"/>
        <v>2.2000000000000002</v>
      </c>
      <c r="BE261" s="440">
        <f t="shared" si="905"/>
        <v>2.2000000000000002</v>
      </c>
      <c r="BF261" s="440">
        <f t="shared" si="906"/>
        <v>2.2000000000000002</v>
      </c>
      <c r="BG261" s="440">
        <f t="shared" si="907"/>
        <v>2.2000000000000002</v>
      </c>
      <c r="BH261" s="440">
        <f t="shared" si="908"/>
        <v>2.2000000000000002</v>
      </c>
      <c r="BI261" s="440">
        <f t="shared" si="909"/>
        <v>2.2000000000000002</v>
      </c>
      <c r="BJ261" s="440">
        <f t="shared" si="910"/>
        <v>2.2000000000000002</v>
      </c>
      <c r="BK261" s="440">
        <f t="shared" si="911"/>
        <v>2.2000000000000002</v>
      </c>
      <c r="BL261" s="440">
        <f t="shared" si="912"/>
        <v>2.2000000000000002</v>
      </c>
    </row>
    <row r="262" spans="1:64">
      <c r="A262" t="str">
        <v>c. Rating PLN Mobile</v>
      </c>
      <c r="B262">
        <v>2</v>
      </c>
      <c r="C262" t="str">
        <v>Rating PLN Mobile</v>
      </c>
      <c r="D262" s="105" t="s">
        <v>456</v>
      </c>
      <c r="E262" t="str">
        <v>Rating PLN Mobile</v>
      </c>
      <c r="G262" s="440">
        <v>4.9000000000000004</v>
      </c>
      <c r="H262" s="440">
        <v>4.9000000000000004</v>
      </c>
      <c r="I262" s="440">
        <v>4.9000000000000004</v>
      </c>
      <c r="J262" s="440">
        <v>4.9000000000000004</v>
      </c>
      <c r="K262" s="440">
        <v>4.9000000000000004</v>
      </c>
      <c r="L262" s="440">
        <v>4.9000000000000004</v>
      </c>
      <c r="M262" s="440">
        <v>4.9000000000000004</v>
      </c>
      <c r="N262" s="440">
        <v>4.9000000000000004</v>
      </c>
      <c r="O262" s="440">
        <v>4.9000000000000004</v>
      </c>
      <c r="P262" s="440">
        <v>4.9000000000000004</v>
      </c>
      <c r="Q262" s="440">
        <v>4.9000000000000004</v>
      </c>
      <c r="R262" s="440">
        <v>4.9000000000000004</v>
      </c>
      <c r="T262" t="str">
        <v>Rating PLN Mobile</v>
      </c>
      <c r="V262" s="440">
        <v>4.91</v>
      </c>
      <c r="W262" s="440">
        <v>4.91</v>
      </c>
      <c r="X262" s="440">
        <v>4.91</v>
      </c>
      <c r="Y262" s="440">
        <v>4.91</v>
      </c>
      <c r="Z262" s="440">
        <v>4.9000000000000004</v>
      </c>
      <c r="AA262" s="440">
        <v>4.9000000000000004</v>
      </c>
      <c r="AB262" s="440">
        <v>4.9000000000000004</v>
      </c>
      <c r="AC262" s="440">
        <v>4.9000000000000004</v>
      </c>
      <c r="AD262" s="440">
        <v>4.9000000000000004</v>
      </c>
      <c r="AE262" s="440">
        <v>4.9000000000000004</v>
      </c>
      <c r="AF262" s="440">
        <v>4.9000000000000004</v>
      </c>
      <c r="AG262" s="440">
        <v>4.9000000000000004</v>
      </c>
      <c r="AI262" t="str">
        <v>Rating PLN Mobile</v>
      </c>
      <c r="AK262" s="440">
        <f t="shared" ref="AK262:AK263" si="997">IF(V262/G262*100&gt;110,110,V262/G262*100)</f>
        <v>100.20408163265306</v>
      </c>
      <c r="AL262" s="440">
        <f t="shared" ref="AL262:AL263" si="998">IF(W262/H262*100&gt;110,110,W262/H262*100)</f>
        <v>100.20408163265306</v>
      </c>
      <c r="AM262" s="440">
        <f t="shared" ref="AM262:AM263" si="999">IF(X262/I262*100&gt;110,110,X262/I262*100)</f>
        <v>100.20408163265306</v>
      </c>
      <c r="AN262" s="440">
        <f t="shared" ref="AN262:AN263" si="1000">IF(Y262/J262*100&gt;110,110,Y262/J262*100)</f>
        <v>100.20408163265306</v>
      </c>
      <c r="AO262" s="440">
        <f t="shared" ref="AO262:AO263" si="1001">IF(Z262/K262*100&gt;110,110,Z262/K262*100)</f>
        <v>100</v>
      </c>
      <c r="AP262" s="440">
        <f t="shared" ref="AP262:AP263" si="1002">IF(AA262/L262*100&gt;110,110,AA262/L262*100)</f>
        <v>100</v>
      </c>
      <c r="AQ262" s="440">
        <f t="shared" ref="AQ262:AQ263" si="1003">IF(AB262/M262*100&gt;110,110,AB262/M262*100)</f>
        <v>100</v>
      </c>
      <c r="AR262" s="440">
        <f t="shared" ref="AR262:AR263" si="1004">IF(AC262/N262*100&gt;110,110,AC262/N262*100)</f>
        <v>100</v>
      </c>
      <c r="AS262" s="440">
        <f t="shared" ref="AS262:AS263" si="1005">IF(AD262/O262*100&gt;110,110,AD262/O262*100)</f>
        <v>100</v>
      </c>
      <c r="AT262" s="440">
        <f t="shared" ref="AT262:AT263" si="1006">IF(AE262/P262*100&gt;110,110,AE262/P262*100)</f>
        <v>100</v>
      </c>
      <c r="AU262" s="440">
        <f t="shared" ref="AU262:AU263" si="1007">IF(AF262/Q262*100&gt;110,110,AF262/Q262*100)</f>
        <v>100</v>
      </c>
      <c r="AV262" s="440">
        <f t="shared" ref="AV262:AV263" si="1008">IF(AG262/R262*100&gt;110,110,AG262/R262*100)</f>
        <v>100</v>
      </c>
      <c r="AX262" t="str">
        <v>Rating PLN Mobile</v>
      </c>
      <c r="AY262" s="105" t="s">
        <v>452</v>
      </c>
      <c r="AZ262">
        <v>2</v>
      </c>
      <c r="BA262" s="440">
        <f t="shared" si="901"/>
        <v>2</v>
      </c>
      <c r="BB262" s="440">
        <f t="shared" si="902"/>
        <v>2</v>
      </c>
      <c r="BC262" s="440">
        <f t="shared" si="903"/>
        <v>2</v>
      </c>
      <c r="BD262" s="440">
        <f t="shared" si="904"/>
        <v>2</v>
      </c>
      <c r="BE262" s="440">
        <f t="shared" si="905"/>
        <v>2</v>
      </c>
      <c r="BF262" s="440">
        <f t="shared" si="906"/>
        <v>2</v>
      </c>
      <c r="BG262" s="440">
        <f t="shared" si="907"/>
        <v>2</v>
      </c>
      <c r="BH262" s="440">
        <f t="shared" si="908"/>
        <v>2</v>
      </c>
      <c r="BI262" s="440">
        <f t="shared" si="909"/>
        <v>2</v>
      </c>
      <c r="BJ262" s="440">
        <f t="shared" si="910"/>
        <v>2</v>
      </c>
      <c r="BK262" s="440">
        <f t="shared" si="911"/>
        <v>2</v>
      </c>
      <c r="BL262" s="440">
        <f t="shared" si="912"/>
        <v>2</v>
      </c>
    </row>
    <row r="263" spans="1:64">
      <c r="A263" t="str">
        <v>d. Jumlah Kali Transaksi Keuangan melalui PLN Mobile</v>
      </c>
      <c r="B263">
        <v>2</v>
      </c>
      <c r="C263" t="str">
        <v>Jumlah Kali Transaksi Keuangan melalui PLN Mobile</v>
      </c>
      <c r="D263" s="105" t="s">
        <v>456</v>
      </c>
      <c r="E263" t="str">
        <v>Jumlah Kali Transaksi Keuangan melalui PLN Mobile</v>
      </c>
      <c r="G263" s="440">
        <v>987</v>
      </c>
      <c r="H263" s="440">
        <v>1878</v>
      </c>
      <c r="I263" s="440">
        <v>2865</v>
      </c>
      <c r="J263" s="440">
        <v>3820</v>
      </c>
      <c r="K263" s="440">
        <v>4807</v>
      </c>
      <c r="L263" s="440">
        <v>5762</v>
      </c>
      <c r="M263" s="440">
        <v>6409</v>
      </c>
      <c r="N263" s="440">
        <v>7056</v>
      </c>
      <c r="O263" s="440">
        <v>7683</v>
      </c>
      <c r="P263" s="440">
        <v>8330</v>
      </c>
      <c r="Q263" s="440">
        <v>8956</v>
      </c>
      <c r="R263" s="440">
        <v>9603</v>
      </c>
      <c r="T263" t="str">
        <v>Jumlah Kali Transaksi Keuangan melalui PLN Mobile</v>
      </c>
      <c r="V263" s="440">
        <v>239</v>
      </c>
      <c r="W263" s="440">
        <v>627</v>
      </c>
      <c r="X263" s="440">
        <v>2370</v>
      </c>
      <c r="Y263" s="440">
        <v>4148</v>
      </c>
      <c r="Z263" s="440">
        <v>6272</v>
      </c>
      <c r="AA263" s="440">
        <v>8671</v>
      </c>
      <c r="AB263" s="440">
        <v>10672</v>
      </c>
      <c r="AC263" s="440">
        <v>12244</v>
      </c>
      <c r="AD263" s="440">
        <v>13302</v>
      </c>
      <c r="AE263" s="440">
        <v>14361</v>
      </c>
      <c r="AF263" s="440">
        <v>0</v>
      </c>
      <c r="AG263" s="440">
        <v>0</v>
      </c>
      <c r="AI263" t="str">
        <v>Jumlah Kali Transaksi Keuangan melalui PLN Mobile</v>
      </c>
      <c r="AK263" s="440">
        <f t="shared" si="997"/>
        <v>24.214792299898683</v>
      </c>
      <c r="AL263" s="440">
        <f t="shared" si="998"/>
        <v>33.386581469648561</v>
      </c>
      <c r="AM263" s="440">
        <f t="shared" si="999"/>
        <v>82.722513089005233</v>
      </c>
      <c r="AN263" s="440">
        <f t="shared" si="1000"/>
        <v>108.58638743455498</v>
      </c>
      <c r="AO263" s="440">
        <f t="shared" si="1001"/>
        <v>110</v>
      </c>
      <c r="AP263" s="440">
        <f t="shared" si="1002"/>
        <v>110</v>
      </c>
      <c r="AQ263" s="440">
        <f t="shared" si="1003"/>
        <v>110</v>
      </c>
      <c r="AR263" s="440">
        <f t="shared" si="1004"/>
        <v>110</v>
      </c>
      <c r="AS263" s="440">
        <f t="shared" si="1005"/>
        <v>110</v>
      </c>
      <c r="AT263" s="440">
        <f t="shared" si="1006"/>
        <v>110</v>
      </c>
      <c r="AU263" s="440">
        <f t="shared" si="1007"/>
        <v>0</v>
      </c>
      <c r="AV263" s="440">
        <f t="shared" si="1008"/>
        <v>0</v>
      </c>
      <c r="AX263" t="str">
        <v>Jumlah Kali Transaksi Keuangan melalui PLN Mobile</v>
      </c>
      <c r="AY263" s="105" t="s">
        <v>452</v>
      </c>
      <c r="AZ263">
        <v>2</v>
      </c>
      <c r="BA263" s="440">
        <f t="shared" si="901"/>
        <v>0.48</v>
      </c>
      <c r="BB263" s="440">
        <f t="shared" si="902"/>
        <v>0.66</v>
      </c>
      <c r="BC263" s="440">
        <f t="shared" si="903"/>
        <v>1.65</v>
      </c>
      <c r="BD263" s="440">
        <f t="shared" si="904"/>
        <v>2.17</v>
      </c>
      <c r="BE263" s="440">
        <f t="shared" si="905"/>
        <v>2.2000000000000002</v>
      </c>
      <c r="BF263" s="440">
        <f t="shared" si="906"/>
        <v>2.2000000000000002</v>
      </c>
      <c r="BG263" s="440">
        <f t="shared" si="907"/>
        <v>2.2000000000000002</v>
      </c>
      <c r="BH263" s="440">
        <f t="shared" si="908"/>
        <v>2.2000000000000002</v>
      </c>
      <c r="BI263" s="440">
        <f t="shared" si="909"/>
        <v>2.2000000000000002</v>
      </c>
      <c r="BJ263" s="440">
        <f t="shared" si="910"/>
        <v>2.2000000000000002</v>
      </c>
      <c r="BK263" s="440">
        <f t="shared" si="911"/>
        <v>0</v>
      </c>
      <c r="BL263" s="440">
        <f t="shared" si="912"/>
        <v>0</v>
      </c>
    </row>
    <row r="264" spans="1:64">
      <c r="A264" t="str">
        <v>a. Response Time atas Gangguan (diluar Clear Tamper)</v>
      </c>
      <c r="B264">
        <v>2</v>
      </c>
      <c r="C264" t="str">
        <v>Response Time atas Gangguan (diluar Clear Tamper)</v>
      </c>
      <c r="D264" s="105" t="s">
        <v>456</v>
      </c>
      <c r="E264" t="str">
        <v>Response Time atas Gangguan (diluar Clear Tamper)</v>
      </c>
      <c r="G264" s="440">
        <v>30</v>
      </c>
      <c r="H264" s="440">
        <v>30</v>
      </c>
      <c r="I264" s="440">
        <v>30</v>
      </c>
      <c r="J264" s="440">
        <v>30</v>
      </c>
      <c r="K264" s="440">
        <v>30</v>
      </c>
      <c r="L264" s="440">
        <v>30</v>
      </c>
      <c r="M264" s="440">
        <v>30</v>
      </c>
      <c r="N264" s="440">
        <v>30</v>
      </c>
      <c r="O264" s="440">
        <v>30</v>
      </c>
      <c r="P264" s="440">
        <v>30</v>
      </c>
      <c r="Q264" s="440">
        <v>30</v>
      </c>
      <c r="R264" s="440">
        <v>30</v>
      </c>
      <c r="T264" t="str">
        <v>Response Time atas Gangguan (diluar Clear Tamper)</v>
      </c>
      <c r="V264" s="440">
        <v>8.5426282051281994</v>
      </c>
      <c r="W264" s="440">
        <v>8.1045451864086786</v>
      </c>
      <c r="X264" s="440">
        <v>7.9316219028642303</v>
      </c>
      <c r="Y264" s="440">
        <v>7.9007510275380373</v>
      </c>
      <c r="Z264" s="440">
        <v>9.1246008220304304</v>
      </c>
      <c r="AA264" s="440">
        <v>9.1038201985687532</v>
      </c>
      <c r="AB264" s="440">
        <v>9.0889768960961259</v>
      </c>
      <c r="AC264" s="440">
        <v>9.1740044587045002</v>
      </c>
      <c r="AD264" s="440">
        <v>9.260615768181351</v>
      </c>
      <c r="AE264" s="440">
        <v>9.5630914886605147</v>
      </c>
      <c r="AF264" s="440">
        <v>9.5630914886605147</v>
      </c>
      <c r="AG264" s="440">
        <v>9.5630914886605147</v>
      </c>
      <c r="AI264" t="str">
        <v>Response Time atas Gangguan (diluar Clear Tamper)</v>
      </c>
      <c r="AK264" s="440">
        <f t="shared" ref="AK264" si="1009">IFERROR(IF((2-(V264/G264))*100&gt;110,110,(2-(V264/G264))*100),100)</f>
        <v>110</v>
      </c>
      <c r="AL264" s="440">
        <f t="shared" ref="AL264" si="1010">IFERROR(IF((2-(W264/H264))*100&gt;110,110,(2-(W264/H264))*100),100)</f>
        <v>110</v>
      </c>
      <c r="AM264" s="440">
        <f t="shared" ref="AM264" si="1011">IFERROR(IF((2-(X264/I264))*100&gt;110,110,(2-(X264/I264))*100),100)</f>
        <v>110</v>
      </c>
      <c r="AN264" s="440">
        <f t="shared" ref="AN264" si="1012">IFERROR(IF((2-(Y264/J264))*100&gt;110,110,(2-(Y264/J264))*100),100)</f>
        <v>110</v>
      </c>
      <c r="AO264" s="440">
        <f t="shared" ref="AO264" si="1013">IFERROR(IF((2-(Z264/K264))*100&gt;110,110,(2-(Z264/K264))*100),100)</f>
        <v>110</v>
      </c>
      <c r="AP264" s="440">
        <f t="shared" ref="AP264" si="1014">IFERROR(IF((2-(AA264/L264))*100&gt;110,110,(2-(AA264/L264))*100),100)</f>
        <v>110</v>
      </c>
      <c r="AQ264" s="440">
        <f t="shared" ref="AQ264" si="1015">IFERROR(IF((2-(AB264/M264))*100&gt;110,110,(2-(AB264/M264))*100),100)</f>
        <v>110</v>
      </c>
      <c r="AR264" s="440">
        <f t="shared" ref="AR264" si="1016">IFERROR(IF((2-(AC264/N264))*100&gt;110,110,(2-(AC264/N264))*100),100)</f>
        <v>110</v>
      </c>
      <c r="AS264" s="440">
        <f t="shared" ref="AS264" si="1017">IFERROR(IF((2-(AD264/O264))*100&gt;110,110,(2-(AD264/O264))*100),100)</f>
        <v>110</v>
      </c>
      <c r="AT264" s="440">
        <f t="shared" ref="AT264" si="1018">IFERROR(IF((2-(AE264/P264))*100&gt;110,110,(2-(AE264/P264))*100),100)</f>
        <v>110</v>
      </c>
      <c r="AU264" s="440">
        <f t="shared" ref="AU264" si="1019">IFERROR(IF((2-(AF264/Q264))*100&gt;110,110,(2-(AF264/Q264))*100),100)</f>
        <v>110</v>
      </c>
      <c r="AV264" s="440">
        <f t="shared" ref="AV264" si="1020">IFERROR(IF((2-(AG264/R264))*100&gt;110,110,(2-(AG264/R264))*100),100)</f>
        <v>110</v>
      </c>
      <c r="AX264" t="str">
        <v>Response Time atas Gangguan (diluar Clear Tamper)</v>
      </c>
      <c r="AY264" s="105" t="s">
        <v>452</v>
      </c>
      <c r="AZ264">
        <v>1.5</v>
      </c>
      <c r="BA264" s="440">
        <f t="shared" si="901"/>
        <v>1.65</v>
      </c>
      <c r="BB264" s="440">
        <f t="shared" si="902"/>
        <v>1.65</v>
      </c>
      <c r="BC264" s="440">
        <f t="shared" si="903"/>
        <v>1.65</v>
      </c>
      <c r="BD264" s="440">
        <f t="shared" si="904"/>
        <v>1.65</v>
      </c>
      <c r="BE264" s="440">
        <f t="shared" si="905"/>
        <v>1.65</v>
      </c>
      <c r="BF264" s="440">
        <f t="shared" si="906"/>
        <v>1.65</v>
      </c>
      <c r="BG264" s="440">
        <f t="shared" si="907"/>
        <v>1.65</v>
      </c>
      <c r="BH264" s="440">
        <f t="shared" si="908"/>
        <v>1.65</v>
      </c>
      <c r="BI264" s="440">
        <f t="shared" si="909"/>
        <v>1.65</v>
      </c>
      <c r="BJ264" s="440">
        <f t="shared" si="910"/>
        <v>1.65</v>
      </c>
      <c r="BK264" s="440">
        <f t="shared" si="911"/>
        <v>1.65</v>
      </c>
      <c r="BL264" s="440">
        <f t="shared" si="912"/>
        <v>1.65</v>
      </c>
    </row>
    <row r="265" spans="1:64">
      <c r="A265" t="str">
        <v>b. Success Rate Auto Dispatch Gangguan Individual (diluar Clear Tamper)</v>
      </c>
      <c r="B265">
        <v>2</v>
      </c>
      <c r="C265" t="str">
        <v>Success Rate Auto Dispatch Gangguan Individual (diluar Clear Tamper)</v>
      </c>
      <c r="D265" s="105" t="s">
        <v>456</v>
      </c>
      <c r="E265" t="str">
        <v>Success Rate Auto Dispatch Gangguan Individual (diluar Clear Tamper)</v>
      </c>
      <c r="G265" s="440">
        <v>0</v>
      </c>
      <c r="H265" s="440">
        <v>0</v>
      </c>
      <c r="I265" s="440">
        <v>0</v>
      </c>
      <c r="J265" s="440">
        <v>0</v>
      </c>
      <c r="K265" s="440">
        <v>0</v>
      </c>
      <c r="L265" s="440">
        <v>0</v>
      </c>
      <c r="M265" s="440">
        <v>0</v>
      </c>
      <c r="N265" s="440">
        <v>0</v>
      </c>
      <c r="O265" s="440">
        <v>0</v>
      </c>
      <c r="P265" s="440">
        <v>0</v>
      </c>
      <c r="Q265" s="440">
        <v>0</v>
      </c>
      <c r="R265" s="440">
        <v>0</v>
      </c>
      <c r="T265" t="str">
        <v>Success Rate Auto Dispatch Gangguan Individual (diluar Clear Tamper)</v>
      </c>
      <c r="V265" s="440">
        <v>0</v>
      </c>
      <c r="W265" s="440">
        <v>0</v>
      </c>
      <c r="X265" s="440">
        <v>0</v>
      </c>
      <c r="Y265" s="440">
        <v>0</v>
      </c>
      <c r="Z265" s="440">
        <v>0</v>
      </c>
      <c r="AA265" s="440">
        <v>0</v>
      </c>
      <c r="AB265" s="440">
        <v>0</v>
      </c>
      <c r="AC265" s="440">
        <v>0</v>
      </c>
      <c r="AD265" s="440">
        <v>0</v>
      </c>
      <c r="AE265" s="440">
        <v>0</v>
      </c>
      <c r="AF265" s="440">
        <v>0</v>
      </c>
      <c r="AG265" s="440">
        <v>0</v>
      </c>
      <c r="AI265" t="str">
        <v>Success Rate Auto Dispatch Gangguan Individual (diluar Clear Tamper)</v>
      </c>
      <c r="AK265" s="440">
        <f t="shared" ref="AK265:AK276" si="1021">IFERROR(IF(V265/G265*100&gt;110,110,V265/G265*100),100)</f>
        <v>100</v>
      </c>
      <c r="AL265" s="440">
        <f t="shared" ref="AL265:AL276" si="1022">IFERROR(IF(W265/H265*100&gt;110,110,W265/H265*100),100)</f>
        <v>100</v>
      </c>
      <c r="AM265" s="440">
        <f t="shared" ref="AM265:AM276" si="1023">IFERROR(IF(X265/I265*100&gt;110,110,X265/I265*100),100)</f>
        <v>100</v>
      </c>
      <c r="AN265" s="440">
        <f t="shared" ref="AN265:AN276" si="1024">IFERROR(IF(Y265/J265*100&gt;110,110,Y265/J265*100),100)</f>
        <v>100</v>
      </c>
      <c r="AO265" s="440">
        <f t="shared" ref="AO265:AO276" si="1025">IFERROR(IF(Z265/K265*100&gt;110,110,Z265/K265*100),100)</f>
        <v>100</v>
      </c>
      <c r="AP265" s="440">
        <f t="shared" ref="AP265:AP276" si="1026">IFERROR(IF(AA265/L265*100&gt;110,110,AA265/L265*100),100)</f>
        <v>100</v>
      </c>
      <c r="AQ265" s="440">
        <f t="shared" ref="AQ265:AQ276" si="1027">IFERROR(IF(AB265/M265*100&gt;110,110,AB265/M265*100),100)</f>
        <v>100</v>
      </c>
      <c r="AR265" s="440">
        <f t="shared" ref="AR265:AR276" si="1028">IFERROR(IF(AC265/N265*100&gt;110,110,AC265/N265*100),100)</f>
        <v>100</v>
      </c>
      <c r="AS265" s="440">
        <f t="shared" ref="AS265:AS276" si="1029">IFERROR(IF(AD265/O265*100&gt;110,110,AD265/O265*100),100)</f>
        <v>100</v>
      </c>
      <c r="AT265" s="440">
        <f t="shared" ref="AT265:AT276" si="1030">IFERROR(IF(AE265/P265*100&gt;110,110,AE265/P265*100),100)</f>
        <v>100</v>
      </c>
      <c r="AU265" s="440">
        <f t="shared" ref="AU265:AU276" si="1031">IFERROR(IF(AF265/Q265*100&gt;110,110,AF265/Q265*100),100)</f>
        <v>100</v>
      </c>
      <c r="AV265" s="440">
        <f t="shared" ref="AV265:AV276" si="1032">IFERROR(IF(AG265/R265*100&gt;110,110,AG265/R265*100),100)</f>
        <v>100</v>
      </c>
      <c r="AX265" t="str">
        <v>Success Rate Auto Dispatch Gangguan Individual (diluar Clear Tamper)</v>
      </c>
      <c r="AY265" s="105" t="s">
        <v>452</v>
      </c>
      <c r="AZ265">
        <v>1.5</v>
      </c>
      <c r="BA265" s="440">
        <f t="shared" si="901"/>
        <v>1.5</v>
      </c>
      <c r="BB265" s="440">
        <f t="shared" si="902"/>
        <v>1.5</v>
      </c>
      <c r="BC265" s="440">
        <f t="shared" si="903"/>
        <v>1.5</v>
      </c>
      <c r="BD265" s="440">
        <f t="shared" si="904"/>
        <v>1.5</v>
      </c>
      <c r="BE265" s="440">
        <f t="shared" si="905"/>
        <v>1.5</v>
      </c>
      <c r="BF265" s="440">
        <f t="shared" si="906"/>
        <v>1.5</v>
      </c>
      <c r="BG265" s="440">
        <f t="shared" si="907"/>
        <v>1.5</v>
      </c>
      <c r="BH265" s="440">
        <f t="shared" si="908"/>
        <v>1.5</v>
      </c>
      <c r="BI265" s="440">
        <f t="shared" si="909"/>
        <v>1.5</v>
      </c>
      <c r="BJ265" s="440">
        <f t="shared" si="910"/>
        <v>1.5</v>
      </c>
      <c r="BK265" s="440">
        <f t="shared" si="911"/>
        <v>1.5</v>
      </c>
      <c r="BL265" s="440">
        <f t="shared" si="912"/>
        <v>1.5</v>
      </c>
    </row>
    <row r="266" spans="1:64">
      <c r="A266" t="str">
        <v>a. Recovery Time Gangguan Meluas TM</v>
      </c>
      <c r="B266">
        <v>2</v>
      </c>
      <c r="C266" t="str">
        <v>Recovery Time Gangguan Meluas TM</v>
      </c>
      <c r="D266" s="105" t="s">
        <v>456</v>
      </c>
      <c r="E266" t="str">
        <v>Recovery Time Gangguan Meluas TM</v>
      </c>
      <c r="G266" s="440">
        <v>100</v>
      </c>
      <c r="H266" s="440">
        <v>100</v>
      </c>
      <c r="I266" s="440">
        <v>100</v>
      </c>
      <c r="J266" s="440">
        <v>100</v>
      </c>
      <c r="K266" s="440">
        <v>100</v>
      </c>
      <c r="L266" s="440">
        <v>100</v>
      </c>
      <c r="M266" s="440">
        <v>100</v>
      </c>
      <c r="N266" s="440">
        <v>100</v>
      </c>
      <c r="O266" s="440">
        <v>100</v>
      </c>
      <c r="P266" s="440">
        <v>100</v>
      </c>
      <c r="Q266" s="440">
        <v>100</v>
      </c>
      <c r="R266" s="440">
        <v>100</v>
      </c>
      <c r="T266" t="str">
        <v>Recovery Time Gangguan Meluas TM</v>
      </c>
      <c r="V266" s="440">
        <v>110</v>
      </c>
      <c r="W266" s="440">
        <v>110</v>
      </c>
      <c r="X266" s="440">
        <v>110</v>
      </c>
      <c r="Y266" s="440">
        <v>110</v>
      </c>
      <c r="Z266" s="440">
        <v>110</v>
      </c>
      <c r="AA266" s="440">
        <v>110</v>
      </c>
      <c r="AB266" s="440">
        <v>110</v>
      </c>
      <c r="AC266" s="440">
        <v>110</v>
      </c>
      <c r="AD266" s="440">
        <v>110</v>
      </c>
      <c r="AE266" s="440">
        <v>110</v>
      </c>
      <c r="AF266" s="440">
        <v>0</v>
      </c>
      <c r="AG266" s="440">
        <v>0</v>
      </c>
      <c r="AI266" t="str">
        <v>Recovery Time Gangguan Meluas TM</v>
      </c>
      <c r="AK266" s="440">
        <f t="shared" si="1021"/>
        <v>110.00000000000001</v>
      </c>
      <c r="AL266" s="440">
        <f t="shared" si="1022"/>
        <v>110.00000000000001</v>
      </c>
      <c r="AM266" s="440">
        <f t="shared" si="1023"/>
        <v>110.00000000000001</v>
      </c>
      <c r="AN266" s="440">
        <f t="shared" si="1024"/>
        <v>110.00000000000001</v>
      </c>
      <c r="AO266" s="440">
        <f t="shared" si="1025"/>
        <v>110.00000000000001</v>
      </c>
      <c r="AP266" s="440">
        <f t="shared" si="1026"/>
        <v>110.00000000000001</v>
      </c>
      <c r="AQ266" s="440">
        <f t="shared" si="1027"/>
        <v>110.00000000000001</v>
      </c>
      <c r="AR266" s="440">
        <f t="shared" si="1028"/>
        <v>110.00000000000001</v>
      </c>
      <c r="AS266" s="440">
        <f t="shared" si="1029"/>
        <v>110.00000000000001</v>
      </c>
      <c r="AT266" s="440">
        <f t="shared" si="1030"/>
        <v>110.00000000000001</v>
      </c>
      <c r="AU266" s="440">
        <f t="shared" si="1031"/>
        <v>0</v>
      </c>
      <c r="AV266" s="440">
        <f t="shared" si="1032"/>
        <v>0</v>
      </c>
      <c r="AX266" t="str">
        <v>Recovery Time Gangguan Meluas TM</v>
      </c>
      <c r="AY266" s="105" t="s">
        <v>452</v>
      </c>
      <c r="AZ266">
        <v>3</v>
      </c>
      <c r="BA266" s="440">
        <f t="shared" si="901"/>
        <v>3.3</v>
      </c>
      <c r="BB266" s="440">
        <f t="shared" si="902"/>
        <v>3.3</v>
      </c>
      <c r="BC266" s="440">
        <f t="shared" si="903"/>
        <v>3.3</v>
      </c>
      <c r="BD266" s="440">
        <f t="shared" si="904"/>
        <v>3.3</v>
      </c>
      <c r="BE266" s="440">
        <f t="shared" si="905"/>
        <v>3.3</v>
      </c>
      <c r="BF266" s="440">
        <f t="shared" si="906"/>
        <v>3.3</v>
      </c>
      <c r="BG266" s="440">
        <f t="shared" si="907"/>
        <v>3.3</v>
      </c>
      <c r="BH266" s="440">
        <f t="shared" si="908"/>
        <v>3.3</v>
      </c>
      <c r="BI266" s="440">
        <f t="shared" si="909"/>
        <v>3.3</v>
      </c>
      <c r="BJ266" s="440">
        <f t="shared" si="910"/>
        <v>3.3</v>
      </c>
      <c r="BK266" s="440">
        <f t="shared" si="911"/>
        <v>0</v>
      </c>
      <c r="BL266" s="440">
        <f t="shared" si="912"/>
        <v>0</v>
      </c>
    </row>
    <row r="267" spans="1:64">
      <c r="A267" t="str">
        <v>b. Penormalan Siaga 1 Gangguan TM</v>
      </c>
      <c r="B267">
        <v>2</v>
      </c>
      <c r="C267" t="str">
        <v>Penormalan Siaga 1 Gangguan TM</v>
      </c>
      <c r="D267" s="105" t="s">
        <v>456</v>
      </c>
      <c r="E267" t="str">
        <v>Penormalan Siaga 1 Gangguan TM</v>
      </c>
      <c r="G267" s="440">
        <v>100</v>
      </c>
      <c r="H267" s="440">
        <v>100</v>
      </c>
      <c r="I267" s="440">
        <v>100</v>
      </c>
      <c r="J267" s="440">
        <v>100</v>
      </c>
      <c r="K267" s="440">
        <v>100</v>
      </c>
      <c r="L267" s="440">
        <v>100</v>
      </c>
      <c r="M267" s="440">
        <v>100</v>
      </c>
      <c r="N267" s="440">
        <v>100</v>
      </c>
      <c r="O267" s="440">
        <v>100</v>
      </c>
      <c r="P267" s="440">
        <v>100</v>
      </c>
      <c r="Q267" s="440">
        <v>100</v>
      </c>
      <c r="R267" s="440">
        <v>100</v>
      </c>
      <c r="T267" t="str">
        <v>Penormalan Siaga 1 Gangguan TM</v>
      </c>
      <c r="V267" s="440">
        <v>110</v>
      </c>
      <c r="W267" s="440">
        <v>110</v>
      </c>
      <c r="X267" s="440">
        <v>110</v>
      </c>
      <c r="Y267" s="440">
        <v>110</v>
      </c>
      <c r="Z267" s="440">
        <v>110</v>
      </c>
      <c r="AA267" s="440">
        <v>110</v>
      </c>
      <c r="AB267" s="440">
        <v>110</v>
      </c>
      <c r="AC267" s="440">
        <v>110</v>
      </c>
      <c r="AD267" s="440">
        <v>110</v>
      </c>
      <c r="AE267" s="440">
        <v>110</v>
      </c>
      <c r="AF267" s="440">
        <v>0</v>
      </c>
      <c r="AG267" s="440">
        <v>0</v>
      </c>
      <c r="AI267" t="str">
        <v>Penormalan Siaga 1 Gangguan TM</v>
      </c>
      <c r="AK267" s="440">
        <f t="shared" si="1021"/>
        <v>110.00000000000001</v>
      </c>
      <c r="AL267" s="440">
        <f t="shared" si="1022"/>
        <v>110.00000000000001</v>
      </c>
      <c r="AM267" s="440">
        <f t="shared" si="1023"/>
        <v>110.00000000000001</v>
      </c>
      <c r="AN267" s="440">
        <f t="shared" si="1024"/>
        <v>110.00000000000001</v>
      </c>
      <c r="AO267" s="440">
        <f t="shared" si="1025"/>
        <v>110.00000000000001</v>
      </c>
      <c r="AP267" s="440">
        <f t="shared" si="1026"/>
        <v>110.00000000000001</v>
      </c>
      <c r="AQ267" s="440">
        <f t="shared" si="1027"/>
        <v>110.00000000000001</v>
      </c>
      <c r="AR267" s="440">
        <f t="shared" si="1028"/>
        <v>110.00000000000001</v>
      </c>
      <c r="AS267" s="440">
        <f t="shared" si="1029"/>
        <v>110.00000000000001</v>
      </c>
      <c r="AT267" s="440">
        <f t="shared" si="1030"/>
        <v>110.00000000000001</v>
      </c>
      <c r="AU267" s="440">
        <f t="shared" si="1031"/>
        <v>0</v>
      </c>
      <c r="AV267" s="440">
        <f t="shared" si="1032"/>
        <v>0</v>
      </c>
      <c r="AX267" t="str">
        <v>Penormalan Siaga 1 Gangguan TM</v>
      </c>
      <c r="AY267" s="105" t="s">
        <v>452</v>
      </c>
      <c r="AZ267">
        <v>3</v>
      </c>
      <c r="BA267" s="440">
        <f t="shared" si="901"/>
        <v>3.3</v>
      </c>
      <c r="BB267" s="440">
        <f t="shared" si="902"/>
        <v>3.3</v>
      </c>
      <c r="BC267" s="440">
        <f t="shared" si="903"/>
        <v>3.3</v>
      </c>
      <c r="BD267" s="440">
        <f t="shared" si="904"/>
        <v>3.3</v>
      </c>
      <c r="BE267" s="440">
        <f t="shared" si="905"/>
        <v>3.3</v>
      </c>
      <c r="BF267" s="440">
        <f t="shared" si="906"/>
        <v>3.3</v>
      </c>
      <c r="BG267" s="440">
        <f t="shared" si="907"/>
        <v>3.3</v>
      </c>
      <c r="BH267" s="440">
        <f t="shared" si="908"/>
        <v>3.3</v>
      </c>
      <c r="BI267" s="440">
        <f t="shared" si="909"/>
        <v>3.3</v>
      </c>
      <c r="BJ267" s="440">
        <f t="shared" si="910"/>
        <v>3.3</v>
      </c>
      <c r="BK267" s="440">
        <f t="shared" si="911"/>
        <v>0</v>
      </c>
      <c r="BL267" s="440">
        <f t="shared" si="912"/>
        <v>0</v>
      </c>
    </row>
    <row r="268" spans="1:64">
      <c r="A268" t="str">
        <v>a. Penambahan Daya Tersambung</v>
      </c>
      <c r="B268">
        <v>2</v>
      </c>
      <c r="C268" t="str">
        <v>Penambahan Daya Tersambung</v>
      </c>
      <c r="D268" s="105" t="s">
        <v>456</v>
      </c>
      <c r="E268" t="str">
        <v>Penambahan Daya Tersambung</v>
      </c>
      <c r="G268" s="440">
        <v>7.0000000000000007E-2</v>
      </c>
      <c r="H268" s="440">
        <v>0.14000000000000001</v>
      </c>
      <c r="I268" s="440">
        <v>0.21</v>
      </c>
      <c r="J268" s="440">
        <v>0.28000000000000003</v>
      </c>
      <c r="K268" s="440">
        <v>0.39</v>
      </c>
      <c r="L268" s="440">
        <v>0.5</v>
      </c>
      <c r="M268" s="440">
        <v>0.61</v>
      </c>
      <c r="N268" s="440">
        <v>0.72</v>
      </c>
      <c r="O268" s="440">
        <v>0.82</v>
      </c>
      <c r="P268" s="440">
        <v>0.93</v>
      </c>
      <c r="Q268" s="440">
        <v>1.04</v>
      </c>
      <c r="R268" s="440">
        <v>1.26</v>
      </c>
      <c r="T268" t="str">
        <v>Penambahan Daya Tersambung</v>
      </c>
      <c r="V268" s="440">
        <v>5.4449999999999998E-2</v>
      </c>
      <c r="W268" s="440">
        <v>0.13190000000000002</v>
      </c>
      <c r="X268" s="440">
        <v>0.18990000000000001</v>
      </c>
      <c r="Y268" s="440">
        <v>0.25319999999999998</v>
      </c>
      <c r="Z268" s="440">
        <v>0.29535</v>
      </c>
      <c r="AA268" s="440">
        <v>0.3518</v>
      </c>
      <c r="AB268" s="440">
        <v>0.39565</v>
      </c>
      <c r="AC268" s="440">
        <v>0.4476</v>
      </c>
      <c r="AD268" s="440">
        <v>0.53025</v>
      </c>
      <c r="AE268" s="440">
        <v>0.80374999999999996</v>
      </c>
      <c r="AF268" s="440">
        <v>0</v>
      </c>
      <c r="AG268" s="440">
        <v>0</v>
      </c>
      <c r="AI268" t="str">
        <v>Penambahan Daya Tersambung</v>
      </c>
      <c r="AK268" s="440">
        <f t="shared" si="1021"/>
        <v>77.785714285714278</v>
      </c>
      <c r="AL268" s="440">
        <f t="shared" si="1022"/>
        <v>94.214285714285722</v>
      </c>
      <c r="AM268" s="440">
        <f t="shared" si="1023"/>
        <v>90.428571428571431</v>
      </c>
      <c r="AN268" s="440">
        <f t="shared" si="1024"/>
        <v>90.428571428571416</v>
      </c>
      <c r="AO268" s="440">
        <f t="shared" si="1025"/>
        <v>75.730769230769226</v>
      </c>
      <c r="AP268" s="440">
        <f t="shared" si="1026"/>
        <v>70.36</v>
      </c>
      <c r="AQ268" s="440">
        <f t="shared" si="1027"/>
        <v>64.860655737704917</v>
      </c>
      <c r="AR268" s="440">
        <f t="shared" si="1028"/>
        <v>62.166666666666671</v>
      </c>
      <c r="AS268" s="440">
        <f t="shared" si="1029"/>
        <v>64.66463414634147</v>
      </c>
      <c r="AT268" s="440">
        <f t="shared" si="1030"/>
        <v>86.424731182795682</v>
      </c>
      <c r="AU268" s="440">
        <f t="shared" si="1031"/>
        <v>0</v>
      </c>
      <c r="AV268" s="440">
        <f t="shared" si="1032"/>
        <v>0</v>
      </c>
      <c r="AX268" t="str">
        <v>Penambahan Daya Tersambung</v>
      </c>
      <c r="AY268" s="105" t="s">
        <v>452</v>
      </c>
      <c r="AZ268">
        <v>3</v>
      </c>
      <c r="BA268" s="440">
        <f t="shared" si="901"/>
        <v>2.33</v>
      </c>
      <c r="BB268" s="440">
        <f t="shared" si="902"/>
        <v>2.82</v>
      </c>
      <c r="BC268" s="440">
        <f t="shared" si="903"/>
        <v>2.71</v>
      </c>
      <c r="BD268" s="440">
        <f t="shared" si="904"/>
        <v>2.71</v>
      </c>
      <c r="BE268" s="440">
        <f t="shared" si="905"/>
        <v>2.27</v>
      </c>
      <c r="BF268" s="440">
        <f t="shared" si="906"/>
        <v>2.11</v>
      </c>
      <c r="BG268" s="440">
        <f t="shared" si="907"/>
        <v>1.94</v>
      </c>
      <c r="BH268" s="440">
        <f t="shared" si="908"/>
        <v>1.86</v>
      </c>
      <c r="BI268" s="440">
        <f t="shared" si="909"/>
        <v>1.93</v>
      </c>
      <c r="BJ268" s="440">
        <f t="shared" si="910"/>
        <v>2.59</v>
      </c>
      <c r="BK268" s="440">
        <f t="shared" si="911"/>
        <v>0</v>
      </c>
      <c r="BL268" s="440">
        <f t="shared" si="912"/>
        <v>0</v>
      </c>
    </row>
    <row r="269" spans="1:64">
      <c r="A269" t="str">
        <v>b. Penambahan Jumlah Pelanggan</v>
      </c>
      <c r="B269">
        <v>2</v>
      </c>
      <c r="C269" t="str">
        <v>Penambahan Jumlah Pelanggan</v>
      </c>
      <c r="D269" s="105" t="s">
        <v>456</v>
      </c>
      <c r="E269" t="str">
        <v>Penambahan Jumlah Pelanggan</v>
      </c>
      <c r="G269" s="440">
        <v>102</v>
      </c>
      <c r="H269" s="440">
        <v>208</v>
      </c>
      <c r="I269" s="440">
        <v>319</v>
      </c>
      <c r="J269" s="440">
        <v>425</v>
      </c>
      <c r="K269" s="440">
        <v>589</v>
      </c>
      <c r="L269" s="440">
        <v>748</v>
      </c>
      <c r="M269" s="440">
        <v>912</v>
      </c>
      <c r="N269" s="440">
        <v>1076</v>
      </c>
      <c r="O269" s="440">
        <v>1234</v>
      </c>
      <c r="P269" s="440">
        <v>1398</v>
      </c>
      <c r="Q269" s="440">
        <v>1557</v>
      </c>
      <c r="R269" s="440">
        <v>1721</v>
      </c>
      <c r="T269" t="str">
        <v>Penambahan Jumlah Pelanggan</v>
      </c>
      <c r="V269" s="440">
        <v>84</v>
      </c>
      <c r="W269" s="440">
        <v>172</v>
      </c>
      <c r="X269" s="440">
        <v>215</v>
      </c>
      <c r="Y269" s="440">
        <v>254</v>
      </c>
      <c r="Z269" s="440">
        <v>294</v>
      </c>
      <c r="AA269" s="440">
        <v>346</v>
      </c>
      <c r="AB269" s="440">
        <v>393</v>
      </c>
      <c r="AC269" s="440">
        <v>413</v>
      </c>
      <c r="AD269" s="440">
        <v>457</v>
      </c>
      <c r="AE269" s="440">
        <v>541</v>
      </c>
      <c r="AF269" s="440">
        <v>0</v>
      </c>
      <c r="AG269" s="440">
        <v>0</v>
      </c>
      <c r="AI269" t="str">
        <v>Penambahan Jumlah Pelanggan</v>
      </c>
      <c r="AK269" s="440">
        <f t="shared" si="1021"/>
        <v>82.35294117647058</v>
      </c>
      <c r="AL269" s="440">
        <f t="shared" si="1022"/>
        <v>82.692307692307693</v>
      </c>
      <c r="AM269" s="440">
        <f t="shared" si="1023"/>
        <v>67.398119122257043</v>
      </c>
      <c r="AN269" s="440">
        <f t="shared" si="1024"/>
        <v>59.764705882352942</v>
      </c>
      <c r="AO269" s="440">
        <f t="shared" si="1025"/>
        <v>49.915110356536502</v>
      </c>
      <c r="AP269" s="440">
        <f t="shared" si="1026"/>
        <v>46.256684491978611</v>
      </c>
      <c r="AQ269" s="440">
        <f t="shared" si="1027"/>
        <v>43.09210526315789</v>
      </c>
      <c r="AR269" s="440">
        <f t="shared" si="1028"/>
        <v>38.382899628252787</v>
      </c>
      <c r="AS269" s="440">
        <f t="shared" si="1029"/>
        <v>37.03403565640194</v>
      </c>
      <c r="AT269" s="440">
        <f t="shared" si="1030"/>
        <v>38.698140200286126</v>
      </c>
      <c r="AU269" s="440">
        <f t="shared" si="1031"/>
        <v>0</v>
      </c>
      <c r="AV269" s="440">
        <f t="shared" si="1032"/>
        <v>0</v>
      </c>
      <c r="AX269" t="str">
        <v>Penambahan Jumlah Pelanggan</v>
      </c>
      <c r="AY269" s="105" t="s">
        <v>452</v>
      </c>
      <c r="AZ269">
        <v>3</v>
      </c>
      <c r="BA269" s="440">
        <f t="shared" si="901"/>
        <v>2.4700000000000002</v>
      </c>
      <c r="BB269" s="440">
        <f t="shared" si="902"/>
        <v>2.48</v>
      </c>
      <c r="BC269" s="440">
        <f t="shared" si="903"/>
        <v>2.02</v>
      </c>
      <c r="BD269" s="440">
        <f t="shared" si="904"/>
        <v>1.79</v>
      </c>
      <c r="BE269" s="440">
        <f t="shared" si="905"/>
        <v>1.49</v>
      </c>
      <c r="BF269" s="440">
        <f t="shared" si="906"/>
        <v>1.38</v>
      </c>
      <c r="BG269" s="440">
        <f t="shared" si="907"/>
        <v>1.29</v>
      </c>
      <c r="BH269" s="440">
        <f t="shared" si="908"/>
        <v>1.1499999999999999</v>
      </c>
      <c r="BI269" s="440">
        <f t="shared" si="909"/>
        <v>1.1100000000000001</v>
      </c>
      <c r="BJ269" s="440">
        <f t="shared" si="910"/>
        <v>1.1599999999999999</v>
      </c>
      <c r="BK269" s="440">
        <f t="shared" si="911"/>
        <v>0</v>
      </c>
      <c r="BL269" s="440">
        <f t="shared" si="912"/>
        <v>0</v>
      </c>
    </row>
    <row r="270" spans="1:64">
      <c r="A270" t="str">
        <v>c. Jumlah Penambahan Pelanggan Produk Tematik</v>
      </c>
      <c r="B270">
        <v>2</v>
      </c>
      <c r="C270" t="str">
        <v>Jumlah Penambahan Pelanggan Produk Tematik</v>
      </c>
      <c r="D270" s="105" t="s">
        <v>456</v>
      </c>
      <c r="E270" t="str">
        <v>Jumlah Penambahan Pelanggan Produk Tematik</v>
      </c>
      <c r="G270" s="440">
        <v>15</v>
      </c>
      <c r="H270" s="440">
        <v>30</v>
      </c>
      <c r="I270" s="440">
        <v>45</v>
      </c>
      <c r="J270" s="440">
        <v>60</v>
      </c>
      <c r="K270" s="440">
        <v>75</v>
      </c>
      <c r="L270" s="440">
        <v>90</v>
      </c>
      <c r="M270" s="440">
        <v>100</v>
      </c>
      <c r="N270" s="440">
        <v>110</v>
      </c>
      <c r="O270" s="440">
        <v>120</v>
      </c>
      <c r="P270" s="440">
        <v>130</v>
      </c>
      <c r="Q270" s="440">
        <v>140</v>
      </c>
      <c r="R270" s="440">
        <v>150</v>
      </c>
      <c r="T270" t="str">
        <v>Jumlah Penambahan Pelanggan Produk Tematik</v>
      </c>
      <c r="V270" s="440">
        <v>8</v>
      </c>
      <c r="W270" s="440">
        <v>12</v>
      </c>
      <c r="X270" s="440">
        <v>33</v>
      </c>
      <c r="Y270" s="440">
        <v>33</v>
      </c>
      <c r="Z270" s="440">
        <v>42</v>
      </c>
      <c r="AA270" s="440">
        <v>42</v>
      </c>
      <c r="AB270" s="440">
        <v>42</v>
      </c>
      <c r="AC270" s="440">
        <v>68</v>
      </c>
      <c r="AD270" s="440">
        <v>78</v>
      </c>
      <c r="AE270" s="440">
        <v>82</v>
      </c>
      <c r="AF270" s="440">
        <v>0</v>
      </c>
      <c r="AG270" s="440">
        <v>0</v>
      </c>
      <c r="AI270" t="str">
        <v>Jumlah Penambahan Pelanggan Produk Tematik</v>
      </c>
      <c r="AK270" s="440">
        <f t="shared" si="1021"/>
        <v>53.333333333333336</v>
      </c>
      <c r="AL270" s="440">
        <f t="shared" si="1022"/>
        <v>40</v>
      </c>
      <c r="AM270" s="440">
        <f t="shared" si="1023"/>
        <v>73.333333333333329</v>
      </c>
      <c r="AN270" s="440">
        <f t="shared" si="1024"/>
        <v>55.000000000000007</v>
      </c>
      <c r="AO270" s="440">
        <f t="shared" si="1025"/>
        <v>56.000000000000007</v>
      </c>
      <c r="AP270" s="440">
        <f t="shared" si="1026"/>
        <v>46.666666666666664</v>
      </c>
      <c r="AQ270" s="440">
        <f t="shared" si="1027"/>
        <v>42</v>
      </c>
      <c r="AR270" s="440">
        <f t="shared" si="1028"/>
        <v>61.818181818181813</v>
      </c>
      <c r="AS270" s="440">
        <f t="shared" si="1029"/>
        <v>65</v>
      </c>
      <c r="AT270" s="440">
        <f t="shared" si="1030"/>
        <v>63.076923076923073</v>
      </c>
      <c r="AU270" s="440">
        <f t="shared" si="1031"/>
        <v>0</v>
      </c>
      <c r="AV270" s="440">
        <f t="shared" si="1032"/>
        <v>0</v>
      </c>
      <c r="AX270" t="str">
        <v>Jumlah Penambahan Pelanggan Produk Tematik</v>
      </c>
      <c r="AY270" s="105" t="s">
        <v>452</v>
      </c>
      <c r="AZ270">
        <v>2</v>
      </c>
      <c r="BA270" s="440">
        <f t="shared" si="901"/>
        <v>1.06</v>
      </c>
      <c r="BB270" s="440">
        <f t="shared" si="902"/>
        <v>0.8</v>
      </c>
      <c r="BC270" s="440">
        <f t="shared" si="903"/>
        <v>1.46</v>
      </c>
      <c r="BD270" s="440">
        <f t="shared" si="904"/>
        <v>1.1000000000000001</v>
      </c>
      <c r="BE270" s="440">
        <f t="shared" si="905"/>
        <v>1.1200000000000001</v>
      </c>
      <c r="BF270" s="440">
        <f t="shared" si="906"/>
        <v>0.93</v>
      </c>
      <c r="BG270" s="440">
        <f t="shared" si="907"/>
        <v>0.84</v>
      </c>
      <c r="BH270" s="440">
        <f t="shared" si="908"/>
        <v>1.23</v>
      </c>
      <c r="BI270" s="440">
        <f t="shared" si="909"/>
        <v>1.3</v>
      </c>
      <c r="BJ270" s="440">
        <f t="shared" si="910"/>
        <v>1.26</v>
      </c>
      <c r="BK270" s="440">
        <f t="shared" si="911"/>
        <v>0</v>
      </c>
      <c r="BL270" s="440">
        <f t="shared" si="912"/>
        <v>0</v>
      </c>
    </row>
    <row r="271" spans="1:64">
      <c r="A271" t="str">
        <v>d. Implementasi Kesesuaian Sektor Bisnis sesuai KBLI 2020</v>
      </c>
      <c r="B271">
        <v>2</v>
      </c>
      <c r="C271" t="str">
        <v>Implementasi Kesesuaian Sektor Bisnis sesuai KBLI 2020</v>
      </c>
      <c r="D271" s="105" t="s">
        <v>456</v>
      </c>
      <c r="E271" t="str">
        <v>Implementasi Kesesuaian Sektor Bisnis sesuai KBLI 2020</v>
      </c>
      <c r="G271" s="440">
        <v>0</v>
      </c>
      <c r="H271" s="440">
        <v>0</v>
      </c>
      <c r="I271" s="440">
        <v>0</v>
      </c>
      <c r="J271" s="440">
        <v>2</v>
      </c>
      <c r="K271" s="440">
        <v>2</v>
      </c>
      <c r="L271" s="440">
        <v>2</v>
      </c>
      <c r="M271" s="440">
        <v>2</v>
      </c>
      <c r="N271" s="440">
        <v>2</v>
      </c>
      <c r="O271" s="440">
        <v>2</v>
      </c>
      <c r="P271" s="440">
        <v>2</v>
      </c>
      <c r="Q271" s="440">
        <v>2</v>
      </c>
      <c r="R271" s="440">
        <v>2</v>
      </c>
      <c r="T271" t="str">
        <v>Implementasi Kesesuaian Sektor Bisnis sesuai KBLI 2020</v>
      </c>
      <c r="V271" s="440">
        <v>0</v>
      </c>
      <c r="W271" s="440">
        <v>0</v>
      </c>
      <c r="X271" s="440">
        <v>0</v>
      </c>
      <c r="Y271" s="440">
        <v>2</v>
      </c>
      <c r="Z271" s="440">
        <v>2</v>
      </c>
      <c r="AA271" s="440">
        <v>2</v>
      </c>
      <c r="AB271" s="440">
        <v>2</v>
      </c>
      <c r="AC271" s="440">
        <v>2</v>
      </c>
      <c r="AD271" s="440">
        <v>2</v>
      </c>
      <c r="AE271" s="440">
        <v>2</v>
      </c>
      <c r="AF271" s="440">
        <v>0</v>
      </c>
      <c r="AG271" s="440">
        <v>0</v>
      </c>
      <c r="AI271" t="str">
        <v>Implementasi Kesesuaian Sektor Bisnis sesuai KBLI 2020</v>
      </c>
      <c r="AK271" s="440">
        <f t="shared" si="1021"/>
        <v>100</v>
      </c>
      <c r="AL271" s="440">
        <f t="shared" si="1022"/>
        <v>100</v>
      </c>
      <c r="AM271" s="440">
        <f t="shared" si="1023"/>
        <v>100</v>
      </c>
      <c r="AN271" s="440">
        <f t="shared" si="1024"/>
        <v>100</v>
      </c>
      <c r="AO271" s="440">
        <f t="shared" si="1025"/>
        <v>100</v>
      </c>
      <c r="AP271" s="440">
        <f t="shared" si="1026"/>
        <v>100</v>
      </c>
      <c r="AQ271" s="440">
        <f t="shared" si="1027"/>
        <v>100</v>
      </c>
      <c r="AR271" s="440">
        <f t="shared" si="1028"/>
        <v>100</v>
      </c>
      <c r="AS271" s="440">
        <f t="shared" si="1029"/>
        <v>100</v>
      </c>
      <c r="AT271" s="440">
        <f t="shared" si="1030"/>
        <v>100</v>
      </c>
      <c r="AU271" s="440">
        <f t="shared" si="1031"/>
        <v>0</v>
      </c>
      <c r="AV271" s="440">
        <f t="shared" si="1032"/>
        <v>0</v>
      </c>
      <c r="AX271" t="str">
        <v>Implementasi Kesesuaian Sektor Bisnis sesuai KBLI 2020</v>
      </c>
      <c r="AY271" s="105" t="s">
        <v>452</v>
      </c>
      <c r="AZ271">
        <v>2</v>
      </c>
      <c r="BA271" s="440">
        <f t="shared" si="901"/>
        <v>2</v>
      </c>
      <c r="BB271" s="440">
        <f t="shared" si="902"/>
        <v>2</v>
      </c>
      <c r="BC271" s="440">
        <f t="shared" si="903"/>
        <v>2</v>
      </c>
      <c r="BD271" s="440">
        <f t="shared" si="904"/>
        <v>2</v>
      </c>
      <c r="BE271" s="440">
        <f t="shared" si="905"/>
        <v>2</v>
      </c>
      <c r="BF271" s="440">
        <f t="shared" si="906"/>
        <v>2</v>
      </c>
      <c r="BG271" s="440">
        <f t="shared" si="907"/>
        <v>2</v>
      </c>
      <c r="BH271" s="440">
        <f t="shared" si="908"/>
        <v>2</v>
      </c>
      <c r="BI271" s="440">
        <f t="shared" si="909"/>
        <v>2</v>
      </c>
      <c r="BJ271" s="440">
        <f t="shared" si="910"/>
        <v>2</v>
      </c>
      <c r="BK271" s="440">
        <f t="shared" si="911"/>
        <v>0</v>
      </c>
      <c r="BL271" s="440">
        <f t="shared" si="912"/>
        <v>0</v>
      </c>
    </row>
    <row r="272" spans="1:64">
      <c r="A272" t="str">
        <v>a. Penambahan Jumlah Pelanggan Rumah Tangga Lisdes</v>
      </c>
      <c r="B272">
        <v>2</v>
      </c>
      <c r="C272" t="str">
        <v>Penambahan Jumlah Pelanggan Rumah Tangga Lisdes</v>
      </c>
      <c r="D272" s="105" t="s">
        <v>456</v>
      </c>
      <c r="E272" t="str">
        <v>Penambahan Jumlah Pelanggan Rumah Tangga Lisdes</v>
      </c>
      <c r="G272" s="440">
        <v>0</v>
      </c>
      <c r="H272" s="440">
        <v>0</v>
      </c>
      <c r="I272" s="440">
        <v>0</v>
      </c>
      <c r="J272" s="440">
        <v>0</v>
      </c>
      <c r="K272" s="440">
        <v>0</v>
      </c>
      <c r="L272" s="440">
        <v>0</v>
      </c>
      <c r="M272" s="440">
        <v>0</v>
      </c>
      <c r="N272" s="440">
        <v>0</v>
      </c>
      <c r="O272" s="440">
        <v>0</v>
      </c>
      <c r="P272" s="440">
        <v>0</v>
      </c>
      <c r="Q272" s="440">
        <v>0</v>
      </c>
      <c r="R272" s="440">
        <v>0</v>
      </c>
      <c r="T272" t="str">
        <v>Penambahan Jumlah Pelanggan Rumah Tangga Lisdes</v>
      </c>
      <c r="V272" s="440">
        <v>1</v>
      </c>
      <c r="W272" s="440">
        <v>2</v>
      </c>
      <c r="X272" s="440">
        <v>3</v>
      </c>
      <c r="Y272" s="440">
        <v>3</v>
      </c>
      <c r="Z272" s="440">
        <v>3</v>
      </c>
      <c r="AA272" s="440">
        <v>3</v>
      </c>
      <c r="AB272" s="440">
        <v>5</v>
      </c>
      <c r="AC272" s="440">
        <v>5</v>
      </c>
      <c r="AD272" s="440">
        <v>6</v>
      </c>
      <c r="AE272" s="440">
        <v>8</v>
      </c>
      <c r="AF272" s="440">
        <v>0</v>
      </c>
      <c r="AG272" s="440">
        <v>0</v>
      </c>
      <c r="AI272" t="str">
        <v>Penambahan Jumlah Pelanggan Rumah Tangga Lisdes</v>
      </c>
      <c r="AK272" s="440">
        <f t="shared" si="1021"/>
        <v>100</v>
      </c>
      <c r="AL272" s="440">
        <f t="shared" si="1022"/>
        <v>100</v>
      </c>
      <c r="AM272" s="440">
        <f t="shared" si="1023"/>
        <v>100</v>
      </c>
      <c r="AN272" s="440">
        <f t="shared" si="1024"/>
        <v>100</v>
      </c>
      <c r="AO272" s="440">
        <f t="shared" si="1025"/>
        <v>100</v>
      </c>
      <c r="AP272" s="440">
        <f t="shared" si="1026"/>
        <v>100</v>
      </c>
      <c r="AQ272" s="440">
        <f t="shared" si="1027"/>
        <v>100</v>
      </c>
      <c r="AR272" s="440">
        <f t="shared" si="1028"/>
        <v>100</v>
      </c>
      <c r="AS272" s="440">
        <f t="shared" si="1029"/>
        <v>100</v>
      </c>
      <c r="AT272" s="440">
        <f t="shared" si="1030"/>
        <v>100</v>
      </c>
      <c r="AU272" s="440">
        <f t="shared" si="1031"/>
        <v>100</v>
      </c>
      <c r="AV272" s="440">
        <f t="shared" si="1032"/>
        <v>100</v>
      </c>
      <c r="AX272" t="str">
        <v>Penambahan Jumlah Pelanggan Rumah Tangga Lisdes</v>
      </c>
      <c r="AY272" s="105" t="s">
        <v>452</v>
      </c>
      <c r="AZ272">
        <v>2</v>
      </c>
      <c r="BA272" s="440">
        <f t="shared" si="901"/>
        <v>2</v>
      </c>
      <c r="BB272" s="440">
        <f t="shared" si="902"/>
        <v>2</v>
      </c>
      <c r="BC272" s="440">
        <f t="shared" si="903"/>
        <v>2</v>
      </c>
      <c r="BD272" s="440">
        <f t="shared" si="904"/>
        <v>2</v>
      </c>
      <c r="BE272" s="440">
        <f t="shared" si="905"/>
        <v>2</v>
      </c>
      <c r="BF272" s="440">
        <f t="shared" si="906"/>
        <v>2</v>
      </c>
      <c r="BG272" s="440">
        <f t="shared" si="907"/>
        <v>2</v>
      </c>
      <c r="BH272" s="440">
        <f t="shared" si="908"/>
        <v>2</v>
      </c>
      <c r="BI272" s="440">
        <f t="shared" si="909"/>
        <v>2</v>
      </c>
      <c r="BJ272" s="440">
        <f t="shared" si="910"/>
        <v>2</v>
      </c>
      <c r="BK272" s="440">
        <f t="shared" si="911"/>
        <v>2</v>
      </c>
      <c r="BL272" s="440">
        <f t="shared" si="912"/>
        <v>2</v>
      </c>
    </row>
    <row r="273" spans="1:64">
      <c r="A273" t="str">
        <v>b. Peningkatan kWh Penjualan dari Pelanggan Rumah Tangga Lisdes</v>
      </c>
      <c r="B273">
        <v>2</v>
      </c>
      <c r="C273" t="str">
        <v>Peningkatan kWh Penjualan dari Pelanggan Rumah Tangga Lisdes</v>
      </c>
      <c r="D273" s="105" t="s">
        <v>456</v>
      </c>
      <c r="E273" t="str">
        <v>Peningkatan kWh Penjualan dari Pelanggan Rumah Tangga Lisdes</v>
      </c>
      <c r="G273" s="440">
        <v>0</v>
      </c>
      <c r="H273" s="440">
        <v>0</v>
      </c>
      <c r="I273" s="440">
        <v>0</v>
      </c>
      <c r="J273" s="440">
        <v>0</v>
      </c>
      <c r="K273" s="440">
        <v>0</v>
      </c>
      <c r="L273" s="440">
        <v>0</v>
      </c>
      <c r="M273" s="440">
        <v>0</v>
      </c>
      <c r="N273" s="440">
        <v>0</v>
      </c>
      <c r="O273" s="440">
        <v>0</v>
      </c>
      <c r="P273" s="440">
        <v>0</v>
      </c>
      <c r="Q273" s="440">
        <v>0</v>
      </c>
      <c r="R273" s="440">
        <v>0</v>
      </c>
      <c r="T273" t="str">
        <v>Peningkatan kWh Penjualan dari Pelanggan Rumah Tangga Lisdes</v>
      </c>
      <c r="V273" s="440">
        <v>219.1</v>
      </c>
      <c r="W273" s="440">
        <v>369.4</v>
      </c>
      <c r="X273" s="440">
        <v>519.70000000000005</v>
      </c>
      <c r="Y273" s="440">
        <v>519.70000000000005</v>
      </c>
      <c r="Z273" s="440">
        <v>854.8</v>
      </c>
      <c r="AA273" s="440">
        <v>1114.8</v>
      </c>
      <c r="AB273" s="440">
        <v>1913.8</v>
      </c>
      <c r="AC273" s="440">
        <v>2098.6</v>
      </c>
      <c r="AD273" s="440">
        <v>2342.6999999999998</v>
      </c>
      <c r="AE273" s="440">
        <v>3088.1</v>
      </c>
      <c r="AF273" s="440">
        <v>0</v>
      </c>
      <c r="AG273" s="440">
        <v>0</v>
      </c>
      <c r="AI273" t="str">
        <v>Peningkatan kWh Penjualan dari Pelanggan Rumah Tangga Lisdes</v>
      </c>
      <c r="AK273" s="440">
        <f t="shared" si="1021"/>
        <v>100</v>
      </c>
      <c r="AL273" s="440">
        <f t="shared" si="1022"/>
        <v>100</v>
      </c>
      <c r="AM273" s="440">
        <f t="shared" si="1023"/>
        <v>100</v>
      </c>
      <c r="AN273" s="440">
        <f t="shared" si="1024"/>
        <v>100</v>
      </c>
      <c r="AO273" s="440">
        <f t="shared" si="1025"/>
        <v>100</v>
      </c>
      <c r="AP273" s="440">
        <f t="shared" si="1026"/>
        <v>100</v>
      </c>
      <c r="AQ273" s="440">
        <f t="shared" si="1027"/>
        <v>100</v>
      </c>
      <c r="AR273" s="440">
        <f t="shared" si="1028"/>
        <v>100</v>
      </c>
      <c r="AS273" s="440">
        <f t="shared" si="1029"/>
        <v>100</v>
      </c>
      <c r="AT273" s="440">
        <f t="shared" si="1030"/>
        <v>100</v>
      </c>
      <c r="AU273" s="440">
        <f t="shared" si="1031"/>
        <v>100</v>
      </c>
      <c r="AV273" s="440">
        <f t="shared" si="1032"/>
        <v>100</v>
      </c>
      <c r="AX273" t="str">
        <v>Peningkatan kWh Penjualan dari Pelanggan Rumah Tangga Lisdes</v>
      </c>
      <c r="AY273" s="105" t="s">
        <v>452</v>
      </c>
      <c r="AZ273">
        <v>2</v>
      </c>
      <c r="BA273" s="440">
        <f t="shared" si="901"/>
        <v>2</v>
      </c>
      <c r="BB273" s="440">
        <f t="shared" si="902"/>
        <v>2</v>
      </c>
      <c r="BC273" s="440">
        <f t="shared" si="903"/>
        <v>2</v>
      </c>
      <c r="BD273" s="440">
        <f t="shared" si="904"/>
        <v>2</v>
      </c>
      <c r="BE273" s="440">
        <f t="shared" si="905"/>
        <v>2</v>
      </c>
      <c r="BF273" s="440">
        <f t="shared" si="906"/>
        <v>2</v>
      </c>
      <c r="BG273" s="440">
        <f t="shared" si="907"/>
        <v>2</v>
      </c>
      <c r="BH273" s="440">
        <f t="shared" si="908"/>
        <v>2</v>
      </c>
      <c r="BI273" s="440">
        <f t="shared" si="909"/>
        <v>2</v>
      </c>
      <c r="BJ273" s="440">
        <f t="shared" si="910"/>
        <v>2</v>
      </c>
      <c r="BK273" s="440">
        <f t="shared" si="911"/>
        <v>2</v>
      </c>
      <c r="BL273" s="440">
        <f t="shared" si="912"/>
        <v>2</v>
      </c>
    </row>
    <row r="274" spans="1:64">
      <c r="A274" t="str">
        <v>a. Jumlah Pengguna Swa Cam</v>
      </c>
      <c r="B274">
        <v>2</v>
      </c>
      <c r="C274" t="str">
        <v>Jumlah Pengguna Swa Cam</v>
      </c>
      <c r="D274" s="105" t="s">
        <v>456</v>
      </c>
      <c r="E274" t="str">
        <v>Jumlah Pengguna Swa Cam</v>
      </c>
      <c r="G274" s="440">
        <v>414</v>
      </c>
      <c r="H274" s="440">
        <v>414</v>
      </c>
      <c r="I274" s="440">
        <v>414</v>
      </c>
      <c r="J274" s="440">
        <v>414</v>
      </c>
      <c r="K274" s="440">
        <v>414</v>
      </c>
      <c r="L274" s="440">
        <v>414</v>
      </c>
      <c r="M274" s="440">
        <v>414</v>
      </c>
      <c r="N274" s="440">
        <v>414</v>
      </c>
      <c r="O274" s="440">
        <v>414</v>
      </c>
      <c r="P274" s="440">
        <v>414</v>
      </c>
      <c r="Q274" s="440">
        <v>414</v>
      </c>
      <c r="R274" s="440">
        <v>414</v>
      </c>
      <c r="T274" t="str">
        <v>Jumlah Pengguna Swa Cam</v>
      </c>
      <c r="V274" s="440">
        <v>1084</v>
      </c>
      <c r="W274" s="440">
        <v>786</v>
      </c>
      <c r="X274" s="440">
        <v>585</v>
      </c>
      <c r="Y274" s="440">
        <v>687.25</v>
      </c>
      <c r="Z274" s="440">
        <v>654.20000000000005</v>
      </c>
      <c r="AA274" s="440">
        <v>635.16666666666663</v>
      </c>
      <c r="AB274" s="440">
        <v>617.71428571428567</v>
      </c>
      <c r="AC274" s="440">
        <v>606.75</v>
      </c>
      <c r="AD274" s="440">
        <v>599.44444444444446</v>
      </c>
      <c r="AE274" s="440">
        <v>589.9</v>
      </c>
      <c r="AF274" s="440">
        <v>589.9</v>
      </c>
      <c r="AG274" s="440">
        <v>589.9</v>
      </c>
      <c r="AI274" t="str">
        <v>Jumlah Pengguna Swa Cam</v>
      </c>
      <c r="AK274" s="440">
        <f t="shared" si="1021"/>
        <v>110</v>
      </c>
      <c r="AL274" s="440">
        <f t="shared" si="1022"/>
        <v>110</v>
      </c>
      <c r="AM274" s="440">
        <f t="shared" si="1023"/>
        <v>110</v>
      </c>
      <c r="AN274" s="440">
        <f t="shared" si="1024"/>
        <v>110</v>
      </c>
      <c r="AO274" s="440">
        <f t="shared" si="1025"/>
        <v>110</v>
      </c>
      <c r="AP274" s="440">
        <f t="shared" si="1026"/>
        <v>110</v>
      </c>
      <c r="AQ274" s="440">
        <f t="shared" si="1027"/>
        <v>110</v>
      </c>
      <c r="AR274" s="440">
        <f t="shared" si="1028"/>
        <v>110</v>
      </c>
      <c r="AS274" s="440">
        <f t="shared" si="1029"/>
        <v>110</v>
      </c>
      <c r="AT274" s="440">
        <f t="shared" si="1030"/>
        <v>110</v>
      </c>
      <c r="AU274" s="440">
        <f t="shared" si="1031"/>
        <v>110</v>
      </c>
      <c r="AV274" s="440">
        <f t="shared" si="1032"/>
        <v>110</v>
      </c>
      <c r="AX274" t="str">
        <v>Jumlah Pengguna Swa Cam</v>
      </c>
      <c r="AY274" s="105" t="s">
        <v>452</v>
      </c>
      <c r="AZ274">
        <v>4</v>
      </c>
      <c r="BA274" s="440">
        <f t="shared" si="901"/>
        <v>4.4000000000000004</v>
      </c>
      <c r="BB274" s="440">
        <f t="shared" si="902"/>
        <v>4.4000000000000004</v>
      </c>
      <c r="BC274" s="440">
        <f t="shared" si="903"/>
        <v>4.4000000000000004</v>
      </c>
      <c r="BD274" s="440">
        <f t="shared" si="904"/>
        <v>4.4000000000000004</v>
      </c>
      <c r="BE274" s="440">
        <f t="shared" si="905"/>
        <v>4.4000000000000004</v>
      </c>
      <c r="BF274" s="440">
        <f t="shared" si="906"/>
        <v>4.4000000000000004</v>
      </c>
      <c r="BG274" s="440">
        <f t="shared" si="907"/>
        <v>4.4000000000000004</v>
      </c>
      <c r="BH274" s="440">
        <f t="shared" si="908"/>
        <v>4.4000000000000004</v>
      </c>
      <c r="BI274" s="440">
        <f t="shared" si="909"/>
        <v>4.4000000000000004</v>
      </c>
      <c r="BJ274" s="440">
        <f t="shared" si="910"/>
        <v>4.4000000000000004</v>
      </c>
      <c r="BK274" s="440">
        <f t="shared" si="911"/>
        <v>4.4000000000000004</v>
      </c>
      <c r="BL274" s="440">
        <f t="shared" si="912"/>
        <v>4.4000000000000004</v>
      </c>
    </row>
    <row r="275" spans="1:64">
      <c r="A275" t="str">
        <v>b. Tindak Lanjut LBKB (Laporan Bulanan Kelainan Baca Meter)</v>
      </c>
      <c r="B275">
        <v>2</v>
      </c>
      <c r="C275" t="str">
        <v>Tindak Lanjut LBKB (Laporan Bulanan Kelainan Baca Meter)</v>
      </c>
      <c r="D275" s="105" t="s">
        <v>456</v>
      </c>
      <c r="E275" t="str">
        <v>Tindak Lanjut LBKB (Laporan Bulanan Kelainan Baca Meter)</v>
      </c>
      <c r="G275" s="440">
        <v>0</v>
      </c>
      <c r="H275" s="440">
        <v>0</v>
      </c>
      <c r="I275" s="440">
        <v>0</v>
      </c>
      <c r="J275" s="440">
        <v>0</v>
      </c>
      <c r="K275" s="440">
        <v>0</v>
      </c>
      <c r="L275" s="440">
        <v>0</v>
      </c>
      <c r="M275" s="440">
        <v>0</v>
      </c>
      <c r="N275" s="440">
        <v>0</v>
      </c>
      <c r="O275" s="440">
        <v>0</v>
      </c>
      <c r="P275" s="440">
        <v>0</v>
      </c>
      <c r="Q275" s="440">
        <v>0</v>
      </c>
      <c r="R275" s="440">
        <v>0</v>
      </c>
      <c r="T275" t="str">
        <v>Tindak Lanjut LBKB (Laporan Bulanan Kelainan Baca Meter)</v>
      </c>
      <c r="V275" s="440">
        <v>0</v>
      </c>
      <c r="W275" s="440">
        <v>0</v>
      </c>
      <c r="X275" s="440">
        <v>0</v>
      </c>
      <c r="Y275" s="440">
        <v>0</v>
      </c>
      <c r="Z275" s="440">
        <v>0</v>
      </c>
      <c r="AA275" s="440">
        <v>0</v>
      </c>
      <c r="AB275" s="440">
        <v>0</v>
      </c>
      <c r="AC275" s="440">
        <v>0</v>
      </c>
      <c r="AD275" s="440">
        <v>0</v>
      </c>
      <c r="AE275" s="440">
        <v>0</v>
      </c>
      <c r="AF275" s="440">
        <v>0</v>
      </c>
      <c r="AG275" s="440">
        <v>0</v>
      </c>
      <c r="AI275" t="str">
        <v>Tindak Lanjut LBKB (Laporan Bulanan Kelainan Baca Meter)</v>
      </c>
      <c r="AK275" s="440">
        <f t="shared" si="1021"/>
        <v>100</v>
      </c>
      <c r="AL275" s="440">
        <f t="shared" si="1022"/>
        <v>100</v>
      </c>
      <c r="AM275" s="440">
        <f t="shared" si="1023"/>
        <v>100</v>
      </c>
      <c r="AN275" s="440">
        <f t="shared" si="1024"/>
        <v>100</v>
      </c>
      <c r="AO275" s="440">
        <f t="shared" si="1025"/>
        <v>100</v>
      </c>
      <c r="AP275" s="440">
        <f t="shared" si="1026"/>
        <v>100</v>
      </c>
      <c r="AQ275" s="440">
        <f t="shared" si="1027"/>
        <v>100</v>
      </c>
      <c r="AR275" s="440">
        <f t="shared" si="1028"/>
        <v>100</v>
      </c>
      <c r="AS275" s="440">
        <f t="shared" si="1029"/>
        <v>100</v>
      </c>
      <c r="AT275" s="440">
        <f t="shared" si="1030"/>
        <v>100</v>
      </c>
      <c r="AU275" s="440">
        <f t="shared" si="1031"/>
        <v>100</v>
      </c>
      <c r="AV275" s="440">
        <f t="shared" si="1032"/>
        <v>100</v>
      </c>
      <c r="AX275" t="str">
        <v>Tindak Lanjut LBKB (Laporan Bulanan Kelainan Baca Meter)</v>
      </c>
      <c r="AY275" s="105" t="s">
        <v>452</v>
      </c>
      <c r="AZ275">
        <v>4</v>
      </c>
      <c r="BA275" s="440">
        <f t="shared" si="901"/>
        <v>4</v>
      </c>
      <c r="BB275" s="440">
        <f t="shared" si="902"/>
        <v>4</v>
      </c>
      <c r="BC275" s="440">
        <f t="shared" si="903"/>
        <v>4</v>
      </c>
      <c r="BD275" s="440">
        <f t="shared" si="904"/>
        <v>4</v>
      </c>
      <c r="BE275" s="440">
        <f t="shared" si="905"/>
        <v>4</v>
      </c>
      <c r="BF275" s="440">
        <f t="shared" si="906"/>
        <v>4</v>
      </c>
      <c r="BG275" s="440">
        <f t="shared" si="907"/>
        <v>4</v>
      </c>
      <c r="BH275" s="440">
        <f t="shared" si="908"/>
        <v>4</v>
      </c>
      <c r="BI275" s="440">
        <f t="shared" si="909"/>
        <v>4</v>
      </c>
      <c r="BJ275" s="440">
        <f t="shared" si="910"/>
        <v>4</v>
      </c>
      <c r="BK275" s="440">
        <f t="shared" si="911"/>
        <v>4</v>
      </c>
      <c r="BL275" s="440">
        <f t="shared" si="912"/>
        <v>4</v>
      </c>
    </row>
    <row r="276" spans="1:64">
      <c r="A276" t="str">
        <v>Sisa Stand Bongkar Migrasi</v>
      </c>
      <c r="B276" t="e">
        <v>#VALUE!</v>
      </c>
      <c r="C276" t="str">
        <v>Sisa Stand Bongkar Migrasi</v>
      </c>
      <c r="D276" s="105" t="s">
        <v>456</v>
      </c>
      <c r="E276" t="str">
        <v>Sisa Stand Bongkar Migrasi</v>
      </c>
      <c r="G276" s="440">
        <v>100</v>
      </c>
      <c r="H276" s="440">
        <v>100</v>
      </c>
      <c r="I276" s="440">
        <v>100</v>
      </c>
      <c r="J276" s="440">
        <v>100</v>
      </c>
      <c r="K276" s="440">
        <v>100</v>
      </c>
      <c r="L276" s="440">
        <v>100</v>
      </c>
      <c r="M276" s="440">
        <v>100</v>
      </c>
      <c r="N276" s="440">
        <v>100</v>
      </c>
      <c r="O276" s="440">
        <v>100</v>
      </c>
      <c r="P276" s="440">
        <v>100</v>
      </c>
      <c r="Q276" s="440">
        <v>100</v>
      </c>
      <c r="R276" s="440">
        <v>100</v>
      </c>
      <c r="T276" t="str">
        <v>Sisa Stand Bongkar Migrasi</v>
      </c>
      <c r="V276" s="440">
        <v>100</v>
      </c>
      <c r="W276" s="440">
        <v>100</v>
      </c>
      <c r="X276" s="440">
        <v>100</v>
      </c>
      <c r="Y276" s="440">
        <v>100</v>
      </c>
      <c r="Z276" s="440">
        <v>100</v>
      </c>
      <c r="AA276" s="440">
        <v>100</v>
      </c>
      <c r="AB276" s="440">
        <v>100</v>
      </c>
      <c r="AC276" s="440">
        <v>100</v>
      </c>
      <c r="AD276" s="440">
        <v>100</v>
      </c>
      <c r="AE276" s="440">
        <v>100</v>
      </c>
      <c r="AF276" s="440">
        <v>100</v>
      </c>
      <c r="AG276" s="440">
        <v>100</v>
      </c>
      <c r="AI276" t="str">
        <v>Sisa Stand Bongkar Migrasi</v>
      </c>
      <c r="AK276" s="440">
        <f t="shared" si="1021"/>
        <v>100</v>
      </c>
      <c r="AL276" s="440">
        <f t="shared" si="1022"/>
        <v>100</v>
      </c>
      <c r="AM276" s="440">
        <f t="shared" si="1023"/>
        <v>100</v>
      </c>
      <c r="AN276" s="440">
        <f t="shared" si="1024"/>
        <v>100</v>
      </c>
      <c r="AO276" s="440">
        <f t="shared" si="1025"/>
        <v>100</v>
      </c>
      <c r="AP276" s="440">
        <f t="shared" si="1026"/>
        <v>100</v>
      </c>
      <c r="AQ276" s="440">
        <f t="shared" si="1027"/>
        <v>100</v>
      </c>
      <c r="AR276" s="440">
        <f t="shared" si="1028"/>
        <v>100</v>
      </c>
      <c r="AS276" s="440">
        <f t="shared" si="1029"/>
        <v>100</v>
      </c>
      <c r="AT276" s="440">
        <f t="shared" si="1030"/>
        <v>100</v>
      </c>
      <c r="AU276" s="440">
        <f t="shared" si="1031"/>
        <v>100</v>
      </c>
      <c r="AV276" s="440">
        <f t="shared" si="1032"/>
        <v>100</v>
      </c>
      <c r="AX276" t="str">
        <v>Sisa Stand Bongkar Migrasi</v>
      </c>
      <c r="AY276" s="105" t="s">
        <v>452</v>
      </c>
      <c r="AZ276">
        <v>3</v>
      </c>
      <c r="BA276" s="440">
        <f t="shared" si="901"/>
        <v>3</v>
      </c>
      <c r="BB276" s="440">
        <f t="shared" si="902"/>
        <v>3</v>
      </c>
      <c r="BC276" s="440">
        <f t="shared" si="903"/>
        <v>3</v>
      </c>
      <c r="BD276" s="440">
        <f t="shared" si="904"/>
        <v>3</v>
      </c>
      <c r="BE276" s="440">
        <f t="shared" si="905"/>
        <v>3</v>
      </c>
      <c r="BF276" s="440">
        <f t="shared" si="906"/>
        <v>3</v>
      </c>
      <c r="BG276" s="440">
        <f t="shared" si="907"/>
        <v>3</v>
      </c>
      <c r="BH276" s="440">
        <f t="shared" si="908"/>
        <v>3</v>
      </c>
      <c r="BI276" s="440">
        <f t="shared" si="909"/>
        <v>3</v>
      </c>
      <c r="BJ276" s="440">
        <f t="shared" si="910"/>
        <v>3</v>
      </c>
      <c r="BK276" s="440">
        <f t="shared" si="911"/>
        <v>3</v>
      </c>
      <c r="BL276" s="440">
        <f t="shared" si="912"/>
        <v>3</v>
      </c>
    </row>
    <row r="277" spans="1:64">
      <c r="A277" t="str">
        <v>a. Persentase Rata-Rata Saldo Tanggal 20 Non Kogol 1 dan Non Kogol 2</v>
      </c>
      <c r="B277">
        <v>2</v>
      </c>
      <c r="C277" t="str">
        <v>Persentase Rata-Rata Saldo Tanggal 20 Non Kogol 1 dan Non Kogol 2</v>
      </c>
      <c r="D277" s="105" t="s">
        <v>456</v>
      </c>
      <c r="E277" t="str">
        <v>Persentase Rata-Rata Saldo Tanggal 20 Non Kogol 1 dan Non Kogol 2</v>
      </c>
      <c r="G277" s="440">
        <v>213</v>
      </c>
      <c r="H277" s="440">
        <v>213</v>
      </c>
      <c r="I277" s="440">
        <v>213</v>
      </c>
      <c r="J277" s="440">
        <v>213</v>
      </c>
      <c r="K277" s="440">
        <v>213</v>
      </c>
      <c r="L277" s="440">
        <v>213</v>
      </c>
      <c r="M277" s="440">
        <v>213</v>
      </c>
      <c r="N277" s="440">
        <v>213</v>
      </c>
      <c r="O277" s="440">
        <v>213</v>
      </c>
      <c r="P277" s="440">
        <v>213</v>
      </c>
      <c r="Q277" s="440">
        <v>213</v>
      </c>
      <c r="R277" s="440">
        <v>213</v>
      </c>
      <c r="T277" t="str">
        <v>Persentase Rata-Rata Saldo Tanggal 20 Non Kogol 1 dan Non Kogol 2</v>
      </c>
      <c r="V277" s="440">
        <v>217.87441899999999</v>
      </c>
      <c r="W277" s="440">
        <v>221.28408049999999</v>
      </c>
      <c r="X277" s="440">
        <v>249.64832133333334</v>
      </c>
      <c r="Y277" s="440">
        <v>257.82090475000001</v>
      </c>
      <c r="Z277" s="440">
        <v>261.50575980000002</v>
      </c>
      <c r="AA277" s="440">
        <v>292.92861650000003</v>
      </c>
      <c r="AB277" s="440">
        <v>283.552346</v>
      </c>
      <c r="AC277" s="440">
        <v>258.82594562500003</v>
      </c>
      <c r="AD277" s="440">
        <v>239.46162522222227</v>
      </c>
      <c r="AE277" s="440">
        <v>239.46162522222227</v>
      </c>
      <c r="AF277" s="440">
        <v>239.46162522222227</v>
      </c>
      <c r="AG277" s="440">
        <v>239.46162522222227</v>
      </c>
      <c r="AI277" t="str">
        <v>Persentase Rata-Rata Saldo Tanggal 20 Non Kogol 1 dan Non Kogol 2</v>
      </c>
      <c r="AK277" s="440">
        <f t="shared" ref="AK277:AK278" si="1033">IFERROR(IF((2-(V277/G277))*100&gt;110,110,(2-(V277/G277))*100),100)</f>
        <v>97.711540375586864</v>
      </c>
      <c r="AL277" s="440">
        <f t="shared" ref="AL277:AL278" si="1034">IFERROR(IF((2-(W277/H277))*100&gt;110,110,(2-(W277/H277))*100),100)</f>
        <v>96.110760328638506</v>
      </c>
      <c r="AM277" s="440">
        <f t="shared" ref="AM277:AM278" si="1035">IFERROR(IF((2-(X277/I277))*100&gt;110,110,(2-(X277/I277))*100),100)</f>
        <v>82.794215336463225</v>
      </c>
      <c r="AN277" s="440">
        <f t="shared" ref="AN277:AN278" si="1036">IFERROR(IF((2-(Y277/J277))*100&gt;110,110,(2-(Y277/J277))*100),100)</f>
        <v>78.95732171361503</v>
      </c>
      <c r="AO277" s="440">
        <f t="shared" ref="AO277:AO278" si="1037">IFERROR(IF((2-(Z277/K277))*100&gt;110,110,(2-(Z277/K277))*100),100)</f>
        <v>77.227342816901398</v>
      </c>
      <c r="AP277" s="440">
        <f t="shared" ref="AP277:AP278" si="1038">IFERROR(IF((2-(AA277/L277))*100&gt;110,110,(2-(AA277/L277))*100),100)</f>
        <v>62.474827934272284</v>
      </c>
      <c r="AQ277" s="440">
        <f t="shared" ref="AQ277:AQ278" si="1039">IFERROR(IF((2-(AB277/M277))*100&gt;110,110,(2-(AB277/M277))*100),100)</f>
        <v>66.876832863849756</v>
      </c>
      <c r="AR277" s="440">
        <f t="shared" ref="AR277:AR278" si="1040">IFERROR(IF((2-(AC277/N277))*100&gt;110,110,(2-(AC277/N277))*100),100)</f>
        <v>78.485471537558666</v>
      </c>
      <c r="AS277" s="440">
        <f t="shared" ref="AS277:AS278" si="1041">IFERROR(IF((2-(AD277/O277))*100&gt;110,110,(2-(AD277/O277))*100),100)</f>
        <v>87.576701773604569</v>
      </c>
      <c r="AT277" s="440">
        <f t="shared" ref="AT277:AT278" si="1042">IFERROR(IF((2-(AE277/P277))*100&gt;110,110,(2-(AE277/P277))*100),100)</f>
        <v>87.576701773604569</v>
      </c>
      <c r="AU277" s="440">
        <f t="shared" ref="AU277:AU278" si="1043">IFERROR(IF((2-(AF277/Q277))*100&gt;110,110,(2-(AF277/Q277))*100),100)</f>
        <v>87.576701773604569</v>
      </c>
      <c r="AV277" s="440">
        <f t="shared" ref="AV277:AV278" si="1044">IFERROR(IF((2-(AG277/R277))*100&gt;110,110,(2-(AG277/R277))*100),100)</f>
        <v>87.576701773604569</v>
      </c>
      <c r="AX277" t="str">
        <v>Persentase Rata-Rata Saldo Tanggal 20 Non Kogol 1 dan Non Kogol 2</v>
      </c>
      <c r="AY277" s="105" t="s">
        <v>452</v>
      </c>
      <c r="AZ277">
        <v>3</v>
      </c>
      <c r="BA277" s="440">
        <f t="shared" si="901"/>
        <v>2.93</v>
      </c>
      <c r="BB277" s="440">
        <f t="shared" si="902"/>
        <v>2.88</v>
      </c>
      <c r="BC277" s="440">
        <f t="shared" si="903"/>
        <v>2.48</v>
      </c>
      <c r="BD277" s="440">
        <f t="shared" si="904"/>
        <v>2.36</v>
      </c>
      <c r="BE277" s="440">
        <f t="shared" si="905"/>
        <v>2.31</v>
      </c>
      <c r="BF277" s="440">
        <f t="shared" si="906"/>
        <v>1.87</v>
      </c>
      <c r="BG277" s="440">
        <f t="shared" si="907"/>
        <v>2</v>
      </c>
      <c r="BH277" s="440">
        <f t="shared" si="908"/>
        <v>2.35</v>
      </c>
      <c r="BI277" s="440">
        <f t="shared" si="909"/>
        <v>2.62</v>
      </c>
      <c r="BJ277" s="440">
        <f t="shared" si="910"/>
        <v>2.62</v>
      </c>
      <c r="BK277" s="440">
        <f t="shared" si="911"/>
        <v>2.62</v>
      </c>
      <c r="BL277" s="440">
        <f t="shared" si="912"/>
        <v>2.62</v>
      </c>
    </row>
    <row r="278" spans="1:64">
      <c r="A278" t="str">
        <v>b. Pencapaian Saldo Rata-Rata Akhir Bulan Non Kogol 1 dan Non Kogol 2</v>
      </c>
      <c r="B278">
        <v>2</v>
      </c>
      <c r="C278" t="str">
        <v>Pencapaian Saldo Rata-Rata Akhir Bulan Non Kogol 1 dan Non Kogol 2</v>
      </c>
      <c r="D278" s="105" t="s">
        <v>456</v>
      </c>
      <c r="E278" t="str">
        <v>Pencapaian Saldo Rata-Rata Akhir Bulan Non Kogol 1 dan Non Kogol 2</v>
      </c>
      <c r="G278" s="440">
        <v>96.04</v>
      </c>
      <c r="H278" s="440">
        <v>96.04</v>
      </c>
      <c r="I278" s="440">
        <v>96.04</v>
      </c>
      <c r="J278" s="440">
        <v>96.04</v>
      </c>
      <c r="K278" s="440">
        <v>96.04</v>
      </c>
      <c r="L278" s="440">
        <v>96.04</v>
      </c>
      <c r="M278" s="440">
        <v>96.04</v>
      </c>
      <c r="N278" s="440">
        <v>96.04</v>
      </c>
      <c r="O278" s="440">
        <v>96.04</v>
      </c>
      <c r="P278" s="440">
        <v>96.04</v>
      </c>
      <c r="Q278" s="440">
        <v>96.04</v>
      </c>
      <c r="R278" s="440">
        <v>96.04</v>
      </c>
      <c r="T278" t="str">
        <v>Pencapaian Saldo Rata-Rata Akhir Bulan Non Kogol 1 dan Non Kogol 2</v>
      </c>
      <c r="V278" s="440">
        <v>148.600922</v>
      </c>
      <c r="W278" s="440">
        <v>169.88312250000001</v>
      </c>
      <c r="X278" s="440">
        <v>162.62208166666667</v>
      </c>
      <c r="Y278" s="440">
        <v>172.87793300000001</v>
      </c>
      <c r="Z278" s="440">
        <v>168.37847600000001</v>
      </c>
      <c r="AA278" s="440">
        <v>156.22762766666668</v>
      </c>
      <c r="AB278" s="440">
        <v>134.73275485714285</v>
      </c>
      <c r="AC278" s="440">
        <v>118.46785025</v>
      </c>
      <c r="AD278" s="440">
        <v>106.06112455555555</v>
      </c>
      <c r="AE278" s="440">
        <v>95.613041799999991</v>
      </c>
      <c r="AF278" s="440">
        <v>95.613041799999991</v>
      </c>
      <c r="AG278" s="440">
        <v>95.613041799999991</v>
      </c>
      <c r="AI278" t="str">
        <v>Pencapaian Saldo Rata-Rata Akhir Bulan Non Kogol 1 dan Non Kogol 2</v>
      </c>
      <c r="AK278" s="440">
        <f t="shared" si="1033"/>
        <v>45.271842982090817</v>
      </c>
      <c r="AL278" s="440">
        <f t="shared" si="1034"/>
        <v>23.112117346938767</v>
      </c>
      <c r="AM278" s="440">
        <f t="shared" si="1035"/>
        <v>30.672551367485767</v>
      </c>
      <c r="AN278" s="440">
        <f t="shared" si="1036"/>
        <v>19.99382236568097</v>
      </c>
      <c r="AO278" s="440">
        <f t="shared" si="1037"/>
        <v>24.678804664723032</v>
      </c>
      <c r="AP278" s="440">
        <f t="shared" si="1038"/>
        <v>37.330666736082186</v>
      </c>
      <c r="AQ278" s="440">
        <f t="shared" si="1039"/>
        <v>59.71183375974298</v>
      </c>
      <c r="AR278" s="440">
        <f t="shared" si="1040"/>
        <v>76.647386245314465</v>
      </c>
      <c r="AS278" s="440">
        <f t="shared" si="1041"/>
        <v>89.56567622287011</v>
      </c>
      <c r="AT278" s="440">
        <f t="shared" si="1042"/>
        <v>100.44456289046231</v>
      </c>
      <c r="AU278" s="440">
        <f t="shared" si="1043"/>
        <v>100.44456289046231</v>
      </c>
      <c r="AV278" s="440">
        <f t="shared" si="1044"/>
        <v>100.44456289046231</v>
      </c>
      <c r="AX278" t="str">
        <v>Pencapaian Saldo Rata-Rata Akhir Bulan Non Kogol 1 dan Non Kogol 2</v>
      </c>
      <c r="AY278" s="105" t="s">
        <v>452</v>
      </c>
      <c r="AZ278">
        <v>3</v>
      </c>
      <c r="BA278" s="440">
        <f t="shared" si="901"/>
        <v>1.35</v>
      </c>
      <c r="BB278" s="440">
        <f t="shared" si="902"/>
        <v>0.69</v>
      </c>
      <c r="BC278" s="440">
        <f t="shared" si="903"/>
        <v>0.92</v>
      </c>
      <c r="BD278" s="440">
        <f t="shared" si="904"/>
        <v>0.59</v>
      </c>
      <c r="BE278" s="440">
        <f t="shared" si="905"/>
        <v>0.74</v>
      </c>
      <c r="BF278" s="440">
        <f t="shared" si="906"/>
        <v>1.1100000000000001</v>
      </c>
      <c r="BG278" s="440">
        <f t="shared" si="907"/>
        <v>1.79</v>
      </c>
      <c r="BH278" s="440">
        <f t="shared" si="908"/>
        <v>2.29</v>
      </c>
      <c r="BI278" s="440">
        <f t="shared" si="909"/>
        <v>2.68</v>
      </c>
      <c r="BJ278" s="440">
        <f t="shared" si="910"/>
        <v>3.01</v>
      </c>
      <c r="BK278" s="440">
        <f t="shared" si="911"/>
        <v>3.01</v>
      </c>
      <c r="BL278" s="440">
        <f t="shared" si="912"/>
        <v>3.01</v>
      </c>
    </row>
    <row r="279" spans="1:64">
      <c r="A279" t="str">
        <v>c. Pencapaian Pelunasan PRR</v>
      </c>
      <c r="B279">
        <v>2</v>
      </c>
      <c r="C279" t="str">
        <v>Pencapaian Pelunasan PRR</v>
      </c>
      <c r="D279" s="105" t="s">
        <v>456</v>
      </c>
      <c r="E279" t="str">
        <v>Pencapaian Pelunasan PRR</v>
      </c>
      <c r="G279" s="440">
        <v>0.34</v>
      </c>
      <c r="H279" s="440">
        <v>0.68</v>
      </c>
      <c r="I279" s="440">
        <v>1.02</v>
      </c>
      <c r="J279" s="440">
        <v>1.36</v>
      </c>
      <c r="K279" s="440">
        <v>1.7</v>
      </c>
      <c r="L279" s="440">
        <v>2.04</v>
      </c>
      <c r="M279" s="440">
        <v>2.5499999999999998</v>
      </c>
      <c r="N279" s="440">
        <v>3.06</v>
      </c>
      <c r="O279" s="440">
        <v>3.57</v>
      </c>
      <c r="P279" s="440">
        <v>4.08</v>
      </c>
      <c r="Q279" s="440">
        <v>4.59</v>
      </c>
      <c r="R279" s="440">
        <v>5.0999999999999996</v>
      </c>
      <c r="T279" t="str">
        <v>Pencapaian Pelunasan PRR</v>
      </c>
      <c r="V279" s="440">
        <v>0</v>
      </c>
      <c r="W279" s="440">
        <v>0</v>
      </c>
      <c r="X279" s="440">
        <v>1.539625</v>
      </c>
      <c r="Y279" s="440">
        <v>1.539625</v>
      </c>
      <c r="Z279" s="440">
        <v>2.7871760000000001</v>
      </c>
      <c r="AA279" s="440">
        <v>2.7871760000000001</v>
      </c>
      <c r="AB279" s="440">
        <v>2.7871760000000001</v>
      </c>
      <c r="AC279" s="440">
        <v>2.7871760000000001</v>
      </c>
      <c r="AD279" s="440">
        <v>4.3891640000000001</v>
      </c>
      <c r="AE279" s="440">
        <v>4.3891640000000001</v>
      </c>
      <c r="AF279" s="440">
        <v>0</v>
      </c>
      <c r="AG279" s="440">
        <v>0</v>
      </c>
      <c r="AI279" t="str">
        <v>Pencapaian Pelunasan PRR</v>
      </c>
      <c r="AK279" s="440">
        <f t="shared" ref="AK279" si="1045">IFERROR(IF(V279/G279*100&gt;110,110,V279/G279*100),100)</f>
        <v>0</v>
      </c>
      <c r="AL279" s="440">
        <f t="shared" ref="AL279" si="1046">IFERROR(IF(W279/H279*100&gt;110,110,W279/H279*100),100)</f>
        <v>0</v>
      </c>
      <c r="AM279" s="440">
        <f t="shared" ref="AM279" si="1047">IFERROR(IF(X279/I279*100&gt;110,110,X279/I279*100),100)</f>
        <v>110</v>
      </c>
      <c r="AN279" s="440">
        <f t="shared" ref="AN279" si="1048">IFERROR(IF(Y279/J279*100&gt;110,110,Y279/J279*100),100)</f>
        <v>110</v>
      </c>
      <c r="AO279" s="440">
        <f t="shared" ref="AO279" si="1049">IFERROR(IF(Z279/K279*100&gt;110,110,Z279/K279*100),100)</f>
        <v>110</v>
      </c>
      <c r="AP279" s="440">
        <f t="shared" ref="AP279" si="1050">IFERROR(IF(AA279/L279*100&gt;110,110,AA279/L279*100),100)</f>
        <v>110</v>
      </c>
      <c r="AQ279" s="440">
        <f t="shared" ref="AQ279" si="1051">IFERROR(IF(AB279/M279*100&gt;110,110,AB279/M279*100),100)</f>
        <v>109.30101960784316</v>
      </c>
      <c r="AR279" s="440">
        <f t="shared" ref="AR279" si="1052">IFERROR(IF(AC279/N279*100&gt;110,110,AC279/N279*100),100)</f>
        <v>91.084183006535952</v>
      </c>
      <c r="AS279" s="440">
        <f t="shared" ref="AS279" si="1053">IFERROR(IF(AD279/O279*100&gt;110,110,AD279/O279*100),100)</f>
        <v>110</v>
      </c>
      <c r="AT279" s="440">
        <f t="shared" ref="AT279" si="1054">IFERROR(IF(AE279/P279*100&gt;110,110,AE279/P279*100),100)</f>
        <v>107.57754901960783</v>
      </c>
      <c r="AU279" s="440">
        <f t="shared" ref="AU279" si="1055">IFERROR(IF(AF279/Q279*100&gt;110,110,AF279/Q279*100),100)</f>
        <v>0</v>
      </c>
      <c r="AV279" s="440">
        <f t="shared" ref="AV279" si="1056">IFERROR(IF(AG279/R279*100&gt;110,110,AG279/R279*100),100)</f>
        <v>0</v>
      </c>
      <c r="AX279" t="str">
        <v>Pencapaian Pelunasan PRR</v>
      </c>
      <c r="AY279" s="105" t="s">
        <v>452</v>
      </c>
      <c r="AZ279">
        <v>3</v>
      </c>
      <c r="BA279" s="440">
        <f t="shared" si="901"/>
        <v>0</v>
      </c>
      <c r="BB279" s="440">
        <f t="shared" si="902"/>
        <v>0</v>
      </c>
      <c r="BC279" s="440">
        <f t="shared" si="903"/>
        <v>3.3</v>
      </c>
      <c r="BD279" s="440">
        <f t="shared" si="904"/>
        <v>3.3</v>
      </c>
      <c r="BE279" s="440">
        <f t="shared" si="905"/>
        <v>3.3</v>
      </c>
      <c r="BF279" s="440">
        <f t="shared" si="906"/>
        <v>3.3</v>
      </c>
      <c r="BG279" s="440">
        <f t="shared" si="907"/>
        <v>3.27</v>
      </c>
      <c r="BH279" s="440">
        <f t="shared" si="908"/>
        <v>2.73</v>
      </c>
      <c r="BI279" s="440">
        <f t="shared" si="909"/>
        <v>3.3</v>
      </c>
      <c r="BJ279" s="440">
        <f t="shared" si="910"/>
        <v>3.22</v>
      </c>
      <c r="BK279" s="440">
        <f t="shared" si="911"/>
        <v>0</v>
      </c>
      <c r="BL279" s="440">
        <f t="shared" si="912"/>
        <v>0</v>
      </c>
    </row>
  </sheetData>
  <mergeCells count="18">
    <mergeCell ref="CF14:CF18"/>
    <mergeCell ref="CF2:CS2"/>
    <mergeCell ref="CF6:CF8"/>
    <mergeCell ref="CF9:CF13"/>
    <mergeCell ref="AX46:AX49"/>
    <mergeCell ref="BP2:CC2"/>
    <mergeCell ref="BX11:CD11"/>
    <mergeCell ref="BP46:BR46"/>
    <mergeCell ref="AJ1:AV1"/>
    <mergeCell ref="BA1:BM1"/>
    <mergeCell ref="BX3:BX4"/>
    <mergeCell ref="BX5:BX6"/>
    <mergeCell ref="BX7:BX8"/>
    <mergeCell ref="A245:D247"/>
    <mergeCell ref="A62:D64"/>
    <mergeCell ref="A110:D112"/>
    <mergeCell ref="A155:D157"/>
    <mergeCell ref="A200:D202"/>
  </mergeCells>
  <pageMargins left="0.7" right="0.7" top="0.75" bottom="0.75" header="0.3" footer="0.3"/>
  <pageSetup paperSize="9" orientation="portrait" horizontalDpi="0" verticalDpi="0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2D18C-1FDD-4B0F-85DF-B004240F6309}">
  <dimension ref="A1:CA177"/>
  <sheetViews>
    <sheetView topLeftCell="A28" zoomScale="85" zoomScaleNormal="85" workbookViewId="0">
      <selection activeCell="AB48" sqref="AB48"/>
    </sheetView>
  </sheetViews>
  <sheetFormatPr defaultRowHeight="15"/>
  <cols>
    <col min="9" max="35" width="8.85546875" customWidth="1"/>
    <col min="40" max="40" width="11.85546875" bestFit="1" customWidth="1"/>
    <col min="44" max="44" width="5.140625" bestFit="1" customWidth="1"/>
    <col min="58" max="58" width="13.42578125" customWidth="1"/>
    <col min="76" max="76" width="18.7109375" customWidth="1"/>
  </cols>
  <sheetData>
    <row r="1" spans="1:40" ht="15.75" thickBot="1">
      <c r="A1" s="430"/>
      <c r="B1" s="431"/>
      <c r="C1" s="431"/>
      <c r="D1" s="431"/>
      <c r="E1" s="431"/>
      <c r="F1" s="431"/>
      <c r="G1" s="431"/>
      <c r="H1" s="431"/>
      <c r="I1" s="431"/>
      <c r="J1" s="431"/>
      <c r="K1" s="431"/>
      <c r="L1" s="431"/>
      <c r="M1" s="431"/>
      <c r="N1" s="431"/>
      <c r="O1" s="431"/>
      <c r="P1" s="431"/>
      <c r="Q1" s="431"/>
      <c r="R1" s="431"/>
      <c r="S1" s="431"/>
      <c r="T1" s="431"/>
      <c r="U1" s="431"/>
      <c r="V1" s="431"/>
      <c r="W1" s="431"/>
      <c r="X1" s="431"/>
      <c r="Y1" s="431"/>
      <c r="Z1" s="431"/>
      <c r="AA1" s="431"/>
      <c r="AB1" s="431"/>
      <c r="AC1" s="431"/>
      <c r="AD1" s="431"/>
      <c r="AE1" s="431"/>
      <c r="AF1" s="431"/>
      <c r="AG1" s="431"/>
      <c r="AH1" s="431"/>
      <c r="AI1" s="432"/>
    </row>
    <row r="2" spans="1:40">
      <c r="A2" s="433"/>
      <c r="O2" s="850" t="s">
        <v>11</v>
      </c>
      <c r="P2" s="851"/>
      <c r="Q2" s="458"/>
      <c r="R2" s="854"/>
      <c r="S2" s="855"/>
      <c r="T2" s="850" t="s">
        <v>12</v>
      </c>
      <c r="U2" s="851"/>
      <c r="V2" s="458"/>
      <c r="W2" s="854"/>
      <c r="X2" s="855"/>
      <c r="Y2" s="850" t="s">
        <v>5</v>
      </c>
      <c r="Z2" s="863"/>
      <c r="AA2" s="458"/>
      <c r="AB2" s="458"/>
      <c r="AC2" s="459"/>
      <c r="AD2" s="850" t="s">
        <v>14</v>
      </c>
      <c r="AE2" s="851"/>
      <c r="AF2" s="431"/>
      <c r="AG2" s="854"/>
      <c r="AH2" s="855"/>
      <c r="AI2" s="434"/>
      <c r="AN2">
        <v>2025</v>
      </c>
    </row>
    <row r="3" spans="1:40">
      <c r="A3" s="433"/>
      <c r="O3" s="852"/>
      <c r="P3" s="853"/>
      <c r="Q3" s="263"/>
      <c r="R3" s="856"/>
      <c r="S3" s="857"/>
      <c r="T3" s="852"/>
      <c r="U3" s="853"/>
      <c r="V3" s="263"/>
      <c r="W3" s="856"/>
      <c r="X3" s="857"/>
      <c r="Y3" s="864"/>
      <c r="Z3" s="865"/>
      <c r="AA3" s="263"/>
      <c r="AB3" s="263"/>
      <c r="AC3" s="460"/>
      <c r="AD3" s="852"/>
      <c r="AE3" s="853"/>
      <c r="AG3" s="856"/>
      <c r="AH3" s="857"/>
      <c r="AI3" s="434"/>
      <c r="AM3">
        <v>1</v>
      </c>
      <c r="AN3" s="438">
        <f>DATE(2025,AM3+1,0)</f>
        <v>45688</v>
      </c>
    </row>
    <row r="4" spans="1:40">
      <c r="A4" s="433"/>
      <c r="O4" s="852"/>
      <c r="P4" s="853"/>
      <c r="Q4" s="263"/>
      <c r="R4" s="856"/>
      <c r="S4" s="857"/>
      <c r="T4" s="852"/>
      <c r="U4" s="853"/>
      <c r="V4" s="263"/>
      <c r="W4" s="856"/>
      <c r="X4" s="857"/>
      <c r="Y4" s="864"/>
      <c r="Z4" s="865"/>
      <c r="AA4" s="263"/>
      <c r="AB4" s="263"/>
      <c r="AC4" s="460"/>
      <c r="AD4" s="852"/>
      <c r="AE4" s="853"/>
      <c r="AG4" s="856"/>
      <c r="AH4" s="857"/>
      <c r="AI4" s="434"/>
      <c r="AM4">
        <v>2</v>
      </c>
      <c r="AN4" s="438">
        <f t="shared" ref="AN4:AN14" si="0">DATE(2025,AM4+1,0)</f>
        <v>45716</v>
      </c>
    </row>
    <row r="5" spans="1:40">
      <c r="A5" s="433"/>
      <c r="O5" s="433"/>
      <c r="S5" s="434"/>
      <c r="T5" s="433"/>
      <c r="X5" s="434"/>
      <c r="Y5" s="433"/>
      <c r="AC5" s="434"/>
      <c r="AD5" s="433"/>
      <c r="AH5" s="434"/>
      <c r="AI5" s="434"/>
      <c r="AM5">
        <v>3</v>
      </c>
      <c r="AN5" s="438">
        <f t="shared" si="0"/>
        <v>45747</v>
      </c>
    </row>
    <row r="6" spans="1:40">
      <c r="A6" s="433"/>
      <c r="O6" s="433"/>
      <c r="S6" s="434"/>
      <c r="T6" s="433"/>
      <c r="X6" s="434"/>
      <c r="Y6" s="433"/>
      <c r="AC6" s="434"/>
      <c r="AD6" s="433"/>
      <c r="AH6" s="434"/>
      <c r="AI6" s="434"/>
      <c r="AM6">
        <v>4</v>
      </c>
      <c r="AN6" s="438">
        <f t="shared" si="0"/>
        <v>45777</v>
      </c>
    </row>
    <row r="7" spans="1:40">
      <c r="A7" s="433"/>
      <c r="O7" s="433"/>
      <c r="S7" s="434"/>
      <c r="T7" s="433"/>
      <c r="X7" s="434"/>
      <c r="Y7" s="433"/>
      <c r="AC7" s="434"/>
      <c r="AD7" s="433"/>
      <c r="AH7" s="434"/>
      <c r="AI7" s="434"/>
      <c r="AM7">
        <v>5</v>
      </c>
      <c r="AN7" s="438">
        <f t="shared" si="0"/>
        <v>45808</v>
      </c>
    </row>
    <row r="8" spans="1:40" ht="15.75" thickBot="1">
      <c r="A8" s="433"/>
      <c r="O8" s="435"/>
      <c r="P8" s="436"/>
      <c r="Q8" s="436"/>
      <c r="R8" s="436"/>
      <c r="S8" s="437"/>
      <c r="T8" s="435"/>
      <c r="U8" s="436"/>
      <c r="V8" s="436"/>
      <c r="W8" s="436"/>
      <c r="X8" s="437"/>
      <c r="Y8" s="435"/>
      <c r="Z8" s="436"/>
      <c r="AA8" s="436"/>
      <c r="AB8" s="436"/>
      <c r="AC8" s="437"/>
      <c r="AD8" s="435"/>
      <c r="AE8" s="436"/>
      <c r="AF8" s="436"/>
      <c r="AG8" s="436"/>
      <c r="AH8" s="437"/>
      <c r="AI8" s="434"/>
      <c r="AM8">
        <v>6</v>
      </c>
      <c r="AN8" s="438">
        <f t="shared" si="0"/>
        <v>45838</v>
      </c>
    </row>
    <row r="9" spans="1:40">
      <c r="A9" s="433"/>
      <c r="AD9" s="850"/>
      <c r="AE9" s="851"/>
      <c r="AF9" s="431"/>
      <c r="AG9" s="854"/>
      <c r="AH9" s="855"/>
      <c r="AI9" s="434"/>
      <c r="AM9">
        <v>7</v>
      </c>
      <c r="AN9" s="438">
        <f t="shared" si="0"/>
        <v>45869</v>
      </c>
    </row>
    <row r="10" spans="1:40">
      <c r="A10" s="433"/>
      <c r="AD10" s="852"/>
      <c r="AE10" s="853"/>
      <c r="AG10" s="856"/>
      <c r="AH10" s="857"/>
      <c r="AI10" s="434"/>
      <c r="AM10">
        <v>8</v>
      </c>
      <c r="AN10" s="438">
        <f t="shared" si="0"/>
        <v>45900</v>
      </c>
    </row>
    <row r="11" spans="1:40" ht="14.45" customHeight="1">
      <c r="A11" s="433"/>
      <c r="O11" s="848" t="s">
        <v>467</v>
      </c>
      <c r="P11" s="848"/>
      <c r="Q11" s="848" t="s">
        <v>452</v>
      </c>
      <c r="R11" s="862">
        <v>45961</v>
      </c>
      <c r="S11" s="862"/>
      <c r="T11" s="862"/>
      <c r="AD11" s="852"/>
      <c r="AE11" s="853"/>
      <c r="AG11" s="856"/>
      <c r="AH11" s="857"/>
      <c r="AI11" s="434"/>
      <c r="AM11">
        <v>9</v>
      </c>
      <c r="AN11" s="438">
        <f t="shared" si="0"/>
        <v>45930</v>
      </c>
    </row>
    <row r="12" spans="1:40" ht="14.45" customHeight="1">
      <c r="A12" s="433"/>
      <c r="O12" s="848"/>
      <c r="P12" s="848"/>
      <c r="Q12" s="848"/>
      <c r="R12" s="862"/>
      <c r="S12" s="862"/>
      <c r="T12" s="862"/>
      <c r="AD12" s="433"/>
      <c r="AH12" s="434"/>
      <c r="AI12" s="434"/>
      <c r="AM12">
        <v>10</v>
      </c>
      <c r="AN12" s="438">
        <f t="shared" si="0"/>
        <v>45961</v>
      </c>
    </row>
    <row r="13" spans="1:40">
      <c r="A13" s="433"/>
      <c r="AD13" s="433"/>
      <c r="AH13" s="434"/>
      <c r="AI13" s="434"/>
      <c r="AM13">
        <v>11</v>
      </c>
      <c r="AN13" s="438">
        <f t="shared" si="0"/>
        <v>45991</v>
      </c>
    </row>
    <row r="14" spans="1:40" ht="15.75" thickBot="1">
      <c r="A14" s="433"/>
      <c r="AD14" s="433"/>
      <c r="AH14" s="434"/>
      <c r="AI14" s="434"/>
      <c r="AM14">
        <v>12</v>
      </c>
      <c r="AN14" s="438">
        <f t="shared" si="0"/>
        <v>46022</v>
      </c>
    </row>
    <row r="15" spans="1:40" ht="15.75" thickBot="1">
      <c r="A15" s="433"/>
      <c r="O15" s="846"/>
      <c r="P15" s="847"/>
      <c r="Q15" s="840" t="s">
        <v>9</v>
      </c>
      <c r="R15" s="840"/>
      <c r="S15" s="840">
        <f>STRG!BZ3</f>
        <v>6</v>
      </c>
      <c r="T15" s="841"/>
      <c r="AD15" s="435"/>
      <c r="AE15" s="436"/>
      <c r="AF15" s="436"/>
      <c r="AG15" s="436"/>
      <c r="AH15" s="437"/>
      <c r="AI15" s="434"/>
    </row>
    <row r="16" spans="1:40" ht="15.75" thickBot="1">
      <c r="A16" s="433"/>
      <c r="O16" s="835"/>
      <c r="P16" s="836"/>
      <c r="Q16" s="839"/>
      <c r="R16" s="839"/>
      <c r="S16" s="839"/>
      <c r="T16" s="842"/>
      <c r="AI16" s="434"/>
    </row>
    <row r="17" spans="1:38">
      <c r="A17" s="433"/>
      <c r="O17" s="835"/>
      <c r="P17" s="836"/>
      <c r="Q17" s="840" t="s">
        <v>457</v>
      </c>
      <c r="R17" s="840"/>
      <c r="S17" s="839">
        <f>STRG!BZ4</f>
        <v>27</v>
      </c>
      <c r="T17" s="842"/>
      <c r="AI17" s="434"/>
    </row>
    <row r="18" spans="1:38" ht="15" customHeight="1" thickBot="1">
      <c r="A18" s="433"/>
      <c r="O18" s="837"/>
      <c r="P18" s="838"/>
      <c r="Q18" s="843"/>
      <c r="R18" s="843"/>
      <c r="S18" s="843"/>
      <c r="T18" s="860"/>
      <c r="AE18" s="449"/>
      <c r="AF18" s="449"/>
      <c r="AI18" s="434"/>
    </row>
    <row r="19" spans="1:38" ht="14.45" customHeight="1">
      <c r="A19" s="433"/>
      <c r="O19" s="846"/>
      <c r="P19" s="847"/>
      <c r="Q19" s="840" t="s">
        <v>9</v>
      </c>
      <c r="R19" s="840"/>
      <c r="S19" s="840">
        <f>STRG!BZ5</f>
        <v>1</v>
      </c>
      <c r="T19" s="841"/>
      <c r="AE19" s="449"/>
      <c r="AF19" s="449"/>
      <c r="AI19" s="434"/>
    </row>
    <row r="20" spans="1:38" ht="14.45" customHeight="1">
      <c r="A20" s="433"/>
      <c r="O20" s="835"/>
      <c r="P20" s="836"/>
      <c r="Q20" s="839"/>
      <c r="R20" s="839"/>
      <c r="S20" s="839"/>
      <c r="T20" s="842"/>
      <c r="AD20" s="449"/>
      <c r="AE20" s="449"/>
      <c r="AF20" s="449"/>
      <c r="AI20" s="434"/>
      <c r="AK20">
        <v>6</v>
      </c>
      <c r="AL20">
        <f>AK20*101/100</f>
        <v>6.06</v>
      </c>
    </row>
    <row r="21" spans="1:38" ht="14.45" customHeight="1">
      <c r="A21" s="433"/>
      <c r="O21" s="835"/>
      <c r="P21" s="836"/>
      <c r="Q21" s="839" t="s">
        <v>457</v>
      </c>
      <c r="R21" s="839"/>
      <c r="S21" s="839">
        <f>STRG!BZ6</f>
        <v>2</v>
      </c>
      <c r="T21" s="842"/>
      <c r="AD21" s="449"/>
      <c r="AE21" s="449"/>
      <c r="AF21" s="449"/>
      <c r="AI21" s="434"/>
    </row>
    <row r="22" spans="1:38" ht="15" customHeight="1" thickBot="1">
      <c r="A22" s="433"/>
      <c r="O22" s="837"/>
      <c r="P22" s="838"/>
      <c r="Q22" s="843"/>
      <c r="R22" s="843"/>
      <c r="S22" s="843"/>
      <c r="T22" s="860"/>
      <c r="AD22" s="449"/>
      <c r="AE22" s="449"/>
      <c r="AF22" s="449"/>
      <c r="AI22" s="434"/>
    </row>
    <row r="23" spans="1:38" ht="14.45" customHeight="1">
      <c r="A23" s="433"/>
      <c r="O23" s="835"/>
      <c r="P23" s="836"/>
      <c r="Q23" s="839" t="s">
        <v>9</v>
      </c>
      <c r="R23" s="839"/>
      <c r="S23" s="840">
        <f>STRG!BZ7</f>
        <v>0</v>
      </c>
      <c r="T23" s="841"/>
      <c r="AD23" s="449"/>
      <c r="AE23" s="449"/>
      <c r="AF23" s="449"/>
      <c r="AI23" s="434"/>
    </row>
    <row r="24" spans="1:38" ht="15.75" thickBot="1">
      <c r="A24" s="433"/>
      <c r="O24" s="835"/>
      <c r="P24" s="836"/>
      <c r="Q24" s="839"/>
      <c r="R24" s="839"/>
      <c r="S24" s="839"/>
      <c r="T24" s="842"/>
      <c r="AI24" s="434"/>
    </row>
    <row r="25" spans="1:38">
      <c r="A25" s="433"/>
      <c r="O25" s="835"/>
      <c r="P25" s="836"/>
      <c r="Q25" s="840" t="s">
        <v>457</v>
      </c>
      <c r="R25" s="840"/>
      <c r="S25" s="839">
        <f>STRG!BZ8</f>
        <v>3</v>
      </c>
      <c r="T25" s="842"/>
      <c r="AI25" s="434"/>
    </row>
    <row r="26" spans="1:38" ht="15" customHeight="1" thickBot="1">
      <c r="A26" s="433"/>
      <c r="O26" s="837"/>
      <c r="P26" s="838"/>
      <c r="Q26" s="843"/>
      <c r="R26" s="843"/>
      <c r="S26" s="843"/>
      <c r="T26" s="860"/>
      <c r="AB26" s="861">
        <f>SUM(STRG!CC3:CC5)</f>
        <v>39</v>
      </c>
      <c r="AC26" s="858" t="s">
        <v>468</v>
      </c>
      <c r="AD26" s="858"/>
      <c r="AI26" s="434"/>
    </row>
    <row r="27" spans="1:38" ht="14.45" customHeight="1">
      <c r="A27" s="433"/>
      <c r="AB27" s="861"/>
      <c r="AC27" s="858"/>
      <c r="AD27" s="858"/>
      <c r="AI27" s="434"/>
    </row>
    <row r="28" spans="1:38">
      <c r="A28" s="433"/>
      <c r="AI28" s="434"/>
    </row>
    <row r="29" spans="1:38">
      <c r="A29" s="433"/>
      <c r="AI29" s="434"/>
    </row>
    <row r="30" spans="1:38">
      <c r="A30" s="433"/>
      <c r="AB30" s="859" t="s">
        <v>470</v>
      </c>
      <c r="AC30" s="859"/>
      <c r="AD30" s="859"/>
      <c r="AE30" s="859"/>
      <c r="AF30" s="859"/>
      <c r="AG30" s="859"/>
      <c r="AH30" s="859"/>
      <c r="AI30" s="434"/>
    </row>
    <row r="31" spans="1:38">
      <c r="A31" s="433"/>
      <c r="AB31" s="859"/>
      <c r="AC31" s="859"/>
      <c r="AD31" s="859"/>
      <c r="AE31" s="859"/>
      <c r="AF31" s="859"/>
      <c r="AG31" s="859"/>
      <c r="AH31" s="859"/>
      <c r="AI31" s="434"/>
    </row>
    <row r="32" spans="1:38" ht="14.45" customHeight="1">
      <c r="A32" s="433"/>
      <c r="AB32" s="859"/>
      <c r="AC32" s="859"/>
      <c r="AD32" s="859"/>
      <c r="AE32" s="859"/>
      <c r="AF32" s="859"/>
      <c r="AG32" s="859"/>
      <c r="AH32" s="859"/>
      <c r="AI32" s="434"/>
    </row>
    <row r="33" spans="1:35" ht="14.45" customHeight="1">
      <c r="A33" s="433"/>
      <c r="AI33" s="434"/>
    </row>
    <row r="34" spans="1:35">
      <c r="A34" s="433"/>
      <c r="O34" s="859" t="s">
        <v>469</v>
      </c>
      <c r="P34" s="859"/>
      <c r="Q34" s="859"/>
      <c r="R34" s="859"/>
      <c r="S34" s="859"/>
      <c r="T34" s="859"/>
      <c r="U34" s="859"/>
      <c r="V34" s="859"/>
      <c r="W34" s="859"/>
      <c r="X34" s="859"/>
      <c r="Y34" s="859"/>
      <c r="Z34" s="859"/>
      <c r="AI34" s="434"/>
    </row>
    <row r="35" spans="1:35">
      <c r="A35" s="433"/>
      <c r="O35" s="859"/>
      <c r="P35" s="859"/>
      <c r="Q35" s="859"/>
      <c r="R35" s="859"/>
      <c r="S35" s="859"/>
      <c r="T35" s="859"/>
      <c r="U35" s="859"/>
      <c r="V35" s="859"/>
      <c r="W35" s="859"/>
      <c r="X35" s="859"/>
      <c r="Y35" s="859"/>
      <c r="Z35" s="859"/>
      <c r="AI35" s="434"/>
    </row>
    <row r="36" spans="1:35">
      <c r="A36" s="433"/>
      <c r="O36" s="859"/>
      <c r="P36" s="859"/>
      <c r="Q36" s="859"/>
      <c r="R36" s="859"/>
      <c r="S36" s="859"/>
      <c r="T36" s="859"/>
      <c r="U36" s="859"/>
      <c r="V36" s="859"/>
      <c r="W36" s="859"/>
      <c r="X36" s="859"/>
      <c r="Y36" s="859"/>
      <c r="Z36" s="859"/>
      <c r="AI36" s="434"/>
    </row>
    <row r="37" spans="1:35">
      <c r="A37" s="433"/>
      <c r="AI37" s="434"/>
    </row>
    <row r="38" spans="1:35">
      <c r="A38" s="433"/>
      <c r="AI38" s="434"/>
    </row>
    <row r="39" spans="1:35">
      <c r="A39" s="433"/>
      <c r="AI39" s="434"/>
    </row>
    <row r="40" spans="1:35">
      <c r="A40" s="433"/>
      <c r="AI40" s="434"/>
    </row>
    <row r="41" spans="1:35">
      <c r="A41" s="433"/>
      <c r="AI41" s="434"/>
    </row>
    <row r="42" spans="1:35">
      <c r="A42" s="433"/>
      <c r="AI42" s="434"/>
    </row>
    <row r="43" spans="1:35">
      <c r="A43" s="433"/>
      <c r="AI43" s="434"/>
    </row>
    <row r="44" spans="1:35">
      <c r="A44" s="433"/>
      <c r="AI44" s="434"/>
    </row>
    <row r="45" spans="1:35">
      <c r="A45" s="433"/>
      <c r="AI45" s="434"/>
    </row>
    <row r="46" spans="1:35">
      <c r="A46" s="433"/>
      <c r="AI46" s="434"/>
    </row>
    <row r="47" spans="1:35">
      <c r="A47" s="433"/>
      <c r="AI47" s="434"/>
    </row>
    <row r="48" spans="1:35">
      <c r="A48" s="433"/>
      <c r="AI48" s="434"/>
    </row>
    <row r="49" spans="1:35">
      <c r="A49" s="433"/>
      <c r="AI49" s="434"/>
    </row>
    <row r="50" spans="1:35">
      <c r="A50" s="433"/>
      <c r="AI50" s="434"/>
    </row>
    <row r="51" spans="1:35">
      <c r="A51" s="433"/>
      <c r="AI51" s="434"/>
    </row>
    <row r="52" spans="1:35">
      <c r="A52" s="433"/>
      <c r="AI52" s="434"/>
    </row>
    <row r="53" spans="1:35">
      <c r="A53" s="433"/>
      <c r="AI53" s="434"/>
    </row>
    <row r="54" spans="1:35">
      <c r="A54" s="433"/>
      <c r="AI54" s="434"/>
    </row>
    <row r="55" spans="1:35">
      <c r="A55" s="433"/>
      <c r="AI55" s="434"/>
    </row>
    <row r="56" spans="1:35">
      <c r="A56" s="433"/>
      <c r="AI56" s="434"/>
    </row>
    <row r="57" spans="1:35" ht="15.75" thickBot="1">
      <c r="A57" s="435"/>
      <c r="B57" s="436"/>
      <c r="C57" s="436"/>
      <c r="D57" s="436"/>
      <c r="E57" s="436"/>
      <c r="F57" s="436"/>
      <c r="G57" s="436"/>
      <c r="H57" s="436"/>
      <c r="I57" s="436"/>
      <c r="J57" s="436"/>
      <c r="K57" s="436"/>
      <c r="L57" s="436"/>
      <c r="M57" s="436"/>
      <c r="N57" s="436"/>
      <c r="O57" s="436"/>
      <c r="P57" s="436"/>
      <c r="Q57" s="436"/>
      <c r="R57" s="436"/>
      <c r="S57" s="436"/>
      <c r="T57" s="436"/>
      <c r="U57" s="436"/>
      <c r="V57" s="436"/>
      <c r="W57" s="436"/>
      <c r="X57" s="436"/>
      <c r="Y57" s="436"/>
      <c r="Z57" s="436"/>
      <c r="AA57" s="436"/>
      <c r="AB57" s="436"/>
      <c r="AC57" s="436"/>
      <c r="AD57" s="436"/>
      <c r="AE57" s="436"/>
      <c r="AF57" s="436"/>
      <c r="AG57" s="436"/>
      <c r="AH57" s="436"/>
      <c r="AI57" s="437"/>
    </row>
    <row r="59" spans="1:35" ht="15.75" thickBot="1"/>
    <row r="60" spans="1:35">
      <c r="A60" s="430"/>
      <c r="B60" s="431"/>
      <c r="C60" s="431"/>
      <c r="D60" s="431"/>
      <c r="E60" s="431"/>
      <c r="F60" s="431"/>
      <c r="G60" s="431"/>
      <c r="H60" s="431"/>
      <c r="I60" s="431"/>
      <c r="J60" s="431"/>
      <c r="K60" s="431"/>
      <c r="L60" s="431"/>
      <c r="M60" s="431"/>
      <c r="N60" s="431"/>
      <c r="O60" s="431"/>
      <c r="P60" s="431"/>
      <c r="Q60" s="431"/>
      <c r="R60" s="431"/>
      <c r="S60" s="431"/>
      <c r="T60" s="431"/>
      <c r="U60" s="431"/>
      <c r="V60" s="431"/>
      <c r="W60" s="431"/>
      <c r="X60" s="431"/>
      <c r="Y60" s="431"/>
      <c r="Z60" s="431"/>
      <c r="AA60" s="431"/>
      <c r="AB60" s="431"/>
      <c r="AC60" s="431"/>
      <c r="AD60" s="431"/>
      <c r="AE60" s="431"/>
      <c r="AF60" s="431"/>
      <c r="AG60" s="431"/>
      <c r="AH60" s="431"/>
      <c r="AI60" s="432"/>
    </row>
    <row r="61" spans="1:35" ht="15" customHeight="1">
      <c r="A61" s="433"/>
      <c r="O61" s="848" t="s">
        <v>471</v>
      </c>
      <c r="P61" s="848"/>
      <c r="Q61" s="848" t="s">
        <v>452</v>
      </c>
      <c r="R61" s="849" t="s">
        <v>501</v>
      </c>
      <c r="S61" s="849"/>
      <c r="T61" s="849"/>
      <c r="U61" s="849"/>
      <c r="V61" s="849"/>
      <c r="W61" s="849"/>
      <c r="X61" s="849"/>
      <c r="Y61" s="849"/>
      <c r="Z61" s="849"/>
      <c r="AA61" s="849"/>
      <c r="AB61" s="849"/>
      <c r="AC61" s="849"/>
      <c r="AD61" s="849"/>
      <c r="AE61" s="849"/>
      <c r="AF61" s="849"/>
      <c r="AG61" s="849"/>
      <c r="AH61" s="849"/>
      <c r="AI61" s="434"/>
    </row>
    <row r="62" spans="1:35" ht="15" customHeight="1">
      <c r="A62" s="433"/>
      <c r="O62" s="848"/>
      <c r="P62" s="848"/>
      <c r="Q62" s="848"/>
      <c r="R62" s="849"/>
      <c r="S62" s="849"/>
      <c r="T62" s="849"/>
      <c r="U62" s="849"/>
      <c r="V62" s="849"/>
      <c r="W62" s="849"/>
      <c r="X62" s="849"/>
      <c r="Y62" s="849"/>
      <c r="Z62" s="849"/>
      <c r="AA62" s="849"/>
      <c r="AB62" s="849"/>
      <c r="AC62" s="849"/>
      <c r="AD62" s="849"/>
      <c r="AE62" s="849"/>
      <c r="AF62" s="849"/>
      <c r="AG62" s="849"/>
      <c r="AH62" s="849"/>
      <c r="AI62" s="434"/>
    </row>
    <row r="63" spans="1:35">
      <c r="A63" s="433"/>
      <c r="AI63" s="434"/>
    </row>
    <row r="64" spans="1:35">
      <c r="A64" s="433"/>
      <c r="AI64" s="434"/>
    </row>
    <row r="65" spans="1:35">
      <c r="A65" s="433"/>
      <c r="AI65" s="434"/>
    </row>
    <row r="66" spans="1:35">
      <c r="A66" s="433"/>
      <c r="AI66" s="434"/>
    </row>
    <row r="67" spans="1:35">
      <c r="A67" s="433"/>
      <c r="AI67" s="434"/>
    </row>
    <row r="68" spans="1:35">
      <c r="A68" s="433"/>
      <c r="AI68" s="434"/>
    </row>
    <row r="69" spans="1:35">
      <c r="A69" s="433"/>
      <c r="AI69" s="434"/>
    </row>
    <row r="70" spans="1:35">
      <c r="A70" s="433"/>
      <c r="AI70" s="434"/>
    </row>
    <row r="71" spans="1:35">
      <c r="A71" s="433"/>
      <c r="AI71" s="434"/>
    </row>
    <row r="72" spans="1:35">
      <c r="A72" s="433"/>
      <c r="AI72" s="434"/>
    </row>
    <row r="73" spans="1:35">
      <c r="A73" s="433"/>
      <c r="AI73" s="434"/>
    </row>
    <row r="74" spans="1:35">
      <c r="A74" s="433"/>
      <c r="AI74" s="434"/>
    </row>
    <row r="75" spans="1:35">
      <c r="A75" s="433"/>
      <c r="AI75" s="434"/>
    </row>
    <row r="76" spans="1:35">
      <c r="A76" s="433"/>
      <c r="AI76" s="434"/>
    </row>
    <row r="77" spans="1:35">
      <c r="A77" s="433"/>
      <c r="AI77" s="434"/>
    </row>
    <row r="78" spans="1:35">
      <c r="A78" s="433"/>
      <c r="AI78" s="434"/>
    </row>
    <row r="79" spans="1:35">
      <c r="A79" s="433"/>
      <c r="AI79" s="434"/>
    </row>
    <row r="80" spans="1:35">
      <c r="A80" s="433"/>
      <c r="AI80" s="434"/>
    </row>
    <row r="81" spans="1:35">
      <c r="A81" s="433"/>
      <c r="AI81" s="434"/>
    </row>
    <row r="82" spans="1:35">
      <c r="A82" s="433"/>
      <c r="AI82" s="434"/>
    </row>
    <row r="83" spans="1:35">
      <c r="A83" s="433"/>
      <c r="AI83" s="434"/>
    </row>
    <row r="84" spans="1:35">
      <c r="A84" s="433"/>
      <c r="AI84" s="434"/>
    </row>
    <row r="85" spans="1:35">
      <c r="A85" s="433"/>
      <c r="AI85" s="434"/>
    </row>
    <row r="86" spans="1:35">
      <c r="A86" s="433"/>
      <c r="AI86" s="434"/>
    </row>
    <row r="87" spans="1:35">
      <c r="A87" s="433"/>
      <c r="AI87" s="434"/>
    </row>
    <row r="88" spans="1:35">
      <c r="A88" s="433"/>
      <c r="AI88" s="434"/>
    </row>
    <row r="89" spans="1:35">
      <c r="A89" s="433"/>
      <c r="AI89" s="434"/>
    </row>
    <row r="90" spans="1:35">
      <c r="A90" s="433"/>
      <c r="AI90" s="434"/>
    </row>
    <row r="91" spans="1:35">
      <c r="A91" s="433"/>
      <c r="AI91" s="434"/>
    </row>
    <row r="92" spans="1:35">
      <c r="A92" s="433"/>
      <c r="AI92" s="434"/>
    </row>
    <row r="93" spans="1:35">
      <c r="A93" s="433"/>
      <c r="AI93" s="434"/>
    </row>
    <row r="94" spans="1:35">
      <c r="A94" s="433"/>
      <c r="AI94" s="434"/>
    </row>
    <row r="95" spans="1:35">
      <c r="A95" s="433"/>
      <c r="AI95" s="434"/>
    </row>
    <row r="96" spans="1:35">
      <c r="A96" s="433"/>
      <c r="AI96" s="434"/>
    </row>
    <row r="97" spans="1:35">
      <c r="A97" s="433"/>
      <c r="O97" s="848" t="s">
        <v>474</v>
      </c>
      <c r="P97" s="848"/>
      <c r="Q97" s="848" t="s">
        <v>452</v>
      </c>
      <c r="R97" s="849">
        <v>45838</v>
      </c>
      <c r="S97" s="849"/>
      <c r="T97" s="849"/>
      <c r="U97" s="849"/>
      <c r="V97" s="849"/>
      <c r="W97" s="849"/>
      <c r="X97" s="849"/>
      <c r="Y97" s="849"/>
      <c r="Z97" s="849"/>
      <c r="AA97" s="849"/>
      <c r="AB97" s="849"/>
      <c r="AC97" s="849"/>
      <c r="AD97" s="849"/>
      <c r="AE97" s="849"/>
      <c r="AF97" s="849"/>
      <c r="AG97" s="849"/>
      <c r="AH97" s="849"/>
      <c r="AI97" s="434"/>
    </row>
    <row r="98" spans="1:35">
      <c r="A98" s="433"/>
      <c r="O98" s="848"/>
      <c r="P98" s="848"/>
      <c r="Q98" s="848"/>
      <c r="R98" s="849"/>
      <c r="S98" s="849"/>
      <c r="T98" s="849"/>
      <c r="U98" s="849"/>
      <c r="V98" s="849"/>
      <c r="W98" s="849"/>
      <c r="X98" s="849"/>
      <c r="Y98" s="849"/>
      <c r="Z98" s="849"/>
      <c r="AA98" s="849"/>
      <c r="AB98" s="849"/>
      <c r="AC98" s="849"/>
      <c r="AD98" s="849"/>
      <c r="AE98" s="849"/>
      <c r="AF98" s="849"/>
      <c r="AG98" s="849"/>
      <c r="AH98" s="849"/>
      <c r="AI98" s="434"/>
    </row>
    <row r="99" spans="1:35">
      <c r="A99" s="433"/>
      <c r="AI99" s="434"/>
    </row>
    <row r="100" spans="1:35">
      <c r="A100" s="433"/>
      <c r="AI100" s="434"/>
    </row>
    <row r="101" spans="1:35">
      <c r="A101" s="433"/>
      <c r="AI101" s="434"/>
    </row>
    <row r="102" spans="1:35">
      <c r="A102" s="433"/>
      <c r="AI102" s="434"/>
    </row>
    <row r="103" spans="1:35">
      <c r="A103" s="433"/>
      <c r="AI103" s="434"/>
    </row>
    <row r="104" spans="1:35">
      <c r="A104" s="433"/>
      <c r="AI104" s="434"/>
    </row>
    <row r="105" spans="1:35">
      <c r="A105" s="433"/>
      <c r="AI105" s="434"/>
    </row>
    <row r="106" spans="1:35">
      <c r="A106" s="433"/>
      <c r="AI106" s="434"/>
    </row>
    <row r="107" spans="1:35">
      <c r="A107" s="433"/>
      <c r="AI107" s="434"/>
    </row>
    <row r="108" spans="1:35">
      <c r="A108" s="433"/>
      <c r="AI108" s="434"/>
    </row>
    <row r="109" spans="1:35">
      <c r="A109" s="433"/>
      <c r="AI109" s="434"/>
    </row>
    <row r="110" spans="1:35">
      <c r="A110" s="433"/>
      <c r="AI110" s="434"/>
    </row>
    <row r="111" spans="1:35">
      <c r="A111" s="433"/>
      <c r="AI111" s="434"/>
    </row>
    <row r="112" spans="1:35">
      <c r="A112" s="433"/>
      <c r="AI112" s="434"/>
    </row>
    <row r="113" spans="1:79">
      <c r="A113" s="433"/>
      <c r="AI113" s="434"/>
    </row>
    <row r="114" spans="1:79">
      <c r="A114" s="433"/>
      <c r="AI114" s="434"/>
    </row>
    <row r="115" spans="1:79">
      <c r="A115" s="433"/>
      <c r="AI115" s="434"/>
    </row>
    <row r="116" spans="1:79">
      <c r="A116" s="433"/>
      <c r="AI116" s="434"/>
    </row>
    <row r="117" spans="1:79" ht="15.75" thickBot="1">
      <c r="A117" s="435"/>
      <c r="B117" s="436"/>
      <c r="C117" s="436"/>
      <c r="D117" s="436"/>
      <c r="E117" s="436"/>
      <c r="F117" s="436"/>
      <c r="G117" s="436"/>
      <c r="H117" s="436"/>
      <c r="I117" s="436"/>
      <c r="J117" s="436"/>
      <c r="K117" s="436"/>
      <c r="L117" s="436"/>
      <c r="M117" s="436"/>
      <c r="N117" s="436"/>
      <c r="O117" s="436"/>
      <c r="P117" s="436"/>
      <c r="Q117" s="436"/>
      <c r="R117" s="436"/>
      <c r="S117" s="436"/>
      <c r="T117" s="436"/>
      <c r="U117" s="436"/>
      <c r="V117" s="436"/>
      <c r="W117" s="436"/>
      <c r="X117" s="436"/>
      <c r="Y117" s="436"/>
      <c r="Z117" s="436"/>
      <c r="AA117" s="436"/>
      <c r="AB117" s="436"/>
      <c r="AC117" s="436"/>
      <c r="AD117" s="436"/>
      <c r="AE117" s="436"/>
      <c r="AF117" s="436"/>
      <c r="AG117" s="436"/>
      <c r="AH117" s="436"/>
      <c r="AI117" s="437"/>
    </row>
    <row r="118" spans="1:79">
      <c r="AS118">
        <v>1</v>
      </c>
      <c r="AT118">
        <v>2</v>
      </c>
      <c r="AU118">
        <v>3</v>
      </c>
      <c r="AV118">
        <v>4</v>
      </c>
      <c r="AW118">
        <v>5</v>
      </c>
      <c r="AX118">
        <v>6</v>
      </c>
      <c r="AY118">
        <v>7</v>
      </c>
      <c r="AZ118">
        <v>8</v>
      </c>
      <c r="BA118">
        <v>9</v>
      </c>
      <c r="BB118">
        <v>10</v>
      </c>
      <c r="BC118">
        <v>11</v>
      </c>
      <c r="BD118">
        <v>12</v>
      </c>
      <c r="BX118" t="s">
        <v>470</v>
      </c>
    </row>
    <row r="119" spans="1:79" ht="15.75" thickBot="1">
      <c r="AS119" s="438">
        <f t="shared" ref="AS119:BD119" si="1">DATE(2025,AS118+1,0)</f>
        <v>45688</v>
      </c>
      <c r="AT119" s="438">
        <f t="shared" si="1"/>
        <v>45716</v>
      </c>
      <c r="AU119" s="438">
        <f t="shared" si="1"/>
        <v>45747</v>
      </c>
      <c r="AV119" s="438">
        <f t="shared" si="1"/>
        <v>45777</v>
      </c>
      <c r="AW119" s="438">
        <f t="shared" si="1"/>
        <v>45808</v>
      </c>
      <c r="AX119" s="438">
        <f t="shared" si="1"/>
        <v>45838</v>
      </c>
      <c r="AY119" s="438">
        <f t="shared" si="1"/>
        <v>45869</v>
      </c>
      <c r="AZ119" s="438">
        <f t="shared" si="1"/>
        <v>45900</v>
      </c>
      <c r="BA119" s="438">
        <f t="shared" si="1"/>
        <v>45930</v>
      </c>
      <c r="BB119" s="438">
        <f t="shared" si="1"/>
        <v>45961</v>
      </c>
      <c r="BC119" s="438">
        <f t="shared" si="1"/>
        <v>45991</v>
      </c>
      <c r="BD119" s="438">
        <f t="shared" si="1"/>
        <v>46022</v>
      </c>
      <c r="BF119" t="s">
        <v>497</v>
      </c>
      <c r="BG119" t="s">
        <v>498</v>
      </c>
      <c r="BH119" t="s">
        <v>499</v>
      </c>
      <c r="BI119" t="s">
        <v>99</v>
      </c>
      <c r="BM119" t="s">
        <v>453</v>
      </c>
      <c r="BN119" t="s">
        <v>454</v>
      </c>
      <c r="BO119" t="s">
        <v>455</v>
      </c>
      <c r="BQ119" t="s">
        <v>500</v>
      </c>
      <c r="BR119" t="s">
        <v>453</v>
      </c>
      <c r="BS119" t="s">
        <v>9</v>
      </c>
      <c r="BT119" cm="1">
        <f t="array" ref="BT119">ROWS(_xlfn._xlws.FILTER(BM120:BM126,BM120:BM126&gt;0))</f>
        <v>4</v>
      </c>
      <c r="BU119" t="s">
        <v>453</v>
      </c>
      <c r="BV119">
        <f>SUM(BT119:BT120)</f>
        <v>21</v>
      </c>
      <c r="BY119" t="s">
        <v>454</v>
      </c>
      <c r="BZ119" t="s">
        <v>455</v>
      </c>
    </row>
    <row r="120" spans="1:79">
      <c r="A120" s="430"/>
      <c r="B120" s="431"/>
      <c r="C120" s="431"/>
      <c r="D120" s="431"/>
      <c r="E120" s="431"/>
      <c r="F120" s="431"/>
      <c r="G120" s="431"/>
      <c r="H120" s="431"/>
      <c r="I120" s="431"/>
      <c r="J120" s="431"/>
      <c r="K120" s="431"/>
      <c r="L120" s="431"/>
      <c r="M120" s="431"/>
      <c r="N120" s="431"/>
      <c r="O120" s="431"/>
      <c r="P120" s="431"/>
      <c r="Q120" s="431"/>
      <c r="R120" s="431"/>
      <c r="S120" s="431"/>
      <c r="T120" s="431"/>
      <c r="U120" s="431"/>
      <c r="V120" s="431"/>
      <c r="W120" s="431"/>
      <c r="X120" s="431"/>
      <c r="Y120" s="431"/>
      <c r="Z120" s="431"/>
      <c r="AA120" s="431"/>
      <c r="AB120" s="431"/>
      <c r="AC120" s="431"/>
      <c r="AD120" s="431"/>
      <c r="AE120" s="431"/>
      <c r="AF120" s="431"/>
      <c r="AG120" s="431"/>
      <c r="AH120" s="431"/>
      <c r="AI120" s="432"/>
      <c r="AQ120" t="str" cm="1">
        <f t="array" ref="AQ120:AQ168">T.TOLIS!B7:B55</f>
        <v>Key Performance Indicators</v>
      </c>
      <c r="AR120" s="440" cm="1">
        <f t="array" ref="AR120:AR168">T.TOLIS!C7:C55</f>
        <v>0</v>
      </c>
      <c r="AS120" s="440" cm="1">
        <f t="array" ref="AS120:BD168">IF(R124=AN121,T.TOLIS!BA7:BL55,IF(R124=AN122,T.BANGKIR!BA7:BL55,IF(R124=AN123,T.KOTARAYA!BA7:BL55,IF(R124=AN124,T.LEOK!BA7:BL55,IF(R124=AN125,T.MOUTONG!BA7:BL55,0)))))</f>
        <v>0</v>
      </c>
      <c r="AT120" s="440">
        <v>0</v>
      </c>
      <c r="AU120" s="440">
        <v>0</v>
      </c>
      <c r="AV120" s="440">
        <v>0</v>
      </c>
      <c r="AW120" s="440">
        <v>0</v>
      </c>
      <c r="AX120" s="440">
        <v>0</v>
      </c>
      <c r="AY120" s="440">
        <v>0</v>
      </c>
      <c r="AZ120" s="440">
        <v>0</v>
      </c>
      <c r="BA120" s="440">
        <v>0</v>
      </c>
      <c r="BB120" s="440">
        <v>0</v>
      </c>
      <c r="BC120" s="440">
        <v>0</v>
      </c>
      <c r="BD120" s="440">
        <v>0</v>
      </c>
      <c r="BF120" t="str" cm="1">
        <f t="array" ref="BF120:BF149">_xlfn._xlws.FILTER(_xlfn.ANCHORARRAY($AQ$120),_xlfn.ANCHORARRAY($AR$120)&gt;0)</f>
        <v>Penjualan Tenaga Listrik</v>
      </c>
      <c r="BG120" t="e" cm="1">
        <f t="array" ref="BG120:BG149">SEARCH(".",_xlfn.ANCHORARRAY(BF120))</f>
        <v>#VALUE!</v>
      </c>
      <c r="BH120" t="str" cm="1">
        <f t="array" ref="BH120:BH149">IF(ISERROR(_xlfn.ANCHORARRAY($BG$120))=TRUE,_xlfn.ANCHORARRAY($BF$120),RIGHT(_xlfn.ANCHORARRAY($BF$120),LEN(_xlfn.ANCHORARRAY($BF$120))-_xlfn.ANCHORARRAY($BG$120)-1))</f>
        <v>Penjualan Tenaga Listrik</v>
      </c>
      <c r="BI120" s="440">
        <f>INDEX(T.TOLIS!$BT$8:$BT$48,MATCH(BF120,T.TOLIS!$BP$8:$BP$48,0))</f>
        <v>14</v>
      </c>
      <c r="BJ120" s="105" t="s">
        <v>456</v>
      </c>
      <c r="BK120" s="442" cm="1">
        <f t="array" ref="BK120:BK149">INDEX(_xlfn.ANCHORARRAY($AS$120),MATCH(_xlfn.ANCHORARRAY($BF$120),_xlfn.ANCHORARRAY($AQ$120),0),MATCH($R$121,$AS$119:$BD$119,0))</f>
        <v>93.339852880874005</v>
      </c>
      <c r="BL120" s="442" t="str" cm="1">
        <f t="array" ref="BL120:BL149">_xlfn.ANCHORARRAY(BH120)</f>
        <v>Penjualan Tenaga Listrik</v>
      </c>
      <c r="BM120" s="442" cm="1">
        <f t="array" ref="BM120:BM149">IF(_xlfn.ANCHORARRAY($BK$120)&gt;=100,_xlfn.ANCHORARRAY(BK120),0)</f>
        <v>0</v>
      </c>
      <c r="BN120" s="440" cm="1">
        <f t="array" ref="BN120:BN149">IF(_xlfn.ANCHORARRAY($BK$120)&lt;100,IF(_xlfn.ANCHORARRAY($BK$120)&gt;=95,_xlfn.ANCHORARRAY($BK$120),0),0)</f>
        <v>0</v>
      </c>
      <c r="BO120" s="440" cm="1">
        <f t="array" ref="BO120:BO149">IF(_xlfn.ANCHORARRAY($BK$120)&lt;95,_xlfn.ANCHORARRAY(BK120),0)</f>
        <v>93.339852880874005</v>
      </c>
      <c r="BP120" s="628">
        <f>IF(SUM(BM120:BO120)&lt;100,100-SUM(BM120:BO120),0)</f>
        <v>6.6601471191259947</v>
      </c>
      <c r="BQ120" s="440">
        <f>BK120*BI120/100</f>
        <v>13.067579403322361</v>
      </c>
      <c r="BS120" t="s">
        <v>457</v>
      </c>
      <c r="BT120" cm="1">
        <f t="array" ref="BT120">ROWS(_xlfn._xlws.FILTER(BM127:BM149,BM127:BM149&gt;0))</f>
        <v>17</v>
      </c>
      <c r="BU120" t="s">
        <v>454</v>
      </c>
      <c r="BV120">
        <f>SUM(BT121:BT122)</f>
        <v>2</v>
      </c>
      <c r="BW120" s="440">
        <f>INDEX(_xlfn.ANCHORARRAY(BK120),MATCH(BX120,_xlfn.ANCHORARRAY($BL$120),0))</f>
        <v>93.339852880874005</v>
      </c>
      <c r="BX120" t="str" cm="1">
        <f t="array" ref="BX120:BX128">_xlfn._xlws.FILTER(_xlfn.ANCHORARRAY($BL$120),_xlfn.ANCHORARRAY($BK$120)&lt;100)</f>
        <v>Penjualan Tenaga Listrik</v>
      </c>
      <c r="BY120" s="440">
        <f>INDEX(_xlfn.ANCHORARRAY($BN$120),MATCH(BX120,_xlfn.ANCHORARRAY($BL$120),0))</f>
        <v>0</v>
      </c>
      <c r="BZ120" s="440">
        <f>INDEX(_xlfn.ANCHORARRAY($BO$120),MATCH(BX120,_xlfn.ANCHORARRAY($BL$120),0))</f>
        <v>93.339852880874005</v>
      </c>
      <c r="CA120" s="440">
        <f>100-SUM(BY120:BZ120)</f>
        <v>6.6601471191259947</v>
      </c>
    </row>
    <row r="121" spans="1:79">
      <c r="A121" s="433"/>
      <c r="O121" s="848" t="s">
        <v>474</v>
      </c>
      <c r="P121" s="848"/>
      <c r="Q121" s="848" t="s">
        <v>452</v>
      </c>
      <c r="R121" s="849">
        <v>45961</v>
      </c>
      <c r="S121" s="849"/>
      <c r="T121" s="849"/>
      <c r="U121" s="849"/>
      <c r="V121" s="849"/>
      <c r="W121" s="849"/>
      <c r="X121" s="849"/>
      <c r="Y121" s="849"/>
      <c r="Z121" s="849"/>
      <c r="AA121" s="849"/>
      <c r="AB121" s="849"/>
      <c r="AC121" s="849"/>
      <c r="AD121" s="849"/>
      <c r="AE121" s="849"/>
      <c r="AF121" s="849"/>
      <c r="AG121" s="849"/>
      <c r="AH121" s="849"/>
      <c r="AI121" s="434"/>
      <c r="AN121" t="s">
        <v>462</v>
      </c>
      <c r="AQ121" t="str">
        <v>Penjualan Tenaga Listrik</v>
      </c>
      <c r="AR121" s="440" t="str">
        <v>ñ</v>
      </c>
      <c r="AS121" s="440">
        <v>110</v>
      </c>
      <c r="AT121" s="440">
        <v>110</v>
      </c>
      <c r="AU121" s="440">
        <v>103.69954787093496</v>
      </c>
      <c r="AV121" s="440">
        <v>97.59348462646949</v>
      </c>
      <c r="AW121" s="440">
        <v>95.706790204572812</v>
      </c>
      <c r="AX121" s="440">
        <v>94.800144375314872</v>
      </c>
      <c r="AY121" s="440">
        <v>94.540403220155724</v>
      </c>
      <c r="AZ121" s="440">
        <v>93.986157490558924</v>
      </c>
      <c r="BA121" s="440">
        <v>93.513850952460658</v>
      </c>
      <c r="BB121" s="440">
        <v>93.339852880874005</v>
      </c>
      <c r="BC121" s="440">
        <v>0</v>
      </c>
      <c r="BD121" s="440">
        <v>0</v>
      </c>
      <c r="BF121" t="str">
        <v>a. SAIDI (sesuai kewenangan)</v>
      </c>
      <c r="BG121">
        <v>2</v>
      </c>
      <c r="BH121" t="str">
        <v>SAIDI (sesuai kewenangan)</v>
      </c>
      <c r="BI121" s="440">
        <f>INDEX(T.TOLIS!$BT$8:$BT$48,MATCH(BF121,T.TOLIS!$BP$8:$BP$48,0))</f>
        <v>4.666666666666667</v>
      </c>
      <c r="BJ121" s="105" t="s">
        <v>456</v>
      </c>
      <c r="BK121" s="442">
        <v>98.249283474035138</v>
      </c>
      <c r="BL121" s="442" t="str">
        <v>SAIDI (sesuai kewenangan)</v>
      </c>
      <c r="BM121" s="442">
        <v>0</v>
      </c>
      <c r="BN121" s="440">
        <v>98.249283474035138</v>
      </c>
      <c r="BO121" s="440">
        <v>0</v>
      </c>
      <c r="BP121" s="628">
        <f t="shared" ref="BP121:BP149" si="2">IF(SUM(BM121:BO121)&lt;100,100-SUM(BM121:BO121),0)</f>
        <v>1.7507165259648616</v>
      </c>
      <c r="BQ121" s="440">
        <f t="shared" ref="BQ121:BQ149" si="3">BK121*BI121/100</f>
        <v>4.5849665621216396</v>
      </c>
      <c r="BR121" t="s">
        <v>454</v>
      </c>
      <c r="BS121" t="s">
        <v>9</v>
      </c>
      <c r="BT121" cm="1">
        <f t="array" ref="BT121">ROWS(_xlfn._xlws.FILTER(BN120:BN126,BN120:BN126&gt;0))</f>
        <v>1</v>
      </c>
      <c r="BU121" t="s">
        <v>455</v>
      </c>
      <c r="BV121">
        <f>SUM(BT123:BT124)</f>
        <v>7</v>
      </c>
      <c r="BW121" s="440" t="e">
        <f t="shared" ref="BW121:BW137" si="4">INDEX(_xlfn.ANCHORARRAY(BK121),MATCH(BX121,_xlfn.ANCHORARRAY($BL$120),0))</f>
        <v>#REF!</v>
      </c>
      <c r="BX121" t="str">
        <v>SAIDI (sesuai kewenangan)</v>
      </c>
      <c r="BY121" s="440">
        <f t="shared" ref="BY121:BY137" si="5">INDEX(_xlfn.ANCHORARRAY($BN$120),MATCH(BX121,_xlfn.ANCHORARRAY($BL$120),0))</f>
        <v>98.249283474035138</v>
      </c>
      <c r="BZ121" s="440">
        <f t="shared" ref="BZ121:BZ137" si="6">INDEX(_xlfn.ANCHORARRAY($BO$120),MATCH(BX121,_xlfn.ANCHORARRAY($BL$120),0))</f>
        <v>0</v>
      </c>
      <c r="CA121" s="440">
        <f t="shared" ref="CA121:CA137" si="7">100-SUM(BY121:BZ121)</f>
        <v>1.7507165259648616</v>
      </c>
    </row>
    <row r="122" spans="1:79">
      <c r="A122" s="433"/>
      <c r="O122" s="848"/>
      <c r="P122" s="848"/>
      <c r="Q122" s="848"/>
      <c r="R122" s="849"/>
      <c r="S122" s="849"/>
      <c r="T122" s="849"/>
      <c r="U122" s="849"/>
      <c r="V122" s="849"/>
      <c r="W122" s="849"/>
      <c r="X122" s="849"/>
      <c r="Y122" s="849"/>
      <c r="Z122" s="849"/>
      <c r="AA122" s="849"/>
      <c r="AB122" s="849"/>
      <c r="AC122" s="849"/>
      <c r="AD122" s="849"/>
      <c r="AE122" s="849"/>
      <c r="AF122" s="849"/>
      <c r="AG122" s="849"/>
      <c r="AH122" s="849"/>
      <c r="AI122" s="434"/>
      <c r="AN122" t="s">
        <v>4</v>
      </c>
      <c r="AQ122" t="str">
        <v>Keandalan Sistem</v>
      </c>
      <c r="AR122" s="440">
        <v>0</v>
      </c>
      <c r="AS122" s="440">
        <v>0</v>
      </c>
      <c r="AT122" s="440">
        <v>0</v>
      </c>
      <c r="AU122" s="440">
        <v>0</v>
      </c>
      <c r="AV122" s="440">
        <v>0</v>
      </c>
      <c r="AW122" s="440">
        <v>0</v>
      </c>
      <c r="AX122" s="440">
        <v>0</v>
      </c>
      <c r="AY122" s="440">
        <v>0</v>
      </c>
      <c r="AZ122" s="440">
        <v>0</v>
      </c>
      <c r="BA122" s="440">
        <v>0</v>
      </c>
      <c r="BB122" s="440">
        <v>0</v>
      </c>
      <c r="BC122" s="440">
        <v>0</v>
      </c>
      <c r="BD122" s="440">
        <v>0</v>
      </c>
      <c r="BF122" t="str">
        <v>b. SAIFI (sesuai kewenangan)</v>
      </c>
      <c r="BG122">
        <v>2</v>
      </c>
      <c r="BH122" t="str">
        <v>SAIFI (sesuai kewenangan)</v>
      </c>
      <c r="BI122" s="440">
        <f>INDEX(T.TOLIS!$BT$8:$BT$48,MATCH(BF122,T.TOLIS!$BP$8:$BP$48,0))</f>
        <v>4.666666666666667</v>
      </c>
      <c r="BJ122" s="105" t="s">
        <v>456</v>
      </c>
      <c r="BK122" s="442">
        <v>94.920498062169671</v>
      </c>
      <c r="BL122" s="442" t="str">
        <v>SAIFI (sesuai kewenangan)</v>
      </c>
      <c r="BM122" s="442">
        <v>0</v>
      </c>
      <c r="BN122" s="440">
        <v>0</v>
      </c>
      <c r="BO122" s="440">
        <v>94.920498062169671</v>
      </c>
      <c r="BP122" s="628">
        <f t="shared" si="2"/>
        <v>5.0795019378303294</v>
      </c>
      <c r="BQ122" s="440">
        <f t="shared" si="3"/>
        <v>4.4296232429012514</v>
      </c>
      <c r="BS122" t="s">
        <v>457</v>
      </c>
      <c r="BT122" cm="1">
        <f t="array" ref="BT122">IFERROR(ROWS(_xlfn._xlws.FILTER(BN127:BN149,BN127:BN149&gt;0)),0)</f>
        <v>1</v>
      </c>
      <c r="BV122">
        <f>SUM(BV119:BV121)</f>
        <v>30</v>
      </c>
      <c r="BW122" s="440" t="e">
        <f t="shared" si="4"/>
        <v>#REF!</v>
      </c>
      <c r="BX122" t="str">
        <v>SAIFI (sesuai kewenangan)</v>
      </c>
      <c r="BY122" s="440">
        <f t="shared" si="5"/>
        <v>0</v>
      </c>
      <c r="BZ122" s="440">
        <f t="shared" si="6"/>
        <v>94.920498062169671</v>
      </c>
      <c r="CA122" s="440">
        <f t="shared" si="7"/>
        <v>5.0795019378303294</v>
      </c>
    </row>
    <row r="123" spans="1:79">
      <c r="A123" s="433"/>
      <c r="AI123" s="434"/>
      <c r="AN123" t="s">
        <v>6</v>
      </c>
      <c r="AQ123" t="str">
        <v>a. SAIDI (sesuai kewenangan)</v>
      </c>
      <c r="AR123" s="440" t="str">
        <v>ò</v>
      </c>
      <c r="AS123" s="440">
        <v>110</v>
      </c>
      <c r="AT123" s="440">
        <v>110</v>
      </c>
      <c r="AU123" s="440">
        <v>110</v>
      </c>
      <c r="AV123" s="440">
        <v>110</v>
      </c>
      <c r="AW123" s="440">
        <v>110</v>
      </c>
      <c r="AX123" s="440">
        <v>91.942093097986643</v>
      </c>
      <c r="AY123" s="440">
        <v>101.61743413124762</v>
      </c>
      <c r="AZ123" s="440">
        <v>110</v>
      </c>
      <c r="BA123" s="440">
        <v>110</v>
      </c>
      <c r="BB123" s="440">
        <v>98.249283474035138</v>
      </c>
      <c r="BC123" s="440">
        <v>110</v>
      </c>
      <c r="BD123" s="440">
        <v>110</v>
      </c>
      <c r="BF123" t="str">
        <v>c. ENS (sesuai kewenangan)</v>
      </c>
      <c r="BG123">
        <v>2</v>
      </c>
      <c r="BH123" t="str">
        <v>ENS (sesuai kewenangan)</v>
      </c>
      <c r="BI123" s="440">
        <f>INDEX(T.TOLIS!$BT$8:$BT$48,MATCH(BF123,T.TOLIS!$BP$8:$BP$48,0))</f>
        <v>4.666666666666667</v>
      </c>
      <c r="BJ123" s="105" t="s">
        <v>456</v>
      </c>
      <c r="BK123" s="442">
        <v>110</v>
      </c>
      <c r="BL123" s="442" t="str">
        <v>ENS (sesuai kewenangan)</v>
      </c>
      <c r="BM123" s="442">
        <v>110</v>
      </c>
      <c r="BN123" s="440">
        <v>0</v>
      </c>
      <c r="BO123" s="440">
        <v>0</v>
      </c>
      <c r="BP123" s="628">
        <f t="shared" si="2"/>
        <v>0</v>
      </c>
      <c r="BQ123" s="440">
        <f t="shared" si="3"/>
        <v>5.1333333333333337</v>
      </c>
      <c r="BR123" t="s">
        <v>455</v>
      </c>
      <c r="BS123" t="s">
        <v>9</v>
      </c>
      <c r="BT123" cm="1">
        <f t="array" ref="BT123">IFERROR(ROWS(_xlfn._xlws.FILTER(BO120:BO126,BO120:BO126&gt;0)),0)</f>
        <v>2</v>
      </c>
      <c r="BW123" s="440" t="e">
        <f t="shared" si="4"/>
        <v>#REF!</v>
      </c>
      <c r="BX123" t="str">
        <v>Kerusakan Peralatan Distribusi (PHB TM dan Trafo) Sesuai Kewenangan</v>
      </c>
      <c r="BY123" s="440">
        <f t="shared" si="5"/>
        <v>0</v>
      </c>
      <c r="BZ123" s="440">
        <f t="shared" si="6"/>
        <v>50</v>
      </c>
      <c r="CA123" s="440">
        <f t="shared" si="7"/>
        <v>50</v>
      </c>
    </row>
    <row r="124" spans="1:79">
      <c r="A124" s="433"/>
      <c r="O124" s="848" t="s">
        <v>106</v>
      </c>
      <c r="P124" s="848"/>
      <c r="Q124" s="848" t="s">
        <v>452</v>
      </c>
      <c r="R124" s="849" t="s">
        <v>462</v>
      </c>
      <c r="S124" s="849"/>
      <c r="T124" s="849"/>
      <c r="U124" s="849"/>
      <c r="V124" s="849"/>
      <c r="W124" s="849"/>
      <c r="X124" s="849"/>
      <c r="Y124" s="849"/>
      <c r="Z124" s="849"/>
      <c r="AA124" s="849"/>
      <c r="AB124" s="849"/>
      <c r="AC124" s="849"/>
      <c r="AD124" s="849"/>
      <c r="AE124" s="849"/>
      <c r="AF124" s="849"/>
      <c r="AG124" s="849"/>
      <c r="AH124" s="849"/>
      <c r="AI124" s="434"/>
      <c r="AN124" t="s">
        <v>3</v>
      </c>
      <c r="AQ124" t="str">
        <v>b. SAIFI (sesuai kewenangan)</v>
      </c>
      <c r="AR124" s="440" t="str">
        <v>ò</v>
      </c>
      <c r="AS124" s="440">
        <v>110</v>
      </c>
      <c r="AT124" s="440">
        <v>110</v>
      </c>
      <c r="AU124" s="440">
        <v>110</v>
      </c>
      <c r="AV124" s="440">
        <v>110</v>
      </c>
      <c r="AW124" s="440">
        <v>110</v>
      </c>
      <c r="AX124" s="440">
        <v>103.56541606541607</v>
      </c>
      <c r="AY124" s="440">
        <v>104.48747682317203</v>
      </c>
      <c r="AZ124" s="440">
        <v>110</v>
      </c>
      <c r="BA124" s="440">
        <v>110</v>
      </c>
      <c r="BB124" s="440">
        <v>94.920498062169671</v>
      </c>
      <c r="BC124" s="440">
        <v>110</v>
      </c>
      <c r="BD124" s="440">
        <v>110</v>
      </c>
      <c r="BF124" t="str">
        <v>a. Susut Distribusi Tanpa E-min (sesuai kewenangan)</v>
      </c>
      <c r="BG124">
        <v>2</v>
      </c>
      <c r="BH124" t="str">
        <v>Susut Distribusi Tanpa E-min (sesuai kewenangan)</v>
      </c>
      <c r="BI124" s="440">
        <f>INDEX(T.TOLIS!$BT$8:$BT$48,MATCH(BF124,T.TOLIS!$BP$8:$BP$48,0))</f>
        <v>4</v>
      </c>
      <c r="BJ124" s="105" t="s">
        <v>456</v>
      </c>
      <c r="BK124" s="442">
        <v>110</v>
      </c>
      <c r="BL124" s="442" t="str">
        <v>Susut Distribusi Tanpa E-min (sesuai kewenangan)</v>
      </c>
      <c r="BM124" s="442">
        <v>110</v>
      </c>
      <c r="BN124" s="440">
        <v>0</v>
      </c>
      <c r="BO124" s="440">
        <v>0</v>
      </c>
      <c r="BP124" s="628">
        <f t="shared" si="2"/>
        <v>0</v>
      </c>
      <c r="BQ124" s="440">
        <f t="shared" si="3"/>
        <v>4.4000000000000004</v>
      </c>
      <c r="BS124" t="s">
        <v>457</v>
      </c>
      <c r="BT124" cm="1">
        <f t="array" ref="BT124">ROWS(_xlfn._xlws.FILTER(BO127:BO149,BO127:BO149&gt;0))</f>
        <v>5</v>
      </c>
      <c r="BW124" s="440" t="e">
        <f t="shared" si="4"/>
        <v>#REF!</v>
      </c>
      <c r="BX124" t="str">
        <v>Penambahan Daya Tersambung</v>
      </c>
      <c r="BY124" s="440">
        <f t="shared" si="5"/>
        <v>0</v>
      </c>
      <c r="BZ124" s="440">
        <f t="shared" si="6"/>
        <v>59.007352941176471</v>
      </c>
      <c r="CA124" s="440">
        <f t="shared" si="7"/>
        <v>40.992647058823529</v>
      </c>
    </row>
    <row r="125" spans="1:79">
      <c r="A125" s="433"/>
      <c r="O125" s="848"/>
      <c r="P125" s="848"/>
      <c r="Q125" s="848"/>
      <c r="R125" s="849"/>
      <c r="S125" s="849"/>
      <c r="T125" s="849"/>
      <c r="U125" s="849"/>
      <c r="V125" s="849"/>
      <c r="W125" s="849"/>
      <c r="X125" s="849"/>
      <c r="Y125" s="849"/>
      <c r="Z125" s="849"/>
      <c r="AA125" s="849"/>
      <c r="AB125" s="849"/>
      <c r="AC125" s="849"/>
      <c r="AD125" s="849"/>
      <c r="AE125" s="849"/>
      <c r="AF125" s="849"/>
      <c r="AG125" s="849"/>
      <c r="AH125" s="849"/>
      <c r="AI125" s="434"/>
      <c r="AN125" t="s">
        <v>5</v>
      </c>
      <c r="AQ125" t="str">
        <v>c. ENS (sesuai kewenangan)</v>
      </c>
      <c r="AR125" s="440" t="str">
        <v>ò</v>
      </c>
      <c r="AS125" s="440">
        <v>110</v>
      </c>
      <c r="AT125" s="440">
        <v>110</v>
      </c>
      <c r="AU125" s="440">
        <v>110</v>
      </c>
      <c r="AV125" s="440">
        <v>110</v>
      </c>
      <c r="AW125" s="440">
        <v>110</v>
      </c>
      <c r="AX125" s="440">
        <v>110</v>
      </c>
      <c r="AY125" s="440">
        <v>110</v>
      </c>
      <c r="AZ125" s="440">
        <v>110</v>
      </c>
      <c r="BA125" s="440">
        <v>110</v>
      </c>
      <c r="BB125" s="440">
        <v>110</v>
      </c>
      <c r="BC125" s="440">
        <v>110</v>
      </c>
      <c r="BD125" s="440">
        <v>110</v>
      </c>
      <c r="BF125" t="str">
        <v>b. Penyelesaian Temuan P2TL</v>
      </c>
      <c r="BG125">
        <v>2</v>
      </c>
      <c r="BH125" t="str">
        <v>Penyelesaian Temuan P2TL</v>
      </c>
      <c r="BI125" s="440">
        <f>INDEX(T.TOLIS!$BT$8:$BT$48,MATCH(BF125,T.TOLIS!$BP$8:$BP$48,0))</f>
        <v>4</v>
      </c>
      <c r="BJ125" s="105" t="s">
        <v>456</v>
      </c>
      <c r="BK125" s="442">
        <v>110</v>
      </c>
      <c r="BL125" s="442" t="str">
        <v>Penyelesaian Temuan P2TL</v>
      </c>
      <c r="BM125" s="442">
        <v>110</v>
      </c>
      <c r="BN125" s="440">
        <v>0</v>
      </c>
      <c r="BO125" s="440">
        <v>0</v>
      </c>
      <c r="BP125" s="628">
        <f t="shared" si="2"/>
        <v>0</v>
      </c>
      <c r="BQ125" s="440">
        <f t="shared" si="3"/>
        <v>4.4000000000000004</v>
      </c>
      <c r="BW125" s="440" t="e">
        <f t="shared" si="4"/>
        <v>#REF!</v>
      </c>
      <c r="BX125" t="str">
        <v>Penambahan Jumlah Pelanggan</v>
      </c>
      <c r="BY125" s="440">
        <f t="shared" si="5"/>
        <v>0</v>
      </c>
      <c r="BZ125" s="440">
        <f t="shared" si="6"/>
        <v>51.318359375</v>
      </c>
      <c r="CA125" s="440">
        <f t="shared" si="7"/>
        <v>48.681640625</v>
      </c>
    </row>
    <row r="126" spans="1:79">
      <c r="A126" s="433"/>
      <c r="AI126" s="434"/>
      <c r="AQ126" t="str">
        <v>Efisiensi Jaringan Distribusi</v>
      </c>
      <c r="AR126" s="440">
        <v>0</v>
      </c>
      <c r="AS126" s="440">
        <v>0</v>
      </c>
      <c r="AT126" s="440">
        <v>0</v>
      </c>
      <c r="AU126" s="440">
        <v>0</v>
      </c>
      <c r="AV126" s="440">
        <v>0</v>
      </c>
      <c r="AW126" s="440">
        <v>0</v>
      </c>
      <c r="AX126" s="440">
        <v>0</v>
      </c>
      <c r="AY126" s="440">
        <v>0</v>
      </c>
      <c r="AZ126" s="440">
        <v>0</v>
      </c>
      <c r="BA126" s="440">
        <v>0</v>
      </c>
      <c r="BB126" s="440">
        <v>0</v>
      </c>
      <c r="BC126" s="440">
        <v>0</v>
      </c>
      <c r="BD126" s="440">
        <v>0</v>
      </c>
      <c r="BF126" t="str">
        <v>c. Penyelesaian Ganti Meter</v>
      </c>
      <c r="BG126">
        <v>2</v>
      </c>
      <c r="BH126" t="str">
        <v>Penyelesaian Ganti Meter</v>
      </c>
      <c r="BI126" s="440">
        <f>INDEX(T.TOLIS!$BT$8:$BT$48,MATCH(BF126,T.TOLIS!$BP$8:$BP$48,0))</f>
        <v>4</v>
      </c>
      <c r="BJ126" s="105" t="s">
        <v>456</v>
      </c>
      <c r="BK126" s="442">
        <v>100.06863417982154</v>
      </c>
      <c r="BL126" s="442" t="str">
        <v>Penyelesaian Ganti Meter</v>
      </c>
      <c r="BM126" s="442">
        <v>100.06863417982154</v>
      </c>
      <c r="BN126" s="440">
        <v>0</v>
      </c>
      <c r="BO126" s="440">
        <v>0</v>
      </c>
      <c r="BP126" s="628">
        <f t="shared" si="2"/>
        <v>0</v>
      </c>
      <c r="BQ126" s="440">
        <f t="shared" si="3"/>
        <v>4.0027453671928619</v>
      </c>
      <c r="BR126" s="627"/>
      <c r="BW126" s="440" t="e">
        <f t="shared" si="4"/>
        <v>#REF!</v>
      </c>
      <c r="BX126" t="str">
        <v>Penambahan Jumlah Pelanggan Rumah Tangga Lisdes</v>
      </c>
      <c r="BY126" s="440">
        <f t="shared" si="5"/>
        <v>0</v>
      </c>
      <c r="BZ126" s="440">
        <f t="shared" si="6"/>
        <v>21.052631578947366</v>
      </c>
      <c r="CA126" s="440">
        <f t="shared" si="7"/>
        <v>78.94736842105263</v>
      </c>
    </row>
    <row r="127" spans="1:79" ht="15.75" thickBot="1">
      <c r="A127" s="433"/>
      <c r="AI127" s="434"/>
      <c r="AQ127" t="str">
        <v>a. Susut Distribusi Tanpa E-min (sesuai kewenangan)</v>
      </c>
      <c r="AR127" s="440" t="str">
        <v>ò</v>
      </c>
      <c r="AS127" s="440">
        <v>110</v>
      </c>
      <c r="AT127" s="440">
        <v>110</v>
      </c>
      <c r="AU127" s="440">
        <v>110</v>
      </c>
      <c r="AV127" s="440">
        <v>110</v>
      </c>
      <c r="AW127" s="440">
        <v>110</v>
      </c>
      <c r="AX127" s="440">
        <v>110</v>
      </c>
      <c r="AY127" s="440">
        <v>110</v>
      </c>
      <c r="AZ127" s="440">
        <v>110</v>
      </c>
      <c r="BA127" s="440">
        <v>110</v>
      </c>
      <c r="BB127" s="440">
        <v>110</v>
      </c>
      <c r="BC127" s="440">
        <v>110</v>
      </c>
      <c r="BD127" s="440">
        <v>110</v>
      </c>
      <c r="BF127" t="str">
        <v>a. Gangguan TM &gt; 5 Menit</v>
      </c>
      <c r="BG127">
        <v>2</v>
      </c>
      <c r="BH127" t="str">
        <v>Gangguan TM &gt; 5 Menit</v>
      </c>
      <c r="BI127" s="440">
        <f>INDEX(T.TOLIS!$BT$8:$BT$48,MATCH(BF127,T.TOLIS!$BP$8:$BP$48,0))</f>
        <v>3</v>
      </c>
      <c r="BJ127" s="105" t="s">
        <v>456</v>
      </c>
      <c r="BK127" s="442">
        <v>101.81818181818181</v>
      </c>
      <c r="BL127" s="442" t="str">
        <v>Gangguan TM &gt; 5 Menit</v>
      </c>
      <c r="BM127" s="442">
        <v>101.81818181818181</v>
      </c>
      <c r="BN127" s="440">
        <v>0</v>
      </c>
      <c r="BO127" s="440">
        <v>0</v>
      </c>
      <c r="BP127" s="628">
        <f t="shared" si="2"/>
        <v>0</v>
      </c>
      <c r="BQ127" s="440">
        <f t="shared" si="3"/>
        <v>3.0545454545454542</v>
      </c>
      <c r="BW127" s="440" t="e">
        <f t="shared" si="4"/>
        <v>#REF!</v>
      </c>
      <c r="BX127" t="str">
        <v>Peningkatan kWh Penjualan dari Pelanggan Rumah Tangga Lisdes</v>
      </c>
      <c r="BY127" s="440">
        <f t="shared" si="5"/>
        <v>0</v>
      </c>
      <c r="BZ127" s="440">
        <f t="shared" si="6"/>
        <v>59.695392725732191</v>
      </c>
      <c r="CA127" s="440">
        <f t="shared" si="7"/>
        <v>40.304607274267809</v>
      </c>
    </row>
    <row r="128" spans="1:79">
      <c r="A128" s="433"/>
      <c r="O128" s="846"/>
      <c r="P128" s="847"/>
      <c r="Q128" s="840" t="s">
        <v>9</v>
      </c>
      <c r="R128" s="840"/>
      <c r="S128" s="840">
        <f>BT119</f>
        <v>4</v>
      </c>
      <c r="T128" s="841"/>
      <c r="AI128" s="434"/>
      <c r="AQ128" t="str">
        <v>b. Penyelesaian Temuan P2TL</v>
      </c>
      <c r="AR128" s="440" t="str">
        <v>ñ</v>
      </c>
      <c r="AS128" s="440">
        <v>48.723028204759132</v>
      </c>
      <c r="AT128" s="440">
        <v>40.298845067008088</v>
      </c>
      <c r="AU128" s="440">
        <v>83.280091137054072</v>
      </c>
      <c r="AV128" s="440">
        <v>80.99161783422602</v>
      </c>
      <c r="AW128" s="440">
        <v>82.647602254562528</v>
      </c>
      <c r="AX128" s="440">
        <v>110</v>
      </c>
      <c r="AY128" s="440">
        <v>110</v>
      </c>
      <c r="AZ128" s="440">
        <v>110</v>
      </c>
      <c r="BA128" s="440">
        <v>110</v>
      </c>
      <c r="BB128" s="440">
        <v>110</v>
      </c>
      <c r="BC128" s="440">
        <v>110</v>
      </c>
      <c r="BD128" s="440">
        <v>110</v>
      </c>
      <c r="BF128" t="str">
        <v>b. Gangguan TM ≤ 5 Menit</v>
      </c>
      <c r="BG128">
        <v>2</v>
      </c>
      <c r="BH128" t="str">
        <v>Gangguan TM ≤ 5 Menit</v>
      </c>
      <c r="BI128" s="440">
        <f>INDEX(T.TOLIS!$BT$8:$BT$48,MATCH(BF128,T.TOLIS!$BP$8:$BP$48,0))</f>
        <v>3</v>
      </c>
      <c r="BJ128" s="105" t="s">
        <v>456</v>
      </c>
      <c r="BK128" s="442">
        <v>109.72222222222223</v>
      </c>
      <c r="BL128" s="442" t="str">
        <v>Gangguan TM ≤ 5 Menit</v>
      </c>
      <c r="BM128" s="442">
        <v>109.72222222222223</v>
      </c>
      <c r="BN128" s="440">
        <v>0</v>
      </c>
      <c r="BO128" s="440">
        <v>0</v>
      </c>
      <c r="BP128" s="628">
        <f t="shared" si="2"/>
        <v>0</v>
      </c>
      <c r="BQ128" s="440">
        <f t="shared" si="3"/>
        <v>3.291666666666667</v>
      </c>
      <c r="BW128" s="440" t="e">
        <f t="shared" si="4"/>
        <v>#REF!</v>
      </c>
      <c r="BX128" t="str">
        <v>Pencapaian Saldo Rata-Rata Akhir Bulan Non Kogol 1 dan Non Kogol 2</v>
      </c>
      <c r="BY128" s="440">
        <f t="shared" si="5"/>
        <v>98.470302220208424</v>
      </c>
      <c r="BZ128" s="440">
        <f t="shared" si="6"/>
        <v>0</v>
      </c>
      <c r="CA128" s="440">
        <f t="shared" si="7"/>
        <v>1.5296977797915758</v>
      </c>
    </row>
    <row r="129" spans="1:79" ht="15.75" thickBot="1">
      <c r="A129" s="433"/>
      <c r="O129" s="835"/>
      <c r="P129" s="836"/>
      <c r="Q129" s="839"/>
      <c r="R129" s="839"/>
      <c r="S129" s="839"/>
      <c r="T129" s="842"/>
      <c r="AI129" s="434"/>
      <c r="AQ129" t="str">
        <v>c. Penyelesaian Ganti Meter</v>
      </c>
      <c r="AR129" s="440" t="str">
        <v>ñ</v>
      </c>
      <c r="AS129" s="440">
        <v>7.18954248366013</v>
      </c>
      <c r="AT129" s="440">
        <v>32.786885245901637</v>
      </c>
      <c r="AU129" s="440">
        <v>92.560175054704601</v>
      </c>
      <c r="AV129" s="440">
        <v>107.88177339901478</v>
      </c>
      <c r="AW129" s="440">
        <v>110</v>
      </c>
      <c r="AX129" s="440">
        <v>110</v>
      </c>
      <c r="AY129" s="440">
        <v>110</v>
      </c>
      <c r="AZ129" s="440">
        <v>108.50869167429093</v>
      </c>
      <c r="BA129" s="440">
        <v>110</v>
      </c>
      <c r="BB129" s="440">
        <v>100.06863417982154</v>
      </c>
      <c r="BC129" s="440">
        <v>100.06863417982154</v>
      </c>
      <c r="BD129" s="440">
        <v>100.06863417982154</v>
      </c>
      <c r="BF129" t="str">
        <v>c. Kerusakan Peralatan Distribusi (PHB TM dan Trafo) Sesuai Kewenangan</v>
      </c>
      <c r="BG129">
        <v>2</v>
      </c>
      <c r="BH129" t="str">
        <v>Kerusakan Peralatan Distribusi (PHB TM dan Trafo) Sesuai Kewenangan</v>
      </c>
      <c r="BI129" s="440">
        <f>INDEX(T.TOLIS!$BT$8:$BT$48,MATCH(BF129,T.TOLIS!$BP$8:$BP$48,0))</f>
        <v>3</v>
      </c>
      <c r="BJ129" s="105" t="s">
        <v>456</v>
      </c>
      <c r="BK129" s="442">
        <v>50</v>
      </c>
      <c r="BL129" s="442" t="str">
        <v>Kerusakan Peralatan Distribusi (PHB TM dan Trafo) Sesuai Kewenangan</v>
      </c>
      <c r="BM129" s="442">
        <v>0</v>
      </c>
      <c r="BN129" s="440">
        <v>0</v>
      </c>
      <c r="BO129" s="440">
        <v>50</v>
      </c>
      <c r="BP129" s="628">
        <f t="shared" si="2"/>
        <v>50</v>
      </c>
      <c r="BQ129" s="440">
        <f t="shared" si="3"/>
        <v>1.5</v>
      </c>
      <c r="BW129" s="440" t="e">
        <f t="shared" si="4"/>
        <v>#REF!</v>
      </c>
      <c r="BY129" s="440" t="e">
        <f t="shared" si="5"/>
        <v>#N/A</v>
      </c>
      <c r="BZ129" s="440" t="e">
        <f t="shared" si="6"/>
        <v>#N/A</v>
      </c>
      <c r="CA129" s="440" t="e">
        <f t="shared" si="7"/>
        <v>#N/A</v>
      </c>
    </row>
    <row r="130" spans="1:79" ht="15" customHeight="1">
      <c r="A130" s="433"/>
      <c r="O130" s="835"/>
      <c r="P130" s="836"/>
      <c r="Q130" s="840" t="s">
        <v>457</v>
      </c>
      <c r="R130" s="840"/>
      <c r="S130" s="840">
        <f>BT120</f>
        <v>17</v>
      </c>
      <c r="T130" s="841"/>
      <c r="AI130" s="434"/>
      <c r="AQ130" t="str">
        <v>Perfomance Indicators</v>
      </c>
      <c r="AR130" s="440">
        <v>0</v>
      </c>
      <c r="AS130" s="440">
        <v>0</v>
      </c>
      <c r="AT130" s="440">
        <v>0</v>
      </c>
      <c r="AU130" s="440">
        <v>0</v>
      </c>
      <c r="AV130" s="440">
        <v>0</v>
      </c>
      <c r="AW130" s="440">
        <v>0</v>
      </c>
      <c r="AX130" s="440">
        <v>0</v>
      </c>
      <c r="AY130" s="440">
        <v>0</v>
      </c>
      <c r="AZ130" s="440">
        <v>0</v>
      </c>
      <c r="BA130" s="440">
        <v>0</v>
      </c>
      <c r="BB130" s="440">
        <v>0</v>
      </c>
      <c r="BC130" s="440">
        <v>0</v>
      </c>
      <c r="BD130" s="440">
        <v>0</v>
      </c>
      <c r="BF130" t="str">
        <v>a. Feedback Rating Negatif pada PLN Mobile - Gangguan</v>
      </c>
      <c r="BG130">
        <v>2</v>
      </c>
      <c r="BH130" t="str">
        <v>Feedback Rating Negatif pada PLN Mobile - Gangguan</v>
      </c>
      <c r="BI130" s="440">
        <f>INDEX(T.TOLIS!$BT$8:$BT$48,MATCH(BF130,T.TOLIS!$BP$8:$BP$48,0))</f>
        <v>2</v>
      </c>
      <c r="BJ130" s="105" t="s">
        <v>456</v>
      </c>
      <c r="BK130" s="442">
        <v>110</v>
      </c>
      <c r="BL130" s="442" t="str">
        <v>Feedback Rating Negatif pada PLN Mobile - Gangguan</v>
      </c>
      <c r="BM130" s="442">
        <v>110</v>
      </c>
      <c r="BN130" s="440">
        <v>0</v>
      </c>
      <c r="BO130" s="440">
        <v>0</v>
      </c>
      <c r="BP130" s="628">
        <f t="shared" si="2"/>
        <v>0</v>
      </c>
      <c r="BQ130" s="440">
        <f t="shared" si="3"/>
        <v>2.2000000000000002</v>
      </c>
      <c r="BW130" s="440" t="e">
        <f t="shared" si="4"/>
        <v>#REF!</v>
      </c>
      <c r="BY130" s="440" t="e">
        <f t="shared" si="5"/>
        <v>#N/A</v>
      </c>
      <c r="BZ130" s="440" t="e">
        <f t="shared" si="6"/>
        <v>#N/A</v>
      </c>
      <c r="CA130" s="440" t="e">
        <f t="shared" si="7"/>
        <v>#N/A</v>
      </c>
    </row>
    <row r="131" spans="1:79" ht="15.75" customHeight="1" thickBot="1">
      <c r="A131" s="433"/>
      <c r="O131" s="837"/>
      <c r="P131" s="838"/>
      <c r="Q131" s="843"/>
      <c r="R131" s="843"/>
      <c r="S131" s="839"/>
      <c r="T131" s="842"/>
      <c r="X131" s="834">
        <f>BQ150</f>
        <v>97.041672390687822</v>
      </c>
      <c r="Y131" s="834"/>
      <c r="AI131" s="434"/>
      <c r="AQ131" t="str">
        <v>Keandalan Jaringan Distribusi</v>
      </c>
      <c r="AR131" s="440">
        <v>0</v>
      </c>
      <c r="AS131" s="440">
        <v>0</v>
      </c>
      <c r="AT131" s="440">
        <v>0</v>
      </c>
      <c r="AU131" s="440">
        <v>0</v>
      </c>
      <c r="AV131" s="440">
        <v>0</v>
      </c>
      <c r="AW131" s="440">
        <v>0</v>
      </c>
      <c r="AX131" s="440">
        <v>0</v>
      </c>
      <c r="AY131" s="440">
        <v>0</v>
      </c>
      <c r="AZ131" s="440">
        <v>0</v>
      </c>
      <c r="BA131" s="440">
        <v>0</v>
      </c>
      <c r="BB131" s="440">
        <v>0</v>
      </c>
      <c r="BC131" s="440">
        <v>0</v>
      </c>
      <c r="BD131" s="440">
        <v>0</v>
      </c>
      <c r="BF131" t="str">
        <v>b. Pengaduan Gangguan Berulang pada PLN Mobile</v>
      </c>
      <c r="BG131">
        <v>2</v>
      </c>
      <c r="BH131" t="str">
        <v>Pengaduan Gangguan Berulang pada PLN Mobile</v>
      </c>
      <c r="BI131" s="440">
        <f>INDEX(T.TOLIS!$BT$8:$BT$48,MATCH(BF131,T.TOLIS!$BP$8:$BP$48,0))</f>
        <v>2</v>
      </c>
      <c r="BJ131" s="105" t="s">
        <v>456</v>
      </c>
      <c r="BK131" s="442">
        <v>110</v>
      </c>
      <c r="BL131" s="442" t="str">
        <v>Pengaduan Gangguan Berulang pada PLN Mobile</v>
      </c>
      <c r="BM131" s="442">
        <v>110</v>
      </c>
      <c r="BN131" s="440">
        <v>0</v>
      </c>
      <c r="BO131" s="440">
        <v>0</v>
      </c>
      <c r="BP131" s="628">
        <f t="shared" si="2"/>
        <v>0</v>
      </c>
      <c r="BQ131" s="440">
        <f t="shared" si="3"/>
        <v>2.2000000000000002</v>
      </c>
      <c r="BW131" s="440" t="e">
        <f t="shared" si="4"/>
        <v>#REF!</v>
      </c>
      <c r="BY131" s="440" t="e">
        <f t="shared" si="5"/>
        <v>#N/A</v>
      </c>
      <c r="BZ131" s="440" t="e">
        <f t="shared" si="6"/>
        <v>#N/A</v>
      </c>
      <c r="CA131" s="440" t="e">
        <f t="shared" si="7"/>
        <v>#N/A</v>
      </c>
    </row>
    <row r="132" spans="1:79" ht="15" customHeight="1">
      <c r="A132" s="433"/>
      <c r="O132" s="846"/>
      <c r="P132" s="847"/>
      <c r="Q132" s="840" t="s">
        <v>9</v>
      </c>
      <c r="R132" s="840"/>
      <c r="S132" s="840">
        <f>BT121</f>
        <v>1</v>
      </c>
      <c r="T132" s="841"/>
      <c r="X132" s="834"/>
      <c r="Y132" s="834"/>
      <c r="AI132" s="434"/>
      <c r="AQ132" t="str">
        <v>a. Gangguan TM &gt; 5 Menit</v>
      </c>
      <c r="AR132" s="440" t="str">
        <v>ò</v>
      </c>
      <c r="AS132" s="440">
        <v>110</v>
      </c>
      <c r="AT132" s="440">
        <v>110</v>
      </c>
      <c r="AU132" s="440">
        <v>110</v>
      </c>
      <c r="AV132" s="440">
        <v>110</v>
      </c>
      <c r="AW132" s="440">
        <v>96.428571428571431</v>
      </c>
      <c r="AX132" s="440">
        <v>106.06060606060606</v>
      </c>
      <c r="AY132" s="440">
        <v>102.56410256410255</v>
      </c>
      <c r="AZ132" s="440">
        <v>110</v>
      </c>
      <c r="BA132" s="440">
        <v>108</v>
      </c>
      <c r="BB132" s="440">
        <v>101.81818181818181</v>
      </c>
      <c r="BC132" s="440">
        <v>110</v>
      </c>
      <c r="BD132" s="440">
        <v>110</v>
      </c>
      <c r="BF132" t="str">
        <v>c. Rating PLN Mobile</v>
      </c>
      <c r="BG132">
        <v>2</v>
      </c>
      <c r="BH132" t="str">
        <v>Rating PLN Mobile</v>
      </c>
      <c r="BI132" s="440">
        <f>INDEX(T.TOLIS!$BT$8:$BT$48,MATCH(BF132,T.TOLIS!$BP$8:$BP$48,0))</f>
        <v>2</v>
      </c>
      <c r="BJ132" s="105" t="s">
        <v>456</v>
      </c>
      <c r="BK132" s="442">
        <v>100</v>
      </c>
      <c r="BL132" s="442" t="str">
        <v>Rating PLN Mobile</v>
      </c>
      <c r="BM132" s="442">
        <v>100</v>
      </c>
      <c r="BN132" s="440">
        <v>0</v>
      </c>
      <c r="BO132" s="440">
        <v>0</v>
      </c>
      <c r="BP132" s="628">
        <f t="shared" si="2"/>
        <v>0</v>
      </c>
      <c r="BQ132" s="440">
        <f t="shared" si="3"/>
        <v>2</v>
      </c>
      <c r="BW132" s="440" t="e">
        <f t="shared" si="4"/>
        <v>#REF!</v>
      </c>
      <c r="BY132" s="440" t="e">
        <f t="shared" si="5"/>
        <v>#N/A</v>
      </c>
      <c r="BZ132" s="440" t="e">
        <f t="shared" si="6"/>
        <v>#N/A</v>
      </c>
      <c r="CA132" s="440" t="e">
        <f t="shared" si="7"/>
        <v>#N/A</v>
      </c>
    </row>
    <row r="133" spans="1:79" ht="15" customHeight="1" thickBot="1">
      <c r="A133" s="433"/>
      <c r="O133" s="835"/>
      <c r="P133" s="836"/>
      <c r="Q133" s="844"/>
      <c r="R133" s="844"/>
      <c r="S133" s="839"/>
      <c r="T133" s="842"/>
      <c r="X133" s="834"/>
      <c r="Y133" s="834"/>
      <c r="AI133" s="434"/>
      <c r="AQ133" t="str">
        <v>b. Gangguan TM ≤ 5 Menit</v>
      </c>
      <c r="AR133" s="440" t="str">
        <v>ò</v>
      </c>
      <c r="AS133" s="440">
        <v>110</v>
      </c>
      <c r="AT133" s="440">
        <v>110</v>
      </c>
      <c r="AU133" s="440">
        <v>110</v>
      </c>
      <c r="AV133" s="440">
        <v>110</v>
      </c>
      <c r="AW133" s="440">
        <v>110</v>
      </c>
      <c r="AX133" s="440">
        <v>110</v>
      </c>
      <c r="AY133" s="440">
        <v>110</v>
      </c>
      <c r="AZ133" s="440">
        <v>110</v>
      </c>
      <c r="BA133" s="440">
        <v>110</v>
      </c>
      <c r="BB133" s="440">
        <v>109.72222222222223</v>
      </c>
      <c r="BC133" s="440">
        <v>110</v>
      </c>
      <c r="BD133" s="440">
        <v>110</v>
      </c>
      <c r="BF133" t="str">
        <v>d. Jumlah Kali Transaksi Keuangan melalui PLN Mobile</v>
      </c>
      <c r="BG133">
        <v>2</v>
      </c>
      <c r="BH133" t="str">
        <v>Jumlah Kali Transaksi Keuangan melalui PLN Mobile</v>
      </c>
      <c r="BI133" s="440">
        <f>INDEX(T.TOLIS!$BT$8:$BT$48,MATCH(BF133,T.TOLIS!$BP$8:$BP$48,0))</f>
        <v>2</v>
      </c>
      <c r="BJ133" s="105" t="s">
        <v>456</v>
      </c>
      <c r="BK133" s="442">
        <v>110</v>
      </c>
      <c r="BL133" s="442" t="str">
        <v>Jumlah Kali Transaksi Keuangan melalui PLN Mobile</v>
      </c>
      <c r="BM133" s="442">
        <v>110</v>
      </c>
      <c r="BN133" s="440">
        <v>0</v>
      </c>
      <c r="BO133" s="440">
        <v>0</v>
      </c>
      <c r="BP133" s="628">
        <f t="shared" si="2"/>
        <v>0</v>
      </c>
      <c r="BQ133" s="440">
        <f t="shared" si="3"/>
        <v>2.2000000000000002</v>
      </c>
      <c r="BW133" s="440" t="e">
        <f t="shared" si="4"/>
        <v>#REF!</v>
      </c>
      <c r="BY133" s="440" t="e">
        <f t="shared" si="5"/>
        <v>#N/A</v>
      </c>
      <c r="BZ133" s="440" t="e">
        <f t="shared" si="6"/>
        <v>#N/A</v>
      </c>
      <c r="CA133" s="440" t="e">
        <f t="shared" si="7"/>
        <v>#N/A</v>
      </c>
    </row>
    <row r="134" spans="1:79" ht="15" customHeight="1">
      <c r="A134" s="433"/>
      <c r="O134" s="835"/>
      <c r="P134" s="836"/>
      <c r="Q134" s="839" t="s">
        <v>457</v>
      </c>
      <c r="R134" s="839"/>
      <c r="S134" s="840">
        <f>IFERROR(BT122,0)</f>
        <v>1</v>
      </c>
      <c r="T134" s="841"/>
      <c r="X134" s="834"/>
      <c r="Y134" s="834"/>
      <c r="AI134" s="434"/>
      <c r="AQ134" t="str">
        <v>c. Kerusakan Peralatan Distribusi (PHB TM dan Trafo) Sesuai Kewenangan</v>
      </c>
      <c r="AR134" s="440" t="str">
        <v>ò</v>
      </c>
      <c r="AS134" s="440">
        <v>100</v>
      </c>
      <c r="AT134" s="440">
        <v>100</v>
      </c>
      <c r="AU134" s="440">
        <v>110</v>
      </c>
      <c r="AV134" s="440">
        <v>110</v>
      </c>
      <c r="AW134" s="440">
        <v>100</v>
      </c>
      <c r="AX134" s="440">
        <v>0</v>
      </c>
      <c r="AY134" s="440">
        <v>50</v>
      </c>
      <c r="AZ134" s="440">
        <v>50</v>
      </c>
      <c r="BA134" s="440">
        <v>50</v>
      </c>
      <c r="BB134" s="440">
        <v>50</v>
      </c>
      <c r="BC134" s="440">
        <v>50</v>
      </c>
      <c r="BD134" s="440">
        <v>50</v>
      </c>
      <c r="BF134" t="str">
        <v>a. Response Time atas Gangguan (diluar Clear Tamper)</v>
      </c>
      <c r="BG134">
        <v>2</v>
      </c>
      <c r="BH134" t="str">
        <v>Response Time atas Gangguan (diluar Clear Tamper)</v>
      </c>
      <c r="BI134" s="440">
        <f>INDEX(T.TOLIS!$BT$8:$BT$48,MATCH(BF134,T.TOLIS!$BP$8:$BP$48,0))</f>
        <v>1.5</v>
      </c>
      <c r="BJ134" s="105" t="s">
        <v>456</v>
      </c>
      <c r="BK134" s="442">
        <v>110</v>
      </c>
      <c r="BL134" s="442" t="str">
        <v>Response Time atas Gangguan (diluar Clear Tamper)</v>
      </c>
      <c r="BM134" s="442">
        <v>110</v>
      </c>
      <c r="BN134" s="440">
        <v>0</v>
      </c>
      <c r="BO134" s="440">
        <v>0</v>
      </c>
      <c r="BP134" s="628">
        <f t="shared" si="2"/>
        <v>0</v>
      </c>
      <c r="BQ134" s="440">
        <f t="shared" si="3"/>
        <v>1.65</v>
      </c>
      <c r="BW134" s="440" t="e">
        <f t="shared" si="4"/>
        <v>#REF!</v>
      </c>
      <c r="BY134" s="440" t="e">
        <f t="shared" si="5"/>
        <v>#N/A</v>
      </c>
      <c r="BZ134" s="440" t="e">
        <f t="shared" si="6"/>
        <v>#N/A</v>
      </c>
      <c r="CA134" s="440" t="e">
        <f t="shared" si="7"/>
        <v>#N/A</v>
      </c>
    </row>
    <row r="135" spans="1:79" ht="15.75" customHeight="1" thickBot="1">
      <c r="A135" s="433"/>
      <c r="O135" s="837"/>
      <c r="P135" s="838"/>
      <c r="Q135" s="843"/>
      <c r="R135" s="843"/>
      <c r="S135" s="839"/>
      <c r="T135" s="842"/>
      <c r="X135" s="834"/>
      <c r="Y135" s="834"/>
      <c r="AI135" s="434"/>
      <c r="AQ135" t="str">
        <v>Peningkatan Layanan</v>
      </c>
      <c r="AR135" s="440">
        <v>0</v>
      </c>
      <c r="AS135" s="440">
        <v>0</v>
      </c>
      <c r="AT135" s="440">
        <v>0</v>
      </c>
      <c r="AU135" s="440">
        <v>0</v>
      </c>
      <c r="AV135" s="440">
        <v>0</v>
      </c>
      <c r="AW135" s="440">
        <v>0</v>
      </c>
      <c r="AX135" s="440">
        <v>0</v>
      </c>
      <c r="AY135" s="440">
        <v>0</v>
      </c>
      <c r="AZ135" s="440">
        <v>0</v>
      </c>
      <c r="BA135" s="440">
        <v>0</v>
      </c>
      <c r="BB135" s="440">
        <v>0</v>
      </c>
      <c r="BC135" s="440">
        <v>0</v>
      </c>
      <c r="BD135" s="440">
        <v>0</v>
      </c>
      <c r="BF135" t="str">
        <v>b. Success Rate Auto Dispatch Gangguan Individual (diluar Clear Tamper)</v>
      </c>
      <c r="BG135">
        <v>2</v>
      </c>
      <c r="BH135" t="str">
        <v>Success Rate Auto Dispatch Gangguan Individual (diluar Clear Tamper)</v>
      </c>
      <c r="BI135" s="440">
        <f>INDEX(T.TOLIS!$BT$8:$BT$48,MATCH(BF135,T.TOLIS!$BP$8:$BP$48,0))</f>
        <v>1.5</v>
      </c>
      <c r="BJ135" s="105" t="s">
        <v>456</v>
      </c>
      <c r="BK135" s="442">
        <v>100</v>
      </c>
      <c r="BL135" s="442" t="str">
        <v>Success Rate Auto Dispatch Gangguan Individual (diluar Clear Tamper)</v>
      </c>
      <c r="BM135" s="442">
        <v>100</v>
      </c>
      <c r="BN135" s="440">
        <v>0</v>
      </c>
      <c r="BO135" s="440">
        <v>0</v>
      </c>
      <c r="BP135" s="628">
        <f t="shared" si="2"/>
        <v>0</v>
      </c>
      <c r="BQ135" s="440">
        <f t="shared" si="3"/>
        <v>1.5</v>
      </c>
      <c r="BW135" s="440" t="e">
        <f t="shared" si="4"/>
        <v>#REF!</v>
      </c>
      <c r="BY135" s="440" t="e">
        <f t="shared" si="5"/>
        <v>#N/A</v>
      </c>
      <c r="BZ135" s="440" t="e">
        <f t="shared" si="6"/>
        <v>#N/A</v>
      </c>
      <c r="CA135" s="440" t="e">
        <f t="shared" si="7"/>
        <v>#N/A</v>
      </c>
    </row>
    <row r="136" spans="1:79" ht="15" customHeight="1">
      <c r="A136" s="433"/>
      <c r="O136" s="835"/>
      <c r="P136" s="836"/>
      <c r="Q136" s="839" t="s">
        <v>9</v>
      </c>
      <c r="R136" s="839"/>
      <c r="S136" s="840">
        <f>IFERROR(BT123,0)</f>
        <v>2</v>
      </c>
      <c r="T136" s="841"/>
      <c r="AI136" s="434"/>
      <c r="AQ136" t="str">
        <v>a. Feedback Rating Negatif pada PLN Mobile - Gangguan</v>
      </c>
      <c r="AR136" s="440" t="str">
        <v>ò</v>
      </c>
      <c r="AS136" s="440">
        <v>110</v>
      </c>
      <c r="AT136" s="440">
        <v>110</v>
      </c>
      <c r="AU136" s="440">
        <v>110</v>
      </c>
      <c r="AV136" s="440">
        <v>110</v>
      </c>
      <c r="AW136" s="440">
        <v>110</v>
      </c>
      <c r="AX136" s="440">
        <v>110</v>
      </c>
      <c r="AY136" s="440">
        <v>110</v>
      </c>
      <c r="AZ136" s="440">
        <v>110</v>
      </c>
      <c r="BA136" s="440">
        <v>110</v>
      </c>
      <c r="BB136" s="440">
        <v>110</v>
      </c>
      <c r="BC136" s="440">
        <v>110</v>
      </c>
      <c r="BD136" s="440">
        <v>110</v>
      </c>
      <c r="BF136" t="str">
        <v>a. Recovery Time Gangguan Meluas TM</v>
      </c>
      <c r="BG136">
        <v>2</v>
      </c>
      <c r="BH136" t="str">
        <v>Recovery Time Gangguan Meluas TM</v>
      </c>
      <c r="BI136" s="440">
        <f>INDEX(T.TOLIS!$BT$8:$BT$48,MATCH(BF136,T.TOLIS!$BP$8:$BP$48,0))</f>
        <v>3</v>
      </c>
      <c r="BJ136" s="105" t="s">
        <v>456</v>
      </c>
      <c r="BK136" s="442">
        <v>110.00000000000001</v>
      </c>
      <c r="BL136" s="442" t="str">
        <v>Recovery Time Gangguan Meluas TM</v>
      </c>
      <c r="BM136" s="442">
        <v>110.00000000000001</v>
      </c>
      <c r="BN136" s="440">
        <v>0</v>
      </c>
      <c r="BO136" s="440">
        <v>0</v>
      </c>
      <c r="BP136" s="628">
        <f t="shared" si="2"/>
        <v>0</v>
      </c>
      <c r="BQ136" s="440">
        <f t="shared" si="3"/>
        <v>3.3000000000000007</v>
      </c>
      <c r="BW136" s="440" t="e">
        <f t="shared" si="4"/>
        <v>#REF!</v>
      </c>
      <c r="BY136" s="440" t="e">
        <f t="shared" si="5"/>
        <v>#N/A</v>
      </c>
      <c r="BZ136" s="440" t="e">
        <f t="shared" si="6"/>
        <v>#N/A</v>
      </c>
      <c r="CA136" s="440" t="e">
        <f t="shared" si="7"/>
        <v>#N/A</v>
      </c>
    </row>
    <row r="137" spans="1:79" ht="15.75" customHeight="1" thickBot="1">
      <c r="A137" s="433"/>
      <c r="O137" s="835"/>
      <c r="P137" s="836"/>
      <c r="Q137" s="839"/>
      <c r="R137" s="839"/>
      <c r="S137" s="839"/>
      <c r="T137" s="842"/>
      <c r="AI137" s="434"/>
      <c r="AQ137" t="str">
        <v>b. Pengaduan Gangguan Berulang pada PLN Mobile</v>
      </c>
      <c r="AR137" s="440" t="str">
        <v>ò</v>
      </c>
      <c r="AS137" s="440">
        <v>110</v>
      </c>
      <c r="AT137" s="440">
        <v>110</v>
      </c>
      <c r="AU137" s="440">
        <v>110</v>
      </c>
      <c r="AV137" s="440">
        <v>110</v>
      </c>
      <c r="AW137" s="440">
        <v>110</v>
      </c>
      <c r="AX137" s="440">
        <v>110</v>
      </c>
      <c r="AY137" s="440">
        <v>110</v>
      </c>
      <c r="AZ137" s="440">
        <v>110</v>
      </c>
      <c r="BA137" s="440">
        <v>110</v>
      </c>
      <c r="BB137" s="440">
        <v>110</v>
      </c>
      <c r="BC137" s="440">
        <v>110</v>
      </c>
      <c r="BD137" s="440">
        <v>110</v>
      </c>
      <c r="BF137" t="str">
        <v>b. Penormalan Siaga 1 Gangguan TM</v>
      </c>
      <c r="BG137">
        <v>2</v>
      </c>
      <c r="BH137" t="str">
        <v>Penormalan Siaga 1 Gangguan TM</v>
      </c>
      <c r="BI137" s="440">
        <f>INDEX(T.TOLIS!$BT$8:$BT$48,MATCH(BF137,T.TOLIS!$BP$8:$BP$48,0))</f>
        <v>3</v>
      </c>
      <c r="BJ137" s="105" t="s">
        <v>456</v>
      </c>
      <c r="BK137" s="442">
        <v>110.00000000000001</v>
      </c>
      <c r="BL137" s="442" t="str">
        <v>Penormalan Siaga 1 Gangguan TM</v>
      </c>
      <c r="BM137" s="442">
        <v>110.00000000000001</v>
      </c>
      <c r="BN137" s="440">
        <v>0</v>
      </c>
      <c r="BO137" s="440">
        <v>0</v>
      </c>
      <c r="BP137" s="628">
        <f t="shared" si="2"/>
        <v>0</v>
      </c>
      <c r="BQ137" s="440">
        <f t="shared" si="3"/>
        <v>3.3000000000000007</v>
      </c>
      <c r="BW137" s="440" t="e">
        <f t="shared" si="4"/>
        <v>#REF!</v>
      </c>
      <c r="BY137" s="440" t="e">
        <f t="shared" si="5"/>
        <v>#N/A</v>
      </c>
      <c r="BZ137" s="440" t="e">
        <f t="shared" si="6"/>
        <v>#N/A</v>
      </c>
      <c r="CA137" s="440" t="e">
        <f t="shared" si="7"/>
        <v>#N/A</v>
      </c>
    </row>
    <row r="138" spans="1:79" ht="15" customHeight="1">
      <c r="A138" s="433"/>
      <c r="O138" s="835"/>
      <c r="P138" s="836"/>
      <c r="Q138" s="840" t="s">
        <v>457</v>
      </c>
      <c r="R138" s="840"/>
      <c r="S138" s="840">
        <f>BT124</f>
        <v>5</v>
      </c>
      <c r="T138" s="841"/>
      <c r="AI138" s="434"/>
      <c r="AQ138" t="str">
        <v>c. Rating PLN Mobile</v>
      </c>
      <c r="AR138" s="440" t="str">
        <v>ñ</v>
      </c>
      <c r="AS138" s="440">
        <v>100.20408163265306</v>
      </c>
      <c r="AT138" s="440">
        <v>100.20408163265306</v>
      </c>
      <c r="AU138" s="440">
        <v>100.20408163265306</v>
      </c>
      <c r="AV138" s="440">
        <v>100.20408163265306</v>
      </c>
      <c r="AW138" s="440">
        <v>100</v>
      </c>
      <c r="AX138" s="440">
        <v>100</v>
      </c>
      <c r="AY138" s="440">
        <v>100</v>
      </c>
      <c r="AZ138" s="440">
        <v>100</v>
      </c>
      <c r="BA138" s="440">
        <v>100</v>
      </c>
      <c r="BB138" s="440">
        <v>100</v>
      </c>
      <c r="BC138" s="440">
        <v>100</v>
      </c>
      <c r="BD138" s="440">
        <v>100</v>
      </c>
      <c r="BF138" t="str">
        <v>a. Penambahan Daya Tersambung</v>
      </c>
      <c r="BG138">
        <v>2</v>
      </c>
      <c r="BH138" t="str">
        <v>Penambahan Daya Tersambung</v>
      </c>
      <c r="BI138" s="440">
        <f>INDEX(T.TOLIS!$BT$8:$BT$48,MATCH(BF138,T.TOLIS!$BP$8:$BP$48,0))</f>
        <v>2.5</v>
      </c>
      <c r="BJ138" s="105" t="s">
        <v>456</v>
      </c>
      <c r="BK138" s="442">
        <v>59.007352941176471</v>
      </c>
      <c r="BL138" s="442" t="str">
        <v>Penambahan Daya Tersambung</v>
      </c>
      <c r="BM138" s="442">
        <v>0</v>
      </c>
      <c r="BN138" s="440">
        <v>0</v>
      </c>
      <c r="BO138" s="440">
        <v>59.007352941176471</v>
      </c>
      <c r="BP138" s="628">
        <f t="shared" si="2"/>
        <v>40.992647058823529</v>
      </c>
      <c r="BQ138" s="440">
        <f t="shared" si="3"/>
        <v>1.4751838235294119</v>
      </c>
      <c r="BW138" s="627"/>
      <c r="BX138" s="627"/>
      <c r="BY138" s="627"/>
      <c r="BZ138" s="627"/>
      <c r="CA138" s="627"/>
    </row>
    <row r="139" spans="1:79" ht="15.75" customHeight="1" thickBot="1">
      <c r="A139" s="433"/>
      <c r="O139" s="837"/>
      <c r="P139" s="838"/>
      <c r="Q139" s="843"/>
      <c r="R139" s="843"/>
      <c r="S139" s="844"/>
      <c r="T139" s="845"/>
      <c r="AI139" s="434"/>
      <c r="AQ139" t="str">
        <v>d. Jumlah Kali Transaksi Keuangan melalui PLN Mobile</v>
      </c>
      <c r="AR139" s="440" t="str">
        <v>ñ</v>
      </c>
      <c r="AS139" s="440">
        <v>53.754693366708381</v>
      </c>
      <c r="AT139" s="440">
        <v>66.206443129520054</v>
      </c>
      <c r="AU139" s="440">
        <v>82.870071105365227</v>
      </c>
      <c r="AV139" s="440">
        <v>102.71493212669682</v>
      </c>
      <c r="AW139" s="440">
        <v>110</v>
      </c>
      <c r="AX139" s="440">
        <v>110</v>
      </c>
      <c r="AY139" s="440">
        <v>110</v>
      </c>
      <c r="AZ139" s="440">
        <v>110</v>
      </c>
      <c r="BA139" s="440">
        <v>110</v>
      </c>
      <c r="BB139" s="440">
        <v>110</v>
      </c>
      <c r="BC139" s="440">
        <v>0</v>
      </c>
      <c r="BD139" s="440">
        <v>0</v>
      </c>
      <c r="BF139" t="str">
        <v>b. Penambahan Jumlah Pelanggan</v>
      </c>
      <c r="BG139">
        <v>2</v>
      </c>
      <c r="BH139" t="str">
        <v>Penambahan Jumlah Pelanggan</v>
      </c>
      <c r="BI139" s="440">
        <f>INDEX(T.TOLIS!$BT$8:$BT$48,MATCH(BF139,T.TOLIS!$BP$8:$BP$48,0))</f>
        <v>2.5</v>
      </c>
      <c r="BJ139" s="105" t="s">
        <v>456</v>
      </c>
      <c r="BK139" s="442">
        <v>51.318359375</v>
      </c>
      <c r="BL139" s="442" t="str">
        <v>Penambahan Jumlah Pelanggan</v>
      </c>
      <c r="BM139" s="442">
        <v>0</v>
      </c>
      <c r="BN139" s="440">
        <v>0</v>
      </c>
      <c r="BO139" s="440">
        <v>51.318359375</v>
      </c>
      <c r="BP139" s="628">
        <f t="shared" si="2"/>
        <v>48.681640625</v>
      </c>
      <c r="BQ139" s="440">
        <f t="shared" si="3"/>
        <v>1.282958984375</v>
      </c>
    </row>
    <row r="140" spans="1:79">
      <c r="A140" s="433"/>
      <c r="AI140" s="434"/>
      <c r="AQ140" t="str">
        <v>Dispatch Respon Time</v>
      </c>
      <c r="AR140" s="440">
        <v>0</v>
      </c>
      <c r="AS140" s="440">
        <v>0</v>
      </c>
      <c r="AT140" s="440">
        <v>0</v>
      </c>
      <c r="AU140" s="440">
        <v>0</v>
      </c>
      <c r="AV140" s="440">
        <v>0</v>
      </c>
      <c r="AW140" s="440">
        <v>0</v>
      </c>
      <c r="AX140" s="440">
        <v>0</v>
      </c>
      <c r="AY140" s="440">
        <v>0</v>
      </c>
      <c r="AZ140" s="440">
        <v>0</v>
      </c>
      <c r="BA140" s="440">
        <v>0</v>
      </c>
      <c r="BB140" s="440">
        <v>0</v>
      </c>
      <c r="BC140" s="440">
        <v>0</v>
      </c>
      <c r="BD140" s="440">
        <v>0</v>
      </c>
      <c r="BF140" t="str">
        <v>c. Jumlah Penambahan Pelanggan Produk Tematik</v>
      </c>
      <c r="BG140">
        <v>2</v>
      </c>
      <c r="BH140" t="str">
        <v>Jumlah Penambahan Pelanggan Produk Tematik</v>
      </c>
      <c r="BI140" s="440">
        <f>INDEX(T.TOLIS!$BT$8:$BT$48,MATCH(BF140,T.TOLIS!$BP$8:$BP$48,0))</f>
        <v>2.5</v>
      </c>
      <c r="BJ140" s="105" t="s">
        <v>456</v>
      </c>
      <c r="BK140" s="442">
        <v>110</v>
      </c>
      <c r="BL140" s="442" t="str">
        <v>Jumlah Penambahan Pelanggan Produk Tematik</v>
      </c>
      <c r="BM140" s="442">
        <v>110</v>
      </c>
      <c r="BN140" s="440">
        <v>0</v>
      </c>
      <c r="BO140" s="440">
        <v>0</v>
      </c>
      <c r="BP140" s="628">
        <f t="shared" si="2"/>
        <v>0</v>
      </c>
      <c r="BQ140" s="440">
        <f t="shared" si="3"/>
        <v>2.75</v>
      </c>
    </row>
    <row r="141" spans="1:79">
      <c r="A141" s="433"/>
      <c r="AI141" s="434"/>
      <c r="AQ141" t="str">
        <v>a. Response Time atas Gangguan (diluar Clear Tamper)</v>
      </c>
      <c r="AR141" s="440" t="str">
        <v>ò</v>
      </c>
      <c r="AS141" s="440">
        <v>110</v>
      </c>
      <c r="AT141" s="440">
        <v>110</v>
      </c>
      <c r="AU141" s="440">
        <v>110</v>
      </c>
      <c r="AV141" s="440">
        <v>110</v>
      </c>
      <c r="AW141" s="440">
        <v>110</v>
      </c>
      <c r="AX141" s="440">
        <v>110</v>
      </c>
      <c r="AY141" s="440">
        <v>110</v>
      </c>
      <c r="AZ141" s="440">
        <v>110</v>
      </c>
      <c r="BA141" s="440">
        <v>110</v>
      </c>
      <c r="BB141" s="440">
        <v>110</v>
      </c>
      <c r="BC141" s="440">
        <v>110</v>
      </c>
      <c r="BD141" s="440">
        <v>110</v>
      </c>
      <c r="BF141" t="str">
        <v>d. Implementasi Kesesuaian Sektor Bisnis sesuai KBLI 2020</v>
      </c>
      <c r="BG141">
        <v>2</v>
      </c>
      <c r="BH141" t="str">
        <v>Implementasi Kesesuaian Sektor Bisnis sesuai KBLI 2020</v>
      </c>
      <c r="BI141" s="440">
        <f>INDEX(T.TOLIS!$BT$8:$BT$48,MATCH(BF141,T.TOLIS!$BP$8:$BP$48,0))</f>
        <v>2.5</v>
      </c>
      <c r="BJ141" s="105" t="s">
        <v>456</v>
      </c>
      <c r="BK141" s="442">
        <v>110</v>
      </c>
      <c r="BL141" s="442" t="str">
        <v>Implementasi Kesesuaian Sektor Bisnis sesuai KBLI 2020</v>
      </c>
      <c r="BM141" s="442">
        <v>110</v>
      </c>
      <c r="BN141" s="440">
        <v>0</v>
      </c>
      <c r="BO141" s="440">
        <v>0</v>
      </c>
      <c r="BP141" s="628">
        <f t="shared" si="2"/>
        <v>0</v>
      </c>
      <c r="BQ141" s="440">
        <f t="shared" si="3"/>
        <v>2.75</v>
      </c>
    </row>
    <row r="142" spans="1:79">
      <c r="A142" s="433"/>
      <c r="AI142" s="434"/>
      <c r="AQ142" t="str">
        <v>b. Success Rate Auto Dispatch Gangguan Individual (diluar Clear Tamper)</v>
      </c>
      <c r="AR142" s="440" t="str">
        <v>ñ</v>
      </c>
      <c r="AS142" s="440">
        <v>100</v>
      </c>
      <c r="AT142" s="440">
        <v>100</v>
      </c>
      <c r="AU142" s="440">
        <v>100</v>
      </c>
      <c r="AV142" s="440">
        <v>100</v>
      </c>
      <c r="AW142" s="440">
        <v>100</v>
      </c>
      <c r="AX142" s="440">
        <v>100</v>
      </c>
      <c r="AY142" s="440">
        <v>100</v>
      </c>
      <c r="AZ142" s="440">
        <v>100</v>
      </c>
      <c r="BA142" s="440">
        <v>100</v>
      </c>
      <c r="BB142" s="440">
        <v>100</v>
      </c>
      <c r="BC142" s="440">
        <v>100</v>
      </c>
      <c r="BD142" s="440">
        <v>100</v>
      </c>
      <c r="BF142" t="str">
        <v>a. Penambahan Jumlah Pelanggan Rumah Tangga Lisdes</v>
      </c>
      <c r="BG142">
        <v>2</v>
      </c>
      <c r="BH142" t="str">
        <v>Penambahan Jumlah Pelanggan Rumah Tangga Lisdes</v>
      </c>
      <c r="BI142" s="440">
        <f>INDEX(T.TOLIS!$BT$8:$BT$48,MATCH(BF142,T.TOLIS!$BP$8:$BP$48,0))</f>
        <v>2</v>
      </c>
      <c r="BJ142" s="105" t="s">
        <v>456</v>
      </c>
      <c r="BK142" s="442">
        <v>21.052631578947366</v>
      </c>
      <c r="BL142" s="442" t="str">
        <v>Penambahan Jumlah Pelanggan Rumah Tangga Lisdes</v>
      </c>
      <c r="BM142" s="442">
        <v>0</v>
      </c>
      <c r="BN142" s="440">
        <v>0</v>
      </c>
      <c r="BO142" s="440">
        <v>21.052631578947366</v>
      </c>
      <c r="BP142" s="628">
        <f t="shared" si="2"/>
        <v>78.94736842105263</v>
      </c>
      <c r="BQ142" s="440">
        <f t="shared" si="3"/>
        <v>0.42105263157894735</v>
      </c>
    </row>
    <row r="143" spans="1:79">
      <c r="A143" s="433"/>
      <c r="AI143" s="434"/>
      <c r="AQ143" t="str">
        <v>Sistem Recovery :</v>
      </c>
      <c r="AR143" s="440">
        <v>0</v>
      </c>
      <c r="AS143" s="440">
        <v>0</v>
      </c>
      <c r="AT143" s="440">
        <v>0</v>
      </c>
      <c r="AU143" s="440">
        <v>0</v>
      </c>
      <c r="AV143" s="440">
        <v>0</v>
      </c>
      <c r="AW143" s="440">
        <v>0</v>
      </c>
      <c r="AX143" s="440">
        <v>0</v>
      </c>
      <c r="AY143" s="440">
        <v>0</v>
      </c>
      <c r="AZ143" s="440">
        <v>0</v>
      </c>
      <c r="BA143" s="440">
        <v>0</v>
      </c>
      <c r="BB143" s="440">
        <v>0</v>
      </c>
      <c r="BC143" s="440">
        <v>0</v>
      </c>
      <c r="BD143" s="440">
        <v>0</v>
      </c>
      <c r="BF143" t="str">
        <v>b. Peningkatan kWh Penjualan dari Pelanggan Rumah Tangga Lisdes</v>
      </c>
      <c r="BG143">
        <v>2</v>
      </c>
      <c r="BH143" t="str">
        <v>Peningkatan kWh Penjualan dari Pelanggan Rumah Tangga Lisdes</v>
      </c>
      <c r="BI143" s="440">
        <f>INDEX(T.TOLIS!$BT$8:$BT$48,MATCH(BF143,T.TOLIS!$BP$8:$BP$48,0))</f>
        <v>2</v>
      </c>
      <c r="BJ143" s="105" t="s">
        <v>456</v>
      </c>
      <c r="BK143" s="442">
        <v>59.695392725732191</v>
      </c>
      <c r="BL143" s="442" t="str">
        <v>Peningkatan kWh Penjualan dari Pelanggan Rumah Tangga Lisdes</v>
      </c>
      <c r="BM143" s="442">
        <v>0</v>
      </c>
      <c r="BN143" s="440">
        <v>0</v>
      </c>
      <c r="BO143" s="440">
        <v>59.695392725732191</v>
      </c>
      <c r="BP143" s="628">
        <f t="shared" si="2"/>
        <v>40.304607274267809</v>
      </c>
      <c r="BQ143" s="440">
        <f t="shared" si="3"/>
        <v>1.1939078545146438</v>
      </c>
    </row>
    <row r="144" spans="1:79">
      <c r="A144" s="433"/>
      <c r="AI144" s="434"/>
      <c r="AQ144" t="str">
        <v>a. Recovery Time Gangguan Meluas TM</v>
      </c>
      <c r="AR144" s="440" t="str">
        <v>ñ</v>
      </c>
      <c r="AS144" s="440">
        <v>60.750000000000007</v>
      </c>
      <c r="AT144" s="440">
        <v>76.5</v>
      </c>
      <c r="AU144" s="440">
        <v>107.25</v>
      </c>
      <c r="AV144" s="440">
        <v>109.25</v>
      </c>
      <c r="AW144" s="440">
        <v>110.00000000000001</v>
      </c>
      <c r="AX144" s="440">
        <v>110.00000000000001</v>
      </c>
      <c r="AY144" s="440">
        <v>110.00000000000001</v>
      </c>
      <c r="AZ144" s="440">
        <v>110.00000000000001</v>
      </c>
      <c r="BA144" s="440">
        <v>110.00000000000001</v>
      </c>
      <c r="BB144" s="440">
        <v>110.00000000000001</v>
      </c>
      <c r="BC144" s="440">
        <v>0</v>
      </c>
      <c r="BD144" s="440">
        <v>0</v>
      </c>
      <c r="BF144" t="str">
        <v>a. Jumlah Pengguna Swa Cam</v>
      </c>
      <c r="BG144">
        <v>2</v>
      </c>
      <c r="BH144" t="str">
        <v>Jumlah Pengguna Swa Cam</v>
      </c>
      <c r="BI144" s="440">
        <f>INDEX(T.TOLIS!$BT$8:$BT$48,MATCH(BF144,T.TOLIS!$BP$8:$BP$48,0))</f>
        <v>4</v>
      </c>
      <c r="BJ144" s="105" t="s">
        <v>456</v>
      </c>
      <c r="BK144" s="442">
        <v>110</v>
      </c>
      <c r="BL144" s="442" t="str">
        <v>Jumlah Pengguna Swa Cam</v>
      </c>
      <c r="BM144" s="442">
        <v>110</v>
      </c>
      <c r="BN144" s="440">
        <v>0</v>
      </c>
      <c r="BO144" s="440">
        <v>0</v>
      </c>
      <c r="BP144" s="628">
        <f t="shared" si="2"/>
        <v>0</v>
      </c>
      <c r="BQ144" s="440">
        <f t="shared" si="3"/>
        <v>4.4000000000000004</v>
      </c>
    </row>
    <row r="145" spans="1:69">
      <c r="A145" s="433"/>
      <c r="AI145" s="434"/>
      <c r="AQ145" t="str">
        <v>b. Penormalan Siaga 1 Gangguan TM</v>
      </c>
      <c r="AR145" s="440" t="str">
        <v>ñ</v>
      </c>
      <c r="AS145" s="440">
        <v>110.00000000000001</v>
      </c>
      <c r="AT145" s="440">
        <v>110.00000000000001</v>
      </c>
      <c r="AU145" s="440">
        <v>110.00000000000001</v>
      </c>
      <c r="AV145" s="440">
        <v>110.00000000000001</v>
      </c>
      <c r="AW145" s="440">
        <v>110.00000000000001</v>
      </c>
      <c r="AX145" s="440">
        <v>110.00000000000001</v>
      </c>
      <c r="AY145" s="440">
        <v>110.00000000000001</v>
      </c>
      <c r="AZ145" s="440">
        <v>110.00000000000001</v>
      </c>
      <c r="BA145" s="440">
        <v>110.00000000000001</v>
      </c>
      <c r="BB145" s="440">
        <v>110.00000000000001</v>
      </c>
      <c r="BC145" s="440">
        <v>0</v>
      </c>
      <c r="BD145" s="440">
        <v>0</v>
      </c>
      <c r="BF145" t="str">
        <v>b. Tindak Lanjut LBKB (Laporan Bulanan Kelainan Baca Meter)</v>
      </c>
      <c r="BG145">
        <v>2</v>
      </c>
      <c r="BH145" t="str">
        <v>Tindak Lanjut LBKB (Laporan Bulanan Kelainan Baca Meter)</v>
      </c>
      <c r="BI145" s="440">
        <f>INDEX(T.TOLIS!$BT$8:$BT$48,MATCH(BF145,T.TOLIS!$BP$8:$BP$48,0))</f>
        <v>4</v>
      </c>
      <c r="BJ145" s="105" t="s">
        <v>456</v>
      </c>
      <c r="BK145" s="442">
        <v>100</v>
      </c>
      <c r="BL145" s="442" t="str">
        <v>Tindak Lanjut LBKB (Laporan Bulanan Kelainan Baca Meter)</v>
      </c>
      <c r="BM145" s="442">
        <v>100</v>
      </c>
      <c r="BN145" s="440">
        <v>0</v>
      </c>
      <c r="BO145" s="440">
        <v>0</v>
      </c>
      <c r="BP145" s="628">
        <f t="shared" si="2"/>
        <v>0</v>
      </c>
      <c r="BQ145" s="440">
        <f t="shared" si="3"/>
        <v>4</v>
      </c>
    </row>
    <row r="146" spans="1:69">
      <c r="A146" s="433"/>
      <c r="AI146" s="434"/>
      <c r="AQ146" t="str">
        <v>Percepatan Penyambungan Pelanggan</v>
      </c>
      <c r="AR146" s="440">
        <v>0</v>
      </c>
      <c r="AS146" s="440">
        <v>0</v>
      </c>
      <c r="AT146" s="440">
        <v>0</v>
      </c>
      <c r="AU146" s="440">
        <v>0</v>
      </c>
      <c r="AV146" s="440">
        <v>0</v>
      </c>
      <c r="AW146" s="440">
        <v>0</v>
      </c>
      <c r="AX146" s="440">
        <v>0</v>
      </c>
      <c r="AY146" s="440">
        <v>0</v>
      </c>
      <c r="AZ146" s="440">
        <v>0</v>
      </c>
      <c r="BA146" s="440">
        <v>0</v>
      </c>
      <c r="BB146" s="440">
        <v>0</v>
      </c>
      <c r="BC146" s="440">
        <v>0</v>
      </c>
      <c r="BD146" s="440">
        <v>0</v>
      </c>
      <c r="BF146" t="str">
        <v>Sisa Stand Bongkar Migrasi</v>
      </c>
      <c r="BG146" t="e">
        <v>#VALUE!</v>
      </c>
      <c r="BH146" t="str">
        <v>Sisa Stand Bongkar Migrasi</v>
      </c>
      <c r="BI146" s="440">
        <f>INDEX(T.TOLIS!$BT$8:$BT$48,MATCH(BF146,T.TOLIS!$BP$8:$BP$48,0))</f>
        <v>3</v>
      </c>
      <c r="BJ146" s="105" t="s">
        <v>456</v>
      </c>
      <c r="BK146" s="442">
        <v>100</v>
      </c>
      <c r="BL146" s="442" t="str">
        <v>Sisa Stand Bongkar Migrasi</v>
      </c>
      <c r="BM146" s="442">
        <v>100</v>
      </c>
      <c r="BN146" s="440">
        <v>0</v>
      </c>
      <c r="BO146" s="440">
        <v>0</v>
      </c>
      <c r="BP146" s="628">
        <f t="shared" si="2"/>
        <v>0</v>
      </c>
      <c r="BQ146" s="440">
        <f t="shared" si="3"/>
        <v>3</v>
      </c>
    </row>
    <row r="147" spans="1:69">
      <c r="A147" s="433"/>
      <c r="AI147" s="434"/>
      <c r="AQ147" t="str">
        <v>a. Penambahan Daya Tersambung</v>
      </c>
      <c r="AR147" s="440" t="str">
        <v>ñ</v>
      </c>
      <c r="AS147" s="440">
        <v>89.74</v>
      </c>
      <c r="AT147" s="440">
        <v>76.382352941176464</v>
      </c>
      <c r="AU147" s="440">
        <v>71.961538461538467</v>
      </c>
      <c r="AV147" s="440">
        <v>54.63942307692308</v>
      </c>
      <c r="AW147" s="440">
        <v>22.702797202797203</v>
      </c>
      <c r="AX147" s="440">
        <v>23.662087912087909</v>
      </c>
      <c r="AY147" s="440">
        <v>26.186936936936938</v>
      </c>
      <c r="AZ147" s="440">
        <v>29.368320610687022</v>
      </c>
      <c r="BA147" s="440">
        <v>60.45348837209302</v>
      </c>
      <c r="BB147" s="440">
        <v>59.007352941176471</v>
      </c>
      <c r="BC147" s="440">
        <v>0</v>
      </c>
      <c r="BD147" s="440">
        <v>0</v>
      </c>
      <c r="BF147" t="str">
        <v>a. Persentase Rata-Rata Saldo Tanggal 20 Non Kogol 1 dan Non Kogol 2</v>
      </c>
      <c r="BG147">
        <v>2</v>
      </c>
      <c r="BH147" t="str">
        <v>Persentase Rata-Rata Saldo Tanggal 20 Non Kogol 1 dan Non Kogol 2</v>
      </c>
      <c r="BI147" s="440">
        <f>INDEX(T.TOLIS!$BT$8:$BT$48,MATCH(BF147,T.TOLIS!$BP$8:$BP$48,0))</f>
        <v>3</v>
      </c>
      <c r="BJ147" s="105" t="s">
        <v>456</v>
      </c>
      <c r="BK147" s="442">
        <v>110</v>
      </c>
      <c r="BL147" s="442" t="str">
        <v>Persentase Rata-Rata Saldo Tanggal 20 Non Kogol 1 dan Non Kogol 2</v>
      </c>
      <c r="BM147" s="442">
        <v>110</v>
      </c>
      <c r="BN147" s="440">
        <v>0</v>
      </c>
      <c r="BO147" s="440">
        <v>0</v>
      </c>
      <c r="BP147" s="628">
        <f t="shared" si="2"/>
        <v>0</v>
      </c>
      <c r="BQ147" s="440">
        <f t="shared" si="3"/>
        <v>3.3</v>
      </c>
    </row>
    <row r="148" spans="1:69">
      <c r="A148" s="433"/>
      <c r="AI148" s="434"/>
      <c r="AQ148" t="str">
        <v>b. Penambahan Jumlah Pelanggan</v>
      </c>
      <c r="AR148" s="440" t="str">
        <v>ñ</v>
      </c>
      <c r="AS148" s="440">
        <v>46.666666666666664</v>
      </c>
      <c r="AT148" s="440">
        <v>64.473684210526315</v>
      </c>
      <c r="AU148" s="440">
        <v>64.882226980728049</v>
      </c>
      <c r="AV148" s="440">
        <v>63.563402889245587</v>
      </c>
      <c r="AW148" s="440">
        <v>56.546929316338357</v>
      </c>
      <c r="AX148" s="440">
        <v>53.242009132420087</v>
      </c>
      <c r="AY148" s="440">
        <v>50.861423220973776</v>
      </c>
      <c r="AZ148" s="440">
        <v>49.460317460317462</v>
      </c>
      <c r="BA148" s="440">
        <v>48.94911504424779</v>
      </c>
      <c r="BB148" s="440">
        <v>51.318359375</v>
      </c>
      <c r="BC148" s="440">
        <v>0</v>
      </c>
      <c r="BD148" s="440">
        <v>0</v>
      </c>
      <c r="BF148" t="str">
        <v>b. Pencapaian Saldo Rata-Rata Akhir Bulan Non Kogol 1 dan Non Kogol 2</v>
      </c>
      <c r="BG148">
        <v>2</v>
      </c>
      <c r="BH148" t="str">
        <v>Pencapaian Saldo Rata-Rata Akhir Bulan Non Kogol 1 dan Non Kogol 2</v>
      </c>
      <c r="BI148" s="440">
        <f>INDEX(T.TOLIS!$BT$8:$BT$48,MATCH(BF148,T.TOLIS!$BP$8:$BP$48,0))</f>
        <v>3</v>
      </c>
      <c r="BJ148" s="105" t="s">
        <v>456</v>
      </c>
      <c r="BK148" s="442">
        <v>98.470302220208424</v>
      </c>
      <c r="BL148" s="442" t="str">
        <v>Pencapaian Saldo Rata-Rata Akhir Bulan Non Kogol 1 dan Non Kogol 2</v>
      </c>
      <c r="BM148" s="442">
        <v>0</v>
      </c>
      <c r="BN148" s="440">
        <v>98.470302220208424</v>
      </c>
      <c r="BO148" s="440">
        <v>0</v>
      </c>
      <c r="BP148" s="628">
        <f t="shared" si="2"/>
        <v>1.5296977797915758</v>
      </c>
      <c r="BQ148" s="440">
        <f t="shared" si="3"/>
        <v>2.9541090666062528</v>
      </c>
    </row>
    <row r="149" spans="1:69">
      <c r="A149" s="433"/>
      <c r="AI149" s="434"/>
      <c r="AQ149" t="str">
        <v>c. Jumlah Penambahan Pelanggan Produk Tematik</v>
      </c>
      <c r="AR149" s="440" t="str">
        <v>ñ</v>
      </c>
      <c r="AS149" s="440">
        <v>110</v>
      </c>
      <c r="AT149" s="440">
        <v>110</v>
      </c>
      <c r="AU149" s="440">
        <v>92.857142857142861</v>
      </c>
      <c r="AV149" s="440">
        <v>69.642857142857139</v>
      </c>
      <c r="AW149" s="440">
        <v>71.428571428571431</v>
      </c>
      <c r="AX149" s="440">
        <v>95.238095238095227</v>
      </c>
      <c r="AY149" s="440">
        <v>110</v>
      </c>
      <c r="AZ149" s="440">
        <v>110</v>
      </c>
      <c r="BA149" s="440">
        <v>110</v>
      </c>
      <c r="BB149" s="440">
        <v>110</v>
      </c>
      <c r="BC149" s="440">
        <v>0</v>
      </c>
      <c r="BD149" s="440">
        <v>0</v>
      </c>
      <c r="BF149" t="str">
        <v>c. Pencapaian Pelunasan PRR</v>
      </c>
      <c r="BG149">
        <v>2</v>
      </c>
      <c r="BH149" t="str">
        <v>Pencapaian Pelunasan PRR</v>
      </c>
      <c r="BI149" s="440">
        <f>INDEX(T.TOLIS!$BT$8:$BT$48,MATCH(BF149,T.TOLIS!$BP$8:$BP$48,0))</f>
        <v>3</v>
      </c>
      <c r="BJ149" s="105" t="s">
        <v>456</v>
      </c>
      <c r="BK149" s="442">
        <v>110</v>
      </c>
      <c r="BL149" s="442" t="str">
        <v>Pencapaian Pelunasan PRR</v>
      </c>
      <c r="BM149" s="442">
        <v>110</v>
      </c>
      <c r="BN149" s="440">
        <v>0</v>
      </c>
      <c r="BO149" s="440">
        <v>0</v>
      </c>
      <c r="BP149" s="628">
        <f t="shared" si="2"/>
        <v>0</v>
      </c>
      <c r="BQ149" s="440">
        <f t="shared" si="3"/>
        <v>3.3</v>
      </c>
    </row>
    <row r="150" spans="1:69">
      <c r="A150" s="433"/>
      <c r="AI150" s="434"/>
      <c r="AQ150" t="str">
        <v>d. Implementasi Kesesuaian Sektor Bisnis sesuai KBLI 2020</v>
      </c>
      <c r="AR150" s="440" t="str">
        <v>ñ</v>
      </c>
      <c r="AS150" s="440">
        <v>100</v>
      </c>
      <c r="AT150" s="440">
        <v>100</v>
      </c>
      <c r="AU150" s="440">
        <v>100</v>
      </c>
      <c r="AV150" s="440">
        <v>110</v>
      </c>
      <c r="AW150" s="440">
        <v>110</v>
      </c>
      <c r="AX150" s="440">
        <v>110</v>
      </c>
      <c r="AY150" s="440">
        <v>110</v>
      </c>
      <c r="AZ150" s="440">
        <v>110</v>
      </c>
      <c r="BA150" s="440">
        <v>110</v>
      </c>
      <c r="BB150" s="440">
        <v>110</v>
      </c>
      <c r="BC150" s="440">
        <v>0</v>
      </c>
      <c r="BD150" s="440">
        <v>0</v>
      </c>
      <c r="BQ150" s="447">
        <f>SUM(BQ120:BQ149)</f>
        <v>97.041672390687822</v>
      </c>
    </row>
    <row r="151" spans="1:69">
      <c r="A151" s="433"/>
      <c r="AI151" s="434"/>
      <c r="AQ151" t="str">
        <v>Percepatan Penyambungan Pelanggan Lisdes</v>
      </c>
      <c r="AR151" s="440">
        <v>0</v>
      </c>
      <c r="AS151" s="440">
        <v>0</v>
      </c>
      <c r="AT151" s="440">
        <v>0</v>
      </c>
      <c r="AU151" s="440">
        <v>0</v>
      </c>
      <c r="AV151" s="440">
        <v>0</v>
      </c>
      <c r="AW151" s="440">
        <v>0</v>
      </c>
      <c r="AX151" s="440">
        <v>0</v>
      </c>
      <c r="AY151" s="440">
        <v>0</v>
      </c>
      <c r="AZ151" s="440">
        <v>0</v>
      </c>
      <c r="BA151" s="440">
        <v>0</v>
      </c>
      <c r="BB151" s="440">
        <v>0</v>
      </c>
      <c r="BC151" s="440">
        <v>0</v>
      </c>
      <c r="BD151" s="440">
        <v>0</v>
      </c>
    </row>
    <row r="152" spans="1:69">
      <c r="A152" s="433"/>
      <c r="AI152" s="434"/>
      <c r="AQ152" t="str">
        <v>a. Penambahan Jumlah Pelanggan Rumah Tangga Lisdes</v>
      </c>
      <c r="AR152" s="440" t="str">
        <v>ñ</v>
      </c>
      <c r="AS152" s="440">
        <v>0</v>
      </c>
      <c r="AT152" s="440">
        <v>110</v>
      </c>
      <c r="AU152" s="440">
        <v>110</v>
      </c>
      <c r="AV152" s="440">
        <v>110</v>
      </c>
      <c r="AW152" s="440">
        <v>110</v>
      </c>
      <c r="AX152" s="440">
        <v>110</v>
      </c>
      <c r="AY152" s="440">
        <v>76.923076923076934</v>
      </c>
      <c r="AZ152" s="440">
        <v>52.380952380952387</v>
      </c>
      <c r="BA152" s="440">
        <v>31.428571428571427</v>
      </c>
      <c r="BB152" s="440">
        <v>21.052631578947366</v>
      </c>
      <c r="BC152" s="440">
        <v>0</v>
      </c>
      <c r="BD152" s="440">
        <v>0</v>
      </c>
    </row>
    <row r="153" spans="1:69">
      <c r="A153" s="433"/>
      <c r="AI153" s="434"/>
      <c r="AQ153" t="str">
        <v>b. Peningkatan kWh Penjualan dari Pelanggan Rumah Tangga Lisdes</v>
      </c>
      <c r="AR153" s="440" t="str">
        <v>ñ</v>
      </c>
      <c r="AS153" s="440">
        <v>0</v>
      </c>
      <c r="AT153" s="440">
        <v>110</v>
      </c>
      <c r="AU153" s="440">
        <v>110</v>
      </c>
      <c r="AV153" s="440">
        <v>110</v>
      </c>
      <c r="AW153" s="440">
        <v>110</v>
      </c>
      <c r="AX153" s="440">
        <v>110</v>
      </c>
      <c r="AY153" s="440">
        <v>110</v>
      </c>
      <c r="AZ153" s="440">
        <v>110</v>
      </c>
      <c r="BA153" s="440">
        <v>83.77630299338486</v>
      </c>
      <c r="BB153" s="440">
        <v>59.695392725732191</v>
      </c>
      <c r="BC153" s="440">
        <v>0</v>
      </c>
      <c r="BD153" s="440">
        <v>0</v>
      </c>
    </row>
    <row r="154" spans="1:69">
      <c r="A154" s="433"/>
      <c r="AI154" s="434"/>
      <c r="AQ154" t="str">
        <v>Pengelolaan Pembacaan Meter</v>
      </c>
      <c r="AR154" s="440">
        <v>0</v>
      </c>
      <c r="AS154" s="440">
        <v>0</v>
      </c>
      <c r="AT154" s="440">
        <v>0</v>
      </c>
      <c r="AU154" s="440">
        <v>0</v>
      </c>
      <c r="AV154" s="440">
        <v>0</v>
      </c>
      <c r="AW154" s="440">
        <v>0</v>
      </c>
      <c r="AX154" s="440">
        <v>0</v>
      </c>
      <c r="AY154" s="440">
        <v>0</v>
      </c>
      <c r="AZ154" s="440">
        <v>0</v>
      </c>
      <c r="BA154" s="440">
        <v>0</v>
      </c>
      <c r="BB154" s="440">
        <v>0</v>
      </c>
      <c r="BC154" s="440">
        <v>0</v>
      </c>
      <c r="BD154" s="440">
        <v>0</v>
      </c>
    </row>
    <row r="155" spans="1:69">
      <c r="A155" s="433"/>
      <c r="AI155" s="434"/>
      <c r="AQ155" t="str">
        <v>a. Jumlah Pengguna Swa Cam</v>
      </c>
      <c r="AR155" s="440" t="str">
        <v>ñ</v>
      </c>
      <c r="AS155" s="440">
        <v>110</v>
      </c>
      <c r="AT155" s="440">
        <v>110</v>
      </c>
      <c r="AU155" s="440">
        <v>110</v>
      </c>
      <c r="AV155" s="440">
        <v>110</v>
      </c>
      <c r="AW155" s="440">
        <v>110</v>
      </c>
      <c r="AX155" s="440">
        <v>110</v>
      </c>
      <c r="AY155" s="440">
        <v>110</v>
      </c>
      <c r="AZ155" s="440">
        <v>110</v>
      </c>
      <c r="BA155" s="440">
        <v>110</v>
      </c>
      <c r="BB155" s="440">
        <v>110</v>
      </c>
      <c r="BC155" s="440">
        <v>110</v>
      </c>
      <c r="BD155" s="440">
        <v>110</v>
      </c>
    </row>
    <row r="156" spans="1:69">
      <c r="A156" s="433"/>
      <c r="AI156" s="434"/>
      <c r="AQ156" t="str">
        <v>b. Tindak Lanjut LBKB (Laporan Bulanan Kelainan Baca Meter)</v>
      </c>
      <c r="AR156" s="440" t="str">
        <v>ò</v>
      </c>
      <c r="AS156" s="440">
        <v>100</v>
      </c>
      <c r="AT156" s="440">
        <v>100</v>
      </c>
      <c r="AU156" s="440">
        <v>100</v>
      </c>
      <c r="AV156" s="440">
        <v>100</v>
      </c>
      <c r="AW156" s="440">
        <v>100</v>
      </c>
      <c r="AX156" s="440">
        <v>100</v>
      </c>
      <c r="AY156" s="440">
        <v>100</v>
      </c>
      <c r="AZ156" s="440">
        <v>100</v>
      </c>
      <c r="BA156" s="440">
        <v>100</v>
      </c>
      <c r="BB156" s="440">
        <v>100</v>
      </c>
      <c r="BC156" s="440">
        <v>100</v>
      </c>
      <c r="BD156" s="440">
        <v>100</v>
      </c>
    </row>
    <row r="157" spans="1:69">
      <c r="A157" s="433"/>
      <c r="AI157" s="434"/>
      <c r="AQ157" t="str">
        <v>Sisa Stand Bongkar Migrasi</v>
      </c>
      <c r="AR157" s="440" t="str">
        <v>ñ</v>
      </c>
      <c r="AS157" s="440">
        <v>100</v>
      </c>
      <c r="AT157" s="440">
        <v>100</v>
      </c>
      <c r="AU157" s="440">
        <v>100</v>
      </c>
      <c r="AV157" s="440">
        <v>100</v>
      </c>
      <c r="AW157" s="440">
        <v>100</v>
      </c>
      <c r="AX157" s="440">
        <v>100</v>
      </c>
      <c r="AY157" s="440">
        <v>100</v>
      </c>
      <c r="AZ157" s="440">
        <v>100</v>
      </c>
      <c r="BA157" s="440">
        <v>100</v>
      </c>
      <c r="BB157" s="440">
        <v>100</v>
      </c>
      <c r="BC157" s="440">
        <v>100</v>
      </c>
      <c r="BD157" s="440">
        <v>100</v>
      </c>
    </row>
    <row r="158" spans="1:69">
      <c r="A158" s="433"/>
      <c r="AI158" s="434"/>
      <c r="AQ158" t="str">
        <v>Percepatan Cash In</v>
      </c>
      <c r="AR158" s="440">
        <v>0</v>
      </c>
      <c r="AS158" s="440">
        <v>0</v>
      </c>
      <c r="AT158" s="440">
        <v>0</v>
      </c>
      <c r="AU158" s="440">
        <v>0</v>
      </c>
      <c r="AV158" s="440">
        <v>0</v>
      </c>
      <c r="AW158" s="440">
        <v>0</v>
      </c>
      <c r="AX158" s="440">
        <v>0</v>
      </c>
      <c r="AY158" s="440">
        <v>0</v>
      </c>
      <c r="AZ158" s="440">
        <v>0</v>
      </c>
      <c r="BA158" s="440">
        <v>0</v>
      </c>
      <c r="BB158" s="440">
        <v>0</v>
      </c>
      <c r="BC158" s="440">
        <v>0</v>
      </c>
      <c r="BD158" s="440">
        <v>0</v>
      </c>
    </row>
    <row r="159" spans="1:69">
      <c r="A159" s="433"/>
      <c r="AI159" s="434"/>
      <c r="AQ159" t="str">
        <v>a. Persentase Rata-Rata Saldo Tanggal 20 Non Kogol 1 dan Non Kogol 2</v>
      </c>
      <c r="AR159" s="440" t="str">
        <v>ò</v>
      </c>
      <c r="AS159" s="440">
        <v>103.46186105610559</v>
      </c>
      <c r="AT159" s="440">
        <v>110</v>
      </c>
      <c r="AU159" s="440">
        <v>110</v>
      </c>
      <c r="AV159" s="440">
        <v>110</v>
      </c>
      <c r="AW159" s="440">
        <v>110</v>
      </c>
      <c r="AX159" s="440">
        <v>110</v>
      </c>
      <c r="AY159" s="440">
        <v>110</v>
      </c>
      <c r="AZ159" s="440">
        <v>110</v>
      </c>
      <c r="BA159" s="440">
        <v>110</v>
      </c>
      <c r="BB159" s="440">
        <v>110</v>
      </c>
      <c r="BC159" s="440">
        <v>110</v>
      </c>
      <c r="BD159" s="440">
        <v>110</v>
      </c>
    </row>
    <row r="160" spans="1:69">
      <c r="A160" s="433"/>
      <c r="AI160" s="434"/>
      <c r="AQ160" t="str">
        <v>b. Pencapaian Saldo Rata-Rata Akhir Bulan Non Kogol 1 dan Non Kogol 2</v>
      </c>
      <c r="AR160" s="440" t="str">
        <v>ò</v>
      </c>
      <c r="AS160" s="440">
        <v>0</v>
      </c>
      <c r="AT160" s="440">
        <v>0</v>
      </c>
      <c r="AU160" s="440">
        <v>0</v>
      </c>
      <c r="AV160" s="440">
        <v>19.704826687811551</v>
      </c>
      <c r="AW160" s="440">
        <v>54.625227004984154</v>
      </c>
      <c r="AX160" s="440">
        <v>62.747951971001356</v>
      </c>
      <c r="AY160" s="440">
        <v>80.228348113146495</v>
      </c>
      <c r="AZ160" s="440">
        <v>93.472631400090634</v>
      </c>
      <c r="BA160" s="440">
        <v>87.808336102300771</v>
      </c>
      <c r="BB160" s="440">
        <v>98.470302220208424</v>
      </c>
      <c r="BC160" s="440">
        <v>98.470302220208424</v>
      </c>
      <c r="BD160" s="440">
        <v>98.470302220208424</v>
      </c>
    </row>
    <row r="161" spans="1:56">
      <c r="A161" s="433"/>
      <c r="AI161" s="434"/>
      <c r="AQ161" t="str">
        <v>c. Pencapaian Pelunasan PRR</v>
      </c>
      <c r="AR161" s="440" t="str">
        <v>ñ</v>
      </c>
      <c r="AS161" s="440">
        <v>0</v>
      </c>
      <c r="AT161" s="440">
        <v>0</v>
      </c>
      <c r="AU161" s="440">
        <v>110</v>
      </c>
      <c r="AV161" s="440">
        <v>110</v>
      </c>
      <c r="AW161" s="440">
        <v>110</v>
      </c>
      <c r="AX161" s="440">
        <v>110</v>
      </c>
      <c r="AY161" s="440">
        <v>110</v>
      </c>
      <c r="AZ161" s="440">
        <v>110</v>
      </c>
      <c r="BA161" s="440">
        <v>110</v>
      </c>
      <c r="BB161" s="440">
        <v>110</v>
      </c>
      <c r="BC161" s="440">
        <v>0</v>
      </c>
      <c r="BD161" s="440">
        <v>0</v>
      </c>
    </row>
    <row r="162" spans="1:56">
      <c r="A162" s="433"/>
      <c r="AI162" s="434"/>
      <c r="AQ162" t="str">
        <v>Kepatuhan :</v>
      </c>
      <c r="AR162" s="440">
        <v>0</v>
      </c>
      <c r="AS162" s="440">
        <v>0</v>
      </c>
      <c r="AT162" s="440">
        <v>0</v>
      </c>
      <c r="AU162" s="440">
        <v>0</v>
      </c>
      <c r="AV162" s="440">
        <v>0</v>
      </c>
      <c r="AW162" s="440">
        <v>0</v>
      </c>
      <c r="AX162" s="440">
        <v>0</v>
      </c>
      <c r="AY162" s="440">
        <v>0</v>
      </c>
      <c r="AZ162" s="440">
        <v>0</v>
      </c>
      <c r="BA162" s="440">
        <v>0</v>
      </c>
      <c r="BB162" s="440">
        <v>0</v>
      </c>
      <c r="BC162" s="440">
        <v>0</v>
      </c>
      <c r="BD162" s="440">
        <v>0</v>
      </c>
    </row>
    <row r="163" spans="1:56">
      <c r="A163" s="433"/>
      <c r="AI163" s="434"/>
      <c r="AQ163" t="str">
        <v>a. Pengelolaan K3, Keamanan dan Lingkungan Hidup</v>
      </c>
      <c r="AR163" s="440">
        <v>0</v>
      </c>
      <c r="AS163" s="440">
        <v>0</v>
      </c>
      <c r="AT163" s="440">
        <v>0</v>
      </c>
      <c r="AU163" s="440">
        <v>0</v>
      </c>
      <c r="AV163" s="440">
        <v>0</v>
      </c>
      <c r="AW163" s="440">
        <v>0</v>
      </c>
      <c r="AX163" s="440">
        <v>0</v>
      </c>
      <c r="AY163" s="440">
        <v>0</v>
      </c>
      <c r="AZ163" s="440">
        <v>0</v>
      </c>
      <c r="BA163" s="440">
        <v>0</v>
      </c>
      <c r="BB163" s="440">
        <v>0</v>
      </c>
      <c r="BC163" s="440">
        <v>0</v>
      </c>
      <c r="BD163" s="440">
        <v>0</v>
      </c>
    </row>
    <row r="164" spans="1:56">
      <c r="A164" s="433"/>
      <c r="AI164" s="434"/>
      <c r="AQ164" t="str">
        <v>b. Maturity Level Implementasi Sistem Manajemen Anti Penyuapan (SMAP)</v>
      </c>
      <c r="AR164" s="440">
        <v>0</v>
      </c>
      <c r="AS164" s="440">
        <v>0</v>
      </c>
      <c r="AT164" s="440">
        <v>0</v>
      </c>
      <c r="AU164" s="440">
        <v>0</v>
      </c>
      <c r="AV164" s="440">
        <v>0</v>
      </c>
      <c r="AW164" s="440">
        <v>0</v>
      </c>
      <c r="AX164" s="440">
        <v>0</v>
      </c>
      <c r="AY164" s="440">
        <v>0</v>
      </c>
      <c r="AZ164" s="440">
        <v>0</v>
      </c>
      <c r="BA164" s="440">
        <v>0</v>
      </c>
      <c r="BB164" s="440">
        <v>0</v>
      </c>
      <c r="BC164" s="440">
        <v>0</v>
      </c>
      <c r="BD164" s="440">
        <v>0</v>
      </c>
    </row>
    <row r="165" spans="1:56">
      <c r="A165" s="433"/>
      <c r="AI165" s="434"/>
      <c r="AQ165" t="str">
        <v>c. Ketepatan penyampaian pelaporan dan Akurasi Data Kinerja</v>
      </c>
      <c r="AR165" s="440">
        <v>0</v>
      </c>
      <c r="AS165" s="440">
        <v>0</v>
      </c>
      <c r="AT165" s="440">
        <v>0</v>
      </c>
      <c r="AU165" s="440">
        <v>0</v>
      </c>
      <c r="AV165" s="440">
        <v>0</v>
      </c>
      <c r="AW165" s="440">
        <v>0</v>
      </c>
      <c r="AX165" s="440">
        <v>0</v>
      </c>
      <c r="AY165" s="440">
        <v>0</v>
      </c>
      <c r="AZ165" s="440">
        <v>0</v>
      </c>
      <c r="BA165" s="440">
        <v>0</v>
      </c>
      <c r="BB165" s="440">
        <v>0</v>
      </c>
      <c r="BC165" s="440">
        <v>0</v>
      </c>
      <c r="BD165" s="440">
        <v>0</v>
      </c>
    </row>
    <row r="166" spans="1:56">
      <c r="A166" s="433"/>
      <c r="AI166" s="434"/>
      <c r="AQ166" t="str">
        <v>d. Tindak Lanjut Temuan Auditor</v>
      </c>
      <c r="AR166" s="440">
        <v>0</v>
      </c>
      <c r="AS166" s="440">
        <v>0</v>
      </c>
      <c r="AT166" s="440">
        <v>0</v>
      </c>
      <c r="AU166" s="440">
        <v>0</v>
      </c>
      <c r="AV166" s="440">
        <v>0</v>
      </c>
      <c r="AW166" s="440">
        <v>0</v>
      </c>
      <c r="AX166" s="440">
        <v>0</v>
      </c>
      <c r="AY166" s="440">
        <v>0</v>
      </c>
      <c r="AZ166" s="440">
        <v>0</v>
      </c>
      <c r="BA166" s="440">
        <v>0</v>
      </c>
      <c r="BB166" s="440">
        <v>0</v>
      </c>
      <c r="BC166" s="440">
        <v>0</v>
      </c>
      <c r="BD166" s="440">
        <v>0</v>
      </c>
    </row>
    <row r="167" spans="1:56">
      <c r="A167" s="433"/>
      <c r="AI167" s="434"/>
      <c r="AQ167" t="str">
        <v>e. Pencapaian Beyond RKAP</v>
      </c>
      <c r="AR167" s="440">
        <v>0</v>
      </c>
      <c r="AS167" s="440">
        <v>0</v>
      </c>
      <c r="AT167" s="440">
        <v>0</v>
      </c>
      <c r="AU167" s="440">
        <v>0</v>
      </c>
      <c r="AV167" s="440">
        <v>0</v>
      </c>
      <c r="AW167" s="440">
        <v>0</v>
      </c>
      <c r="AX167" s="440">
        <v>0</v>
      </c>
      <c r="AY167" s="440">
        <v>0</v>
      </c>
      <c r="AZ167" s="440">
        <v>0</v>
      </c>
      <c r="BA167" s="440">
        <v>0</v>
      </c>
      <c r="BB167" s="440">
        <v>0</v>
      </c>
      <c r="BC167" s="440">
        <v>0</v>
      </c>
      <c r="BD167" s="440">
        <v>0</v>
      </c>
    </row>
    <row r="168" spans="1:56">
      <c r="A168" s="433"/>
      <c r="AI168" s="434"/>
      <c r="AQ168" t="str">
        <v>TOTAL BOBOT</v>
      </c>
      <c r="AR168" s="440">
        <v>0</v>
      </c>
      <c r="AS168" s="440">
        <v>0</v>
      </c>
      <c r="AT168" s="440">
        <v>0</v>
      </c>
      <c r="AU168" s="440">
        <v>0</v>
      </c>
      <c r="AV168" s="440">
        <v>0</v>
      </c>
      <c r="AW168" s="440">
        <v>0</v>
      </c>
      <c r="AX168" s="440">
        <v>0</v>
      </c>
      <c r="AY168" s="440">
        <v>0</v>
      </c>
      <c r="AZ168" s="440">
        <v>0</v>
      </c>
      <c r="BA168" s="440">
        <v>0</v>
      </c>
      <c r="BB168" s="440">
        <v>0</v>
      </c>
      <c r="BC168" s="440">
        <v>0</v>
      </c>
      <c r="BD168" s="440">
        <v>0</v>
      </c>
    </row>
    <row r="169" spans="1:56">
      <c r="A169" s="433"/>
      <c r="AI169" s="434"/>
    </row>
    <row r="170" spans="1:56">
      <c r="A170" s="433"/>
      <c r="AI170" s="434"/>
    </row>
    <row r="171" spans="1:56">
      <c r="A171" s="433"/>
      <c r="AI171" s="434"/>
    </row>
    <row r="172" spans="1:56">
      <c r="A172" s="433"/>
      <c r="AI172" s="434"/>
    </row>
    <row r="173" spans="1:56">
      <c r="A173" s="433"/>
      <c r="AI173" s="434"/>
    </row>
    <row r="174" spans="1:56">
      <c r="A174" s="433"/>
      <c r="AI174" s="434"/>
    </row>
    <row r="175" spans="1:56">
      <c r="A175" s="433"/>
      <c r="AI175" s="434"/>
    </row>
    <row r="176" spans="1:56">
      <c r="A176" s="433"/>
      <c r="AI176" s="434"/>
    </row>
    <row r="177" spans="1:35" ht="15.75" thickBot="1">
      <c r="A177" s="435"/>
      <c r="B177" s="436"/>
      <c r="C177" s="436"/>
      <c r="D177" s="436"/>
      <c r="E177" s="436"/>
      <c r="F177" s="436"/>
      <c r="G177" s="436"/>
      <c r="H177" s="436"/>
      <c r="I177" s="436"/>
      <c r="J177" s="436"/>
      <c r="K177" s="436"/>
      <c r="L177" s="436"/>
      <c r="M177" s="436"/>
      <c r="N177" s="436"/>
      <c r="O177" s="436"/>
      <c r="P177" s="436"/>
      <c r="Q177" s="436"/>
      <c r="R177" s="436"/>
      <c r="S177" s="436"/>
      <c r="T177" s="436"/>
      <c r="U177" s="436"/>
      <c r="V177" s="436"/>
      <c r="W177" s="436"/>
      <c r="X177" s="436"/>
      <c r="Y177" s="436"/>
      <c r="Z177" s="436"/>
      <c r="AA177" s="436"/>
      <c r="AB177" s="436"/>
      <c r="AC177" s="436"/>
      <c r="AD177" s="436"/>
      <c r="AE177" s="436"/>
      <c r="AF177" s="436"/>
      <c r="AG177" s="436"/>
      <c r="AH177" s="436"/>
      <c r="AI177" s="437"/>
    </row>
  </sheetData>
  <protectedRanges>
    <protectedRange algorithmName="SHA-512" hashValue="ZlH43sq/5xQLsuLCFTym6tXtz+FVhxUVWrS+RwL1rfuDYt8tGlpOnC+1aJ8pOercsO4vslMdfmsco3gohOjdMg==" saltValue="IuKu5CLbKIK39SjtYIrcQA==" spinCount="100000" sqref="R11:T12 R61:T62 R97:T98 R121:T122 R124:T125" name="Range1"/>
  </protectedRanges>
  <mergeCells count="59">
    <mergeCell ref="O97:P98"/>
    <mergeCell ref="Q97:Q98"/>
    <mergeCell ref="R97:AH98"/>
    <mergeCell ref="O61:P62"/>
    <mergeCell ref="Q61:Q62"/>
    <mergeCell ref="R61:AH62"/>
    <mergeCell ref="O2:P4"/>
    <mergeCell ref="R2:S4"/>
    <mergeCell ref="T2:U4"/>
    <mergeCell ref="Y2:Z4"/>
    <mergeCell ref="AD2:AE4"/>
    <mergeCell ref="R11:T12"/>
    <mergeCell ref="Q11:Q12"/>
    <mergeCell ref="O15:P18"/>
    <mergeCell ref="O19:P22"/>
    <mergeCell ref="O23:P26"/>
    <mergeCell ref="Q15:R16"/>
    <mergeCell ref="Q17:R18"/>
    <mergeCell ref="Q19:R20"/>
    <mergeCell ref="Q21:R22"/>
    <mergeCell ref="Q23:R24"/>
    <mergeCell ref="Q25:R26"/>
    <mergeCell ref="S15:T16"/>
    <mergeCell ref="S17:T18"/>
    <mergeCell ref="O11:P12"/>
    <mergeCell ref="O34:Z36"/>
    <mergeCell ref="AB30:AH32"/>
    <mergeCell ref="S19:T20"/>
    <mergeCell ref="S21:T22"/>
    <mergeCell ref="S23:T24"/>
    <mergeCell ref="S25:T26"/>
    <mergeCell ref="AB26:AB27"/>
    <mergeCell ref="AD9:AE11"/>
    <mergeCell ref="W2:X4"/>
    <mergeCell ref="AG2:AH4"/>
    <mergeCell ref="AG9:AH11"/>
    <mergeCell ref="AC26:AD27"/>
    <mergeCell ref="O121:P122"/>
    <mergeCell ref="Q121:Q122"/>
    <mergeCell ref="R121:AH122"/>
    <mergeCell ref="O124:P125"/>
    <mergeCell ref="Q124:Q125"/>
    <mergeCell ref="R124:AH125"/>
    <mergeCell ref="X131:Y135"/>
    <mergeCell ref="O136:P139"/>
    <mergeCell ref="Q136:R137"/>
    <mergeCell ref="S136:T137"/>
    <mergeCell ref="Q138:R139"/>
    <mergeCell ref="S138:T139"/>
    <mergeCell ref="O132:P135"/>
    <mergeCell ref="Q132:R133"/>
    <mergeCell ref="S132:T133"/>
    <mergeCell ref="Q134:R135"/>
    <mergeCell ref="S134:T135"/>
    <mergeCell ref="O128:P131"/>
    <mergeCell ref="Q128:R129"/>
    <mergeCell ref="S128:T129"/>
    <mergeCell ref="Q130:R131"/>
    <mergeCell ref="S130:T131"/>
  </mergeCells>
  <conditionalFormatting sqref="O15:P26">
    <cfRule type="iconSet" priority="2">
      <iconSet showValue="0">
        <cfvo type="percent" val="0"/>
        <cfvo type="num" val="1"/>
        <cfvo type="num" val="2"/>
      </iconSet>
    </cfRule>
  </conditionalFormatting>
  <conditionalFormatting sqref="O128:P139">
    <cfRule type="iconSet" priority="1">
      <iconSet showValue="0">
        <cfvo type="percent" val="0"/>
        <cfvo type="num" val="1"/>
        <cfvo type="num" val="2"/>
      </iconSet>
    </cfRule>
  </conditionalFormatting>
  <dataValidations count="2">
    <dataValidation type="list" allowBlank="1" showInputMessage="1" showErrorMessage="1" sqref="R11 R97:AH98 R121:AH122" xr:uid="{9C9CF4C6-27E2-4DA4-BF6B-33EB04E80ADB}">
      <formula1>$AN$3:$AN$14</formula1>
    </dataValidation>
    <dataValidation type="list" allowBlank="1" showInputMessage="1" showErrorMessage="1" sqref="R124:AH125" xr:uid="{1D343D27-F7AC-4BD2-8C5B-86ABA9D0B451}">
      <formula1>$AN$121:$AN$125</formula1>
    </dataValidation>
  </dataValidations>
  <pageMargins left="0.7" right="0.7" top="0.75" bottom="0.75" header="0.3" footer="0.3"/>
  <pageSetup paperSize="9" orientation="portrait" horizontalDpi="0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9225B4D-3E4C-4DF2-8177-9B7DC5F108FE}">
          <x14:formula1>
            <xm:f>STRG!$BR$4:$BR$44</xm:f>
          </x14:formula1>
          <xm:sqref>R61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23</vt:i4>
      </vt:variant>
    </vt:vector>
  </HeadingPairs>
  <TitlesOfParts>
    <vt:vector size="49" baseType="lpstr">
      <vt:lpstr>RANK</vt:lpstr>
      <vt:lpstr>CHECKLIST</vt:lpstr>
      <vt:lpstr>scoreboard</vt:lpstr>
      <vt:lpstr>TRACK</vt:lpstr>
      <vt:lpstr>DETAIL</vt:lpstr>
      <vt:lpstr>TREN</vt:lpstr>
      <vt:lpstr>KPI</vt:lpstr>
      <vt:lpstr>SIMULASI</vt:lpstr>
      <vt:lpstr>PI</vt:lpstr>
      <vt:lpstr>UP3</vt:lpstr>
      <vt:lpstr>PROG. JUNI</vt:lpstr>
      <vt:lpstr>ULP</vt:lpstr>
      <vt:lpstr>R.UP3</vt:lpstr>
      <vt:lpstr>R.TOLIS</vt:lpstr>
      <vt:lpstr>R.BANGKIR</vt:lpstr>
      <vt:lpstr>R.LEOK</vt:lpstr>
      <vt:lpstr>R.MOUTONG</vt:lpstr>
      <vt:lpstr>R.KOTARAYA</vt:lpstr>
      <vt:lpstr>T.UP3</vt:lpstr>
      <vt:lpstr>T.TOLIS</vt:lpstr>
      <vt:lpstr>T.LEOK</vt:lpstr>
      <vt:lpstr>T.BANGKIR</vt:lpstr>
      <vt:lpstr>T.MOUTONG</vt:lpstr>
      <vt:lpstr>T.KOTARAYA</vt:lpstr>
      <vt:lpstr>STRG</vt:lpstr>
      <vt:lpstr>DBRD</vt:lpstr>
      <vt:lpstr>DETAIL!Print_Area</vt:lpstr>
      <vt:lpstr>'PROG. JUNI'!Print_Area</vt:lpstr>
      <vt:lpstr>R.BANGKIR!Print_Area</vt:lpstr>
      <vt:lpstr>R.KOTARAYA!Print_Area</vt:lpstr>
      <vt:lpstr>R.LEOK!Print_Area</vt:lpstr>
      <vt:lpstr>R.MOUTONG!Print_Area</vt:lpstr>
      <vt:lpstr>R.TOLIS!Print_Area</vt:lpstr>
      <vt:lpstr>SIMULASI!Print_Area</vt:lpstr>
      <vt:lpstr>ULP!Print_Area</vt:lpstr>
      <vt:lpstr>'UP3'!Print_Area</vt:lpstr>
      <vt:lpstr>R.BANGKIR!Print_Titles</vt:lpstr>
      <vt:lpstr>R.KOTARAYA!Print_Titles</vt:lpstr>
      <vt:lpstr>R.LEOK!Print_Titles</vt:lpstr>
      <vt:lpstr>R.MOUTONG!Print_Titles</vt:lpstr>
      <vt:lpstr>R.TOLIS!Print_Titles</vt:lpstr>
      <vt:lpstr>R.UP3!Print_Titles</vt:lpstr>
      <vt:lpstr>T.BANGKIR!Print_Titles</vt:lpstr>
      <vt:lpstr>T.KOTARAYA!Print_Titles</vt:lpstr>
      <vt:lpstr>T.LEOK!Print_Titles</vt:lpstr>
      <vt:lpstr>T.MOUTONG!Print_Titles</vt:lpstr>
      <vt:lpstr>T.TOLIS!Print_Titles</vt:lpstr>
      <vt:lpstr>T.UP3!Print_Titles</vt:lpstr>
      <vt:lpstr>ULP!Print_Titles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sutgpln31</dc:creator>
  <cp:keywords/>
  <dc:description/>
  <cp:lastModifiedBy>IVAN FALAHUL ALAM</cp:lastModifiedBy>
  <cp:revision/>
  <dcterms:created xsi:type="dcterms:W3CDTF">2016-02-19T03:11:29Z</dcterms:created>
  <dcterms:modified xsi:type="dcterms:W3CDTF">2025-11-11T01:51:50Z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2024-08-08T03:21:29Z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0e48f9d7-2701-4b80-bb71-211bde24768a</vt:lpwstr>
  </property>
  <property fmtid="{D5CDD505-2E9C-101B-9397-08002B2CF9AE}" pid="7" name="MSIP_Label_defa4170-0d19-0005-0004-bc88714345d2_ActionId">
    <vt:lpwstr>73429b69-138c-4f44-ab3e-080c7751d0b0</vt:lpwstr>
  </property>
  <property fmtid="{D5CDD505-2E9C-101B-9397-08002B2CF9AE}" pid="8" name="MSIP_Label_defa4170-0d19-0005-0004-bc88714345d2_ContentBits">
    <vt:lpwstr>0</vt:lpwstr>
  </property>
</Properties>
</file>