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karla_franco_usda_gov/Documents/Documents/mpn_rfu_package/micrompn_output/Analysis_micrompn_simple_microcosoms/MicroMPN_soil_only_microcosm/Excel_spreadsheet/"/>
    </mc:Choice>
  </mc:AlternateContent>
  <xr:revisionPtr revIDLastSave="127" documentId="8_{453B7125-5FD8-4133-9D8A-AC97200997B0}" xr6:coauthVersionLast="47" xr6:coauthVersionMax="47" xr10:uidLastSave="{67AC3416-901E-490D-9AC9-67ED81E3D997}"/>
  <bookViews>
    <workbookView xWindow="-120" yWindow="-120" windowWidth="20730" windowHeight="11040" firstSheet="3" activeTab="5" xr2:uid="{247A2744-D761-4437-950F-FB58AE6EC775}"/>
  </bookViews>
  <sheets>
    <sheet name="gram_soil" sheetId="27" r:id="rId1"/>
    <sheet name="CFU_T0" sheetId="28" r:id="rId2"/>
    <sheet name="CFU_T48 " sheetId="26" r:id="rId3"/>
    <sheet name="SpectraMax_RFU_T0" sheetId="29" r:id="rId4"/>
    <sheet name="SpectraMax_RFU_T48" sheetId="21" r:id="rId5"/>
    <sheet name="OUTPUT_micrompn_trim_positives" sheetId="20" r:id="rId6"/>
    <sheet name="micrompn_trim_CFU_bio1" sheetId="7" r:id="rId7"/>
    <sheet name="Regression_MPN_bio1" sheetId="23" r:id="rId8"/>
    <sheet name="Regression_mpnadj_bio1" sheetId="19" r:id="rId9"/>
    <sheet name="BlandAltman_MPN_bio1" sheetId="24" r:id="rId10"/>
    <sheet name="BlandAltman_mpnadjus_bio1" sheetId="17" r:id="rId11"/>
    <sheet name="Fishertest_MPN_bio1" sheetId="25" r:id="rId12"/>
    <sheet name="Fishertest_bio1 _mpnadju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26" l="1"/>
  <c r="S7" i="29"/>
  <c r="Q9" i="29" s="1"/>
  <c r="Q10" i="29" s="1"/>
  <c r="Q7" i="29"/>
  <c r="N31" i="28"/>
  <c r="O31" i="28" s="1"/>
  <c r="E31" i="28"/>
  <c r="F31" i="28" s="1"/>
  <c r="N30" i="28"/>
  <c r="O30" i="28" s="1"/>
  <c r="E30" i="28"/>
  <c r="F30" i="28" s="1"/>
  <c r="N29" i="28"/>
  <c r="O29" i="28" s="1"/>
  <c r="E29" i="28"/>
  <c r="F29" i="28" s="1"/>
  <c r="N28" i="28"/>
  <c r="O28" i="28" s="1"/>
  <c r="E28" i="28"/>
  <c r="F28" i="28" s="1"/>
  <c r="N27" i="28"/>
  <c r="O27" i="28" s="1"/>
  <c r="E27" i="28"/>
  <c r="F27" i="28" s="1"/>
  <c r="N26" i="28"/>
  <c r="O26" i="28" s="1"/>
  <c r="E26" i="28"/>
  <c r="F26" i="28" s="1"/>
  <c r="N25" i="28"/>
  <c r="O25" i="28" s="1"/>
  <c r="E25" i="28"/>
  <c r="F25" i="28" s="1"/>
  <c r="U24" i="28"/>
  <c r="S24" i="28"/>
  <c r="N24" i="28"/>
  <c r="O24" i="28" s="1"/>
  <c r="E24" i="28"/>
  <c r="F24" i="28" s="1"/>
  <c r="U23" i="28"/>
  <c r="S23" i="28"/>
  <c r="N23" i="28"/>
  <c r="O23" i="28" s="1"/>
  <c r="E23" i="28"/>
  <c r="F23" i="28" s="1"/>
  <c r="U22" i="28"/>
  <c r="S22" i="28"/>
  <c r="N22" i="28"/>
  <c r="O22" i="28" s="1"/>
  <c r="E22" i="28"/>
  <c r="F22" i="28" s="1"/>
  <c r="N21" i="28"/>
  <c r="O21" i="28" s="1"/>
  <c r="E21" i="28"/>
  <c r="F21" i="28" s="1"/>
  <c r="B11" i="27"/>
  <c r="B13" i="27" s="1"/>
  <c r="B10" i="27"/>
  <c r="AA47" i="26"/>
  <c r="AC47" i="26" s="1"/>
  <c r="O47" i="26"/>
  <c r="P47" i="26" s="1"/>
  <c r="W47" i="26" s="1"/>
  <c r="I47" i="26"/>
  <c r="J47" i="26" s="1"/>
  <c r="R47" i="26" s="1"/>
  <c r="AA46" i="26"/>
  <c r="AC46" i="26" s="1"/>
  <c r="O46" i="26"/>
  <c r="P46" i="26" s="1"/>
  <c r="W46" i="26" s="1"/>
  <c r="I46" i="26"/>
  <c r="J46" i="26" s="1"/>
  <c r="R46" i="26" s="1"/>
  <c r="O45" i="26"/>
  <c r="P45" i="26" s="1"/>
  <c r="W45" i="26" s="1"/>
  <c r="I45" i="26"/>
  <c r="J45" i="26" s="1"/>
  <c r="R45" i="26" s="1"/>
  <c r="AA44" i="26"/>
  <c r="AC44" i="26" s="1"/>
  <c r="O44" i="26"/>
  <c r="P44" i="26" s="1"/>
  <c r="W44" i="26" s="1"/>
  <c r="I44" i="26"/>
  <c r="J44" i="26" s="1"/>
  <c r="R44" i="26" s="1"/>
  <c r="AA43" i="26"/>
  <c r="AC43" i="26" s="1"/>
  <c r="O43" i="26"/>
  <c r="P43" i="26" s="1"/>
  <c r="W43" i="26" s="1"/>
  <c r="I43" i="26"/>
  <c r="J43" i="26" s="1"/>
  <c r="R43" i="26" s="1"/>
  <c r="O42" i="26"/>
  <c r="P42" i="26" s="1"/>
  <c r="W42" i="26" s="1"/>
  <c r="I42" i="26"/>
  <c r="J42" i="26" s="1"/>
  <c r="R42" i="26" s="1"/>
  <c r="AA41" i="26"/>
  <c r="AC41" i="26" s="1"/>
  <c r="O41" i="26"/>
  <c r="P41" i="26" s="1"/>
  <c r="W41" i="26" s="1"/>
  <c r="I41" i="26"/>
  <c r="J41" i="26" s="1"/>
  <c r="R41" i="26" s="1"/>
  <c r="AA40" i="26"/>
  <c r="AC40" i="26" s="1"/>
  <c r="O40" i="26"/>
  <c r="P40" i="26" s="1"/>
  <c r="W40" i="26" s="1"/>
  <c r="I40" i="26"/>
  <c r="J40" i="26" s="1"/>
  <c r="R40" i="26" s="1"/>
  <c r="O39" i="26"/>
  <c r="P39" i="26" s="1"/>
  <c r="W39" i="26" s="1"/>
  <c r="I39" i="26"/>
  <c r="J39" i="26" s="1"/>
  <c r="R39" i="26" s="1"/>
  <c r="AA38" i="26"/>
  <c r="AC38" i="26" s="1"/>
  <c r="O38" i="26"/>
  <c r="P38" i="26" s="1"/>
  <c r="W38" i="26" s="1"/>
  <c r="I38" i="26"/>
  <c r="J38" i="26" s="1"/>
  <c r="R38" i="26" s="1"/>
  <c r="AA37" i="26"/>
  <c r="AC37" i="26" s="1"/>
  <c r="O37" i="26"/>
  <c r="P37" i="26" s="1"/>
  <c r="W37" i="26" s="1"/>
  <c r="I37" i="26"/>
  <c r="J37" i="26" s="1"/>
  <c r="R37" i="26" s="1"/>
  <c r="O36" i="26"/>
  <c r="P36" i="26" s="1"/>
  <c r="W36" i="26" s="1"/>
  <c r="I36" i="26"/>
  <c r="J36" i="26" s="1"/>
  <c r="R36" i="26" s="1"/>
  <c r="AA35" i="26"/>
  <c r="AC35" i="26" s="1"/>
  <c r="O35" i="26"/>
  <c r="P35" i="26" s="1"/>
  <c r="W35" i="26" s="1"/>
  <c r="I35" i="26"/>
  <c r="J35" i="26" s="1"/>
  <c r="R35" i="26" s="1"/>
  <c r="AA34" i="26"/>
  <c r="AC34" i="26" s="1"/>
  <c r="O34" i="26"/>
  <c r="P34" i="26" s="1"/>
  <c r="W34" i="26" s="1"/>
  <c r="I34" i="26"/>
  <c r="J34" i="26" s="1"/>
  <c r="R34" i="26" s="1"/>
  <c r="O33" i="26"/>
  <c r="P33" i="26" s="1"/>
  <c r="W33" i="26" s="1"/>
  <c r="I33" i="26"/>
  <c r="J33" i="26" s="1"/>
  <c r="R33" i="26" s="1"/>
  <c r="AA32" i="26"/>
  <c r="AC32" i="26" s="1"/>
  <c r="O32" i="26"/>
  <c r="P32" i="26" s="1"/>
  <c r="W32" i="26" s="1"/>
  <c r="I32" i="26"/>
  <c r="J32" i="26" s="1"/>
  <c r="R32" i="26" s="1"/>
  <c r="AA31" i="26"/>
  <c r="AC31" i="26" s="1"/>
  <c r="O31" i="26"/>
  <c r="P31" i="26" s="1"/>
  <c r="W31" i="26" s="1"/>
  <c r="I31" i="26"/>
  <c r="J31" i="26" s="1"/>
  <c r="R31" i="26" s="1"/>
  <c r="O30" i="26"/>
  <c r="P30" i="26" s="1"/>
  <c r="W30" i="26" s="1"/>
  <c r="I30" i="26"/>
  <c r="J30" i="26" s="1"/>
  <c r="R30" i="26" s="1"/>
  <c r="AA29" i="26"/>
  <c r="AC29" i="26" s="1"/>
  <c r="O29" i="26"/>
  <c r="P29" i="26" s="1"/>
  <c r="W29" i="26" s="1"/>
  <c r="I29" i="26"/>
  <c r="J29" i="26" s="1"/>
  <c r="R29" i="26" s="1"/>
  <c r="AA28" i="26"/>
  <c r="AC28" i="26" s="1"/>
  <c r="O28" i="26"/>
  <c r="P28" i="26" s="1"/>
  <c r="W28" i="26" s="1"/>
  <c r="I28" i="26"/>
  <c r="J28" i="26" s="1"/>
  <c r="R28" i="26" s="1"/>
  <c r="O27" i="26"/>
  <c r="P27" i="26" s="1"/>
  <c r="W27" i="26" s="1"/>
  <c r="I27" i="26"/>
  <c r="J27" i="26" s="1"/>
  <c r="R27" i="26" s="1"/>
  <c r="AA26" i="26"/>
  <c r="AC26" i="26" s="1"/>
  <c r="O26" i="26"/>
  <c r="P26" i="26" s="1"/>
  <c r="W26" i="26" s="1"/>
  <c r="I26" i="26"/>
  <c r="J26" i="26" s="1"/>
  <c r="R26" i="26" s="1"/>
  <c r="AA25" i="26"/>
  <c r="AC25" i="26" s="1"/>
  <c r="O25" i="26"/>
  <c r="P25" i="26" s="1"/>
  <c r="W25" i="26" s="1"/>
  <c r="I25" i="26"/>
  <c r="J25" i="26" s="1"/>
  <c r="R25" i="26" s="1"/>
  <c r="O24" i="26"/>
  <c r="P24" i="26" s="1"/>
  <c r="W24" i="26" s="1"/>
  <c r="I24" i="26"/>
  <c r="J24" i="26" s="1"/>
  <c r="R24" i="26" s="1"/>
  <c r="AA23" i="26"/>
  <c r="AC23" i="26" s="1"/>
  <c r="O23" i="26"/>
  <c r="P23" i="26" s="1"/>
  <c r="W23" i="26" s="1"/>
  <c r="I23" i="26"/>
  <c r="J23" i="26" s="1"/>
  <c r="R23" i="26" s="1"/>
  <c r="AA22" i="26"/>
  <c r="AC22" i="26" s="1"/>
  <c r="O22" i="26"/>
  <c r="P22" i="26" s="1"/>
  <c r="W22" i="26" s="1"/>
  <c r="I22" i="26"/>
  <c r="J22" i="26" s="1"/>
  <c r="R22" i="26" s="1"/>
  <c r="O21" i="26"/>
  <c r="P21" i="26" s="1"/>
  <c r="W21" i="26" s="1"/>
  <c r="I21" i="26"/>
  <c r="J21" i="26" s="1"/>
  <c r="R21" i="26" s="1"/>
  <c r="AA20" i="26"/>
  <c r="AC20" i="26" s="1"/>
  <c r="O20" i="26"/>
  <c r="P20" i="26" s="1"/>
  <c r="W20" i="26" s="1"/>
  <c r="I20" i="26"/>
  <c r="J20" i="26" s="1"/>
  <c r="R20" i="26" s="1"/>
  <c r="AA19" i="26"/>
  <c r="AC19" i="26" s="1"/>
  <c r="O19" i="26"/>
  <c r="P19" i="26" s="1"/>
  <c r="W19" i="26" s="1"/>
  <c r="I19" i="26"/>
  <c r="J19" i="26" s="1"/>
  <c r="R19" i="26" s="1"/>
  <c r="O18" i="26"/>
  <c r="P18" i="26" s="1"/>
  <c r="W18" i="26" s="1"/>
  <c r="I18" i="26"/>
  <c r="J18" i="26" s="1"/>
  <c r="R18" i="26" s="1"/>
  <c r="AA17" i="26"/>
  <c r="AC17" i="26" s="1"/>
  <c r="O17" i="26"/>
  <c r="P17" i="26" s="1"/>
  <c r="W17" i="26" s="1"/>
  <c r="I17" i="26"/>
  <c r="J17" i="26" s="1"/>
  <c r="R17" i="26" s="1"/>
  <c r="AA16" i="26"/>
  <c r="AC16" i="26" s="1"/>
  <c r="O16" i="26"/>
  <c r="P16" i="26" s="1"/>
  <c r="W16" i="26" s="1"/>
  <c r="I16" i="26"/>
  <c r="J16" i="26" s="1"/>
  <c r="R16" i="26" s="1"/>
  <c r="O15" i="26"/>
  <c r="P15" i="26" s="1"/>
  <c r="W15" i="26" s="1"/>
  <c r="I15" i="26"/>
  <c r="J15" i="26" s="1"/>
  <c r="R15" i="26" s="1"/>
  <c r="AA14" i="26"/>
  <c r="AC14" i="26" s="1"/>
  <c r="O14" i="26"/>
  <c r="P14" i="26" s="1"/>
  <c r="W14" i="26" s="1"/>
  <c r="I14" i="26"/>
  <c r="J14" i="26" s="1"/>
  <c r="R14" i="26" s="1"/>
  <c r="AA13" i="26"/>
  <c r="AC13" i="26" s="1"/>
  <c r="O13" i="26"/>
  <c r="P13" i="26" s="1"/>
  <c r="W13" i="26" s="1"/>
  <c r="I13" i="26"/>
  <c r="J13" i="26" s="1"/>
  <c r="R13" i="26" s="1"/>
  <c r="P12" i="26"/>
  <c r="W12" i="26" s="1"/>
  <c r="I12" i="26"/>
  <c r="J12" i="26" s="1"/>
  <c r="R12" i="26" s="1"/>
  <c r="R21" i="28" l="1"/>
  <c r="U21" i="28" s="1"/>
  <c r="P21" i="28"/>
  <c r="Q21" i="28" s="1"/>
  <c r="I21" i="28"/>
  <c r="J21" i="28" s="1"/>
  <c r="G21" i="28"/>
  <c r="H21" i="28" s="1"/>
  <c r="T23" i="28"/>
  <c r="T22" i="28"/>
  <c r="T24" i="28"/>
  <c r="Y33" i="26"/>
  <c r="X33" i="26"/>
  <c r="T24" i="26"/>
  <c r="U24" i="26" s="1"/>
  <c r="S24" i="26"/>
  <c r="X21" i="26"/>
  <c r="Y21" i="26"/>
  <c r="Y30" i="26"/>
  <c r="X30" i="26"/>
  <c r="Y27" i="26"/>
  <c r="X27" i="26"/>
  <c r="X24" i="26"/>
  <c r="Y24" i="26"/>
  <c r="T15" i="26"/>
  <c r="U15" i="26" s="1"/>
  <c r="S15" i="26"/>
  <c r="T12" i="26"/>
  <c r="U12" i="26" s="1"/>
  <c r="S12" i="26"/>
  <c r="Y18" i="26"/>
  <c r="X18" i="26"/>
  <c r="T21" i="26"/>
  <c r="U21" i="26" s="1"/>
  <c r="S21" i="26"/>
  <c r="Y15" i="26"/>
  <c r="X15" i="26"/>
  <c r="S18" i="26"/>
  <c r="T18" i="26"/>
  <c r="U18" i="26" s="1"/>
  <c r="Y12" i="26"/>
  <c r="X12" i="26"/>
  <c r="T39" i="26"/>
  <c r="U39" i="26" s="1"/>
  <c r="S39" i="26"/>
  <c r="S42" i="26"/>
  <c r="T42" i="26"/>
  <c r="U42" i="26" s="1"/>
  <c r="T45" i="26"/>
  <c r="U45" i="26" s="1"/>
  <c r="S45" i="26"/>
  <c r="T27" i="26"/>
  <c r="U27" i="26" s="1"/>
  <c r="S27" i="26"/>
  <c r="T36" i="26"/>
  <c r="U36" i="26" s="1"/>
  <c r="S36" i="26"/>
  <c r="Y45" i="26"/>
  <c r="X45" i="26"/>
  <c r="T33" i="26"/>
  <c r="U33" i="26" s="1"/>
  <c r="S33" i="26"/>
  <c r="Y39" i="26"/>
  <c r="X39" i="26"/>
  <c r="Y42" i="26"/>
  <c r="X42" i="26"/>
  <c r="S30" i="26"/>
  <c r="T30" i="26"/>
  <c r="U30" i="26" s="1"/>
  <c r="X36" i="26"/>
  <c r="Y36" i="26"/>
  <c r="AB20" i="26"/>
  <c r="AB22" i="26"/>
  <c r="AB46" i="26"/>
  <c r="AB32" i="26"/>
  <c r="AB34" i="26"/>
  <c r="AB44" i="26"/>
  <c r="AB17" i="26"/>
  <c r="AB19" i="26"/>
  <c r="AB29" i="26"/>
  <c r="AB31" i="26"/>
  <c r="AB41" i="26"/>
  <c r="AB43" i="26"/>
  <c r="AB14" i="26"/>
  <c r="AB16" i="26"/>
  <c r="AB26" i="26"/>
  <c r="AB28" i="26"/>
  <c r="AB38" i="26"/>
  <c r="AB40" i="26"/>
  <c r="AB13" i="26"/>
  <c r="AB23" i="26"/>
  <c r="AB25" i="26"/>
  <c r="AB35" i="26"/>
  <c r="AB37" i="26"/>
  <c r="AB47" i="26"/>
  <c r="S21" i="28" l="1"/>
  <c r="T21" i="28" s="1"/>
  <c r="Z12" i="26"/>
  <c r="AA12" i="26"/>
  <c r="AC12" i="26" s="1"/>
  <c r="AA15" i="26"/>
  <c r="AC15" i="26" s="1"/>
  <c r="Z15" i="26"/>
  <c r="AA27" i="26"/>
  <c r="AC27" i="26" s="1"/>
  <c r="Z27" i="26"/>
  <c r="Z24" i="26"/>
  <c r="AA24" i="26"/>
  <c r="AC24" i="26" s="1"/>
  <c r="AA45" i="26"/>
  <c r="AC45" i="26" s="1"/>
  <c r="Z45" i="26"/>
  <c r="AA42" i="26"/>
  <c r="AB42" i="26" s="1"/>
  <c r="Z42" i="26"/>
  <c r="AA30" i="26"/>
  <c r="AC30" i="26" s="1"/>
  <c r="Z30" i="26"/>
  <c r="AA33" i="26"/>
  <c r="AB33" i="26" s="1"/>
  <c r="Z33" i="26"/>
  <c r="AA21" i="26"/>
  <c r="AB21" i="26" s="1"/>
  <c r="Z21" i="26"/>
  <c r="Z36" i="26"/>
  <c r="AA36" i="26"/>
  <c r="AC36" i="26" s="1"/>
  <c r="AA39" i="26"/>
  <c r="AC39" i="26" s="1"/>
  <c r="Z39" i="26"/>
  <c r="AA18" i="26"/>
  <c r="AC18" i="26" s="1"/>
  <c r="Z18" i="26"/>
  <c r="AC21" i="26" l="1"/>
  <c r="AB12" i="26"/>
  <c r="AC33" i="26"/>
  <c r="AB18" i="26"/>
  <c r="AB39" i="26"/>
  <c r="AB45" i="26"/>
  <c r="AB27" i="26"/>
  <c r="AB36" i="26"/>
  <c r="AB24" i="26"/>
  <c r="AB30" i="26"/>
  <c r="AB15" i="26"/>
  <c r="AC42" i="26"/>
  <c r="H15" i="24" l="1"/>
  <c r="H14" i="24"/>
  <c r="H15" i="17"/>
  <c r="H14" i="17"/>
  <c r="L32" i="20"/>
  <c r="V43" i="20"/>
  <c r="J23" i="18"/>
  <c r="I23" i="25"/>
  <c r="E71" i="24"/>
  <c r="E70" i="24"/>
  <c r="E69" i="24"/>
  <c r="D71" i="24"/>
  <c r="D70" i="24"/>
  <c r="D69" i="24"/>
  <c r="C65" i="24"/>
  <c r="C64" i="24"/>
  <c r="C63" i="24"/>
  <c r="C62" i="24"/>
  <c r="C61" i="24"/>
  <c r="C60" i="24"/>
  <c r="C56" i="24"/>
  <c r="H25" i="24"/>
  <c r="G25" i="24"/>
  <c r="F25" i="24"/>
  <c r="E25" i="24"/>
  <c r="D25" i="24"/>
  <c r="C25" i="24"/>
  <c r="A25" i="24"/>
  <c r="B25" i="24"/>
  <c r="G17" i="24"/>
  <c r="G16" i="24"/>
  <c r="G15" i="24"/>
  <c r="G14" i="24"/>
  <c r="C59" i="24"/>
  <c r="C58" i="24"/>
  <c r="C57" i="24"/>
  <c r="T44" i="24"/>
  <c r="Q44" i="24"/>
  <c r="N44" i="24"/>
  <c r="T43" i="24"/>
  <c r="Q43" i="24"/>
  <c r="N43" i="24"/>
  <c r="T38" i="24"/>
  <c r="Q38" i="24"/>
  <c r="N38" i="24"/>
  <c r="T37" i="24"/>
  <c r="Q37" i="24"/>
  <c r="N37" i="24"/>
  <c r="T32" i="24"/>
  <c r="Q32" i="24"/>
  <c r="T31" i="24"/>
  <c r="Q31" i="24"/>
  <c r="G13" i="24"/>
  <c r="F13" i="24"/>
  <c r="G12" i="24"/>
  <c r="F12" i="24"/>
  <c r="G11" i="24"/>
  <c r="F11" i="24"/>
  <c r="G10" i="24"/>
  <c r="F10" i="24"/>
  <c r="G9" i="24"/>
  <c r="F9" i="24"/>
  <c r="G8" i="24"/>
  <c r="F8" i="24"/>
  <c r="G7" i="24"/>
  <c r="F7" i="24"/>
  <c r="G6" i="24"/>
  <c r="F6" i="24"/>
  <c r="G5" i="24"/>
  <c r="F5" i="24"/>
  <c r="G4" i="24"/>
  <c r="F4" i="24"/>
  <c r="L3" i="24"/>
  <c r="G3" i="24"/>
  <c r="F3" i="24"/>
  <c r="L2" i="24"/>
  <c r="G2" i="24"/>
  <c r="F2" i="24"/>
  <c r="E64" i="23"/>
  <c r="E65" i="23" s="1"/>
  <c r="C64" i="23"/>
  <c r="E63" i="23"/>
  <c r="C63" i="23"/>
  <c r="E62" i="23"/>
  <c r="C62" i="23"/>
  <c r="C61" i="23"/>
  <c r="C65" i="23" s="1"/>
  <c r="I62" i="19"/>
  <c r="G62" i="19" s="1"/>
  <c r="J62" i="19"/>
  <c r="M62" i="19"/>
  <c r="K62" i="19" s="1"/>
  <c r="I63" i="19"/>
  <c r="G63" i="19" s="1"/>
  <c r="J63" i="19"/>
  <c r="L63" i="19" s="1"/>
  <c r="M63" i="19"/>
  <c r="I64" i="19"/>
  <c r="G64" i="19" s="1"/>
  <c r="J64" i="19"/>
  <c r="M64" i="19"/>
  <c r="L64" i="19" s="1"/>
  <c r="I65" i="19"/>
  <c r="G65" i="19" s="1"/>
  <c r="J65" i="19"/>
  <c r="M65" i="19"/>
  <c r="K65" i="19" s="1"/>
  <c r="I66" i="19"/>
  <c r="G66" i="19" s="1"/>
  <c r="J66" i="19"/>
  <c r="M66" i="19"/>
  <c r="K66" i="19" s="1"/>
  <c r="G67" i="19"/>
  <c r="I67" i="19"/>
  <c r="H67" i="19" s="1"/>
  <c r="J67" i="19"/>
  <c r="L67" i="19"/>
  <c r="M67" i="19"/>
  <c r="K67" i="19" s="1"/>
  <c r="I68" i="19"/>
  <c r="H68" i="19" s="1"/>
  <c r="J68" i="19"/>
  <c r="K68" i="19"/>
  <c r="L68" i="19"/>
  <c r="M68" i="19"/>
  <c r="I69" i="19"/>
  <c r="G69" i="19" s="1"/>
  <c r="J69" i="19"/>
  <c r="K69" i="19" s="1"/>
  <c r="M69" i="19"/>
  <c r="L69" i="19" s="1"/>
  <c r="I70" i="19"/>
  <c r="G70" i="19" s="1"/>
  <c r="J70" i="19"/>
  <c r="K70" i="19" s="1"/>
  <c r="M70" i="19"/>
  <c r="I71" i="19"/>
  <c r="H71" i="19" s="1"/>
  <c r="J71" i="19"/>
  <c r="M71" i="19"/>
  <c r="K71" i="19" s="1"/>
  <c r="G72" i="19"/>
  <c r="H72" i="19"/>
  <c r="I72" i="19"/>
  <c r="J72" i="19"/>
  <c r="M72" i="19"/>
  <c r="K72" i="19" s="1"/>
  <c r="I73" i="19"/>
  <c r="G73" i="19" s="1"/>
  <c r="J73" i="19"/>
  <c r="M73" i="19"/>
  <c r="L73" i="19" s="1"/>
  <c r="I74" i="19"/>
  <c r="G74" i="19" s="1"/>
  <c r="J74" i="19"/>
  <c r="M74" i="19"/>
  <c r="K74" i="19" s="1"/>
  <c r="I75" i="19"/>
  <c r="G75" i="19" s="1"/>
  <c r="J75" i="19"/>
  <c r="L75" i="19" s="1"/>
  <c r="K75" i="19"/>
  <c r="M75" i="19"/>
  <c r="I76" i="19"/>
  <c r="G76" i="19" s="1"/>
  <c r="J76" i="19"/>
  <c r="M76" i="19"/>
  <c r="L76" i="19" s="1"/>
  <c r="I77" i="19"/>
  <c r="G77" i="19" s="1"/>
  <c r="J77" i="19"/>
  <c r="M77" i="19"/>
  <c r="K77" i="19" s="1"/>
  <c r="I78" i="19"/>
  <c r="G78" i="19" s="1"/>
  <c r="J78" i="19"/>
  <c r="M78" i="19"/>
  <c r="K78" i="19" s="1"/>
  <c r="G79" i="19"/>
  <c r="I79" i="19"/>
  <c r="H79" i="19" s="1"/>
  <c r="J79" i="19"/>
  <c r="M79" i="19"/>
  <c r="L79" i="19" s="1"/>
  <c r="I80" i="19"/>
  <c r="G80" i="19" s="1"/>
  <c r="J80" i="19"/>
  <c r="K80" i="19"/>
  <c r="L80" i="19"/>
  <c r="M80" i="19"/>
  <c r="I81" i="19"/>
  <c r="G81" i="19" s="1"/>
  <c r="J81" i="19"/>
  <c r="M81" i="19"/>
  <c r="K81" i="19" s="1"/>
  <c r="I82" i="19"/>
  <c r="H82" i="19" s="1"/>
  <c r="J82" i="19"/>
  <c r="K82" i="19" s="1"/>
  <c r="M82" i="19"/>
  <c r="I83" i="19"/>
  <c r="H83" i="19" s="1"/>
  <c r="J83" i="19"/>
  <c r="M83" i="19"/>
  <c r="L83" i="19" s="1"/>
  <c r="G84" i="19"/>
  <c r="H84" i="19"/>
  <c r="I84" i="19"/>
  <c r="J84" i="19"/>
  <c r="M84" i="19"/>
  <c r="K84" i="19" s="1"/>
  <c r="I85" i="19"/>
  <c r="G85" i="19" s="1"/>
  <c r="J85" i="19"/>
  <c r="M85" i="19"/>
  <c r="K85" i="19" s="1"/>
  <c r="L61" i="19"/>
  <c r="K61" i="19"/>
  <c r="M61" i="19"/>
  <c r="J61" i="19"/>
  <c r="H61" i="19"/>
  <c r="G61" i="19"/>
  <c r="I61" i="19"/>
  <c r="F61" i="19" a="1"/>
  <c r="F61" i="19" s="1"/>
  <c r="E63" i="19"/>
  <c r="E64" i="19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75" i="19" s="1"/>
  <c r="E76" i="19" s="1"/>
  <c r="E77" i="19" s="1"/>
  <c r="E78" i="19" s="1"/>
  <c r="E79" i="19" s="1"/>
  <c r="E80" i="19" s="1"/>
  <c r="E81" i="19" s="1"/>
  <c r="E82" i="19" s="1"/>
  <c r="E83" i="19" s="1"/>
  <c r="E84" i="19" s="1"/>
  <c r="E85" i="19" s="1"/>
  <c r="E62" i="19"/>
  <c r="C65" i="19"/>
  <c r="C64" i="19"/>
  <c r="C63" i="19"/>
  <c r="C62" i="19"/>
  <c r="C61" i="19"/>
  <c r="C30" i="24" l="1"/>
  <c r="E66" i="23"/>
  <c r="E67" i="23" s="1"/>
  <c r="E68" i="23" s="1"/>
  <c r="E69" i="23" s="1"/>
  <c r="E70" i="23" s="1"/>
  <c r="E71" i="23" s="1"/>
  <c r="E72" i="23" s="1"/>
  <c r="E73" i="23" s="1"/>
  <c r="E74" i="23" s="1"/>
  <c r="E75" i="23" s="1"/>
  <c r="E76" i="23" s="1"/>
  <c r="E77" i="23" s="1"/>
  <c r="E78" i="23" s="1"/>
  <c r="E79" i="23" s="1"/>
  <c r="E80" i="23" s="1"/>
  <c r="E81" i="23" s="1"/>
  <c r="E82" i="23" s="1"/>
  <c r="E83" i="23" s="1"/>
  <c r="E84" i="23" s="1"/>
  <c r="E85" i="23" s="1"/>
  <c r="M85" i="23" s="1"/>
  <c r="F61" i="23" a="1"/>
  <c r="I62" i="23"/>
  <c r="M63" i="23"/>
  <c r="I61" i="23"/>
  <c r="M69" i="23"/>
  <c r="M81" i="23"/>
  <c r="M61" i="23"/>
  <c r="M65" i="23"/>
  <c r="I67" i="23"/>
  <c r="M68" i="23"/>
  <c r="M71" i="23"/>
  <c r="I73" i="23"/>
  <c r="M74" i="23"/>
  <c r="I76" i="23"/>
  <c r="M77" i="23"/>
  <c r="I79" i="23"/>
  <c r="M80" i="23"/>
  <c r="I82" i="23"/>
  <c r="M83" i="23"/>
  <c r="I85" i="23"/>
  <c r="I65" i="23"/>
  <c r="M72" i="23"/>
  <c r="M75" i="23"/>
  <c r="M78" i="23"/>
  <c r="I83" i="23"/>
  <c r="M62" i="23"/>
  <c r="I64" i="23"/>
  <c r="I80" i="23"/>
  <c r="I63" i="23"/>
  <c r="M66" i="23"/>
  <c r="I71" i="23"/>
  <c r="I74" i="23"/>
  <c r="M84" i="23"/>
  <c r="M64" i="23"/>
  <c r="I66" i="23"/>
  <c r="M67" i="23"/>
  <c r="I69" i="23"/>
  <c r="M70" i="23"/>
  <c r="I72" i="23"/>
  <c r="M73" i="23"/>
  <c r="I75" i="23"/>
  <c r="M76" i="23"/>
  <c r="I78" i="23"/>
  <c r="I81" i="23"/>
  <c r="M82" i="23"/>
  <c r="I84" i="23"/>
  <c r="K63" i="19"/>
  <c r="H65" i="19"/>
  <c r="L85" i="19"/>
  <c r="K73" i="19"/>
  <c r="L66" i="19"/>
  <c r="H77" i="19"/>
  <c r="L78" i="19"/>
  <c r="H75" i="19"/>
  <c r="H63" i="19"/>
  <c r="H70" i="19"/>
  <c r="H80" i="19"/>
  <c r="L71" i="19"/>
  <c r="K83" i="19"/>
  <c r="H85" i="19"/>
  <c r="K76" i="19"/>
  <c r="H73" i="19"/>
  <c r="G68" i="19"/>
  <c r="K64" i="19"/>
  <c r="G82" i="19"/>
  <c r="L74" i="19"/>
  <c r="H66" i="19"/>
  <c r="L62" i="19"/>
  <c r="L81" i="19"/>
  <c r="L84" i="19"/>
  <c r="H76" i="19"/>
  <c r="L72" i="19"/>
  <c r="G71" i="19"/>
  <c r="H64" i="19"/>
  <c r="H78" i="19"/>
  <c r="G83" i="19"/>
  <c r="H81" i="19"/>
  <c r="L77" i="19"/>
  <c r="H69" i="19"/>
  <c r="L65" i="19"/>
  <c r="K79" i="19"/>
  <c r="H74" i="19"/>
  <c r="L70" i="19"/>
  <c r="H62" i="19"/>
  <c r="L82" i="19"/>
  <c r="F84" i="19"/>
  <c r="F71" i="19"/>
  <c r="F67" i="19"/>
  <c r="F78" i="19"/>
  <c r="F66" i="19"/>
  <c r="F70" i="19"/>
  <c r="F80" i="19"/>
  <c r="F79" i="19"/>
  <c r="F77" i="19"/>
  <c r="F65" i="19"/>
  <c r="F83" i="19"/>
  <c r="F69" i="19"/>
  <c r="F76" i="19"/>
  <c r="F64" i="19"/>
  <c r="F82" i="19"/>
  <c r="F68" i="19"/>
  <c r="F75" i="19"/>
  <c r="F63" i="19"/>
  <c r="F72" i="19"/>
  <c r="F81" i="19"/>
  <c r="F74" i="19"/>
  <c r="F62" i="19"/>
  <c r="F85" i="19"/>
  <c r="F73" i="19"/>
  <c r="C29" i="24" l="1"/>
  <c r="C71" i="24"/>
  <c r="C70" i="24"/>
  <c r="C69" i="24"/>
  <c r="N32" i="24"/>
  <c r="N31" i="24"/>
  <c r="B29" i="24"/>
  <c r="F29" i="24" s="1"/>
  <c r="B30" i="24"/>
  <c r="F30" i="24" s="1"/>
  <c r="H37" i="24"/>
  <c r="D30" i="24"/>
  <c r="E30" i="24"/>
  <c r="F83" i="23"/>
  <c r="F71" i="23"/>
  <c r="F66" i="23"/>
  <c r="F65" i="23"/>
  <c r="F64" i="23"/>
  <c r="F75" i="23"/>
  <c r="F63" i="23"/>
  <c r="F82" i="23"/>
  <c r="F70" i="23"/>
  <c r="F79" i="23"/>
  <c r="F81" i="23"/>
  <c r="F69" i="23"/>
  <c r="F77" i="23"/>
  <c r="F76" i="23"/>
  <c r="F80" i="23"/>
  <c r="F68" i="23"/>
  <c r="F67" i="23"/>
  <c r="F78" i="23"/>
  <c r="F74" i="23"/>
  <c r="F62" i="23"/>
  <c r="F84" i="23"/>
  <c r="F72" i="23"/>
  <c r="F85" i="23"/>
  <c r="F73" i="23"/>
  <c r="F61" i="23"/>
  <c r="M79" i="23"/>
  <c r="I77" i="23"/>
  <c r="I68" i="23"/>
  <c r="I70" i="23"/>
  <c r="H73" i="23" l="1"/>
  <c r="G73" i="23"/>
  <c r="J73" i="23"/>
  <c r="H69" i="23"/>
  <c r="G69" i="23"/>
  <c r="J69" i="23"/>
  <c r="J85" i="23"/>
  <c r="G85" i="23"/>
  <c r="H85" i="23"/>
  <c r="H81" i="23"/>
  <c r="G81" i="23"/>
  <c r="J81" i="23"/>
  <c r="H72" i="23"/>
  <c r="G72" i="23"/>
  <c r="J72" i="23"/>
  <c r="G79" i="23"/>
  <c r="J79" i="23"/>
  <c r="H79" i="23"/>
  <c r="H84" i="23"/>
  <c r="G84" i="23"/>
  <c r="J84" i="23"/>
  <c r="H70" i="23"/>
  <c r="G70" i="23"/>
  <c r="J70" i="23"/>
  <c r="G62" i="23"/>
  <c r="J62" i="23"/>
  <c r="H62" i="23"/>
  <c r="H82" i="23"/>
  <c r="G82" i="23"/>
  <c r="J82" i="23"/>
  <c r="H74" i="23"/>
  <c r="J74" i="23"/>
  <c r="G74" i="23"/>
  <c r="J63" i="23"/>
  <c r="H63" i="23"/>
  <c r="G63" i="23"/>
  <c r="H78" i="23"/>
  <c r="G78" i="23"/>
  <c r="J78" i="23"/>
  <c r="H75" i="23"/>
  <c r="G75" i="23"/>
  <c r="J75" i="23"/>
  <c r="H67" i="23"/>
  <c r="J67" i="23"/>
  <c r="G67" i="23"/>
  <c r="G64" i="23"/>
  <c r="H64" i="23"/>
  <c r="J64" i="23"/>
  <c r="J68" i="23"/>
  <c r="H68" i="23"/>
  <c r="G68" i="23"/>
  <c r="H65" i="23"/>
  <c r="J65" i="23"/>
  <c r="G65" i="23"/>
  <c r="H66" i="23"/>
  <c r="G66" i="23"/>
  <c r="J66" i="23"/>
  <c r="G76" i="23"/>
  <c r="H76" i="23"/>
  <c r="J76" i="23"/>
  <c r="J71" i="23"/>
  <c r="H71" i="23"/>
  <c r="G71" i="23"/>
  <c r="J80" i="23"/>
  <c r="H80" i="23"/>
  <c r="G80" i="23"/>
  <c r="J61" i="23"/>
  <c r="H61" i="23"/>
  <c r="G61" i="23"/>
  <c r="J77" i="23"/>
  <c r="H77" i="23"/>
  <c r="G77" i="23"/>
  <c r="H83" i="23"/>
  <c r="J83" i="23"/>
  <c r="G83" i="23"/>
  <c r="C71" i="17"/>
  <c r="C70" i="17"/>
  <c r="C69" i="17"/>
  <c r="C65" i="17"/>
  <c r="C64" i="17"/>
  <c r="C63" i="17"/>
  <c r="C62" i="17"/>
  <c r="C61" i="17"/>
  <c r="C60" i="17"/>
  <c r="C59" i="17"/>
  <c r="C58" i="17"/>
  <c r="C57" i="17"/>
  <c r="E25" i="17"/>
  <c r="D25" i="17"/>
  <c r="B25" i="17"/>
  <c r="C25" i="17"/>
  <c r="F2" i="17"/>
  <c r="G2" i="17"/>
  <c r="L2" i="17"/>
  <c r="W37" i="20"/>
  <c r="W36" i="20"/>
  <c r="W35" i="20"/>
  <c r="W34" i="20"/>
  <c r="W33" i="20"/>
  <c r="W32" i="20"/>
  <c r="X43" i="20"/>
  <c r="W43" i="20"/>
  <c r="X42" i="20"/>
  <c r="W42" i="20"/>
  <c r="X41" i="20"/>
  <c r="W41" i="20"/>
  <c r="X40" i="20"/>
  <c r="W40" i="20"/>
  <c r="X39" i="20"/>
  <c r="W39" i="20"/>
  <c r="X38" i="20"/>
  <c r="W38" i="20"/>
  <c r="X37" i="20"/>
  <c r="X36" i="20"/>
  <c r="X35" i="20"/>
  <c r="X34" i="20"/>
  <c r="X33" i="20"/>
  <c r="X32" i="20"/>
  <c r="M34" i="20"/>
  <c r="M33" i="20"/>
  <c r="M32" i="20"/>
  <c r="N43" i="20"/>
  <c r="M43" i="20"/>
  <c r="N42" i="20"/>
  <c r="M42" i="20"/>
  <c r="N41" i="20"/>
  <c r="M41" i="20"/>
  <c r="N40" i="20"/>
  <c r="M40" i="20"/>
  <c r="N39" i="20"/>
  <c r="M39" i="20"/>
  <c r="N38" i="20"/>
  <c r="M38" i="20"/>
  <c r="N37" i="20"/>
  <c r="M37" i="20"/>
  <c r="N36" i="20"/>
  <c r="M36" i="20"/>
  <c r="N35" i="20"/>
  <c r="M35" i="20"/>
  <c r="N34" i="20"/>
  <c r="N33" i="20"/>
  <c r="N32" i="20"/>
  <c r="V33" i="20"/>
  <c r="V34" i="20"/>
  <c r="V35" i="20"/>
  <c r="V36" i="20"/>
  <c r="V37" i="20"/>
  <c r="V38" i="20"/>
  <c r="V39" i="20"/>
  <c r="V40" i="20"/>
  <c r="V41" i="20"/>
  <c r="V42" i="20"/>
  <c r="V32" i="20"/>
  <c r="L33" i="20"/>
  <c r="L34" i="20"/>
  <c r="L35" i="20"/>
  <c r="L36" i="20"/>
  <c r="L37" i="20"/>
  <c r="L38" i="20"/>
  <c r="L39" i="20"/>
  <c r="L40" i="20"/>
  <c r="L41" i="20"/>
  <c r="L42" i="20"/>
  <c r="L43" i="20"/>
  <c r="L81" i="23" l="1"/>
  <c r="K81" i="23"/>
  <c r="L77" i="23"/>
  <c r="K77" i="23"/>
  <c r="K63" i="23"/>
  <c r="L63" i="23"/>
  <c r="L66" i="23"/>
  <c r="K66" i="23"/>
  <c r="L84" i="23"/>
  <c r="K84" i="23"/>
  <c r="L67" i="23"/>
  <c r="K67" i="23"/>
  <c r="L74" i="23"/>
  <c r="K74" i="23"/>
  <c r="L76" i="23"/>
  <c r="K76" i="23"/>
  <c r="K61" i="23"/>
  <c r="L61" i="23"/>
  <c r="L85" i="23"/>
  <c r="K85" i="23"/>
  <c r="L75" i="23"/>
  <c r="K75" i="23"/>
  <c r="L82" i="23"/>
  <c r="K82" i="23"/>
  <c r="L69" i="23"/>
  <c r="K69" i="23"/>
  <c r="L64" i="23"/>
  <c r="K64" i="23"/>
  <c r="L80" i="23"/>
  <c r="K80" i="23"/>
  <c r="L70" i="23"/>
  <c r="K70" i="23"/>
  <c r="L65" i="23"/>
  <c r="K65" i="23"/>
  <c r="L79" i="23"/>
  <c r="K79" i="23"/>
  <c r="L78" i="23"/>
  <c r="K78" i="23"/>
  <c r="L72" i="23"/>
  <c r="K72" i="23"/>
  <c r="L73" i="23"/>
  <c r="K73" i="23"/>
  <c r="L83" i="23"/>
  <c r="K83" i="23"/>
  <c r="L62" i="23"/>
  <c r="K62" i="23"/>
  <c r="K71" i="23"/>
  <c r="L71" i="23"/>
  <c r="L68" i="23"/>
  <c r="K68" i="23"/>
  <c r="N37" i="17" l="1"/>
  <c r="G13" i="17"/>
  <c r="G12" i="17"/>
  <c r="G11" i="17"/>
  <c r="G10" i="17"/>
  <c r="G9" i="17"/>
  <c r="G8" i="17"/>
  <c r="G7" i="17"/>
  <c r="G6" i="17"/>
  <c r="G5" i="17"/>
  <c r="G4" i="17"/>
  <c r="G3" i="17"/>
  <c r="N44" i="17"/>
  <c r="N43" i="17"/>
  <c r="N38" i="17"/>
  <c r="F13" i="17"/>
  <c r="F12" i="17"/>
  <c r="F11" i="17"/>
  <c r="F10" i="17"/>
  <c r="F9" i="17"/>
  <c r="F8" i="17"/>
  <c r="F7" i="17"/>
  <c r="F6" i="17"/>
  <c r="F5" i="17"/>
  <c r="F4" i="17"/>
  <c r="L3" i="17"/>
  <c r="F3" i="17"/>
  <c r="G25" i="17" l="1"/>
  <c r="G15" i="17"/>
  <c r="G14" i="17"/>
  <c r="Q31" i="17"/>
  <c r="Q32" i="17"/>
  <c r="T44" i="17"/>
  <c r="T43" i="17"/>
  <c r="A25" i="17"/>
  <c r="F25" i="17" s="1"/>
  <c r="C29" i="17" s="1"/>
  <c r="C30" i="17" l="1"/>
  <c r="C56" i="17" s="1"/>
  <c r="T32" i="17"/>
  <c r="T31" i="17"/>
  <c r="Q43" i="17"/>
  <c r="Q44" i="17"/>
  <c r="T38" i="17"/>
  <c r="T37" i="17"/>
  <c r="Q37" i="17"/>
  <c r="Q38" i="17"/>
  <c r="B29" i="17"/>
  <c r="F29" i="17" s="1"/>
  <c r="N31" i="17"/>
  <c r="G17" i="17"/>
  <c r="G16" i="17"/>
  <c r="N32" i="17"/>
  <c r="E30" i="17" l="1"/>
  <c r="D30" i="17"/>
  <c r="H25" i="17"/>
  <c r="H37" i="17"/>
  <c r="B30" i="17"/>
  <c r="F30" i="17" s="1"/>
  <c r="E69" i="17"/>
  <c r="D69" i="17"/>
  <c r="D70" i="17"/>
  <c r="E70" i="17"/>
  <c r="E71" i="17"/>
  <c r="D71" i="17"/>
</calcChain>
</file>

<file path=xl/sharedStrings.xml><?xml version="1.0" encoding="utf-8"?>
<sst xmlns="http://schemas.openxmlformats.org/spreadsheetml/2006/main" count="1520" uniqueCount="269">
  <si>
    <t>plate</t>
  </si>
  <si>
    <t>sample</t>
  </si>
  <si>
    <t>mpn</t>
  </si>
  <si>
    <t>mpn_adj</t>
  </si>
  <si>
    <t>upper</t>
  </si>
  <si>
    <t>lower</t>
  </si>
  <si>
    <t>plate_0</t>
  </si>
  <si>
    <t>plate_1</t>
  </si>
  <si>
    <t>plate_2</t>
  </si>
  <si>
    <t>plate_3</t>
  </si>
  <si>
    <t>plate_4</t>
  </si>
  <si>
    <t>plate_5</t>
  </si>
  <si>
    <t>plate_6</t>
  </si>
  <si>
    <t>plate_7</t>
  </si>
  <si>
    <t>plate_8</t>
  </si>
  <si>
    <t>plate_9</t>
  </si>
  <si>
    <t>plate_10</t>
  </si>
  <si>
    <t>plate_11</t>
  </si>
  <si>
    <t>MPN</t>
  </si>
  <si>
    <t>log10(MPN/g)</t>
  </si>
  <si>
    <t>Bio_1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</si>
  <si>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</si>
  <si>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</si>
  <si>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</si>
  <si>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</si>
  <si>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</si>
  <si>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</si>
  <si>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</si>
  <si>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</si>
  <si>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</si>
  <si>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</si>
  <si>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</si>
  <si>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</si>
  <si>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Trial</t>
  </si>
  <si>
    <t>soil_well</t>
  </si>
  <si>
    <t>Concentratio</t>
  </si>
  <si>
    <t>bio_1</t>
  </si>
  <si>
    <t>undiluted A1</t>
  </si>
  <si>
    <t>undiluted A2</t>
  </si>
  <si>
    <t>undiluted A3</t>
  </si>
  <si>
    <t>10^-1</t>
  </si>
  <si>
    <t>10^-2</t>
  </si>
  <si>
    <t>10^-3</t>
  </si>
  <si>
    <t>Mircotiter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</si>
  <si>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</si>
  <si>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</si>
  <si>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</si>
  <si>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</si>
  <si>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</si>
  <si>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</si>
  <si>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</si>
  <si>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</si>
  <si>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</si>
  <si>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</si>
  <si>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</si>
  <si>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</si>
  <si>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</si>
  <si>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</si>
  <si>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</si>
  <si>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</si>
  <si>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</si>
  <si>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</si>
  <si>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</si>
  <si>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</si>
  <si>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</si>
  <si>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</si>
  <si>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</si>
  <si>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</si>
  <si>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alpha</t>
  </si>
  <si>
    <t>x</t>
  </si>
  <si>
    <t>y</t>
  </si>
  <si>
    <t>conf se</t>
  </si>
  <si>
    <t>pred</t>
  </si>
  <si>
    <t>pred se</t>
  </si>
  <si>
    <t>n</t>
  </si>
  <si>
    <t>mean(x)</t>
  </si>
  <si>
    <t>devsq(x)</t>
  </si>
  <si>
    <t>steyx</t>
  </si>
  <si>
    <t>t-crit</t>
  </si>
  <si>
    <t>Variance</t>
  </si>
  <si>
    <t>F-Test Two-Sample for Variances</t>
  </si>
  <si>
    <t>Mean</t>
  </si>
  <si>
    <t>P(F&lt;=f) one-tail</t>
  </si>
  <si>
    <t>F Critical one-tail</t>
  </si>
  <si>
    <t>mean</t>
  </si>
  <si>
    <t>difference</t>
  </si>
  <si>
    <t>mean difference</t>
  </si>
  <si>
    <t>standard deviation</t>
  </si>
  <si>
    <t>T Test: One Sample</t>
  </si>
  <si>
    <t>SUMMARY</t>
  </si>
  <si>
    <t>Alpha</t>
  </si>
  <si>
    <t>Count</t>
  </si>
  <si>
    <t>Std Dev</t>
  </si>
  <si>
    <t>Std Err</t>
  </si>
  <si>
    <t>t</t>
  </si>
  <si>
    <t>Cohen d</t>
  </si>
  <si>
    <t>Effect r</t>
  </si>
  <si>
    <t>T TEST</t>
  </si>
  <si>
    <t>Hyp Mean</t>
  </si>
  <si>
    <t xml:space="preserve"> </t>
  </si>
  <si>
    <t>p-value</t>
  </si>
  <si>
    <t>sig</t>
  </si>
  <si>
    <t>One Tail</t>
  </si>
  <si>
    <t>Two Tail</t>
  </si>
  <si>
    <t xml:space="preserve">Calculating 95% confidence interval </t>
  </si>
  <si>
    <t>t critical (alpha 0.05)</t>
  </si>
  <si>
    <t>1/n</t>
  </si>
  <si>
    <t>2(n-1)</t>
  </si>
  <si>
    <t>(two tailed z score for alpha 0.05)^2</t>
  </si>
  <si>
    <t>S2between</t>
  </si>
  <si>
    <t>division</t>
  </si>
  <si>
    <t>summation</t>
  </si>
  <si>
    <t>multiplication by variance</t>
  </si>
  <si>
    <t>Square root</t>
  </si>
  <si>
    <t>t*square root</t>
  </si>
  <si>
    <t>to</t>
  </si>
  <si>
    <t>from</t>
  </si>
  <si>
    <t xml:space="preserve">bias </t>
  </si>
  <si>
    <t>lower red line</t>
  </si>
  <si>
    <t>upper red line</t>
  </si>
  <si>
    <t>95% CI around main lines of plot</t>
  </si>
  <si>
    <t>Bias line blck</t>
  </si>
  <si>
    <t>95% CI bias</t>
  </si>
  <si>
    <t>top black line</t>
  </si>
  <si>
    <t>bottom black line</t>
  </si>
  <si>
    <t>lower agreement</t>
  </si>
  <si>
    <t>95% CI lower agreement</t>
  </si>
  <si>
    <t>top lower agreement</t>
  </si>
  <si>
    <t>bottom lower agreement</t>
  </si>
  <si>
    <t>upper agreement</t>
  </si>
  <si>
    <t>95% CI upper agreement</t>
  </si>
  <si>
    <t>top upper agreement</t>
  </si>
  <si>
    <t>bottom upper agreement</t>
  </si>
  <si>
    <t>Plot needs to be check for 95% grey CI</t>
  </si>
  <si>
    <t>Bland altman R</t>
  </si>
  <si>
    <t>Update colors of plot</t>
  </si>
  <si>
    <t>Breusch Pagan by Andrew performed around the bias line</t>
  </si>
  <si>
    <t>A_1</t>
  </si>
  <si>
    <t>##BLOCKS= 48</t>
  </si>
  <si>
    <t>Plate:</t>
  </si>
  <si>
    <t>OD620_1_plate_1_Shaking</t>
  </si>
  <si>
    <t>PlateFormat</t>
  </si>
  <si>
    <t>Endpoint</t>
  </si>
  <si>
    <t>Absorbance</t>
  </si>
  <si>
    <t>Raw</t>
  </si>
  <si>
    <t>Temperature(¡C)</t>
  </si>
  <si>
    <t>~End</t>
  </si>
  <si>
    <t>RFP_1_plate_1_shaking</t>
  </si>
  <si>
    <t>Fluorescence</t>
  </si>
  <si>
    <t>Automatic</t>
  </si>
  <si>
    <t>A_2</t>
  </si>
  <si>
    <t>od620_2_plate_1</t>
  </si>
  <si>
    <t>RFP_2_plate_1</t>
  </si>
  <si>
    <t>A_3</t>
  </si>
  <si>
    <t>OD620_3_plate_1</t>
  </si>
  <si>
    <t>RFP_3_plate_1</t>
  </si>
  <si>
    <t>B_1</t>
  </si>
  <si>
    <t>B_2</t>
  </si>
  <si>
    <t>B_3</t>
  </si>
  <si>
    <t>C_1</t>
  </si>
  <si>
    <t>C_2</t>
  </si>
  <si>
    <t>C_3</t>
  </si>
  <si>
    <t>D_1</t>
  </si>
  <si>
    <t>D_2</t>
  </si>
  <si>
    <t>D_3</t>
  </si>
  <si>
    <t>A_5</t>
  </si>
  <si>
    <t>A_6</t>
  </si>
  <si>
    <t>A_7</t>
  </si>
  <si>
    <t>B_5</t>
  </si>
  <si>
    <t>B_6</t>
  </si>
  <si>
    <t>B_7</t>
  </si>
  <si>
    <t>C_5</t>
  </si>
  <si>
    <t>C_6</t>
  </si>
  <si>
    <t>C_7</t>
  </si>
  <si>
    <t>D_5</t>
  </si>
  <si>
    <t>D_6</t>
  </si>
  <si>
    <t>D_7</t>
  </si>
  <si>
    <t>Original Filename: 8_24_22_PFLXRgentOC6_CPG_od_rfu_t0_ONCE_DILUTED_PLATE; Date Last Saved: 8/24/2022 2:33:58 PM</t>
  </si>
  <si>
    <t>rarity</t>
  </si>
  <si>
    <t xml:space="preserve">undiluted </t>
  </si>
  <si>
    <t>DATA_raw</t>
  </si>
  <si>
    <t>DATA_raw_trim</t>
  </si>
  <si>
    <t>MPNadj</t>
  </si>
  <si>
    <t>log10(MPNadj/g)</t>
  </si>
  <si>
    <t>MPNadjusted</t>
  </si>
  <si>
    <t>CPG</t>
  </si>
  <si>
    <t>CFU</t>
  </si>
  <si>
    <t>top to bottom</t>
  </si>
  <si>
    <t>Assumptions</t>
  </si>
  <si>
    <t>Breusch-Pagan</t>
  </si>
  <si>
    <t>MPN adjusted</t>
  </si>
  <si>
    <t>Raw values</t>
  </si>
  <si>
    <t>SpectraMax M3 plate format output</t>
  </si>
  <si>
    <t>This data was transposed to column format in order to run MicroMPN.</t>
  </si>
  <si>
    <t>MicroMPN is a Python package that automates MPN values from different microplate layouts.</t>
  </si>
  <si>
    <t>Output from MicroMPN.</t>
  </si>
  <si>
    <t xml:space="preserve">There are a total of 12 microplates. </t>
  </si>
  <si>
    <t>Soil treatments:</t>
  </si>
  <si>
    <t>Ralstonia undiluted</t>
  </si>
  <si>
    <t>Ralstonia 10^-1</t>
  </si>
  <si>
    <t>Ralstonia 10^-2</t>
  </si>
  <si>
    <t>Ralstonia 10^-3</t>
  </si>
  <si>
    <t>Samples (A1 -A3)</t>
  </si>
  <si>
    <t>Samples (B1 -B3)</t>
  </si>
  <si>
    <t>Samples (C1 -C3)</t>
  </si>
  <si>
    <t>Samples (D1 -D3)</t>
  </si>
  <si>
    <t>Input file for MicroMPN: limit_detection_t48_bio.csv</t>
  </si>
  <si>
    <t>MicroMPN is a Python package which automates MPN calculations from microplates of different layouts.</t>
  </si>
  <si>
    <t>https://github.com/USDA-ARS-GBRU/micrompn.git</t>
  </si>
  <si>
    <t>Input file was processed with the following two commands:</t>
  </si>
  <si>
    <t>Command_1</t>
  </si>
  <si>
    <t>Command_2</t>
  </si>
  <si>
    <t>Github</t>
  </si>
  <si>
    <t>protocols.io</t>
  </si>
  <si>
    <t>"MicroMPN: Software for Automating Most Probable Number Estimates from Laboratory Microplates</t>
  </si>
  <si>
    <t>This protocol guides users on how to run MicroMPN from a Jupyter Notebook.</t>
  </si>
  <si>
    <t xml:space="preserve">! micrompn --wellmap microplate.toml --data "C:\Users\kfranco\Documents\microMPN\limit_detection_T48_bio_1.csv" --cutoff 6 --outfile "C:\Users\kfranco\OneDrive - USDA\Documents\mpn_rfu_package\OUTFILE_limit_detection_T48_bio_1.csv" --plate_name "plate_unique" --value_name "rfu" --well_name "plate_well" </t>
  </si>
  <si>
    <t>! micrompn --wellmap microplate.toml --data "C:\Users\kfranco\Documents\microMPN\limit_detection_T48_bio_1.csv" --cutoff 6 --outfile "C:\Users\kfranco\OneDrive - USDA\Documents\mpn_rfu_package\OUTFILE_trim_limit_detection_T48_bio_1.csv" --plate_name "plate_unique" --value_name "rfu" --well_name "plate_well" --trim_positives</t>
  </si>
  <si>
    <t>MicroMPN output was adjusted by a factor of 10 and normalized by the average gram of soil for each soil experiment.</t>
  </si>
  <si>
    <t>Only MPN estimates with a rarity index &gt; 1e-4 were considered probable and used in further analysis.</t>
  </si>
  <si>
    <t>Data output from Command_2 used for analysis.</t>
  </si>
  <si>
    <t>Bio_rep</t>
  </si>
  <si>
    <t>Agar_plate</t>
  </si>
  <si>
    <t xml:space="preserve">concentration </t>
  </si>
  <si>
    <t>CPG_0GENT</t>
  </si>
  <si>
    <t>DF</t>
  </si>
  <si>
    <t>PF</t>
  </si>
  <si>
    <t>g_soil</t>
  </si>
  <si>
    <t>df*pf*g</t>
  </si>
  <si>
    <t>CFU_ml_g</t>
  </si>
  <si>
    <t>CPG_10GENT</t>
  </si>
  <si>
    <t>CFU_ml_gent_10</t>
  </si>
  <si>
    <t>CPG_0_Log10</t>
  </si>
  <si>
    <t>Averaginng_tech_reps</t>
  </si>
  <si>
    <t>STDEV</t>
  </si>
  <si>
    <t>STERROR</t>
  </si>
  <si>
    <t>CPG_10_Log_10</t>
  </si>
  <si>
    <t>Margin of error</t>
  </si>
  <si>
    <t xml:space="preserve">Confidence interval(95%)_lower limit </t>
  </si>
  <si>
    <t xml:space="preserve">Confidence interval(95%)_upper limit </t>
  </si>
  <si>
    <t>Average</t>
  </si>
  <si>
    <t xml:space="preserve">Standard deviaiton </t>
  </si>
  <si>
    <t>Avg plus SD</t>
  </si>
  <si>
    <t>CFU_10</t>
  </si>
  <si>
    <t>pf</t>
  </si>
  <si>
    <t>df*pf</t>
  </si>
  <si>
    <t>CFU_ML</t>
  </si>
  <si>
    <t>geomean</t>
  </si>
  <si>
    <t>150 ul</t>
  </si>
  <si>
    <t>CFU_0</t>
  </si>
  <si>
    <t>CFU/ml</t>
  </si>
  <si>
    <t xml:space="preserve">Arithmetic mean </t>
  </si>
  <si>
    <t>count</t>
  </si>
  <si>
    <t>SD</t>
  </si>
  <si>
    <t>5*sd</t>
  </si>
  <si>
    <t>mean plus 5*sd</t>
  </si>
  <si>
    <t>CFU/mL data</t>
  </si>
  <si>
    <t>From each soil well, a single aliquot was 10-fold serially diluted in 1X PBS.</t>
  </si>
  <si>
    <t>CPG broth supplemented with the following components: 10 mg gentamicin (G), 50 mg 2,3,5-triphenyl tetrazolium chloride (TZC), 25 mg bacitracin (B), 0.5 mg penicillin (P), and 100 mg cycloheximide (C), per liter of CPG broth; mass quantities were derived from the modified semi-selective SMSA media recipe (49).</t>
  </si>
  <si>
    <t>The dilution series was spotted three times on CPG agar with and without gentamicin (5 uL drops).</t>
  </si>
  <si>
    <t>For analysis purposes, replicate data from a single soil well was averaged.</t>
  </si>
  <si>
    <t>After resuspension in 0.5% NaCl, three aliquots from sample were 10-fold diluted in 0.5% NaCl.</t>
  </si>
  <si>
    <t>Dilutions:</t>
  </si>
  <si>
    <t xml:space="preserve">From each dilution, 150 ul were added to soil wells. In total, 12 soil wells were inoculated with the four different concentrations of Ralstonia. </t>
  </si>
  <si>
    <t>Ralstonia overnight was centrifuged and pellet was resuspendend in 0.5% NaCl</t>
  </si>
  <si>
    <t>To determine overnight concentration, resuspended sample was serially diluted in 1X PBS and spotted (5 ul) on CPG agar with and without gentamicin. See below for complete media.</t>
  </si>
  <si>
    <t>Ralstonia was grown overnight in CPG gentamicin 10 mg/L for 16 h shaking at 250 rpm. Overnight was prepared by inoculating 3 colonies in 6 ml of media.</t>
  </si>
  <si>
    <t>Colony forming units and MPN data from T48 were normalized by toe average grams of soil per well of a deepwell plate.</t>
  </si>
  <si>
    <t>Concentration of Ralstonia before adding to soil.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</si>
</sst>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5D7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0" borderId="0" xfId="0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4" borderId="0" xfId="0" applyFill="1"/>
    <xf numFmtId="0" fontId="3" fillId="0" borderId="9" xfId="0" applyFont="1" applyBorder="1" applyAlignment="1">
      <alignment horizontal="center"/>
    </xf>
    <xf numFmtId="165" fontId="0" fillId="0" borderId="0" xfId="0" applyNumberFormat="1"/>
    <xf numFmtId="11" fontId="0" fillId="0" borderId="0" xfId="0" applyNumberFormat="1"/>
    <xf numFmtId="0" fontId="0" fillId="6" borderId="0" xfId="0" applyFill="1"/>
    <xf numFmtId="0" fontId="0" fillId="7" borderId="0" xfId="0" applyFill="1"/>
    <xf numFmtId="2" fontId="0" fillId="0" borderId="0" xfId="0" applyNumberFormat="1"/>
    <xf numFmtId="2" fontId="0" fillId="4" borderId="0" xfId="0" applyNumberFormat="1" applyFill="1"/>
    <xf numFmtId="2" fontId="0" fillId="3" borderId="0" xfId="0" applyNumberFormat="1" applyFill="1"/>
    <xf numFmtId="0" fontId="0" fillId="0" borderId="3" xfId="0" applyBorder="1"/>
    <xf numFmtId="0" fontId="0" fillId="0" borderId="5" xfId="0" applyBorder="1"/>
    <xf numFmtId="2" fontId="0" fillId="0" borderId="5" xfId="0" applyNumberFormat="1" applyBorder="1"/>
    <xf numFmtId="0" fontId="0" fillId="0" borderId="8" xfId="0" applyBorder="1"/>
    <xf numFmtId="9" fontId="0" fillId="0" borderId="0" xfId="0" applyNumberFormat="1"/>
    <xf numFmtId="0" fontId="0" fillId="8" borderId="0" xfId="0" applyFill="1"/>
    <xf numFmtId="11" fontId="0" fillId="3" borderId="0" xfId="0" applyNumberFormat="1" applyFill="1"/>
    <xf numFmtId="0" fontId="0" fillId="5" borderId="0" xfId="0" applyFill="1"/>
    <xf numFmtId="11" fontId="0" fillId="5" borderId="0" xfId="0" applyNumberFormat="1" applyFill="1"/>
    <xf numFmtId="0" fontId="0" fillId="9" borderId="0" xfId="0" applyFill="1"/>
    <xf numFmtId="11" fontId="0" fillId="9" borderId="0" xfId="0" applyNumberFormat="1" applyFill="1"/>
    <xf numFmtId="0" fontId="0" fillId="10" borderId="0" xfId="0" applyFill="1"/>
    <xf numFmtId="11" fontId="0" fillId="10" borderId="0" xfId="0" applyNumberFormat="1" applyFill="1"/>
    <xf numFmtId="164" fontId="0" fillId="4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64" fontId="0" fillId="6" borderId="0" xfId="0" applyNumberFormat="1" applyFill="1"/>
    <xf numFmtId="164" fontId="0" fillId="0" borderId="0" xfId="0" applyNumberFormat="1"/>
    <xf numFmtId="164" fontId="0" fillId="7" borderId="0" xfId="0" applyNumberFormat="1" applyFill="1"/>
    <xf numFmtId="0" fontId="0" fillId="0" borderId="2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Continuous"/>
    </xf>
    <xf numFmtId="0" fontId="0" fillId="11" borderId="0" xfId="0" applyFill="1"/>
    <xf numFmtId="0" fontId="0" fillId="12" borderId="0" xfId="0" applyFill="1"/>
    <xf numFmtId="11" fontId="0" fillId="4" borderId="0" xfId="0" applyNumberFormat="1" applyFill="1"/>
    <xf numFmtId="0" fontId="0" fillId="13" borderId="0" xfId="0" applyFill="1"/>
    <xf numFmtId="11" fontId="0" fillId="13" borderId="0" xfId="0" applyNumberForma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11" fontId="0" fillId="15" borderId="0" xfId="0" applyNumberFormat="1" applyFill="1"/>
    <xf numFmtId="0" fontId="1" fillId="15" borderId="0" xfId="0" applyFont="1" applyFill="1"/>
    <xf numFmtId="0" fontId="0" fillId="16" borderId="0" xfId="0" applyFill="1"/>
    <xf numFmtId="11" fontId="0" fillId="16" borderId="0" xfId="0" applyNumberFormat="1" applyFill="1"/>
    <xf numFmtId="0" fontId="1" fillId="16" borderId="0" xfId="0" applyFont="1" applyFill="1"/>
    <xf numFmtId="0" fontId="0" fillId="17" borderId="0" xfId="0" applyFill="1"/>
    <xf numFmtId="0" fontId="1" fillId="0" borderId="0" xfId="0" applyFont="1"/>
    <xf numFmtId="0" fontId="4" fillId="0" borderId="0" xfId="0" applyFont="1"/>
    <xf numFmtId="0" fontId="0" fillId="0" borderId="10" xfId="0" applyBorder="1"/>
    <xf numFmtId="2" fontId="0" fillId="4" borderId="10" xfId="0" applyNumberFormat="1" applyFill="1" applyBorder="1"/>
    <xf numFmtId="11" fontId="0" fillId="4" borderId="10" xfId="0" applyNumberFormat="1" applyFill="1" applyBorder="1"/>
    <xf numFmtId="0" fontId="0" fillId="4" borderId="10" xfId="0" applyFill="1" applyBorder="1"/>
    <xf numFmtId="2" fontId="0" fillId="13" borderId="10" xfId="0" applyNumberFormat="1" applyFill="1" applyBorder="1"/>
    <xf numFmtId="11" fontId="0" fillId="13" borderId="10" xfId="0" applyNumberFormat="1" applyFill="1" applyBorder="1"/>
    <xf numFmtId="0" fontId="0" fillId="13" borderId="10" xfId="0" applyFill="1" applyBorder="1"/>
    <xf numFmtId="0" fontId="0" fillId="15" borderId="10" xfId="0" applyFill="1" applyBorder="1"/>
    <xf numFmtId="11" fontId="0" fillId="15" borderId="10" xfId="0" applyNumberFormat="1" applyFill="1" applyBorder="1"/>
    <xf numFmtId="0" fontId="0" fillId="16" borderId="10" xfId="0" applyFill="1" applyBorder="1"/>
    <xf numFmtId="11" fontId="0" fillId="16" borderId="10" xfId="0" applyNumberFormat="1" applyFill="1" applyBorder="1"/>
    <xf numFmtId="0" fontId="5" fillId="0" borderId="0" xfId="0" applyFont="1"/>
    <xf numFmtId="0" fontId="0" fillId="4" borderId="0" xfId="0" applyFill="1" applyAlignment="1">
      <alignment horizontal="center"/>
    </xf>
  </cellXfs>
  <cellStyles count="2">
    <cellStyle name="Normal" xfId="0" builtinId="0"/>
    <cellStyle name="Normal 2" xfId="1" xr:uid="{2A458E50-B4A8-4FA7-AAA8-881BFA3EE412}"/>
  </cellStyles>
  <dxfs count="0"/>
  <tableStyles count="0" defaultTableStyle="TableStyleMedium2" defaultPivotStyle="PivotStyleLight16"/>
  <colors>
    <mruColors>
      <color rgb="FF65D7FF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Confidence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Regression_MPN_bio1!$F$60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Regression_MPN_bio1!$E$61:$E$85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Regression_MPN_bio1!$F$61:$F$85</c:f>
              <c:numCache>
                <c:formatCode>General</c:formatCode>
                <c:ptCount val="25"/>
                <c:pt idx="0">
                  <c:v>5.0894331208188763</c:v>
                </c:pt>
                <c:pt idx="1">
                  <c:v>5.3160575449928116</c:v>
                </c:pt>
                <c:pt idx="2">
                  <c:v>5.5426819691667459</c:v>
                </c:pt>
                <c:pt idx="3">
                  <c:v>5.7693063933406812</c:v>
                </c:pt>
                <c:pt idx="4">
                  <c:v>5.9959308175146164</c:v>
                </c:pt>
                <c:pt idx="5">
                  <c:v>6.2225552416885517</c:v>
                </c:pt>
                <c:pt idx="6">
                  <c:v>6.4491796658624869</c:v>
                </c:pt>
                <c:pt idx="7">
                  <c:v>6.6758040900364213</c:v>
                </c:pt>
                <c:pt idx="8">
                  <c:v>6.9024285142103565</c:v>
                </c:pt>
                <c:pt idx="9">
                  <c:v>7.1290529383842918</c:v>
                </c:pt>
                <c:pt idx="10">
                  <c:v>7.3556773625582261</c:v>
                </c:pt>
                <c:pt idx="11">
                  <c:v>7.5823017867321614</c:v>
                </c:pt>
                <c:pt idx="12">
                  <c:v>7.8089262109060966</c:v>
                </c:pt>
                <c:pt idx="13">
                  <c:v>8.0355506350800319</c:v>
                </c:pt>
                <c:pt idx="14">
                  <c:v>8.2621750592539662</c:v>
                </c:pt>
                <c:pt idx="15">
                  <c:v>8.4887994834279006</c:v>
                </c:pt>
                <c:pt idx="16">
                  <c:v>8.7154239076018385</c:v>
                </c:pt>
                <c:pt idx="17">
                  <c:v>8.9420483317757729</c:v>
                </c:pt>
                <c:pt idx="18">
                  <c:v>9.1686727559497072</c:v>
                </c:pt>
                <c:pt idx="19">
                  <c:v>9.3952971801236416</c:v>
                </c:pt>
                <c:pt idx="20">
                  <c:v>9.6219216042975759</c:v>
                </c:pt>
                <c:pt idx="21">
                  <c:v>9.8485460284715103</c:v>
                </c:pt>
                <c:pt idx="22">
                  <c:v>10.075170452645448</c:v>
                </c:pt>
                <c:pt idx="23">
                  <c:v>10.301794876819383</c:v>
                </c:pt>
                <c:pt idx="24">
                  <c:v>10.528419300993317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F-4A41-AFBE-CF600A6E004F}"/>
            </c:ext>
          </c:extLst>
        </c:ser>
        <c:ser>
          <c:idx val="1"/>
          <c:order val="1"/>
          <c:tx>
            <c:strRef>
              <c:f>Regression_MPN_bio1!$G$60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Regression_MPN_bio1!$G$61:$G$85</c:f>
              <c:numCache>
                <c:formatCode>General</c:formatCode>
                <c:ptCount val="25"/>
                <c:pt idx="0">
                  <c:v>4.4705121698496662</c:v>
                </c:pt>
                <c:pt idx="1">
                  <c:v>4.7440951509304652</c:v>
                </c:pt>
                <c:pt idx="2">
                  <c:v>5.0172112703552383</c:v>
                </c:pt>
                <c:pt idx="3">
                  <c:v>5.2897247331279456</c:v>
                </c:pt>
                <c:pt idx="4">
                  <c:v>5.5614445453144734</c:v>
                </c:pt>
                <c:pt idx="5">
                  <c:v>5.832095626538182</c:v>
                </c:pt>
                <c:pt idx="6">
                  <c:v>6.1012720059706735</c:v>
                </c:pt>
                <c:pt idx="7">
                  <c:v>6.3683607505827187</c:v>
                </c:pt>
                <c:pt idx="8">
                  <c:v>6.6324216392006328</c:v>
                </c:pt>
                <c:pt idx="9">
                  <c:v>6.8920156912149633</c:v>
                </c:pt>
                <c:pt idx="10">
                  <c:v>7.1450349191767115</c:v>
                </c:pt>
                <c:pt idx="11">
                  <c:v>7.388770239492751</c:v>
                </c:pt>
                <c:pt idx="12">
                  <c:v>7.6206728735783065</c:v>
                </c:pt>
                <c:pt idx="13">
                  <c:v>7.8397833838140301</c:v>
                </c:pt>
                <c:pt idx="14">
                  <c:v>8.0474404492432239</c:v>
                </c:pt>
                <c:pt idx="15">
                  <c:v>8.2463170568075164</c:v>
                </c:pt>
                <c:pt idx="16">
                  <c:v>8.4390452902705064</c:v>
                </c:pt>
                <c:pt idx="17">
                  <c:v>8.6276072539388089</c:v>
                </c:pt>
                <c:pt idx="18">
                  <c:v>8.8133392771448094</c:v>
                </c:pt>
                <c:pt idx="19">
                  <c:v>8.9971122867601032</c:v>
                </c:pt>
                <c:pt idx="20">
                  <c:v>9.1794951405080543</c:v>
                </c:pt>
                <c:pt idx="21">
                  <c:v>9.3608660300763606</c:v>
                </c:pt>
                <c:pt idx="22">
                  <c:v>9.5414823187853166</c:v>
                </c:pt>
                <c:pt idx="23">
                  <c:v>9.7215234696084547</c:v>
                </c:pt>
                <c:pt idx="24">
                  <c:v>9.9011175982656603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4F-4A41-AFBE-CF600A6E004F}"/>
            </c:ext>
          </c:extLst>
        </c:ser>
        <c:ser>
          <c:idx val="2"/>
          <c:order val="2"/>
          <c:tx>
            <c:strRef>
              <c:f>Regression_MPN_bio1!$H$60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Regression_MPN_bio1!$H$61:$H$85</c:f>
              <c:numCache>
                <c:formatCode>General</c:formatCode>
                <c:ptCount val="25"/>
                <c:pt idx="0">
                  <c:v>5.7083540717880865</c:v>
                </c:pt>
                <c:pt idx="1">
                  <c:v>5.888019939055158</c:v>
                </c:pt>
                <c:pt idx="2">
                  <c:v>6.0681526679782536</c:v>
                </c:pt>
                <c:pt idx="3">
                  <c:v>6.2488880535534168</c:v>
                </c:pt>
                <c:pt idx="4">
                  <c:v>6.4304170897147594</c:v>
                </c:pt>
                <c:pt idx="5">
                  <c:v>6.6130148568389213</c:v>
                </c:pt>
                <c:pt idx="6">
                  <c:v>6.7970873257543003</c:v>
                </c:pt>
                <c:pt idx="7">
                  <c:v>6.9832474294901239</c:v>
                </c:pt>
                <c:pt idx="8">
                  <c:v>7.1724353892200803</c:v>
                </c:pt>
                <c:pt idx="9">
                  <c:v>7.3660901855536203</c:v>
                </c:pt>
                <c:pt idx="10">
                  <c:v>7.5663198059397407</c:v>
                </c:pt>
                <c:pt idx="11">
                  <c:v>7.7758333339715717</c:v>
                </c:pt>
                <c:pt idx="12">
                  <c:v>7.9971795482338868</c:v>
                </c:pt>
                <c:pt idx="13">
                  <c:v>8.2313178863460337</c:v>
                </c:pt>
                <c:pt idx="14">
                  <c:v>8.4769096692647086</c:v>
                </c:pt>
                <c:pt idx="15">
                  <c:v>8.7312819100482848</c:v>
                </c:pt>
                <c:pt idx="16">
                  <c:v>8.9918025249331706</c:v>
                </c:pt>
                <c:pt idx="17">
                  <c:v>9.2564894096127368</c:v>
                </c:pt>
                <c:pt idx="18">
                  <c:v>9.5240062347546051</c:v>
                </c:pt>
                <c:pt idx="19">
                  <c:v>9.7934820734871799</c:v>
                </c:pt>
                <c:pt idx="20">
                  <c:v>10.064348068087098</c:v>
                </c:pt>
                <c:pt idx="21">
                  <c:v>10.33622602686666</c:v>
                </c:pt>
                <c:pt idx="22">
                  <c:v>10.60885858650558</c:v>
                </c:pt>
                <c:pt idx="23">
                  <c:v>10.88206628403031</c:v>
                </c:pt>
                <c:pt idx="24">
                  <c:v>11.155721003720974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4F-4A41-AFBE-CF600A6E0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23743"/>
        <c:axId val="189026623"/>
      </c:lineChart>
      <c:catAx>
        <c:axId val="18902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26623"/>
        <c:crosses val="autoZero"/>
        <c:auto val="1"/>
        <c:lblAlgn val="ctr"/>
        <c:lblOffset val="100"/>
        <c:noMultiLvlLbl val="0"/>
      </c:catAx>
      <c:valAx>
        <c:axId val="1890266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237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Prediction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Regression_MPN_bio1!$J$60</c:f>
              <c:strCache>
                <c:ptCount val="1"/>
                <c:pt idx="0">
                  <c:v>pred</c:v>
                </c:pt>
              </c:strCache>
            </c:strRef>
          </c:tx>
          <c:marker>
            <c:symbol val="none"/>
          </c:marker>
          <c:cat>
            <c:numRef>
              <c:f>Regression_MPN_bio1!$E$61:$E$85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Regression_MPN_bio1!$J$61:$J$85</c:f>
              <c:numCache>
                <c:formatCode>General</c:formatCode>
                <c:ptCount val="25"/>
                <c:pt idx="0">
                  <c:v>5.0894331208188763</c:v>
                </c:pt>
                <c:pt idx="1">
                  <c:v>5.3160575449928116</c:v>
                </c:pt>
                <c:pt idx="2">
                  <c:v>5.5426819691667459</c:v>
                </c:pt>
                <c:pt idx="3">
                  <c:v>5.7693063933406812</c:v>
                </c:pt>
                <c:pt idx="4">
                  <c:v>5.9959308175146164</c:v>
                </c:pt>
                <c:pt idx="5">
                  <c:v>6.2225552416885517</c:v>
                </c:pt>
                <c:pt idx="6">
                  <c:v>6.4491796658624869</c:v>
                </c:pt>
                <c:pt idx="7">
                  <c:v>6.6758040900364213</c:v>
                </c:pt>
                <c:pt idx="8">
                  <c:v>6.9024285142103565</c:v>
                </c:pt>
                <c:pt idx="9">
                  <c:v>7.1290529383842918</c:v>
                </c:pt>
                <c:pt idx="10">
                  <c:v>7.3556773625582261</c:v>
                </c:pt>
                <c:pt idx="11">
                  <c:v>7.5823017867321614</c:v>
                </c:pt>
                <c:pt idx="12">
                  <c:v>7.8089262109060966</c:v>
                </c:pt>
                <c:pt idx="13">
                  <c:v>8.0355506350800319</c:v>
                </c:pt>
                <c:pt idx="14">
                  <c:v>8.2621750592539662</c:v>
                </c:pt>
                <c:pt idx="15">
                  <c:v>8.4887994834279006</c:v>
                </c:pt>
                <c:pt idx="16">
                  <c:v>8.7154239076018385</c:v>
                </c:pt>
                <c:pt idx="17">
                  <c:v>8.9420483317757729</c:v>
                </c:pt>
                <c:pt idx="18">
                  <c:v>9.1686727559497072</c:v>
                </c:pt>
                <c:pt idx="19">
                  <c:v>9.3952971801236416</c:v>
                </c:pt>
                <c:pt idx="20">
                  <c:v>9.6219216042975759</c:v>
                </c:pt>
                <c:pt idx="21">
                  <c:v>9.8485460284715103</c:v>
                </c:pt>
                <c:pt idx="22">
                  <c:v>10.075170452645448</c:v>
                </c:pt>
                <c:pt idx="23">
                  <c:v>10.301794876819383</c:v>
                </c:pt>
                <c:pt idx="24">
                  <c:v>10.528419300993317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43-4B42-98E4-D03C41856270}"/>
            </c:ext>
          </c:extLst>
        </c:ser>
        <c:ser>
          <c:idx val="1"/>
          <c:order val="1"/>
          <c:tx>
            <c:strRef>
              <c:f>Regression_MPN_bio1!$K$60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Regression_MPN_bio1!$K$61:$K$85</c:f>
              <c:numCache>
                <c:formatCode>General</c:formatCode>
                <c:ptCount val="25"/>
                <c:pt idx="0">
                  <c:v>4.1904875675629434</c:v>
                </c:pt>
                <c:pt idx="1">
                  <c:v>4.4487738864407111</c:v>
                </c:pt>
                <c:pt idx="2">
                  <c:v>4.7053293436382653</c:v>
                </c:pt>
                <c:pt idx="3">
                  <c:v>4.9599618851228344</c:v>
                </c:pt>
                <c:pt idx="4">
                  <c:v>5.2124652567524592</c:v>
                </c:pt>
                <c:pt idx="5">
                  <c:v>5.4626219056429743</c:v>
                </c:pt>
                <c:pt idx="6">
                  <c:v>5.7102076068633778</c:v>
                </c:pt>
                <c:pt idx="7">
                  <c:v>5.9549980334966399</c:v>
                </c:pt>
                <c:pt idx="8">
                  <c:v>6.1967772712280302</c:v>
                </c:pt>
                <c:pt idx="9">
                  <c:v>6.4353479429319034</c:v>
                </c:pt>
                <c:pt idx="10">
                  <c:v>6.6705421911331122</c:v>
                </c:pt>
                <c:pt idx="11">
                  <c:v>6.9022323609035441</c:v>
                </c:pt>
                <c:pt idx="12">
                  <c:v>7.1303399723298666</c:v>
                </c:pt>
                <c:pt idx="13">
                  <c:v>7.3548416070524674</c:v>
                </c:pt>
                <c:pt idx="14">
                  <c:v>7.5757707200293005</c:v>
                </c:pt>
                <c:pt idx="15">
                  <c:v>7.7932150590841012</c:v>
                </c:pt>
                <c:pt idx="16">
                  <c:v>8.0073101425273521</c:v>
                </c:pt>
                <c:pt idx="17">
                  <c:v>8.2182298769120852</c:v>
                </c:pt>
                <c:pt idx="18">
                  <c:v>8.4261757220636611</c:v>
                </c:pt>
                <c:pt idx="19">
                  <c:v>8.6313657869521609</c:v>
                </c:pt>
                <c:pt idx="20">
                  <c:v>8.8340249486178575</c:v>
                </c:pt>
                <c:pt idx="21">
                  <c:v>9.0343766695512198</c:v>
                </c:pt>
                <c:pt idx="22">
                  <c:v>9.2326367806814762</c:v>
                </c:pt>
                <c:pt idx="23">
                  <c:v>9.4290091813611348</c:v>
                </c:pt>
                <c:pt idx="24">
                  <c:v>9.6236832121723825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43-4B42-98E4-D03C41856270}"/>
            </c:ext>
          </c:extLst>
        </c:ser>
        <c:ser>
          <c:idx val="2"/>
          <c:order val="2"/>
          <c:tx>
            <c:strRef>
              <c:f>Regression_MPN_bio1!$L$60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Regression_MPN_bio1!$L$61:$L$85</c:f>
              <c:numCache>
                <c:formatCode>General</c:formatCode>
                <c:ptCount val="25"/>
                <c:pt idx="0">
                  <c:v>5.9883786740748093</c:v>
                </c:pt>
                <c:pt idx="1">
                  <c:v>6.183341203544912</c:v>
                </c:pt>
                <c:pt idx="2">
                  <c:v>6.3800345946952266</c:v>
                </c:pt>
                <c:pt idx="3">
                  <c:v>6.5786509015585279</c:v>
                </c:pt>
                <c:pt idx="4">
                  <c:v>6.7793963782767737</c:v>
                </c:pt>
                <c:pt idx="5">
                  <c:v>6.982488577734129</c:v>
                </c:pt>
                <c:pt idx="6">
                  <c:v>7.188151724861596</c:v>
                </c:pt>
                <c:pt idx="7">
                  <c:v>7.3966101465762026</c:v>
                </c:pt>
                <c:pt idx="8">
                  <c:v>7.6080797571926828</c:v>
                </c:pt>
                <c:pt idx="9">
                  <c:v>7.8227579338366802</c:v>
                </c:pt>
                <c:pt idx="10">
                  <c:v>8.0408125339833401</c:v>
                </c:pt>
                <c:pt idx="11">
                  <c:v>8.2623712125607796</c:v>
                </c:pt>
                <c:pt idx="12">
                  <c:v>8.4875124494823257</c:v>
                </c:pt>
                <c:pt idx="13">
                  <c:v>8.7162596631075964</c:v>
                </c:pt>
                <c:pt idx="14">
                  <c:v>8.9485793984786319</c:v>
                </c:pt>
                <c:pt idx="15">
                  <c:v>9.1843839077717</c:v>
                </c:pt>
                <c:pt idx="16">
                  <c:v>9.4235376726763249</c:v>
                </c:pt>
                <c:pt idx="17">
                  <c:v>9.6658667866394605</c:v>
                </c:pt>
                <c:pt idx="18">
                  <c:v>9.9111697898357534</c:v>
                </c:pt>
                <c:pt idx="19">
                  <c:v>10.159228573295122</c:v>
                </c:pt>
                <c:pt idx="20">
                  <c:v>10.409818259977294</c:v>
                </c:pt>
                <c:pt idx="21">
                  <c:v>10.662715387391801</c:v>
                </c:pt>
                <c:pt idx="22">
                  <c:v>10.91770412460942</c:v>
                </c:pt>
                <c:pt idx="23">
                  <c:v>11.17458057227763</c:v>
                </c:pt>
                <c:pt idx="24">
                  <c:v>11.433155389814251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43-4B42-98E4-D03C41856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28063"/>
        <c:axId val="189029023"/>
      </c:lineChart>
      <c:catAx>
        <c:axId val="189028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29023"/>
        <c:crosses val="autoZero"/>
        <c:auto val="1"/>
        <c:lblAlgn val="ctr"/>
        <c:lblOffset val="100"/>
        <c:noMultiLvlLbl val="0"/>
      </c:catAx>
      <c:valAx>
        <c:axId val="1890290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2806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undiluted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Regression_MPN_bio1!$E$2:$E$4</c:f>
              <c:numCache>
                <c:formatCode>0.00</c:formatCode>
                <c:ptCount val="3"/>
                <c:pt idx="0">
                  <c:v>9.4801763520000009</c:v>
                </c:pt>
                <c:pt idx="1">
                  <c:v>9.355276667</c:v>
                </c:pt>
                <c:pt idx="2">
                  <c:v>9.1422919629999999</c:v>
                </c:pt>
              </c:numCache>
            </c:numRef>
          </c:xVal>
          <c:yVal>
            <c:numRef>
              <c:f>Regression_MPN_bio1!$D$2:$D$4</c:f>
              <c:numCache>
                <c:formatCode>0.00</c:formatCode>
                <c:ptCount val="3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FD-4A41-9D01-537EFBEA900F}"/>
            </c:ext>
          </c:extLst>
        </c:ser>
        <c:ser>
          <c:idx val="1"/>
          <c:order val="1"/>
          <c:tx>
            <c:v>dilution_1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Regression_MPN_bio1!$E$5:$E$7</c:f>
              <c:numCache>
                <c:formatCode>0.00</c:formatCode>
                <c:ptCount val="3"/>
                <c:pt idx="0">
                  <c:v>8.4076560740000001</c:v>
                </c:pt>
                <c:pt idx="1">
                  <c:v>7.9943636820000004</c:v>
                </c:pt>
                <c:pt idx="2">
                  <c:v>8.1422919629999999</c:v>
                </c:pt>
              </c:numCache>
            </c:numRef>
          </c:xVal>
          <c:yVal>
            <c:numRef>
              <c:f>Regression_MPN_bio1!$D$5:$D$7</c:f>
              <c:numCache>
                <c:formatCode>0.00</c:formatCode>
                <c:ptCount val="3"/>
                <c:pt idx="0">
                  <c:v>8.2211185711499439</c:v>
                </c:pt>
                <c:pt idx="1">
                  <c:v>8.2556904999112852</c:v>
                </c:pt>
                <c:pt idx="2">
                  <c:v>8.2585737727950406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FD-4A41-9D01-537EFBEA900F}"/>
            </c:ext>
          </c:extLst>
        </c:ser>
        <c:ser>
          <c:idx val="2"/>
          <c:order val="2"/>
          <c:tx>
            <c:v>dilution_2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Regression_MPN_bio1!$E$8:$E$10</c:f>
              <c:numCache>
                <c:formatCode>0.00</c:formatCode>
                <c:ptCount val="3"/>
                <c:pt idx="0">
                  <c:v>7.54929059</c:v>
                </c:pt>
                <c:pt idx="1">
                  <c:v>7.8070065680000003</c:v>
                </c:pt>
                <c:pt idx="2">
                  <c:v>7.6117811599999996</c:v>
                </c:pt>
              </c:numCache>
            </c:numRef>
          </c:xVal>
          <c:yVal>
            <c:numRef>
              <c:f>Regression_MPN_bio1!$D$8:$D$10</c:f>
              <c:numCache>
                <c:formatCode>0.00</c:formatCode>
                <c:ptCount val="3"/>
                <c:pt idx="0">
                  <c:v>7.180145708096795</c:v>
                </c:pt>
                <c:pt idx="1">
                  <c:v>7.1564082693046798</c:v>
                </c:pt>
                <c:pt idx="2">
                  <c:v>7.354599383703488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FD-4A41-9D01-537EFBEA900F}"/>
            </c:ext>
          </c:extLst>
        </c:ser>
        <c:ser>
          <c:idx val="3"/>
          <c:order val="3"/>
          <c:tx>
            <c:v>dilution_3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Regression_MPN_bio1!$E$11:$E$13</c:f>
              <c:numCache>
                <c:formatCode>0.00</c:formatCode>
                <c:ptCount val="3"/>
                <c:pt idx="0">
                  <c:v>6.54929059</c:v>
                </c:pt>
                <c:pt idx="1">
                  <c:v>6.5518813539999998</c:v>
                </c:pt>
                <c:pt idx="2">
                  <c:v>7.1422919629999999</c:v>
                </c:pt>
              </c:numCache>
            </c:numRef>
          </c:xVal>
          <c:yVal>
            <c:numRef>
              <c:f>Regression_MPN_bio1!$D$11:$D$13</c:f>
              <c:numCache>
                <c:formatCode>0.00</c:formatCode>
                <c:ptCount val="3"/>
                <c:pt idx="0">
                  <c:v>6.4172469545667106</c:v>
                </c:pt>
                <c:pt idx="1">
                  <c:v>6.860853443398657</c:v>
                </c:pt>
                <c:pt idx="2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FD-4A41-9D01-537EFBEA900F}"/>
            </c:ext>
          </c:extLst>
        </c:ser>
        <c:ser>
          <c:idx val="4"/>
          <c:order val="4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layout>
                <c:manualLayout>
                  <c:x val="-0.47911664103211588"/>
                  <c:y val="-2.17825896762904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Regression_MPN_bio1!$E$2:$E$13</c:f>
              <c:numCache>
                <c:formatCode>0.00</c:formatCode>
                <c:ptCount val="12"/>
                <c:pt idx="0">
                  <c:v>9.4801763520000009</c:v>
                </c:pt>
                <c:pt idx="1">
                  <c:v>9.355276667</c:v>
                </c:pt>
                <c:pt idx="2">
                  <c:v>9.1422919629999999</c:v>
                </c:pt>
                <c:pt idx="3">
                  <c:v>8.4076560740000001</c:v>
                </c:pt>
                <c:pt idx="4">
                  <c:v>7.9943636820000004</c:v>
                </c:pt>
                <c:pt idx="5">
                  <c:v>8.1422919629999999</c:v>
                </c:pt>
                <c:pt idx="6">
                  <c:v>7.54929059</c:v>
                </c:pt>
                <c:pt idx="7">
                  <c:v>7.8070065680000003</c:v>
                </c:pt>
                <c:pt idx="8">
                  <c:v>7.6117811599999996</c:v>
                </c:pt>
                <c:pt idx="9">
                  <c:v>6.54929059</c:v>
                </c:pt>
                <c:pt idx="10">
                  <c:v>6.5518813539999998</c:v>
                </c:pt>
                <c:pt idx="11">
                  <c:v>7.1422919629999999</c:v>
                </c:pt>
              </c:numCache>
            </c:numRef>
          </c:xVal>
          <c:yVal>
            <c:numRef>
              <c:f>Regression_MPN_bio1!$D$2:$D$13</c:f>
              <c:numCache>
                <c:formatCode>0.00</c:formatCode>
                <c:ptCount val="12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  <c:pt idx="3">
                  <c:v>8.2211185711499439</c:v>
                </c:pt>
                <c:pt idx="4">
                  <c:v>8.2556904999112852</c:v>
                </c:pt>
                <c:pt idx="5">
                  <c:v>8.2585737727950406</c:v>
                </c:pt>
                <c:pt idx="6">
                  <c:v>7.180145708096795</c:v>
                </c:pt>
                <c:pt idx="7">
                  <c:v>7.1564082693046798</c:v>
                </c:pt>
                <c:pt idx="8">
                  <c:v>7.354599383703488</c:v>
                </c:pt>
                <c:pt idx="9">
                  <c:v>6.4172469545667106</c:v>
                </c:pt>
                <c:pt idx="10">
                  <c:v>6.860853443398657</c:v>
                </c:pt>
                <c:pt idx="11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FD-4A41-9D01-537EFBEA900F}"/>
            </c:ext>
          </c:extLst>
        </c:ser>
        <c:ser>
          <c:idx val="5"/>
          <c:order val="5"/>
          <c:tx>
            <c:v>top_95</c:v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Regression_MPN_bio1!$E$61:$E$85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Regression_MPN_bio1!$H$61:$H$85</c:f>
              <c:numCache>
                <c:formatCode>General</c:formatCode>
                <c:ptCount val="25"/>
                <c:pt idx="0">
                  <c:v>5.7083540717880865</c:v>
                </c:pt>
                <c:pt idx="1">
                  <c:v>5.888019939055158</c:v>
                </c:pt>
                <c:pt idx="2">
                  <c:v>6.0681526679782536</c:v>
                </c:pt>
                <c:pt idx="3">
                  <c:v>6.2488880535534168</c:v>
                </c:pt>
                <c:pt idx="4">
                  <c:v>6.4304170897147594</c:v>
                </c:pt>
                <c:pt idx="5">
                  <c:v>6.6130148568389213</c:v>
                </c:pt>
                <c:pt idx="6">
                  <c:v>6.7970873257543003</c:v>
                </c:pt>
                <c:pt idx="7">
                  <c:v>6.9832474294901239</c:v>
                </c:pt>
                <c:pt idx="8">
                  <c:v>7.1724353892200803</c:v>
                </c:pt>
                <c:pt idx="9">
                  <c:v>7.3660901855536203</c:v>
                </c:pt>
                <c:pt idx="10">
                  <c:v>7.5663198059397407</c:v>
                </c:pt>
                <c:pt idx="11">
                  <c:v>7.7758333339715717</c:v>
                </c:pt>
                <c:pt idx="12">
                  <c:v>7.9971795482338868</c:v>
                </c:pt>
                <c:pt idx="13">
                  <c:v>8.2313178863460337</c:v>
                </c:pt>
                <c:pt idx="14">
                  <c:v>8.4769096692647086</c:v>
                </c:pt>
                <c:pt idx="15">
                  <c:v>8.7312819100482848</c:v>
                </c:pt>
                <c:pt idx="16">
                  <c:v>8.9918025249331706</c:v>
                </c:pt>
                <c:pt idx="17">
                  <c:v>9.2564894096127368</c:v>
                </c:pt>
                <c:pt idx="18">
                  <c:v>9.5240062347546051</c:v>
                </c:pt>
                <c:pt idx="19">
                  <c:v>9.7934820734871799</c:v>
                </c:pt>
                <c:pt idx="20">
                  <c:v>10.064348068087098</c:v>
                </c:pt>
                <c:pt idx="21">
                  <c:v>10.33622602686666</c:v>
                </c:pt>
                <c:pt idx="22">
                  <c:v>10.60885858650558</c:v>
                </c:pt>
                <c:pt idx="23">
                  <c:v>10.88206628403031</c:v>
                </c:pt>
                <c:pt idx="24">
                  <c:v>11.155721003720974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FD-4A41-9D01-537EFBEA900F}"/>
            </c:ext>
          </c:extLst>
        </c:ser>
        <c:ser>
          <c:idx val="6"/>
          <c:order val="6"/>
          <c:tx>
            <c:v>bottom_95</c:v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Regression_MPN_bio1!$E$61:$E$85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Regression_MPN_bio1!$G$61:$G$85</c:f>
              <c:numCache>
                <c:formatCode>General</c:formatCode>
                <c:ptCount val="25"/>
                <c:pt idx="0">
                  <c:v>4.4705121698496662</c:v>
                </c:pt>
                <c:pt idx="1">
                  <c:v>4.7440951509304652</c:v>
                </c:pt>
                <c:pt idx="2">
                  <c:v>5.0172112703552383</c:v>
                </c:pt>
                <c:pt idx="3">
                  <c:v>5.2897247331279456</c:v>
                </c:pt>
                <c:pt idx="4">
                  <c:v>5.5614445453144734</c:v>
                </c:pt>
                <c:pt idx="5">
                  <c:v>5.832095626538182</c:v>
                </c:pt>
                <c:pt idx="6">
                  <c:v>6.1012720059706735</c:v>
                </c:pt>
                <c:pt idx="7">
                  <c:v>6.3683607505827187</c:v>
                </c:pt>
                <c:pt idx="8">
                  <c:v>6.6324216392006328</c:v>
                </c:pt>
                <c:pt idx="9">
                  <c:v>6.8920156912149633</c:v>
                </c:pt>
                <c:pt idx="10">
                  <c:v>7.1450349191767115</c:v>
                </c:pt>
                <c:pt idx="11">
                  <c:v>7.388770239492751</c:v>
                </c:pt>
                <c:pt idx="12">
                  <c:v>7.6206728735783065</c:v>
                </c:pt>
                <c:pt idx="13">
                  <c:v>7.8397833838140301</c:v>
                </c:pt>
                <c:pt idx="14">
                  <c:v>8.0474404492432239</c:v>
                </c:pt>
                <c:pt idx="15">
                  <c:v>8.2463170568075164</c:v>
                </c:pt>
                <c:pt idx="16">
                  <c:v>8.4390452902705064</c:v>
                </c:pt>
                <c:pt idx="17">
                  <c:v>8.6276072539388089</c:v>
                </c:pt>
                <c:pt idx="18">
                  <c:v>8.8133392771448094</c:v>
                </c:pt>
                <c:pt idx="19">
                  <c:v>8.9971122867601032</c:v>
                </c:pt>
                <c:pt idx="20">
                  <c:v>9.1794951405080543</c:v>
                </c:pt>
                <c:pt idx="21">
                  <c:v>9.3608660300763606</c:v>
                </c:pt>
                <c:pt idx="22">
                  <c:v>9.5414823187853166</c:v>
                </c:pt>
                <c:pt idx="23">
                  <c:v>9.7215234696084547</c:v>
                </c:pt>
                <c:pt idx="24">
                  <c:v>9.9011175982656603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FD-4A41-9D01-537EFBEA9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4031"/>
        <c:axId val="145184511"/>
      </c:scatterChart>
      <c:valAx>
        <c:axId val="145184031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511"/>
        <c:crosses val="autoZero"/>
        <c:crossBetween val="midCat"/>
      </c:valAx>
      <c:valAx>
        <c:axId val="145184511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log10(CFU/g)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03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undiluted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Regression_MPN_bio1!$E$2:$E$4</c:f>
              <c:numCache>
                <c:formatCode>0.00</c:formatCode>
                <c:ptCount val="3"/>
                <c:pt idx="0">
                  <c:v>9.4801763520000009</c:v>
                </c:pt>
                <c:pt idx="1">
                  <c:v>9.355276667</c:v>
                </c:pt>
                <c:pt idx="2">
                  <c:v>9.1422919629999999</c:v>
                </c:pt>
              </c:numCache>
            </c:numRef>
          </c:xVal>
          <c:yVal>
            <c:numRef>
              <c:f>Regression_MPN_bio1!$D$2:$D$4</c:f>
              <c:numCache>
                <c:formatCode>0.00</c:formatCode>
                <c:ptCount val="3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86-45E2-A0E5-9DD530E213A0}"/>
            </c:ext>
          </c:extLst>
        </c:ser>
        <c:ser>
          <c:idx val="1"/>
          <c:order val="1"/>
          <c:tx>
            <c:v>dilution_1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Regression_MPN_bio1!$E$5:$E$7</c:f>
              <c:numCache>
                <c:formatCode>0.00</c:formatCode>
                <c:ptCount val="3"/>
                <c:pt idx="0">
                  <c:v>8.4076560740000001</c:v>
                </c:pt>
                <c:pt idx="1">
                  <c:v>7.9943636820000004</c:v>
                </c:pt>
                <c:pt idx="2">
                  <c:v>8.1422919629999999</c:v>
                </c:pt>
              </c:numCache>
            </c:numRef>
          </c:xVal>
          <c:yVal>
            <c:numRef>
              <c:f>Regression_MPN_bio1!$D$5:$D$7</c:f>
              <c:numCache>
                <c:formatCode>0.00</c:formatCode>
                <c:ptCount val="3"/>
                <c:pt idx="0">
                  <c:v>8.2211185711499439</c:v>
                </c:pt>
                <c:pt idx="1">
                  <c:v>8.2556904999112852</c:v>
                </c:pt>
                <c:pt idx="2">
                  <c:v>8.2585737727950406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86-45E2-A0E5-9DD530E213A0}"/>
            </c:ext>
          </c:extLst>
        </c:ser>
        <c:ser>
          <c:idx val="2"/>
          <c:order val="2"/>
          <c:tx>
            <c:v>dilution_2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Regression_MPN_bio1!$E$8:$E$10</c:f>
              <c:numCache>
                <c:formatCode>0.00</c:formatCode>
                <c:ptCount val="3"/>
                <c:pt idx="0">
                  <c:v>7.54929059</c:v>
                </c:pt>
                <c:pt idx="1">
                  <c:v>7.8070065680000003</c:v>
                </c:pt>
                <c:pt idx="2">
                  <c:v>7.6117811599999996</c:v>
                </c:pt>
              </c:numCache>
            </c:numRef>
          </c:xVal>
          <c:yVal>
            <c:numRef>
              <c:f>Regression_MPN_bio1!$D$8:$D$10</c:f>
              <c:numCache>
                <c:formatCode>0.00</c:formatCode>
                <c:ptCount val="3"/>
                <c:pt idx="0">
                  <c:v>7.180145708096795</c:v>
                </c:pt>
                <c:pt idx="1">
                  <c:v>7.1564082693046798</c:v>
                </c:pt>
                <c:pt idx="2">
                  <c:v>7.354599383703488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86-45E2-A0E5-9DD530E213A0}"/>
            </c:ext>
          </c:extLst>
        </c:ser>
        <c:ser>
          <c:idx val="3"/>
          <c:order val="3"/>
          <c:tx>
            <c:v>dilution_3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Regression_MPN_bio1!$E$11:$E$13</c:f>
              <c:numCache>
                <c:formatCode>0.00</c:formatCode>
                <c:ptCount val="3"/>
                <c:pt idx="0">
                  <c:v>6.54929059</c:v>
                </c:pt>
                <c:pt idx="1">
                  <c:v>6.5518813539999998</c:v>
                </c:pt>
                <c:pt idx="2">
                  <c:v>7.1422919629999999</c:v>
                </c:pt>
              </c:numCache>
            </c:numRef>
          </c:xVal>
          <c:yVal>
            <c:numRef>
              <c:f>Regression_MPN_bio1!$D$11:$D$13</c:f>
              <c:numCache>
                <c:formatCode>0.00</c:formatCode>
                <c:ptCount val="3"/>
                <c:pt idx="0">
                  <c:v>6.4172469545667106</c:v>
                </c:pt>
                <c:pt idx="1">
                  <c:v>6.860853443398657</c:v>
                </c:pt>
                <c:pt idx="2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86-45E2-A0E5-9DD530E213A0}"/>
            </c:ext>
          </c:extLst>
        </c:ser>
        <c:ser>
          <c:idx val="4"/>
          <c:order val="4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layout>
                <c:manualLayout>
                  <c:x val="-0.38272716204383844"/>
                  <c:y val="-4.2681061163636017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8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800" baseline="0"/>
                      <a:t>y = 0.9065x + 0.5569</a:t>
                    </a:r>
                    <a:br>
                      <a:rPr lang="en-US" sz="1800" baseline="0"/>
                    </a:br>
                    <a:r>
                      <a:rPr lang="en-US" sz="1800" baseline="0"/>
                      <a:t>R² = 0.9123</a:t>
                    </a:r>
                  </a:p>
                  <a:p>
                    <a:pPr>
                      <a:defRPr sz="180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800" baseline="0"/>
                      <a:t>r = 0.96, p = 1.3E-06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Regression_MPN_bio1!$E$2:$E$13</c:f>
              <c:numCache>
                <c:formatCode>0.00</c:formatCode>
                <c:ptCount val="12"/>
                <c:pt idx="0">
                  <c:v>9.4801763520000009</c:v>
                </c:pt>
                <c:pt idx="1">
                  <c:v>9.355276667</c:v>
                </c:pt>
                <c:pt idx="2">
                  <c:v>9.1422919629999999</c:v>
                </c:pt>
                <c:pt idx="3">
                  <c:v>8.4076560740000001</c:v>
                </c:pt>
                <c:pt idx="4">
                  <c:v>7.9943636820000004</c:v>
                </c:pt>
                <c:pt idx="5">
                  <c:v>8.1422919629999999</c:v>
                </c:pt>
                <c:pt idx="6">
                  <c:v>7.54929059</c:v>
                </c:pt>
                <c:pt idx="7">
                  <c:v>7.8070065680000003</c:v>
                </c:pt>
                <c:pt idx="8">
                  <c:v>7.6117811599999996</c:v>
                </c:pt>
                <c:pt idx="9">
                  <c:v>6.54929059</c:v>
                </c:pt>
                <c:pt idx="10">
                  <c:v>6.5518813539999998</c:v>
                </c:pt>
                <c:pt idx="11">
                  <c:v>7.1422919629999999</c:v>
                </c:pt>
              </c:numCache>
            </c:numRef>
          </c:xVal>
          <c:yVal>
            <c:numRef>
              <c:f>Regression_MPN_bio1!$D$2:$D$13</c:f>
              <c:numCache>
                <c:formatCode>0.00</c:formatCode>
                <c:ptCount val="12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  <c:pt idx="3">
                  <c:v>8.2211185711499439</c:v>
                </c:pt>
                <c:pt idx="4">
                  <c:v>8.2556904999112852</c:v>
                </c:pt>
                <c:pt idx="5">
                  <c:v>8.2585737727950406</c:v>
                </c:pt>
                <c:pt idx="6">
                  <c:v>7.180145708096795</c:v>
                </c:pt>
                <c:pt idx="7">
                  <c:v>7.1564082693046798</c:v>
                </c:pt>
                <c:pt idx="8">
                  <c:v>7.354599383703488</c:v>
                </c:pt>
                <c:pt idx="9">
                  <c:v>6.4172469545667106</c:v>
                </c:pt>
                <c:pt idx="10">
                  <c:v>6.860853443398657</c:v>
                </c:pt>
                <c:pt idx="11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F86-45E2-A0E5-9DD530E213A0}"/>
            </c:ext>
          </c:extLst>
        </c:ser>
        <c:ser>
          <c:idx val="5"/>
          <c:order val="5"/>
          <c:tx>
            <c:v>top_95</c:v>
          </c:tx>
          <c:spPr>
            <a:ln w="38100" cap="rnd">
              <a:solidFill>
                <a:srgbClr val="FF0000">
                  <a:alpha val="60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Regression_MPN_bio1!$E$61:$E$85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Regression_MPN_bio1!$H$61:$H$85</c:f>
              <c:numCache>
                <c:formatCode>General</c:formatCode>
                <c:ptCount val="25"/>
                <c:pt idx="0">
                  <c:v>5.7083540717880865</c:v>
                </c:pt>
                <c:pt idx="1">
                  <c:v>5.888019939055158</c:v>
                </c:pt>
                <c:pt idx="2">
                  <c:v>6.0681526679782536</c:v>
                </c:pt>
                <c:pt idx="3">
                  <c:v>6.2488880535534168</c:v>
                </c:pt>
                <c:pt idx="4">
                  <c:v>6.4304170897147594</c:v>
                </c:pt>
                <c:pt idx="5">
                  <c:v>6.6130148568389213</c:v>
                </c:pt>
                <c:pt idx="6">
                  <c:v>6.7970873257543003</c:v>
                </c:pt>
                <c:pt idx="7">
                  <c:v>6.9832474294901239</c:v>
                </c:pt>
                <c:pt idx="8">
                  <c:v>7.1724353892200803</c:v>
                </c:pt>
                <c:pt idx="9">
                  <c:v>7.3660901855536203</c:v>
                </c:pt>
                <c:pt idx="10">
                  <c:v>7.5663198059397407</c:v>
                </c:pt>
                <c:pt idx="11">
                  <c:v>7.7758333339715717</c:v>
                </c:pt>
                <c:pt idx="12">
                  <c:v>7.9971795482338868</c:v>
                </c:pt>
                <c:pt idx="13">
                  <c:v>8.2313178863460337</c:v>
                </c:pt>
                <c:pt idx="14">
                  <c:v>8.4769096692647086</c:v>
                </c:pt>
                <c:pt idx="15">
                  <c:v>8.7312819100482848</c:v>
                </c:pt>
                <c:pt idx="16">
                  <c:v>8.9918025249331706</c:v>
                </c:pt>
                <c:pt idx="17">
                  <c:v>9.2564894096127368</c:v>
                </c:pt>
                <c:pt idx="18">
                  <c:v>9.5240062347546051</c:v>
                </c:pt>
                <c:pt idx="19">
                  <c:v>9.7934820734871799</c:v>
                </c:pt>
                <c:pt idx="20">
                  <c:v>10.064348068087098</c:v>
                </c:pt>
                <c:pt idx="21">
                  <c:v>10.33622602686666</c:v>
                </c:pt>
                <c:pt idx="22">
                  <c:v>10.60885858650558</c:v>
                </c:pt>
                <c:pt idx="23">
                  <c:v>10.88206628403031</c:v>
                </c:pt>
                <c:pt idx="24">
                  <c:v>11.155721003720974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F86-45E2-A0E5-9DD530E213A0}"/>
            </c:ext>
          </c:extLst>
        </c:ser>
        <c:ser>
          <c:idx val="6"/>
          <c:order val="6"/>
          <c:tx>
            <c:v>bottom_95</c:v>
          </c:tx>
          <c:spPr>
            <a:ln w="38100" cap="rnd">
              <a:solidFill>
                <a:srgbClr val="FF0000">
                  <a:alpha val="60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Regression_MPN_bio1!$E$61:$E$85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Regression_MPN_bio1!$G$61:$G$85</c:f>
              <c:numCache>
                <c:formatCode>General</c:formatCode>
                <c:ptCount val="25"/>
                <c:pt idx="0">
                  <c:v>4.4705121698496662</c:v>
                </c:pt>
                <c:pt idx="1">
                  <c:v>4.7440951509304652</c:v>
                </c:pt>
                <c:pt idx="2">
                  <c:v>5.0172112703552383</c:v>
                </c:pt>
                <c:pt idx="3">
                  <c:v>5.2897247331279456</c:v>
                </c:pt>
                <c:pt idx="4">
                  <c:v>5.5614445453144734</c:v>
                </c:pt>
                <c:pt idx="5">
                  <c:v>5.832095626538182</c:v>
                </c:pt>
                <c:pt idx="6">
                  <c:v>6.1012720059706735</c:v>
                </c:pt>
                <c:pt idx="7">
                  <c:v>6.3683607505827187</c:v>
                </c:pt>
                <c:pt idx="8">
                  <c:v>6.6324216392006328</c:v>
                </c:pt>
                <c:pt idx="9">
                  <c:v>6.8920156912149633</c:v>
                </c:pt>
                <c:pt idx="10">
                  <c:v>7.1450349191767115</c:v>
                </c:pt>
                <c:pt idx="11">
                  <c:v>7.388770239492751</c:v>
                </c:pt>
                <c:pt idx="12">
                  <c:v>7.6206728735783065</c:v>
                </c:pt>
                <c:pt idx="13">
                  <c:v>7.8397833838140301</c:v>
                </c:pt>
                <c:pt idx="14">
                  <c:v>8.0474404492432239</c:v>
                </c:pt>
                <c:pt idx="15">
                  <c:v>8.2463170568075164</c:v>
                </c:pt>
                <c:pt idx="16">
                  <c:v>8.4390452902705064</c:v>
                </c:pt>
                <c:pt idx="17">
                  <c:v>8.6276072539388089</c:v>
                </c:pt>
                <c:pt idx="18">
                  <c:v>8.8133392771448094</c:v>
                </c:pt>
                <c:pt idx="19">
                  <c:v>8.9971122867601032</c:v>
                </c:pt>
                <c:pt idx="20">
                  <c:v>9.1794951405080543</c:v>
                </c:pt>
                <c:pt idx="21">
                  <c:v>9.3608660300763606</c:v>
                </c:pt>
                <c:pt idx="22">
                  <c:v>9.5414823187853166</c:v>
                </c:pt>
                <c:pt idx="23">
                  <c:v>9.7215234696084547</c:v>
                </c:pt>
                <c:pt idx="24">
                  <c:v>9.9011175982656603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F86-45E2-A0E5-9DD530E21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4031"/>
        <c:axId val="145184511"/>
      </c:scatterChart>
      <c:valAx>
        <c:axId val="145184031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3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511"/>
        <c:crosses val="autoZero"/>
        <c:crossBetween val="midCat"/>
      </c:valAx>
      <c:valAx>
        <c:axId val="145184511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log10(CFU/g)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3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03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Confidence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Regression_mpnadj_bio1!$F$60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Regression_mpnadj_bio1!$E$61:$E$85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Regression_mpnadj_bio1!$F$61:$F$85</c:f>
              <c:numCache>
                <c:formatCode>General</c:formatCode>
                <c:ptCount val="25"/>
                <c:pt idx="0">
                  <c:v>5.1485746719970731</c:v>
                </c:pt>
                <c:pt idx="1">
                  <c:v>5.3744685461568213</c:v>
                </c:pt>
                <c:pt idx="2">
                  <c:v>5.6003624203165687</c:v>
                </c:pt>
                <c:pt idx="3">
                  <c:v>5.8262562944763161</c:v>
                </c:pt>
                <c:pt idx="4">
                  <c:v>6.0521501686360644</c:v>
                </c:pt>
                <c:pt idx="5">
                  <c:v>6.2780440427958126</c:v>
                </c:pt>
                <c:pt idx="6">
                  <c:v>6.50393791695556</c:v>
                </c:pt>
                <c:pt idx="7">
                  <c:v>6.7298317911153074</c:v>
                </c:pt>
                <c:pt idx="8">
                  <c:v>6.9557256652750556</c:v>
                </c:pt>
                <c:pt idx="9">
                  <c:v>7.1816195394348039</c:v>
                </c:pt>
                <c:pt idx="10">
                  <c:v>7.4075134135945513</c:v>
                </c:pt>
                <c:pt idx="11">
                  <c:v>7.6334072877542987</c:v>
                </c:pt>
                <c:pt idx="12">
                  <c:v>7.8593011619140469</c:v>
                </c:pt>
                <c:pt idx="13">
                  <c:v>8.0851950360737952</c:v>
                </c:pt>
                <c:pt idx="14">
                  <c:v>8.3110889102335435</c:v>
                </c:pt>
                <c:pt idx="15">
                  <c:v>8.5369827843932899</c:v>
                </c:pt>
                <c:pt idx="16">
                  <c:v>8.7628766585530382</c:v>
                </c:pt>
                <c:pt idx="17">
                  <c:v>8.9887705327127865</c:v>
                </c:pt>
                <c:pt idx="18">
                  <c:v>9.214664406872533</c:v>
                </c:pt>
                <c:pt idx="19">
                  <c:v>9.4405582810322812</c:v>
                </c:pt>
                <c:pt idx="20">
                  <c:v>9.6664521551920295</c:v>
                </c:pt>
                <c:pt idx="21">
                  <c:v>9.8923460293517778</c:v>
                </c:pt>
                <c:pt idx="22">
                  <c:v>10.118239903511526</c:v>
                </c:pt>
                <c:pt idx="23">
                  <c:v>10.344133777671273</c:v>
                </c:pt>
                <c:pt idx="24">
                  <c:v>10.570027651831021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47-43D7-B9DE-98CC75CE3A0C}"/>
            </c:ext>
          </c:extLst>
        </c:ser>
        <c:ser>
          <c:idx val="1"/>
          <c:order val="1"/>
          <c:tx>
            <c:strRef>
              <c:f>Regression_mpnadj_bio1!$G$60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Regression_mpnadj_bio1!$G$61:$G$85</c:f>
              <c:numCache>
                <c:formatCode>General</c:formatCode>
                <c:ptCount val="25"/>
                <c:pt idx="0">
                  <c:v>4.5337168898587796</c:v>
                </c:pt>
                <c:pt idx="1">
                  <c:v>4.8069529858674835</c:v>
                </c:pt>
                <c:pt idx="2">
                  <c:v>5.0796888139426848</c:v>
                </c:pt>
                <c:pt idx="3">
                  <c:v>5.3517761875512555</c:v>
                </c:pt>
                <c:pt idx="4">
                  <c:v>5.6230056549227792</c:v>
                </c:pt>
                <c:pt idx="5">
                  <c:v>5.8930740053615054</c:v>
                </c:pt>
                <c:pt idx="6">
                  <c:v>6.1615315500703964</c:v>
                </c:pt>
                <c:pt idx="7">
                  <c:v>6.4276967472455393</c:v>
                </c:pt>
                <c:pt idx="8">
                  <c:v>6.6905232450857932</c:v>
                </c:pt>
                <c:pt idx="9">
                  <c:v>6.948419331665467</c:v>
                </c:pt>
                <c:pt idx="10">
                  <c:v>7.1991012632231133</c:v>
                </c:pt>
                <c:pt idx="11">
                  <c:v>7.4397782965608394</c:v>
                </c:pt>
                <c:pt idx="12">
                  <c:v>7.6681153299909894</c:v>
                </c:pt>
                <c:pt idx="13">
                  <c:v>7.8836630715743858</c:v>
                </c:pt>
                <c:pt idx="14">
                  <c:v>8.0881953989075388</c:v>
                </c:pt>
                <c:pt idx="15">
                  <c:v>8.2844928314113027</c:v>
                </c:pt>
                <c:pt idx="16">
                  <c:v>8.4750848768569291</c:v>
                </c:pt>
                <c:pt idx="17">
                  <c:v>8.6618143932136782</c:v>
                </c:pt>
                <c:pt idx="18">
                  <c:v>8.845910018437813</c:v>
                </c:pt>
                <c:pt idx="19">
                  <c:v>9.0281718662306609</c:v>
                </c:pt>
                <c:pt idx="20">
                  <c:v>9.2091244985547238</c:v>
                </c:pt>
                <c:pt idx="21">
                  <c:v>9.3891185557107129</c:v>
                </c:pt>
                <c:pt idx="22">
                  <c:v>9.5683940440033055</c:v>
                </c:pt>
                <c:pt idx="23">
                  <c:v>9.747119269892055</c:v>
                </c:pt>
                <c:pt idx="24">
                  <c:v>9.9254150161584356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47-43D7-B9DE-98CC75CE3A0C}"/>
            </c:ext>
          </c:extLst>
        </c:ser>
        <c:ser>
          <c:idx val="2"/>
          <c:order val="2"/>
          <c:tx>
            <c:strRef>
              <c:f>Regression_mpnadj_bio1!$H$60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Regression_mpnadj_bio1!$H$61:$H$85</c:f>
              <c:numCache>
                <c:formatCode>General</c:formatCode>
                <c:ptCount val="25"/>
                <c:pt idx="0">
                  <c:v>5.7634324541353665</c:v>
                </c:pt>
                <c:pt idx="1">
                  <c:v>5.9419841064461592</c:v>
                </c:pt>
                <c:pt idx="2">
                  <c:v>6.1210360266904527</c:v>
                </c:pt>
                <c:pt idx="3">
                  <c:v>6.3007364014013767</c:v>
                </c:pt>
                <c:pt idx="4">
                  <c:v>6.4812946823493496</c:v>
                </c:pt>
                <c:pt idx="5">
                  <c:v>6.6630140802301199</c:v>
                </c:pt>
                <c:pt idx="6">
                  <c:v>6.8463442838407236</c:v>
                </c:pt>
                <c:pt idx="7">
                  <c:v>7.0319668349850755</c:v>
                </c:pt>
                <c:pt idx="8">
                  <c:v>7.2209280854643181</c:v>
                </c:pt>
                <c:pt idx="9">
                  <c:v>7.4148197472041408</c:v>
                </c:pt>
                <c:pt idx="10">
                  <c:v>7.6159255639659893</c:v>
                </c:pt>
                <c:pt idx="11">
                  <c:v>7.8270362789477579</c:v>
                </c:pt>
                <c:pt idx="12">
                  <c:v>8.0504869938371044</c:v>
                </c:pt>
                <c:pt idx="13">
                  <c:v>8.2867270005732045</c:v>
                </c:pt>
                <c:pt idx="14">
                  <c:v>8.5339824215595481</c:v>
                </c:pt>
                <c:pt idx="15">
                  <c:v>8.7894727373752772</c:v>
                </c:pt>
                <c:pt idx="16">
                  <c:v>9.0506684402491473</c:v>
                </c:pt>
                <c:pt idx="17">
                  <c:v>9.3157266722118948</c:v>
                </c:pt>
                <c:pt idx="18">
                  <c:v>9.5834187953072529</c:v>
                </c:pt>
                <c:pt idx="19">
                  <c:v>9.8529446958339015</c:v>
                </c:pt>
                <c:pt idx="20">
                  <c:v>10.123779811829335</c:v>
                </c:pt>
                <c:pt idx="21">
                  <c:v>10.395573502992843</c:v>
                </c:pt>
                <c:pt idx="22">
                  <c:v>10.668085763019747</c:v>
                </c:pt>
                <c:pt idx="23">
                  <c:v>10.94114828545049</c:v>
                </c:pt>
                <c:pt idx="24">
                  <c:v>11.214640287503606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47-43D7-B9DE-98CC75CE3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23743"/>
        <c:axId val="189026623"/>
      </c:lineChart>
      <c:catAx>
        <c:axId val="18902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26623"/>
        <c:crosses val="autoZero"/>
        <c:auto val="1"/>
        <c:lblAlgn val="ctr"/>
        <c:lblOffset val="100"/>
        <c:noMultiLvlLbl val="0"/>
      </c:catAx>
      <c:valAx>
        <c:axId val="1890266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237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Prediction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Regression_mpnadj_bio1!$J$60</c:f>
              <c:strCache>
                <c:ptCount val="1"/>
                <c:pt idx="0">
                  <c:v>pred</c:v>
                </c:pt>
              </c:strCache>
            </c:strRef>
          </c:tx>
          <c:marker>
            <c:symbol val="none"/>
          </c:marker>
          <c:cat>
            <c:numRef>
              <c:f>Regression_mpnadj_bio1!$E$61:$E$85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Regression_mpnadj_bio1!$J$61:$J$85</c:f>
              <c:numCache>
                <c:formatCode>General</c:formatCode>
                <c:ptCount val="25"/>
                <c:pt idx="0">
                  <c:v>5.1485746719970731</c:v>
                </c:pt>
                <c:pt idx="1">
                  <c:v>5.3744685461568213</c:v>
                </c:pt>
                <c:pt idx="2">
                  <c:v>5.6003624203165687</c:v>
                </c:pt>
                <c:pt idx="3">
                  <c:v>5.8262562944763161</c:v>
                </c:pt>
                <c:pt idx="4">
                  <c:v>6.0521501686360644</c:v>
                </c:pt>
                <c:pt idx="5">
                  <c:v>6.2780440427958126</c:v>
                </c:pt>
                <c:pt idx="6">
                  <c:v>6.50393791695556</c:v>
                </c:pt>
                <c:pt idx="7">
                  <c:v>6.7298317911153074</c:v>
                </c:pt>
                <c:pt idx="8">
                  <c:v>6.9557256652750556</c:v>
                </c:pt>
                <c:pt idx="9">
                  <c:v>7.1816195394348039</c:v>
                </c:pt>
                <c:pt idx="10">
                  <c:v>7.4075134135945513</c:v>
                </c:pt>
                <c:pt idx="11">
                  <c:v>7.6334072877542987</c:v>
                </c:pt>
                <c:pt idx="12">
                  <c:v>7.8593011619140469</c:v>
                </c:pt>
                <c:pt idx="13">
                  <c:v>8.0851950360737952</c:v>
                </c:pt>
                <c:pt idx="14">
                  <c:v>8.3110889102335435</c:v>
                </c:pt>
                <c:pt idx="15">
                  <c:v>8.5369827843932899</c:v>
                </c:pt>
                <c:pt idx="16">
                  <c:v>8.7628766585530382</c:v>
                </c:pt>
                <c:pt idx="17">
                  <c:v>8.9887705327127865</c:v>
                </c:pt>
                <c:pt idx="18">
                  <c:v>9.214664406872533</c:v>
                </c:pt>
                <c:pt idx="19">
                  <c:v>9.4405582810322812</c:v>
                </c:pt>
                <c:pt idx="20">
                  <c:v>9.6664521551920295</c:v>
                </c:pt>
                <c:pt idx="21">
                  <c:v>9.8923460293517778</c:v>
                </c:pt>
                <c:pt idx="22">
                  <c:v>10.118239903511526</c:v>
                </c:pt>
                <c:pt idx="23">
                  <c:v>10.344133777671273</c:v>
                </c:pt>
                <c:pt idx="24">
                  <c:v>10.570027651831021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B-4A92-9409-1E100C5BB36C}"/>
            </c:ext>
          </c:extLst>
        </c:ser>
        <c:ser>
          <c:idx val="1"/>
          <c:order val="1"/>
          <c:tx>
            <c:strRef>
              <c:f>Regression_mpnadj_bio1!$K$60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Regression_mpnadj_bio1!$K$61:$K$85</c:f>
              <c:numCache>
                <c:formatCode>General</c:formatCode>
                <c:ptCount val="25"/>
                <c:pt idx="0">
                  <c:v>4.2464935024095052</c:v>
                </c:pt>
                <c:pt idx="1">
                  <c:v>4.5039662455056542</c:v>
                </c:pt>
                <c:pt idx="2">
                  <c:v>4.7596476359557602</c:v>
                </c:pt>
                <c:pt idx="3">
                  <c:v>5.0133407292814613</c:v>
                </c:pt>
                <c:pt idx="4">
                  <c:v>5.2648348836843075</c:v>
                </c:pt>
                <c:pt idx="5">
                  <c:v>5.5139090586532031</c:v>
                </c:pt>
                <c:pt idx="6">
                  <c:v>5.7603369054231983</c:v>
                </c:pt>
                <c:pt idx="7">
                  <c:v>6.0038938261330088</c:v>
                </c:pt>
                <c:pt idx="8">
                  <c:v>6.2443659335340076</c:v>
                </c:pt>
                <c:pt idx="9">
                  <c:v>6.4815604839458292</c:v>
                </c:pt>
                <c:pt idx="10">
                  <c:v>6.7153169323185331</c:v>
                </c:pt>
                <c:pt idx="11">
                  <c:v>6.9455173761412192</c:v>
                </c:pt>
                <c:pt idx="12">
                  <c:v>7.1720949580737692</c:v>
                </c:pt>
                <c:pt idx="13">
                  <c:v>7.3950389109952406</c:v>
                </c:pt>
                <c:pt idx="14">
                  <c:v>7.6143953896237351</c:v>
                </c:pt>
                <c:pt idx="15">
                  <c:v>7.8302639431096432</c:v>
                </c:pt>
                <c:pt idx="16">
                  <c:v>8.0427902374338274</c:v>
                </c:pt>
                <c:pt idx="17">
                  <c:v>8.2521562093218996</c:v>
                </c:pt>
                <c:pt idx="18">
                  <c:v>8.4585690800397852</c:v>
                </c:pt>
                <c:pt idx="19">
                  <c:v>8.6622505659340767</c:v>
                </c:pt>
                <c:pt idx="20">
                  <c:v>8.8634272926916076</c:v>
                </c:pt>
                <c:pt idx="21">
                  <c:v>9.0623229968426653</c:v>
                </c:pt>
                <c:pt idx="22">
                  <c:v>9.2591527056749001</c:v>
                </c:pt>
                <c:pt idx="23">
                  <c:v>9.4541187964674069</c:v>
                </c:pt>
                <c:pt idx="24">
                  <c:v>9.6474086652839137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AB-4A92-9409-1E100C5BB36C}"/>
            </c:ext>
          </c:extLst>
        </c:ser>
        <c:ser>
          <c:idx val="2"/>
          <c:order val="2"/>
          <c:tx>
            <c:strRef>
              <c:f>Regression_mpnadj_bio1!$L$60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Regression_mpnadj_bio1!$L$61:$L$85</c:f>
              <c:numCache>
                <c:formatCode>General</c:formatCode>
                <c:ptCount val="25"/>
                <c:pt idx="0">
                  <c:v>6.050655841584641</c:v>
                </c:pt>
                <c:pt idx="1">
                  <c:v>6.2449708468079885</c:v>
                </c:pt>
                <c:pt idx="2">
                  <c:v>6.4410772046773772</c:v>
                </c:pt>
                <c:pt idx="3">
                  <c:v>6.6391718596711708</c:v>
                </c:pt>
                <c:pt idx="4">
                  <c:v>6.8394654535878212</c:v>
                </c:pt>
                <c:pt idx="5">
                  <c:v>7.0421790269384221</c:v>
                </c:pt>
                <c:pt idx="6">
                  <c:v>7.2475389284879217</c:v>
                </c:pt>
                <c:pt idx="7">
                  <c:v>7.4557697560976059</c:v>
                </c:pt>
                <c:pt idx="8">
                  <c:v>7.6670853970161037</c:v>
                </c:pt>
                <c:pt idx="9">
                  <c:v>7.8816785949237786</c:v>
                </c:pt>
                <c:pt idx="10">
                  <c:v>8.0997098948705695</c:v>
                </c:pt>
                <c:pt idx="11">
                  <c:v>8.321297199367379</c:v>
                </c:pt>
                <c:pt idx="12">
                  <c:v>8.5465073657543247</c:v>
                </c:pt>
                <c:pt idx="13">
                  <c:v>8.7753511611523489</c:v>
                </c:pt>
                <c:pt idx="14">
                  <c:v>9.0077824308433527</c:v>
                </c:pt>
                <c:pt idx="15">
                  <c:v>9.2437016256769358</c:v>
                </c:pt>
                <c:pt idx="16">
                  <c:v>9.4829630796722491</c:v>
                </c:pt>
                <c:pt idx="17">
                  <c:v>9.7253848561036733</c:v>
                </c:pt>
                <c:pt idx="18">
                  <c:v>9.9707597337052807</c:v>
                </c:pt>
                <c:pt idx="19">
                  <c:v>10.218865996130486</c:v>
                </c:pt>
                <c:pt idx="20">
                  <c:v>10.469477017692451</c:v>
                </c:pt>
                <c:pt idx="21">
                  <c:v>10.72236906186089</c:v>
                </c:pt>
                <c:pt idx="22">
                  <c:v>10.977327101348152</c:v>
                </c:pt>
                <c:pt idx="23">
                  <c:v>11.234148758875138</c:v>
                </c:pt>
                <c:pt idx="24">
                  <c:v>11.492646638378128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AB-4A92-9409-1E100C5BB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28063"/>
        <c:axId val="189029023"/>
      </c:lineChart>
      <c:catAx>
        <c:axId val="189028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29023"/>
        <c:crosses val="autoZero"/>
        <c:auto val="1"/>
        <c:lblAlgn val="ctr"/>
        <c:lblOffset val="100"/>
        <c:noMultiLvlLbl val="0"/>
      </c:catAx>
      <c:valAx>
        <c:axId val="1890290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2806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undiluted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Regression_mpnadj_bio1!$E$2:$E$4</c:f>
              <c:numCache>
                <c:formatCode>0.00</c:formatCode>
                <c:ptCount val="3"/>
                <c:pt idx="0">
                  <c:v>9.4386156779999997</c:v>
                </c:pt>
                <c:pt idx="1">
                  <c:v>9.3175505409999992</c:v>
                </c:pt>
                <c:pt idx="2">
                  <c:v>9.0773381010000005</c:v>
                </c:pt>
              </c:numCache>
            </c:numRef>
          </c:xVal>
          <c:yVal>
            <c:numRef>
              <c:f>Regression_mpnadj_bio1!$D$2:$D$4</c:f>
              <c:numCache>
                <c:formatCode>0.00</c:formatCode>
                <c:ptCount val="3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A-4885-860C-84BB58B4AC77}"/>
            </c:ext>
          </c:extLst>
        </c:ser>
        <c:ser>
          <c:idx val="1"/>
          <c:order val="1"/>
          <c:tx>
            <c:v>dilution_1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Regression_mpnadj_bio1!$E$5:$E$7</c:f>
              <c:numCache>
                <c:formatCode>0.00</c:formatCode>
                <c:ptCount val="3"/>
                <c:pt idx="0">
                  <c:v>8.3678596069999998</c:v>
                </c:pt>
                <c:pt idx="1">
                  <c:v>7.9049021799999997</c:v>
                </c:pt>
                <c:pt idx="2">
                  <c:v>8.0773381010000005</c:v>
                </c:pt>
              </c:numCache>
            </c:numRef>
          </c:xVal>
          <c:yVal>
            <c:numRef>
              <c:f>Regression_mpnadj_bio1!$D$5:$D$7</c:f>
              <c:numCache>
                <c:formatCode>0.00</c:formatCode>
                <c:ptCount val="3"/>
                <c:pt idx="0">
                  <c:v>8.2211185711499439</c:v>
                </c:pt>
                <c:pt idx="1">
                  <c:v>8.2556904999112852</c:v>
                </c:pt>
                <c:pt idx="2">
                  <c:v>8.2585737727950406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5A-4885-860C-84BB58B4AC77}"/>
            </c:ext>
          </c:extLst>
        </c:ser>
        <c:ser>
          <c:idx val="2"/>
          <c:order val="2"/>
          <c:tx>
            <c:v>dilution_2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Regression_mpnadj_bio1!$E$8:$E$10</c:f>
              <c:numCache>
                <c:formatCode>0.00</c:formatCode>
                <c:ptCount val="3"/>
                <c:pt idx="0">
                  <c:v>7.5014909989999996</c:v>
                </c:pt>
                <c:pt idx="1">
                  <c:v>7.7328326970000001</c:v>
                </c:pt>
                <c:pt idx="2">
                  <c:v>7.5611465139999998</c:v>
                </c:pt>
              </c:numCache>
            </c:numRef>
          </c:xVal>
          <c:yVal>
            <c:numRef>
              <c:f>Regression_mpnadj_bio1!$D$8:$D$10</c:f>
              <c:numCache>
                <c:formatCode>0.00</c:formatCode>
                <c:ptCount val="3"/>
                <c:pt idx="0">
                  <c:v>7.180145708096795</c:v>
                </c:pt>
                <c:pt idx="1">
                  <c:v>7.1564082693046798</c:v>
                </c:pt>
                <c:pt idx="2">
                  <c:v>7.354599383703488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5A-4885-860C-84BB58B4AC77}"/>
            </c:ext>
          </c:extLst>
        </c:ser>
        <c:ser>
          <c:idx val="3"/>
          <c:order val="3"/>
          <c:tx>
            <c:v>dilution_3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Regression_mpnadj_bio1!$E$11:$E$13</c:f>
              <c:numCache>
                <c:formatCode>0.00</c:formatCode>
                <c:ptCount val="3"/>
                <c:pt idx="0">
                  <c:v>6.5014909989999996</c:v>
                </c:pt>
                <c:pt idx="1">
                  <c:v>6.5058256610000003</c:v>
                </c:pt>
                <c:pt idx="2">
                  <c:v>7.0773381009999996</c:v>
                </c:pt>
              </c:numCache>
            </c:numRef>
          </c:xVal>
          <c:yVal>
            <c:numRef>
              <c:f>Regression_mpnadj_bio1!$D$11:$D$13</c:f>
              <c:numCache>
                <c:formatCode>0.00</c:formatCode>
                <c:ptCount val="3"/>
                <c:pt idx="0">
                  <c:v>6.4172469545667106</c:v>
                </c:pt>
                <c:pt idx="1">
                  <c:v>6.860853443398657</c:v>
                </c:pt>
                <c:pt idx="2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5A-4885-860C-84BB58B4AC77}"/>
            </c:ext>
          </c:extLst>
        </c:ser>
        <c:ser>
          <c:idx val="4"/>
          <c:order val="4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layout>
                <c:manualLayout>
                  <c:x val="-0.44550545925110419"/>
                  <c:y val="4.30322251385243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Regression_mpnadj_bio1!$E$2:$E$13</c:f>
              <c:numCache>
                <c:formatCode>0.00</c:formatCode>
                <c:ptCount val="12"/>
                <c:pt idx="0">
                  <c:v>9.4386156779999997</c:v>
                </c:pt>
                <c:pt idx="1">
                  <c:v>9.3175505409999992</c:v>
                </c:pt>
                <c:pt idx="2">
                  <c:v>9.0773381010000005</c:v>
                </c:pt>
                <c:pt idx="3">
                  <c:v>8.3678596069999998</c:v>
                </c:pt>
                <c:pt idx="4">
                  <c:v>7.9049021799999997</c:v>
                </c:pt>
                <c:pt idx="5">
                  <c:v>8.0773381010000005</c:v>
                </c:pt>
                <c:pt idx="6">
                  <c:v>7.5014909989999996</c:v>
                </c:pt>
                <c:pt idx="7">
                  <c:v>7.7328326970000001</c:v>
                </c:pt>
                <c:pt idx="8">
                  <c:v>7.5611465139999998</c:v>
                </c:pt>
                <c:pt idx="9">
                  <c:v>6.5014909989999996</c:v>
                </c:pt>
                <c:pt idx="10">
                  <c:v>6.5058256610000003</c:v>
                </c:pt>
                <c:pt idx="11">
                  <c:v>7.0773381009999996</c:v>
                </c:pt>
              </c:numCache>
            </c:numRef>
          </c:xVal>
          <c:yVal>
            <c:numRef>
              <c:f>Regression_mpnadj_bio1!$D$2:$D$13</c:f>
              <c:numCache>
                <c:formatCode>0.00</c:formatCode>
                <c:ptCount val="12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  <c:pt idx="3">
                  <c:v>8.2211185711499439</c:v>
                </c:pt>
                <c:pt idx="4">
                  <c:v>8.2556904999112852</c:v>
                </c:pt>
                <c:pt idx="5">
                  <c:v>8.2585737727950406</c:v>
                </c:pt>
                <c:pt idx="6">
                  <c:v>7.180145708096795</c:v>
                </c:pt>
                <c:pt idx="7">
                  <c:v>7.1564082693046798</c:v>
                </c:pt>
                <c:pt idx="8">
                  <c:v>7.354599383703488</c:v>
                </c:pt>
                <c:pt idx="9">
                  <c:v>6.4172469545667106</c:v>
                </c:pt>
                <c:pt idx="10">
                  <c:v>6.860853443398657</c:v>
                </c:pt>
                <c:pt idx="11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95A-4885-860C-84BB58B4AC77}"/>
            </c:ext>
          </c:extLst>
        </c:ser>
        <c:ser>
          <c:idx val="5"/>
          <c:order val="5"/>
          <c:tx>
            <c:v>top_95</c:v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Regression_mpnadj_bio1!$E$61:$E$85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Regression_mpnadj_bio1!$H$61:$H$85</c:f>
              <c:numCache>
                <c:formatCode>General</c:formatCode>
                <c:ptCount val="25"/>
                <c:pt idx="0">
                  <c:v>5.7634324541353665</c:v>
                </c:pt>
                <c:pt idx="1">
                  <c:v>5.9419841064461592</c:v>
                </c:pt>
                <c:pt idx="2">
                  <c:v>6.1210360266904527</c:v>
                </c:pt>
                <c:pt idx="3">
                  <c:v>6.3007364014013767</c:v>
                </c:pt>
                <c:pt idx="4">
                  <c:v>6.4812946823493496</c:v>
                </c:pt>
                <c:pt idx="5">
                  <c:v>6.6630140802301199</c:v>
                </c:pt>
                <c:pt idx="6">
                  <c:v>6.8463442838407236</c:v>
                </c:pt>
                <c:pt idx="7">
                  <c:v>7.0319668349850755</c:v>
                </c:pt>
                <c:pt idx="8">
                  <c:v>7.2209280854643181</c:v>
                </c:pt>
                <c:pt idx="9">
                  <c:v>7.4148197472041408</c:v>
                </c:pt>
                <c:pt idx="10">
                  <c:v>7.6159255639659893</c:v>
                </c:pt>
                <c:pt idx="11">
                  <c:v>7.8270362789477579</c:v>
                </c:pt>
                <c:pt idx="12">
                  <c:v>8.0504869938371044</c:v>
                </c:pt>
                <c:pt idx="13">
                  <c:v>8.2867270005732045</c:v>
                </c:pt>
                <c:pt idx="14">
                  <c:v>8.5339824215595481</c:v>
                </c:pt>
                <c:pt idx="15">
                  <c:v>8.7894727373752772</c:v>
                </c:pt>
                <c:pt idx="16">
                  <c:v>9.0506684402491473</c:v>
                </c:pt>
                <c:pt idx="17">
                  <c:v>9.3157266722118948</c:v>
                </c:pt>
                <c:pt idx="18">
                  <c:v>9.5834187953072529</c:v>
                </c:pt>
                <c:pt idx="19">
                  <c:v>9.8529446958339015</c:v>
                </c:pt>
                <c:pt idx="20">
                  <c:v>10.123779811829335</c:v>
                </c:pt>
                <c:pt idx="21">
                  <c:v>10.395573502992843</c:v>
                </c:pt>
                <c:pt idx="22">
                  <c:v>10.668085763019747</c:v>
                </c:pt>
                <c:pt idx="23">
                  <c:v>10.94114828545049</c:v>
                </c:pt>
                <c:pt idx="24">
                  <c:v>11.214640287503606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5A-4885-860C-84BB58B4AC77}"/>
            </c:ext>
          </c:extLst>
        </c:ser>
        <c:ser>
          <c:idx val="6"/>
          <c:order val="6"/>
          <c:tx>
            <c:v>bottom_95</c:v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Regression_mpnadj_bio1!$E$61:$E$85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Regression_mpnadj_bio1!$G$61:$G$85</c:f>
              <c:numCache>
                <c:formatCode>General</c:formatCode>
                <c:ptCount val="25"/>
                <c:pt idx="0">
                  <c:v>4.5337168898587796</c:v>
                </c:pt>
                <c:pt idx="1">
                  <c:v>4.8069529858674835</c:v>
                </c:pt>
                <c:pt idx="2">
                  <c:v>5.0796888139426848</c:v>
                </c:pt>
                <c:pt idx="3">
                  <c:v>5.3517761875512555</c:v>
                </c:pt>
                <c:pt idx="4">
                  <c:v>5.6230056549227792</c:v>
                </c:pt>
                <c:pt idx="5">
                  <c:v>5.8930740053615054</c:v>
                </c:pt>
                <c:pt idx="6">
                  <c:v>6.1615315500703964</c:v>
                </c:pt>
                <c:pt idx="7">
                  <c:v>6.4276967472455393</c:v>
                </c:pt>
                <c:pt idx="8">
                  <c:v>6.6905232450857932</c:v>
                </c:pt>
                <c:pt idx="9">
                  <c:v>6.948419331665467</c:v>
                </c:pt>
                <c:pt idx="10">
                  <c:v>7.1991012632231133</c:v>
                </c:pt>
                <c:pt idx="11">
                  <c:v>7.4397782965608394</c:v>
                </c:pt>
                <c:pt idx="12">
                  <c:v>7.6681153299909894</c:v>
                </c:pt>
                <c:pt idx="13">
                  <c:v>7.8836630715743858</c:v>
                </c:pt>
                <c:pt idx="14">
                  <c:v>8.0881953989075388</c:v>
                </c:pt>
                <c:pt idx="15">
                  <c:v>8.2844928314113027</c:v>
                </c:pt>
                <c:pt idx="16">
                  <c:v>8.4750848768569291</c:v>
                </c:pt>
                <c:pt idx="17">
                  <c:v>8.6618143932136782</c:v>
                </c:pt>
                <c:pt idx="18">
                  <c:v>8.845910018437813</c:v>
                </c:pt>
                <c:pt idx="19">
                  <c:v>9.0281718662306609</c:v>
                </c:pt>
                <c:pt idx="20">
                  <c:v>9.2091244985547238</c:v>
                </c:pt>
                <c:pt idx="21">
                  <c:v>9.3891185557107129</c:v>
                </c:pt>
                <c:pt idx="22">
                  <c:v>9.5683940440033055</c:v>
                </c:pt>
                <c:pt idx="23">
                  <c:v>9.747119269892055</c:v>
                </c:pt>
                <c:pt idx="24">
                  <c:v>9.9254150161584356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95A-4885-860C-84BB58B4A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4031"/>
        <c:axId val="145184511"/>
      </c:scatterChart>
      <c:valAx>
        <c:axId val="145184031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511"/>
        <c:crosses val="autoZero"/>
        <c:crossBetween val="midCat"/>
      </c:valAx>
      <c:valAx>
        <c:axId val="145184511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log10(CFU/g)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BlandAltman_MPN_bio1!$F$2:$F$13</c:f>
              <c:numCache>
                <c:formatCode>General</c:formatCode>
                <c:ptCount val="12"/>
                <c:pt idx="0" formatCode="0.00">
                  <c:v>9.2699742624999999</c:v>
                </c:pt>
                <c:pt idx="1">
                  <c:v>9.1366435655</c:v>
                </c:pt>
                <c:pt idx="2">
                  <c:v>9.0789320829999998</c:v>
                </c:pt>
                <c:pt idx="3">
                  <c:v>8.3143873225</c:v>
                </c:pt>
                <c:pt idx="4">
                  <c:v>8.1250270909999998</c:v>
                </c:pt>
                <c:pt idx="5">
                  <c:v>8.200432868</c:v>
                </c:pt>
                <c:pt idx="6">
                  <c:v>7.3647181489999998</c:v>
                </c:pt>
                <c:pt idx="7">
                  <c:v>7.4817074185000001</c:v>
                </c:pt>
                <c:pt idx="8">
                  <c:v>7.4831902719999999</c:v>
                </c:pt>
                <c:pt idx="9">
                  <c:v>6.4832687725000007</c:v>
                </c:pt>
                <c:pt idx="10">
                  <c:v>6.7063673984999994</c:v>
                </c:pt>
                <c:pt idx="11">
                  <c:v>6.9549615459999998</c:v>
                </c:pt>
              </c:numCache>
            </c:numRef>
          </c:xVal>
          <c:yVal>
            <c:numRef>
              <c:f>BlandAltman_MPN_bio1!$G$2:$G$13</c:f>
              <c:numCache>
                <c:formatCode>0.00</c:formatCode>
                <c:ptCount val="12"/>
                <c:pt idx="0">
                  <c:v>-0.42040417900000016</c:v>
                </c:pt>
                <c:pt idx="1">
                  <c:v>-0.43726620300000008</c:v>
                </c:pt>
                <c:pt idx="2">
                  <c:v>-0.12671976000000029</c:v>
                </c:pt>
                <c:pt idx="3">
                  <c:v>-0.18653750300000027</c:v>
                </c:pt>
                <c:pt idx="4">
                  <c:v>0.26132681799999968</c:v>
                </c:pt>
                <c:pt idx="5">
                  <c:v>0.11628181000000026</c:v>
                </c:pt>
                <c:pt idx="6">
                  <c:v>-0.36914488199999962</c:v>
                </c:pt>
                <c:pt idx="7">
                  <c:v>-0.65059829900000032</c:v>
                </c:pt>
                <c:pt idx="8">
                  <c:v>-0.25718177599999947</c:v>
                </c:pt>
                <c:pt idx="9">
                  <c:v>-0.1320436349999996</c:v>
                </c:pt>
                <c:pt idx="10">
                  <c:v>0.30897208900000006</c:v>
                </c:pt>
                <c:pt idx="11">
                  <c:v>-0.37466083400000016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FB-4D28-8377-DED1F4057F0B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BlandAltman_MPN_bio1!$M$31:$M$32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BlandAltman_MPN_bio1!$N$31:$N$32</c:f>
              <c:numCache>
                <c:formatCode>General</c:formatCode>
                <c:ptCount val="2"/>
                <c:pt idx="0">
                  <c:v>-0.1889980295</c:v>
                </c:pt>
                <c:pt idx="1">
                  <c:v>-0.1889980295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FB-4D28-8377-DED1F4057F0B}"/>
            </c:ext>
          </c:extLst>
        </c:ser>
        <c:ser>
          <c:idx val="2"/>
          <c:order val="2"/>
          <c:tx>
            <c:v>lower agreement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BlandAltman_MPN_bio1!$M$37:$M$38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BlandAltman_MPN_bio1!$N$37:$N$38</c:f>
              <c:numCache>
                <c:formatCode>General</c:formatCode>
                <c:ptCount val="2"/>
                <c:pt idx="0">
                  <c:v>-0.76527688189461307</c:v>
                </c:pt>
                <c:pt idx="1">
                  <c:v>-0.76527688189461307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FB-4D28-8377-DED1F4057F0B}"/>
            </c:ext>
          </c:extLst>
        </c:ser>
        <c:ser>
          <c:idx val="3"/>
          <c:order val="3"/>
          <c:tx>
            <c:v>upper agreement</c:v>
          </c:tx>
          <c:spPr>
            <a:ln w="15875" cap="rnd">
              <a:solidFill>
                <a:srgbClr val="FF0000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BlandAltman_MPN_bio1!$M$43:$M$44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BlandAltman_MPN_bio1!$N$43:$N$44</c:f>
              <c:numCache>
                <c:formatCode>General</c:formatCode>
                <c:ptCount val="2"/>
                <c:pt idx="0">
                  <c:v>0.38728082289461307</c:v>
                </c:pt>
                <c:pt idx="1">
                  <c:v>0.38728082289461307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FB-4D28-8377-DED1F4057F0B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7</c:v>
              </c:pt>
              <c:pt idx="1">
                <c:v>10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BCFB-4D28-8377-DED1F4057F0B}"/>
            </c:ext>
          </c:extLst>
        </c:ser>
        <c:ser>
          <c:idx val="5"/>
          <c:order val="5"/>
          <c:tx>
            <c:v>blacklinetop 95</c:v>
          </c:tx>
          <c:spPr>
            <a:ln w="127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BlandAltman_MPN_bio1!$P$31:$P$32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BlandAltman_MPN_bio1!$Q$31:$Q$32</c:f>
              <c:numCache>
                <c:formatCode>General</c:formatCode>
                <c:ptCount val="2"/>
                <c:pt idx="0">
                  <c:v>0.13967401568957838</c:v>
                </c:pt>
                <c:pt idx="1">
                  <c:v>0.13967401568957838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CFB-4D28-8377-DED1F4057F0B}"/>
            </c:ext>
          </c:extLst>
        </c:ser>
        <c:ser>
          <c:idx val="6"/>
          <c:order val="6"/>
          <c:tx>
            <c:v>blackline bottom 95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BlandAltman_MPN_bio1!$S$31:$S$32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BlandAltman_MPN_bio1!$T$31:$T$32</c:f>
              <c:numCache>
                <c:formatCode>General</c:formatCode>
                <c:ptCount val="2"/>
                <c:pt idx="0">
                  <c:v>-0.51767007468957837</c:v>
                </c:pt>
                <c:pt idx="1">
                  <c:v>-0.51767007468957837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CFB-4D28-8377-DED1F4057F0B}"/>
            </c:ext>
          </c:extLst>
        </c:ser>
        <c:ser>
          <c:idx val="7"/>
          <c:order val="7"/>
          <c:tx>
            <c:v>loweragreement 95 top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BlandAltman_MPN_bio1!$P$37:$P$38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BlandAltman_MPN_bio1!$Q$37:$Q$38</c:f>
              <c:numCache>
                <c:formatCode>General</c:formatCode>
                <c:ptCount val="2"/>
                <c:pt idx="0">
                  <c:v>-0.43660483670503469</c:v>
                </c:pt>
                <c:pt idx="1">
                  <c:v>-0.43660483670503469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CFB-4D28-8377-DED1F4057F0B}"/>
            </c:ext>
          </c:extLst>
        </c:ser>
        <c:ser>
          <c:idx val="8"/>
          <c:order val="8"/>
          <c:tx>
            <c:v>lower agreement 95 bottom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BlandAltman_MPN_bio1!$S$37:$S$38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BlandAltman_MPN_bio1!$T$37:$T$38</c:f>
              <c:numCache>
                <c:formatCode>General</c:formatCode>
                <c:ptCount val="2"/>
                <c:pt idx="0">
                  <c:v>-1.0939489270841913</c:v>
                </c:pt>
                <c:pt idx="1">
                  <c:v>-1.0939489270841913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CFB-4D28-8377-DED1F4057F0B}"/>
            </c:ext>
          </c:extLst>
        </c:ser>
        <c:ser>
          <c:idx val="9"/>
          <c:order val="9"/>
          <c:tx>
            <c:v>upper agreement 95 top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BlandAltman_MPN_bio1!$P$43:$P$44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BlandAltman_MPN_bio1!$Q$43:$Q$44</c:f>
              <c:numCache>
                <c:formatCode>General</c:formatCode>
                <c:ptCount val="2"/>
                <c:pt idx="0">
                  <c:v>0.71595286808419145</c:v>
                </c:pt>
                <c:pt idx="1">
                  <c:v>0.71595286808419145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CFB-4D28-8377-DED1F4057F0B}"/>
            </c:ext>
          </c:extLst>
        </c:ser>
        <c:ser>
          <c:idx val="10"/>
          <c:order val="10"/>
          <c:tx>
            <c:v>upper agreement 95 bottom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BlandAltman_MPN_bio1!$S$43:$S$44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BlandAltman_MPN_bio1!$T$43:$T$44</c:f>
              <c:numCache>
                <c:formatCode>General</c:formatCode>
                <c:ptCount val="2"/>
                <c:pt idx="0">
                  <c:v>5.8608777705034698E-2</c:v>
                </c:pt>
                <c:pt idx="1">
                  <c:v>5.8608777705034698E-2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CFB-4D28-8377-DED1F4057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/>
      </c:scatterChart>
      <c:valAx>
        <c:axId val="128284559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solidFill>
              <a:srgbClr val="FFFF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BlandAltman_MPN_bio1!$F$2:$F$13</c:f>
              <c:numCache>
                <c:formatCode>General</c:formatCode>
                <c:ptCount val="12"/>
                <c:pt idx="0" formatCode="0.00">
                  <c:v>9.2699742624999999</c:v>
                </c:pt>
                <c:pt idx="1">
                  <c:v>9.1366435655</c:v>
                </c:pt>
                <c:pt idx="2">
                  <c:v>9.0789320829999998</c:v>
                </c:pt>
                <c:pt idx="3">
                  <c:v>8.3143873225</c:v>
                </c:pt>
                <c:pt idx="4">
                  <c:v>8.1250270909999998</c:v>
                </c:pt>
                <c:pt idx="5">
                  <c:v>8.200432868</c:v>
                </c:pt>
                <c:pt idx="6">
                  <c:v>7.3647181489999998</c:v>
                </c:pt>
                <c:pt idx="7">
                  <c:v>7.4817074185000001</c:v>
                </c:pt>
                <c:pt idx="8">
                  <c:v>7.4831902719999999</c:v>
                </c:pt>
                <c:pt idx="9">
                  <c:v>6.4832687725000007</c:v>
                </c:pt>
                <c:pt idx="10">
                  <c:v>6.7063673984999994</c:v>
                </c:pt>
                <c:pt idx="11">
                  <c:v>6.9549615459999998</c:v>
                </c:pt>
              </c:numCache>
            </c:numRef>
          </c:xVal>
          <c:yVal>
            <c:numRef>
              <c:f>BlandAltman_MPN_bio1!$G$2:$G$13</c:f>
              <c:numCache>
                <c:formatCode>0.00</c:formatCode>
                <c:ptCount val="12"/>
                <c:pt idx="0">
                  <c:v>-0.42040417900000016</c:v>
                </c:pt>
                <c:pt idx="1">
                  <c:v>-0.43726620300000008</c:v>
                </c:pt>
                <c:pt idx="2">
                  <c:v>-0.12671976000000029</c:v>
                </c:pt>
                <c:pt idx="3">
                  <c:v>-0.18653750300000027</c:v>
                </c:pt>
                <c:pt idx="4">
                  <c:v>0.26132681799999968</c:v>
                </c:pt>
                <c:pt idx="5">
                  <c:v>0.11628181000000026</c:v>
                </c:pt>
                <c:pt idx="6">
                  <c:v>-0.36914488199999962</c:v>
                </c:pt>
                <c:pt idx="7">
                  <c:v>-0.65059829900000032</c:v>
                </c:pt>
                <c:pt idx="8">
                  <c:v>-0.25718177599999947</c:v>
                </c:pt>
                <c:pt idx="9">
                  <c:v>-0.1320436349999996</c:v>
                </c:pt>
                <c:pt idx="10">
                  <c:v>0.30897208900000006</c:v>
                </c:pt>
                <c:pt idx="11">
                  <c:v>-0.37466083400000016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19-4C8B-9672-A58C20AD387E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BlandAltman_MPN_bio1!$M$31:$M$32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BlandAltman_MPN_bio1!$N$31:$N$32</c:f>
              <c:numCache>
                <c:formatCode>General</c:formatCode>
                <c:ptCount val="2"/>
                <c:pt idx="0">
                  <c:v>-0.1889980295</c:v>
                </c:pt>
                <c:pt idx="1">
                  <c:v>-0.1889980295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19-4C8B-9672-A58C20AD387E}"/>
            </c:ext>
          </c:extLst>
        </c:ser>
        <c:ser>
          <c:idx val="2"/>
          <c:order val="2"/>
          <c:tx>
            <c:v>lower agreement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BlandAltman_MPN_bio1!$M$37:$M$38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BlandAltman_MPN_bio1!$N$37:$N$38</c:f>
              <c:numCache>
                <c:formatCode>General</c:formatCode>
                <c:ptCount val="2"/>
                <c:pt idx="0">
                  <c:v>-0.76527688189461307</c:v>
                </c:pt>
                <c:pt idx="1">
                  <c:v>-0.76527688189461307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19-4C8B-9672-A58C20AD387E}"/>
            </c:ext>
          </c:extLst>
        </c:ser>
        <c:ser>
          <c:idx val="3"/>
          <c:order val="3"/>
          <c:tx>
            <c:v>upper agreement</c:v>
          </c:tx>
          <c:spPr>
            <a:ln w="15875" cap="rnd">
              <a:solidFill>
                <a:srgbClr val="FF0000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BlandAltman_MPN_bio1!$M$43:$M$44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BlandAltman_MPN_bio1!$N$43:$N$44</c:f>
              <c:numCache>
                <c:formatCode>General</c:formatCode>
                <c:ptCount val="2"/>
                <c:pt idx="0">
                  <c:v>0.38728082289461307</c:v>
                </c:pt>
                <c:pt idx="1">
                  <c:v>0.38728082289461307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19-4C8B-9672-A58C20AD387E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7</c:v>
              </c:pt>
              <c:pt idx="1">
                <c:v>10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BA19-4C8B-9672-A58C20AD387E}"/>
            </c:ext>
          </c:extLst>
        </c:ser>
        <c:ser>
          <c:idx val="5"/>
          <c:order val="5"/>
          <c:tx>
            <c:v>blacklinetop 95</c:v>
          </c:tx>
          <c:spPr>
            <a:ln w="158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BlandAltman_MPN_bio1!$P$31:$P$32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BlandAltman_MPN_bio1!$Q$31:$Q$32</c:f>
              <c:numCache>
                <c:formatCode>General</c:formatCode>
                <c:ptCount val="2"/>
                <c:pt idx="0">
                  <c:v>0.13967401568957838</c:v>
                </c:pt>
                <c:pt idx="1">
                  <c:v>0.13967401568957838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19-4C8B-9672-A58C20AD387E}"/>
            </c:ext>
          </c:extLst>
        </c:ser>
        <c:ser>
          <c:idx val="6"/>
          <c:order val="6"/>
          <c:tx>
            <c:v>blackline bottom 95</c:v>
          </c:tx>
          <c:spPr>
            <a:ln w="158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BlandAltman_MPN_bio1!$S$31:$S$32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BlandAltman_MPN_bio1!$T$31:$T$32</c:f>
              <c:numCache>
                <c:formatCode>General</c:formatCode>
                <c:ptCount val="2"/>
                <c:pt idx="0">
                  <c:v>-0.51767007468957837</c:v>
                </c:pt>
                <c:pt idx="1">
                  <c:v>-0.51767007468957837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A19-4C8B-9672-A58C20AD3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loweragreement 95 top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BlandAltman_MPN_bio1!$P$37:$P$38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BlandAltman_MPN_bio1!$Q$37:$Q$38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-0.43660483670503469</c:v>
                      </c:pt>
                      <c:pt idx="1">
                        <c:v>-0.43660483670503469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BA19-4C8B-9672-A58C20AD387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lower agreement 95 bottom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BlandAltman_MPN_bio1!$S$37:$S$38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BlandAltman_MPN_bio1!$T$37:$T$38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-1.0939489270841913</c:v>
                      </c:pt>
                      <c:pt idx="1">
                        <c:v>-1.0939489270841913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A19-4C8B-9672-A58C20AD387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upper agreement 95 top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BlandAltman_MPN_bio1!$P$43:$P$44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BlandAltman_MPN_bio1!$Q$43:$Q$44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0.71595286808419145</c:v>
                      </c:pt>
                      <c:pt idx="1">
                        <c:v>0.71595286808419145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A19-4C8B-9672-A58C20AD387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upper agreement 95 bottom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BlandAltman_MPN_bio1!$S$43:$S$44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BlandAltman_MPN_bio1!$T$43:$T$44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5.8608777705034698E-2</c:v>
                      </c:pt>
                      <c:pt idx="1">
                        <c:v>5.8608777705034698E-2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A19-4C8B-9672-A58C20AD387E}"/>
                  </c:ext>
                </c:extLst>
              </c15:ser>
            </c15:filteredScatterSeries>
          </c:ext>
        </c:extLst>
      </c:scatterChart>
      <c:valAx>
        <c:axId val="128284559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19050" cap="flat" cmpd="sng" algn="ctr">
            <a:solidFill>
              <a:srgbClr val="00B0F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BlandAltman_mpnadjus_bio1!$F$2:$F$13</c:f>
              <c:numCache>
                <c:formatCode>General</c:formatCode>
                <c:ptCount val="12"/>
                <c:pt idx="0" formatCode="0.00">
                  <c:v>9.2491939255000002</c:v>
                </c:pt>
                <c:pt idx="1">
                  <c:v>9.1177805025000005</c:v>
                </c:pt>
                <c:pt idx="2">
                  <c:v>9.0464551520000001</c:v>
                </c:pt>
                <c:pt idx="3">
                  <c:v>8.2944890889999989</c:v>
                </c:pt>
                <c:pt idx="4">
                  <c:v>8.0802963400000003</c:v>
                </c:pt>
                <c:pt idx="5">
                  <c:v>8.1679559370000003</c:v>
                </c:pt>
                <c:pt idx="6">
                  <c:v>7.3408183534999996</c:v>
                </c:pt>
                <c:pt idx="7">
                  <c:v>7.4446204829999996</c:v>
                </c:pt>
                <c:pt idx="8">
                  <c:v>7.4578729490000004</c:v>
                </c:pt>
                <c:pt idx="9">
                  <c:v>6.4593689770000005</c:v>
                </c:pt>
                <c:pt idx="10">
                  <c:v>6.6833395519999996</c:v>
                </c:pt>
                <c:pt idx="11">
                  <c:v>6.9224846150000001</c:v>
                </c:pt>
              </c:numCache>
            </c:numRef>
          </c:xVal>
          <c:yVal>
            <c:numRef>
              <c:f>BlandAltman_mpnadjus_bio1!$G$2:$G$13</c:f>
              <c:numCache>
                <c:formatCode>0.00</c:formatCode>
                <c:ptCount val="12"/>
                <c:pt idx="0">
                  <c:v>-0.37884350499999897</c:v>
                </c:pt>
                <c:pt idx="1">
                  <c:v>-0.39954007699999927</c:v>
                </c:pt>
                <c:pt idx="2">
                  <c:v>-6.1765898000000874E-2</c:v>
                </c:pt>
                <c:pt idx="3">
                  <c:v>-0.14674103599999988</c:v>
                </c:pt>
                <c:pt idx="4">
                  <c:v>0.35078832000000038</c:v>
                </c:pt>
                <c:pt idx="5">
                  <c:v>0.18123567199999968</c:v>
                </c:pt>
                <c:pt idx="6">
                  <c:v>-0.3213452909999992</c:v>
                </c:pt>
                <c:pt idx="7">
                  <c:v>-0.57642442800000016</c:v>
                </c:pt>
                <c:pt idx="8">
                  <c:v>-0.20654712999999969</c:v>
                </c:pt>
                <c:pt idx="9">
                  <c:v>-8.4244043999999185E-2</c:v>
                </c:pt>
                <c:pt idx="10">
                  <c:v>0.35502778199999963</c:v>
                </c:pt>
                <c:pt idx="11">
                  <c:v>-0.30970697199999986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26-4A9F-BB69-2E385E7767A0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BlandAltman_mpnadjus_bio1!$M$31:$M$32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BlandAltman_mpnadjus_bio1!$N$31:$N$32</c:f>
              <c:numCache>
                <c:formatCode>General</c:formatCode>
                <c:ptCount val="2"/>
                <c:pt idx="0">
                  <c:v>-0.13317555058333311</c:v>
                </c:pt>
                <c:pt idx="1">
                  <c:v>-0.13317555058333311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26-4A9F-BB69-2E385E7767A0}"/>
            </c:ext>
          </c:extLst>
        </c:ser>
        <c:ser>
          <c:idx val="2"/>
          <c:order val="2"/>
          <c:tx>
            <c:v>lower agreement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BlandAltman_mpnadjus_bio1!$M$37:$M$38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BlandAltman_mpnadjus_bio1!$N$37:$N$38</c:f>
              <c:numCache>
                <c:formatCode>General</c:formatCode>
                <c:ptCount val="2"/>
                <c:pt idx="0">
                  <c:v>-0.71784676321972829</c:v>
                </c:pt>
                <c:pt idx="1">
                  <c:v>-0.71784676321972829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26-4A9F-BB69-2E385E7767A0}"/>
            </c:ext>
          </c:extLst>
        </c:ser>
        <c:ser>
          <c:idx val="3"/>
          <c:order val="3"/>
          <c:tx>
            <c:v>upper agreement</c:v>
          </c:tx>
          <c:spPr>
            <a:ln w="15875" cap="rnd">
              <a:solidFill>
                <a:srgbClr val="FF0000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BlandAltman_mpnadjus_bio1!$M$43:$M$44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BlandAltman_mpnadjus_bio1!$N$43:$N$44</c:f>
              <c:numCache>
                <c:formatCode>General</c:formatCode>
                <c:ptCount val="2"/>
                <c:pt idx="0">
                  <c:v>0.45149566205306213</c:v>
                </c:pt>
                <c:pt idx="1">
                  <c:v>0.45149566205306213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26-4A9F-BB69-2E385E7767A0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7</c:v>
              </c:pt>
              <c:pt idx="1">
                <c:v>10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A26-4A9F-BB69-2E385E7767A0}"/>
            </c:ext>
          </c:extLst>
        </c:ser>
        <c:ser>
          <c:idx val="5"/>
          <c:order val="5"/>
          <c:tx>
            <c:v>blacklinetop 95</c:v>
          </c:tx>
          <c:spPr>
            <a:ln w="127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BlandAltman_mpnadjus_bio1!$P$31:$P$32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BlandAltman_mpnadjus_bio1!$Q$31:$Q$32</c:f>
              <c:numCache>
                <c:formatCode>General</c:formatCode>
                <c:ptCount val="2"/>
                <c:pt idx="0">
                  <c:v>0.20439685050407516</c:v>
                </c:pt>
                <c:pt idx="1">
                  <c:v>0.20439685050407516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26-4A9F-BB69-2E385E7767A0}"/>
            </c:ext>
          </c:extLst>
        </c:ser>
        <c:ser>
          <c:idx val="6"/>
          <c:order val="6"/>
          <c:tx>
            <c:v>blackline bottom 95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BlandAltman_mpnadjus_bio1!$S$31:$S$32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BlandAltman_mpnadjus_bio1!$T$31:$T$32</c:f>
              <c:numCache>
                <c:formatCode>General</c:formatCode>
                <c:ptCount val="2"/>
                <c:pt idx="0">
                  <c:v>-0.47074795167074135</c:v>
                </c:pt>
                <c:pt idx="1">
                  <c:v>-0.47074795167074135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26-4A9F-BB69-2E385E7767A0}"/>
            </c:ext>
          </c:extLst>
        </c:ser>
        <c:ser>
          <c:idx val="7"/>
          <c:order val="7"/>
          <c:tx>
            <c:v>loweragreement 95 top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BlandAltman_mpnadjus_bio1!$P$37:$P$38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BlandAltman_mpnadjus_bio1!$Q$37:$Q$38</c:f>
              <c:numCache>
                <c:formatCode>General</c:formatCode>
                <c:ptCount val="2"/>
                <c:pt idx="0">
                  <c:v>-0.38027436213232002</c:v>
                </c:pt>
                <c:pt idx="1">
                  <c:v>-0.38027436213232002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26-4A9F-BB69-2E385E7767A0}"/>
            </c:ext>
          </c:extLst>
        </c:ser>
        <c:ser>
          <c:idx val="8"/>
          <c:order val="8"/>
          <c:tx>
            <c:v>lower agreement 95 bottom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BlandAltman_mpnadjus_bio1!$S$37:$S$38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BlandAltman_mpnadjus_bio1!$T$37:$T$38</c:f>
              <c:numCache>
                <c:formatCode>General</c:formatCode>
                <c:ptCount val="2"/>
                <c:pt idx="0">
                  <c:v>-1.0554191643071364</c:v>
                </c:pt>
                <c:pt idx="1">
                  <c:v>-1.0554191643071364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A26-4A9F-BB69-2E385E7767A0}"/>
            </c:ext>
          </c:extLst>
        </c:ser>
        <c:ser>
          <c:idx val="9"/>
          <c:order val="9"/>
          <c:tx>
            <c:v>upper agreement 95 top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BlandAltman_mpnadjus_bio1!$P$43:$P$44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BlandAltman_mpnadjus_bio1!$Q$43:$Q$44</c:f>
              <c:numCache>
                <c:formatCode>General</c:formatCode>
                <c:ptCount val="2"/>
                <c:pt idx="0">
                  <c:v>0.7890680631404704</c:v>
                </c:pt>
                <c:pt idx="1">
                  <c:v>0.7890680631404704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A26-4A9F-BB69-2E385E7767A0}"/>
            </c:ext>
          </c:extLst>
        </c:ser>
        <c:ser>
          <c:idx val="10"/>
          <c:order val="10"/>
          <c:tx>
            <c:v>upper agreement 95 bottom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BlandAltman_mpnadjus_bio1!$S$43:$S$44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BlandAltman_mpnadjus_bio1!$T$43:$T$44</c:f>
              <c:numCache>
                <c:formatCode>General</c:formatCode>
                <c:ptCount val="2"/>
                <c:pt idx="0">
                  <c:v>0.11392326096565386</c:v>
                </c:pt>
                <c:pt idx="1">
                  <c:v>0.11392326096565386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A26-4A9F-BB69-2E385E776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/>
      </c:scatterChart>
      <c:valAx>
        <c:axId val="128284559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solidFill>
              <a:srgbClr val="FFFF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2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BlandAltman_mpnadjus_bio1!$F$2:$F$13</c:f>
              <c:numCache>
                <c:formatCode>General</c:formatCode>
                <c:ptCount val="12"/>
                <c:pt idx="0" formatCode="0.00">
                  <c:v>9.2491939255000002</c:v>
                </c:pt>
                <c:pt idx="1">
                  <c:v>9.1177805025000005</c:v>
                </c:pt>
                <c:pt idx="2">
                  <c:v>9.0464551520000001</c:v>
                </c:pt>
                <c:pt idx="3">
                  <c:v>8.2944890889999989</c:v>
                </c:pt>
                <c:pt idx="4">
                  <c:v>8.0802963400000003</c:v>
                </c:pt>
                <c:pt idx="5">
                  <c:v>8.1679559370000003</c:v>
                </c:pt>
                <c:pt idx="6">
                  <c:v>7.3408183534999996</c:v>
                </c:pt>
                <c:pt idx="7">
                  <c:v>7.4446204829999996</c:v>
                </c:pt>
                <c:pt idx="8">
                  <c:v>7.4578729490000004</c:v>
                </c:pt>
                <c:pt idx="9">
                  <c:v>6.4593689770000005</c:v>
                </c:pt>
                <c:pt idx="10">
                  <c:v>6.6833395519999996</c:v>
                </c:pt>
                <c:pt idx="11">
                  <c:v>6.9224846150000001</c:v>
                </c:pt>
              </c:numCache>
            </c:numRef>
          </c:xVal>
          <c:yVal>
            <c:numRef>
              <c:f>BlandAltman_mpnadjus_bio1!$G$2:$G$13</c:f>
              <c:numCache>
                <c:formatCode>0.00</c:formatCode>
                <c:ptCount val="12"/>
                <c:pt idx="0">
                  <c:v>-0.37884350499999897</c:v>
                </c:pt>
                <c:pt idx="1">
                  <c:v>-0.39954007699999927</c:v>
                </c:pt>
                <c:pt idx="2">
                  <c:v>-6.1765898000000874E-2</c:v>
                </c:pt>
                <c:pt idx="3">
                  <c:v>-0.14674103599999988</c:v>
                </c:pt>
                <c:pt idx="4">
                  <c:v>0.35078832000000038</c:v>
                </c:pt>
                <c:pt idx="5">
                  <c:v>0.18123567199999968</c:v>
                </c:pt>
                <c:pt idx="6">
                  <c:v>-0.3213452909999992</c:v>
                </c:pt>
                <c:pt idx="7">
                  <c:v>-0.57642442800000016</c:v>
                </c:pt>
                <c:pt idx="8">
                  <c:v>-0.20654712999999969</c:v>
                </c:pt>
                <c:pt idx="9">
                  <c:v>-8.4244043999999185E-2</c:v>
                </c:pt>
                <c:pt idx="10">
                  <c:v>0.35502778199999963</c:v>
                </c:pt>
                <c:pt idx="11">
                  <c:v>-0.30970697199999986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B5-4B6E-845C-6873496587D4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BlandAltman_mpnadjus_bio1!$M$31:$M$32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BlandAltman_mpnadjus_bio1!$N$31:$N$32</c:f>
              <c:numCache>
                <c:formatCode>General</c:formatCode>
                <c:ptCount val="2"/>
                <c:pt idx="0">
                  <c:v>-0.13317555058333311</c:v>
                </c:pt>
                <c:pt idx="1">
                  <c:v>-0.13317555058333311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B5-4B6E-845C-6873496587D4}"/>
            </c:ext>
          </c:extLst>
        </c:ser>
        <c:ser>
          <c:idx val="2"/>
          <c:order val="2"/>
          <c:tx>
            <c:v>lower agreement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BlandAltman_mpnadjus_bio1!$M$37:$M$38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BlandAltman_mpnadjus_bio1!$N$37:$N$38</c:f>
              <c:numCache>
                <c:formatCode>General</c:formatCode>
                <c:ptCount val="2"/>
                <c:pt idx="0">
                  <c:v>-0.71784676321972829</c:v>
                </c:pt>
                <c:pt idx="1">
                  <c:v>-0.71784676321972829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B5-4B6E-845C-6873496587D4}"/>
            </c:ext>
          </c:extLst>
        </c:ser>
        <c:ser>
          <c:idx val="3"/>
          <c:order val="3"/>
          <c:tx>
            <c:v>upper agreement</c:v>
          </c:tx>
          <c:spPr>
            <a:ln w="15875" cap="rnd">
              <a:solidFill>
                <a:srgbClr val="FF0000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BlandAltman_mpnadjus_bio1!$M$43:$M$44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BlandAltman_mpnadjus_bio1!$N$43:$N$44</c:f>
              <c:numCache>
                <c:formatCode>General</c:formatCode>
                <c:ptCount val="2"/>
                <c:pt idx="0">
                  <c:v>0.45149566205306213</c:v>
                </c:pt>
                <c:pt idx="1">
                  <c:v>0.45149566205306213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B5-4B6E-845C-6873496587D4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7</c:v>
              </c:pt>
              <c:pt idx="1">
                <c:v>10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B8B5-4B6E-845C-6873496587D4}"/>
            </c:ext>
          </c:extLst>
        </c:ser>
        <c:ser>
          <c:idx val="5"/>
          <c:order val="5"/>
          <c:tx>
            <c:v>blacklinetop 95</c:v>
          </c:tx>
          <c:spPr>
            <a:ln w="158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BlandAltman_mpnadjus_bio1!$P$31:$P$32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BlandAltman_mpnadjus_bio1!$Q$31:$Q$32</c:f>
              <c:numCache>
                <c:formatCode>General</c:formatCode>
                <c:ptCount val="2"/>
                <c:pt idx="0">
                  <c:v>0.20439685050407516</c:v>
                </c:pt>
                <c:pt idx="1">
                  <c:v>0.20439685050407516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B5-4B6E-845C-6873496587D4}"/>
            </c:ext>
          </c:extLst>
        </c:ser>
        <c:ser>
          <c:idx val="6"/>
          <c:order val="6"/>
          <c:tx>
            <c:v>blackline bottom 95</c:v>
          </c:tx>
          <c:spPr>
            <a:ln w="158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BlandAltman_mpnadjus_bio1!$S$31:$S$32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BlandAltman_mpnadjus_bio1!$T$31:$T$32</c:f>
              <c:numCache>
                <c:formatCode>General</c:formatCode>
                <c:ptCount val="2"/>
                <c:pt idx="0">
                  <c:v>-0.47074795167074135</c:v>
                </c:pt>
                <c:pt idx="1">
                  <c:v>-0.47074795167074135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8B5-4B6E-845C-687349658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loweragreement 95 top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BlandAltman_mpnadjus_bio1!$P$37:$P$38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BlandAltman_mpnadjus_bio1!$Q$37:$Q$38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-0.38027436213232002</c:v>
                      </c:pt>
                      <c:pt idx="1">
                        <c:v>-0.38027436213232002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B8B5-4B6E-845C-6873496587D4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lower agreement 95 bottom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BlandAltman_mpnadjus_bio1!$S$37:$S$38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BlandAltman_mpnadjus_bio1!$T$37:$T$38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-1.0554191643071364</c:v>
                      </c:pt>
                      <c:pt idx="1">
                        <c:v>-1.0554191643071364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8B5-4B6E-845C-6873496587D4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upper agreement 95 top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BlandAltman_mpnadjus_bio1!$P$43:$P$44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BlandAltman_mpnadjus_bio1!$Q$43:$Q$44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0.7890680631404704</c:v>
                      </c:pt>
                      <c:pt idx="1">
                        <c:v>0.7890680631404704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8B5-4B6E-845C-6873496587D4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upper agreement 95 bottom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BlandAltman_mpnadjus_bio1!$S$43:$S$44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BlandAltman_mpnadjus_bio1!$T$43:$T$44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0.11392326096565386</c:v>
                      </c:pt>
                      <c:pt idx="1">
                        <c:v>0.11392326096565386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8B5-4B6E-845C-6873496587D4}"/>
                  </c:ext>
                </c:extLst>
              </c15:ser>
            </c15:filteredScatterSeries>
          </c:ext>
        </c:extLst>
      </c:scatterChart>
      <c:valAx>
        <c:axId val="128284559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19050" cap="flat" cmpd="sng" algn="ctr">
            <a:solidFill>
              <a:schemeClr val="accent4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image" Target="../media/image11.png"/><Relationship Id="rId2" Type="http://schemas.openxmlformats.org/officeDocument/2006/relationships/chart" Target="../charts/chart8.xml"/><Relationship Id="rId1" Type="http://schemas.openxmlformats.org/officeDocument/2006/relationships/image" Target="../media/image7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image" Target="../media/image7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185329</xdr:colOff>
      <xdr:row>47</xdr:row>
      <xdr:rowOff>63953</xdr:rowOff>
    </xdr:from>
    <xdr:to>
      <xdr:col>24</xdr:col>
      <xdr:colOff>500743</xdr:colOff>
      <xdr:row>61</xdr:row>
      <xdr:rowOff>102053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124CD8-0B70-4064-B78F-19F518B19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696957</xdr:colOff>
      <xdr:row>56</xdr:row>
      <xdr:rowOff>107496</xdr:rowOff>
    </xdr:from>
    <xdr:to>
      <xdr:col>24</xdr:col>
      <xdr:colOff>283029</xdr:colOff>
      <xdr:row>70</xdr:row>
      <xdr:rowOff>145596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B52A46-EE82-444F-ADB0-5856B4775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589733</xdr:colOff>
      <xdr:row>16</xdr:row>
      <xdr:rowOff>43542</xdr:rowOff>
    </xdr:from>
    <xdr:to>
      <xdr:col>9</xdr:col>
      <xdr:colOff>90895</xdr:colOff>
      <xdr:row>30</xdr:row>
      <xdr:rowOff>43542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568607-9FA1-4001-81C7-262572EE5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0</xdr:colOff>
      <xdr:row>108</xdr:row>
      <xdr:rowOff>0</xdr:rowOff>
    </xdr:from>
    <xdr:to>
      <xdr:col>12</xdr:col>
      <xdr:colOff>200142</xdr:colOff>
      <xdr:row>126</xdr:row>
      <xdr:rowOff>179696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7AE7EA8-ACAA-952A-BF9E-398C30D4E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1161829"/>
          <a:ext cx="5590476" cy="37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41638</xdr:rowOff>
    </xdr:from>
    <xdr:to>
      <xdr:col>10</xdr:col>
      <xdr:colOff>220849</xdr:colOff>
      <xdr:row>105</xdr:row>
      <xdr:rowOff>80304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99C771-CAAE-44C4-B773-FAC14B1FF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8656209"/>
          <a:ext cx="5411430" cy="20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772885</xdr:colOff>
      <xdr:row>92</xdr:row>
      <xdr:rowOff>0</xdr:rowOff>
    </xdr:from>
    <xdr:to>
      <xdr:col>20</xdr:col>
      <xdr:colOff>24058</xdr:colOff>
      <xdr:row>106</xdr:row>
      <xdr:rowOff>174896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B029BDF-7119-4AEB-9309-4DE10CD1B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84571" y="18026743"/>
          <a:ext cx="5660953" cy="2914286"/>
        </a:xfrm>
        <a:prstGeom prst="rect">
          <a:avLst/>
        </a:prstGeom>
      </xdr:spPr>
    </xdr:pic>
    <xdr:clientData/>
  </xdr:twoCellAnchor>
  <xdr:twoCellAnchor>
    <xdr:from>
      <xdr:col>14</xdr:col>
      <xdr:colOff>557894</xdr:colOff>
      <xdr:row>5</xdr:row>
      <xdr:rowOff>81643</xdr:rowOff>
    </xdr:from>
    <xdr:to>
      <xdr:col>25</xdr:col>
      <xdr:colOff>385628</xdr:colOff>
      <xdr:row>34</xdr:row>
      <xdr:rowOff>54429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3924F-93DB-4922-B3EE-E1553E7CB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185329</xdr:colOff>
      <xdr:row>47</xdr:row>
      <xdr:rowOff>63953</xdr:rowOff>
    </xdr:from>
    <xdr:to>
      <xdr:col>24</xdr:col>
      <xdr:colOff>500743</xdr:colOff>
      <xdr:row>61</xdr:row>
      <xdr:rowOff>102053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AA7A6E-3398-9924-A349-94F56F1A2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696957</xdr:colOff>
      <xdr:row>56</xdr:row>
      <xdr:rowOff>107496</xdr:rowOff>
    </xdr:from>
    <xdr:to>
      <xdr:col>24</xdr:col>
      <xdr:colOff>283029</xdr:colOff>
      <xdr:row>70</xdr:row>
      <xdr:rowOff>145596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DAD047-A456-BEDA-F888-8D8AC1EC9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589733</xdr:colOff>
      <xdr:row>16</xdr:row>
      <xdr:rowOff>43542</xdr:rowOff>
    </xdr:from>
    <xdr:to>
      <xdr:col>9</xdr:col>
      <xdr:colOff>90895</xdr:colOff>
      <xdr:row>30</xdr:row>
      <xdr:rowOff>43542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B2C39F-192F-A92A-E99D-19F1FDF56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370115</xdr:colOff>
      <xdr:row>35</xdr:row>
      <xdr:rowOff>152400</xdr:rowOff>
    </xdr:from>
    <xdr:to>
      <xdr:col>24</xdr:col>
      <xdr:colOff>247782</xdr:colOff>
      <xdr:row>44</xdr:row>
      <xdr:rowOff>188914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7599B9-492B-A7FB-BC5A-18B7594AE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17629" y="7010400"/>
          <a:ext cx="5483810" cy="18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283029</xdr:colOff>
      <xdr:row>17</xdr:row>
      <xdr:rowOff>163285</xdr:rowOff>
    </xdr:from>
    <xdr:to>
      <xdr:col>24</xdr:col>
      <xdr:colOff>429267</xdr:colOff>
      <xdr:row>33</xdr:row>
      <xdr:rowOff>91057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C54DCA1-D7C1-9B81-1E67-F343E430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30543" y="3494314"/>
          <a:ext cx="5752381" cy="3062857"/>
        </a:xfrm>
        <a:prstGeom prst="rect">
          <a:avLst/>
        </a:prstGeom>
      </xdr:spPr>
    </xdr:pic>
    <xdr:clientData/>
  </xdr:twoCellAnchor>
  <xdr:twoCellAnchor editAs="oneCell">
    <xdr:from>
      <xdr:col>15</xdr:col>
      <xdr:colOff>413658</xdr:colOff>
      <xdr:row>2</xdr:row>
      <xdr:rowOff>163286</xdr:rowOff>
    </xdr:from>
    <xdr:to>
      <xdr:col>24</xdr:col>
      <xdr:colOff>277992</xdr:colOff>
      <xdr:row>15</xdr:row>
      <xdr:rowOff>120791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750C33-5449-0A18-D1CE-E998066F0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61172" y="555172"/>
          <a:ext cx="5470477" cy="25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384810</xdr:colOff>
      <xdr:row>49</xdr:row>
      <xdr:rowOff>148662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F6812F-6268-4645-BB5F-A7638D187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126480"/>
          <a:ext cx="6015990" cy="3402402"/>
        </a:xfrm>
        <a:prstGeom prst="rect">
          <a:avLst/>
        </a:prstGeom>
      </xdr:spPr>
    </xdr:pic>
    <xdr:clientData/>
  </xdr:twoCellAnchor>
  <xdr:twoCellAnchor>
    <xdr:from>
      <xdr:col>9</xdr:col>
      <xdr:colOff>329019</xdr:colOff>
      <xdr:row>5</xdr:row>
      <xdr:rowOff>3810</xdr:rowOff>
    </xdr:from>
    <xdr:to>
      <xdr:col>16</xdr:col>
      <xdr:colOff>50889</xdr:colOff>
      <xdr:row>22</xdr:row>
      <xdr:rowOff>153670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4D7055-8819-42C4-904B-F4CB66864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600075</xdr:colOff>
      <xdr:row>5</xdr:row>
      <xdr:rowOff>57150</xdr:rowOff>
    </xdr:from>
    <xdr:to>
      <xdr:col>24</xdr:col>
      <xdr:colOff>319563</xdr:colOff>
      <xdr:row>23</xdr:row>
      <xdr:rowOff>4604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773174-127C-4744-9579-6E193C4B9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77</xdr:row>
      <xdr:rowOff>0</xdr:rowOff>
    </xdr:from>
    <xdr:to>
      <xdr:col>7</xdr:col>
      <xdr:colOff>149872</xdr:colOff>
      <xdr:row>90</xdr:row>
      <xdr:rowOff>37786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4AF663-D354-D5F6-39F5-0FF9BDC3A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714220"/>
          <a:ext cx="4980952" cy="25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15</xdr:col>
      <xdr:colOff>3298</xdr:colOff>
      <xdr:row>86</xdr:row>
      <xdr:rowOff>41690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6CD6B47-2B5A-D3E0-A71D-61B956B5F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81800" y="14714220"/>
          <a:ext cx="4095238" cy="17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98</xdr:row>
      <xdr:rowOff>30480</xdr:rowOff>
    </xdr:from>
    <xdr:to>
      <xdr:col>16</xdr:col>
      <xdr:colOff>574839</xdr:colOff>
      <xdr:row>103</xdr:row>
      <xdr:rowOff>72269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D9D4C9-3700-586E-7EA2-27F396522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82940" y="18745200"/>
          <a:ext cx="3775239" cy="9752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8</xdr:col>
      <xdr:colOff>424058</xdr:colOff>
      <xdr:row>126</xdr:row>
      <xdr:rowOff>185930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B6A3EBC-BAE5-0004-4FC8-D32DCF628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143220"/>
          <a:ext cx="6057143" cy="60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575310</xdr:colOff>
      <xdr:row>49</xdr:row>
      <xdr:rowOff>148662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AF8125-BF73-428E-997C-41BC49032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134100"/>
          <a:ext cx="6023610" cy="3406212"/>
        </a:xfrm>
        <a:prstGeom prst="rect">
          <a:avLst/>
        </a:prstGeom>
      </xdr:spPr>
    </xdr:pic>
    <xdr:clientData/>
  </xdr:twoCellAnchor>
  <xdr:twoCellAnchor>
    <xdr:from>
      <xdr:col>9</xdr:col>
      <xdr:colOff>329019</xdr:colOff>
      <xdr:row>5</xdr:row>
      <xdr:rowOff>3810</xdr:rowOff>
    </xdr:from>
    <xdr:to>
      <xdr:col>16</xdr:col>
      <xdr:colOff>50889</xdr:colOff>
      <xdr:row>22</xdr:row>
      <xdr:rowOff>153670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BE2F49-FF0A-4D4D-9C65-C45F91B7DC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600075</xdr:colOff>
      <xdr:row>5</xdr:row>
      <xdr:rowOff>57150</xdr:rowOff>
    </xdr:from>
    <xdr:to>
      <xdr:col>24</xdr:col>
      <xdr:colOff>319563</xdr:colOff>
      <xdr:row>23</xdr:row>
      <xdr:rowOff>4604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0B025C-220E-4A82-A0D2-30CE3EFD6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78</xdr:row>
      <xdr:rowOff>0</xdr:rowOff>
    </xdr:from>
    <xdr:to>
      <xdr:col>6</xdr:col>
      <xdr:colOff>776645</xdr:colOff>
      <xdr:row>91</xdr:row>
      <xdr:rowOff>152071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6C1A72E-64F1-3DE9-5C01-02E35AD0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904720"/>
          <a:ext cx="4761905" cy="2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10</xdr:col>
      <xdr:colOff>218305</xdr:colOff>
      <xdr:row>129</xdr:row>
      <xdr:rowOff>46857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BEE0341-A1DE-B5C2-F8FF-E3C246BCD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5880" y="18524220"/>
          <a:ext cx="6161905" cy="61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15</xdr:col>
      <xdr:colOff>29966</xdr:colOff>
      <xdr:row>87</xdr:row>
      <xdr:rowOff>66429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5D5C2CA-E496-0AF0-1B46-5A48D5156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59880" y="14714220"/>
          <a:ext cx="4114286" cy="19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</xdr:row>
      <xdr:rowOff>0</xdr:rowOff>
    </xdr:from>
    <xdr:to>
      <xdr:col>17</xdr:col>
      <xdr:colOff>169096</xdr:colOff>
      <xdr:row>18</xdr:row>
      <xdr:rowOff>66991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2EAD50-9EB0-0035-5998-DBDD853E1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2743" y="1763486"/>
          <a:ext cx="5771429" cy="18285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11</xdr:row>
      <xdr:rowOff>0</xdr:rowOff>
    </xdr:from>
    <xdr:to>
      <xdr:col>17</xdr:col>
      <xdr:colOff>138619</xdr:colOff>
      <xdr:row>20</xdr:row>
      <xdr:rowOff>158419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3AD93F-4FC9-5419-6178-EB36B50E2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2743" y="2155371"/>
          <a:ext cx="5742857" cy="192381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3766-E62D-4ACD-8EA8-798EFD3E87C4}">
  <dimension ref="A1:G13"/>
  <sheetViews>
    <sheetView workbookViewId="0">
      <selection activeCell="F23" sqref="F23"/>
    </sheetView>
  </sheetViews>
  <sheetFormatPr defaultRowHeight="15" x14ac:dyDescent="0.25"/>
  <cols>
    <col min="1" max="1" width="17" customWidth="1"/>
  </cols>
  <sheetData>
    <row r="1" spans="1:7" x14ac:dyDescent="0.25">
      <c r="A1">
        <v>0.44</v>
      </c>
    </row>
    <row r="2" spans="1:7" x14ac:dyDescent="0.25">
      <c r="A2">
        <v>0.46</v>
      </c>
    </row>
    <row r="3" spans="1:7" x14ac:dyDescent="0.25">
      <c r="A3">
        <v>0.46</v>
      </c>
      <c r="G3" t="s">
        <v>267</v>
      </c>
    </row>
    <row r="4" spans="1:7" x14ac:dyDescent="0.25">
      <c r="A4">
        <v>0.44</v>
      </c>
    </row>
    <row r="5" spans="1:7" x14ac:dyDescent="0.25">
      <c r="A5">
        <v>0.45</v>
      </c>
    </row>
    <row r="6" spans="1:7" x14ac:dyDescent="0.25">
      <c r="A6">
        <v>0.44</v>
      </c>
    </row>
    <row r="7" spans="1:7" x14ac:dyDescent="0.25">
      <c r="A7">
        <v>0.45</v>
      </c>
    </row>
    <row r="8" spans="1:7" x14ac:dyDescent="0.25">
      <c r="A8">
        <v>0.44</v>
      </c>
    </row>
    <row r="10" spans="1:7" x14ac:dyDescent="0.25">
      <c r="A10" t="s">
        <v>240</v>
      </c>
      <c r="B10" s="9">
        <f>AVERAGE(A1:A8)</f>
        <v>0.44750000000000001</v>
      </c>
    </row>
    <row r="11" spans="1:7" x14ac:dyDescent="0.25">
      <c r="A11" t="s">
        <v>241</v>
      </c>
      <c r="B11">
        <f>_xlfn.STDEV.S(A1:A8)</f>
        <v>8.8640526042791899E-3</v>
      </c>
    </row>
    <row r="13" spans="1:7" x14ac:dyDescent="0.25">
      <c r="A13" t="s">
        <v>242</v>
      </c>
      <c r="B13">
        <f>B10+B11</f>
        <v>0.4563640526042792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A474-C8F9-4C04-84E6-DADD4B616CA3}">
  <dimension ref="A2:W31"/>
  <sheetViews>
    <sheetView workbookViewId="0">
      <selection activeCell="E18" sqref="E18"/>
    </sheetView>
  </sheetViews>
  <sheetFormatPr defaultRowHeight="15" x14ac:dyDescent="0.25"/>
  <cols>
    <col min="7" max="7" width="11" bestFit="1" customWidth="1"/>
    <col min="8" max="8" width="12" bestFit="1" customWidth="1"/>
    <col min="9" max="10" width="12" customWidth="1"/>
    <col min="16" max="16" width="11" bestFit="1" customWidth="1"/>
    <col min="17" max="17" width="12" bestFit="1" customWidth="1"/>
    <col min="20" max="21" width="12" bestFit="1" customWidth="1"/>
    <col min="24" max="24" width="12" bestFit="1" customWidth="1"/>
  </cols>
  <sheetData>
    <row r="2" spans="1:4" x14ac:dyDescent="0.25">
      <c r="A2">
        <v>1</v>
      </c>
      <c r="B2" t="s">
        <v>266</v>
      </c>
    </row>
    <row r="3" spans="1:4" x14ac:dyDescent="0.25">
      <c r="A3">
        <v>2</v>
      </c>
      <c r="B3" t="s">
        <v>268</v>
      </c>
    </row>
    <row r="4" spans="1:4" x14ac:dyDescent="0.25">
      <c r="A4">
        <v>3</v>
      </c>
      <c r="B4" t="s">
        <v>264</v>
      </c>
    </row>
    <row r="5" spans="1:4" x14ac:dyDescent="0.25">
      <c r="A5">
        <v>4</v>
      </c>
      <c r="B5" t="s">
        <v>265</v>
      </c>
    </row>
    <row r="6" spans="1:4" x14ac:dyDescent="0.25">
      <c r="A6">
        <v>5</v>
      </c>
      <c r="B6" t="s">
        <v>258</v>
      </c>
    </row>
    <row r="7" spans="1:4" x14ac:dyDescent="0.25">
      <c r="A7">
        <v>6</v>
      </c>
      <c r="B7" t="s">
        <v>261</v>
      </c>
    </row>
    <row r="8" spans="1:4" x14ac:dyDescent="0.25">
      <c r="A8">
        <v>7</v>
      </c>
      <c r="B8" t="s">
        <v>262</v>
      </c>
    </row>
    <row r="9" spans="1:4" x14ac:dyDescent="0.25">
      <c r="B9" t="s">
        <v>179</v>
      </c>
    </row>
    <row r="10" spans="1:4" x14ac:dyDescent="0.25">
      <c r="B10" t="s">
        <v>40</v>
      </c>
    </row>
    <row r="11" spans="1:4" x14ac:dyDescent="0.25">
      <c r="B11" t="s">
        <v>41</v>
      </c>
    </row>
    <row r="12" spans="1:4" x14ac:dyDescent="0.25">
      <c r="B12" t="s">
        <v>42</v>
      </c>
    </row>
    <row r="14" spans="1:4" x14ac:dyDescent="0.25">
      <c r="A14">
        <v>8</v>
      </c>
      <c r="B14" t="s">
        <v>263</v>
      </c>
      <c r="D14" s="67"/>
    </row>
    <row r="15" spans="1:4" x14ac:dyDescent="0.25">
      <c r="D15" s="67"/>
    </row>
    <row r="16" spans="1:4" x14ac:dyDescent="0.25">
      <c r="D16" s="67"/>
    </row>
    <row r="17" spans="1:23" x14ac:dyDescent="0.25">
      <c r="D17" s="67"/>
    </row>
    <row r="18" spans="1:23" x14ac:dyDescent="0.25">
      <c r="D18" s="67"/>
    </row>
    <row r="19" spans="1:23" x14ac:dyDescent="0.25">
      <c r="D19" s="67"/>
    </row>
    <row r="20" spans="1:23" x14ac:dyDescent="0.25">
      <c r="A20" t="s">
        <v>221</v>
      </c>
      <c r="B20" t="s">
        <v>243</v>
      </c>
      <c r="C20" t="s">
        <v>52</v>
      </c>
      <c r="D20" t="s">
        <v>244</v>
      </c>
      <c r="E20" t="s">
        <v>245</v>
      </c>
      <c r="F20" t="s">
        <v>246</v>
      </c>
      <c r="G20" t="s">
        <v>247</v>
      </c>
      <c r="H20" t="s">
        <v>248</v>
      </c>
      <c r="I20" t="s">
        <v>240</v>
      </c>
      <c r="J20" t="s">
        <v>248</v>
      </c>
      <c r="K20" t="s">
        <v>249</v>
      </c>
      <c r="L20" t="s">
        <v>52</v>
      </c>
      <c r="M20" t="s">
        <v>244</v>
      </c>
      <c r="N20" t="s">
        <v>245</v>
      </c>
      <c r="O20" t="s">
        <v>246</v>
      </c>
      <c r="P20" t="s">
        <v>240</v>
      </c>
      <c r="Q20" t="s">
        <v>248</v>
      </c>
      <c r="R20" t="s">
        <v>240</v>
      </c>
      <c r="S20" t="s">
        <v>248</v>
      </c>
      <c r="T20" t="s">
        <v>186</v>
      </c>
      <c r="U20" t="s">
        <v>250</v>
      </c>
    </row>
    <row r="21" spans="1:23" x14ac:dyDescent="0.25">
      <c r="A21" t="s">
        <v>20</v>
      </c>
      <c r="B21">
        <v>8</v>
      </c>
      <c r="C21" s="12">
        <v>9.9999999999999995E-7</v>
      </c>
      <c r="D21">
        <v>5.0000000000000001E-3</v>
      </c>
      <c r="E21" s="12">
        <f>C21*D21</f>
        <v>5.0000000000000001E-9</v>
      </c>
      <c r="F21" s="12">
        <f>B21/E21</f>
        <v>1600000000</v>
      </c>
      <c r="G21" s="12">
        <f>GEOMEAN(F21:F31)</f>
        <v>1886511729.1590526</v>
      </c>
      <c r="H21" s="12">
        <f>G21*0.15</f>
        <v>282976759.37385786</v>
      </c>
      <c r="I21" s="12">
        <f>AVERAGE(F21:F31)</f>
        <v>1963636363.6363637</v>
      </c>
      <c r="J21" s="12">
        <f>0.15*I21</f>
        <v>294545454.54545456</v>
      </c>
      <c r="K21">
        <v>10</v>
      </c>
      <c r="L21" s="12">
        <v>9.9999999999999995E-7</v>
      </c>
      <c r="M21">
        <v>5.0000000000000001E-3</v>
      </c>
      <c r="N21" s="12">
        <f>L21*M21</f>
        <v>5.0000000000000001E-9</v>
      </c>
      <c r="O21" s="12">
        <f>K21/N21</f>
        <v>2000000000</v>
      </c>
      <c r="P21" s="12">
        <f>GEOMEAN(O21:O31)</f>
        <v>2265942191.8705964</v>
      </c>
      <c r="Q21" s="12">
        <f>0.15*P21</f>
        <v>339891328.78058946</v>
      </c>
      <c r="R21" s="12">
        <f>GEOMEAN(O21:O31)</f>
        <v>2265942191.8705964</v>
      </c>
      <c r="S21" s="12">
        <f>0.15*R21</f>
        <v>339891328.78058946</v>
      </c>
      <c r="T21">
        <f>LOG10(S21)</f>
        <v>8.5313400851162235</v>
      </c>
      <c r="U21">
        <f>LOG10(R21)</f>
        <v>9.3552488260605422</v>
      </c>
      <c r="W21" s="12"/>
    </row>
    <row r="22" spans="1:23" x14ac:dyDescent="0.25">
      <c r="A22" t="s">
        <v>20</v>
      </c>
      <c r="B22">
        <v>14</v>
      </c>
      <c r="C22" s="12">
        <v>9.9999999999999995E-7</v>
      </c>
      <c r="D22">
        <v>5.0000000000000001E-3</v>
      </c>
      <c r="E22" s="12">
        <f t="shared" ref="E22:E31" si="0">C22*D22</f>
        <v>5.0000000000000001E-9</v>
      </c>
      <c r="F22" s="12">
        <f t="shared" ref="F22:F30" si="1">B22/E22</f>
        <v>2800000000</v>
      </c>
      <c r="K22">
        <v>12</v>
      </c>
      <c r="L22" s="12">
        <v>9.9999999999999995E-7</v>
      </c>
      <c r="M22">
        <v>5.0000000000000001E-3</v>
      </c>
      <c r="N22" s="12">
        <f t="shared" ref="N22:N31" si="2">L22*M22</f>
        <v>5.0000000000000001E-9</v>
      </c>
      <c r="O22" s="12">
        <f t="shared" ref="O22:O31" si="3">K22/N22</f>
        <v>2400000000</v>
      </c>
      <c r="R22" s="12">
        <v>227000000</v>
      </c>
      <c r="S22" s="12">
        <f t="shared" ref="S22:S24" si="4">0.15*R22</f>
        <v>34050000</v>
      </c>
      <c r="T22">
        <f t="shared" ref="T22:T24" si="5">LOG10(S22)</f>
        <v>7.5321171162488039</v>
      </c>
      <c r="U22">
        <f t="shared" ref="U22:U24" si="6">LOG10(R22)</f>
        <v>8.3560258571931225</v>
      </c>
      <c r="W22" s="12"/>
    </row>
    <row r="23" spans="1:23" x14ac:dyDescent="0.25">
      <c r="A23" t="s">
        <v>20</v>
      </c>
      <c r="B23">
        <v>10</v>
      </c>
      <c r="C23" s="12">
        <v>9.9999999999999995E-7</v>
      </c>
      <c r="D23">
        <v>5.0000000000000001E-3</v>
      </c>
      <c r="E23" s="12">
        <f t="shared" si="0"/>
        <v>5.0000000000000001E-9</v>
      </c>
      <c r="F23" s="12">
        <f t="shared" si="1"/>
        <v>2000000000</v>
      </c>
      <c r="K23">
        <v>10</v>
      </c>
      <c r="L23" s="12">
        <v>9.9999999999999995E-7</v>
      </c>
      <c r="M23">
        <v>5.0000000000000001E-3</v>
      </c>
      <c r="N23" s="12">
        <f t="shared" si="2"/>
        <v>5.0000000000000001E-9</v>
      </c>
      <c r="O23" s="12">
        <f t="shared" si="3"/>
        <v>2000000000</v>
      </c>
      <c r="R23" s="12">
        <v>22700000</v>
      </c>
      <c r="S23" s="12">
        <f t="shared" si="4"/>
        <v>3405000</v>
      </c>
      <c r="T23">
        <f t="shared" si="5"/>
        <v>6.5321171162488039</v>
      </c>
      <c r="U23">
        <f t="shared" si="6"/>
        <v>7.3560258571931225</v>
      </c>
      <c r="W23" s="12"/>
    </row>
    <row r="24" spans="1:23" x14ac:dyDescent="0.25">
      <c r="A24" t="s">
        <v>20</v>
      </c>
      <c r="B24">
        <v>14</v>
      </c>
      <c r="C24" s="12">
        <v>9.9999999999999995E-7</v>
      </c>
      <c r="D24">
        <v>5.0000000000000001E-3</v>
      </c>
      <c r="E24" s="12">
        <f t="shared" si="0"/>
        <v>5.0000000000000001E-9</v>
      </c>
      <c r="F24" s="12">
        <f t="shared" si="1"/>
        <v>2800000000</v>
      </c>
      <c r="K24">
        <v>5</v>
      </c>
      <c r="L24" s="12">
        <v>9.9999999999999995E-7</v>
      </c>
      <c r="M24">
        <v>5.0000000000000001E-3</v>
      </c>
      <c r="N24" s="12">
        <f t="shared" si="2"/>
        <v>5.0000000000000001E-9</v>
      </c>
      <c r="O24" s="12">
        <f t="shared" si="3"/>
        <v>1000000000</v>
      </c>
      <c r="R24" s="12">
        <v>2270000</v>
      </c>
      <c r="S24" s="12">
        <f t="shared" si="4"/>
        <v>340500</v>
      </c>
      <c r="T24">
        <f t="shared" si="5"/>
        <v>5.5321171162488039</v>
      </c>
      <c r="U24">
        <f t="shared" si="6"/>
        <v>6.3560258571931225</v>
      </c>
      <c r="W24" s="12"/>
    </row>
    <row r="25" spans="1:23" x14ac:dyDescent="0.25">
      <c r="A25" t="s">
        <v>20</v>
      </c>
      <c r="B25">
        <v>5</v>
      </c>
      <c r="C25" s="12">
        <v>9.9999999999999995E-7</v>
      </c>
      <c r="D25">
        <v>5.0000000000000001E-3</v>
      </c>
      <c r="E25" s="12">
        <f t="shared" si="0"/>
        <v>5.0000000000000001E-9</v>
      </c>
      <c r="F25" s="12">
        <f t="shared" si="1"/>
        <v>1000000000</v>
      </c>
      <c r="K25">
        <v>13</v>
      </c>
      <c r="L25" s="12">
        <v>9.9999999999999995E-7</v>
      </c>
      <c r="M25">
        <v>5.0000000000000001E-3</v>
      </c>
      <c r="N25" s="12">
        <f t="shared" si="2"/>
        <v>5.0000000000000001E-9</v>
      </c>
      <c r="O25" s="12">
        <f t="shared" si="3"/>
        <v>2600000000</v>
      </c>
    </row>
    <row r="26" spans="1:23" x14ac:dyDescent="0.25">
      <c r="A26" t="s">
        <v>20</v>
      </c>
      <c r="B26">
        <v>11</v>
      </c>
      <c r="C26" s="12">
        <v>9.9999999999999995E-7</v>
      </c>
      <c r="D26">
        <v>5.0000000000000001E-3</v>
      </c>
      <c r="E26" s="12">
        <f t="shared" si="0"/>
        <v>5.0000000000000001E-9</v>
      </c>
      <c r="F26" s="12">
        <f t="shared" si="1"/>
        <v>2200000000</v>
      </c>
      <c r="K26">
        <v>12</v>
      </c>
      <c r="L26" s="12">
        <v>9.9999999999999995E-7</v>
      </c>
      <c r="M26">
        <v>5.0000000000000001E-3</v>
      </c>
      <c r="N26" s="12">
        <f t="shared" si="2"/>
        <v>5.0000000000000001E-9</v>
      </c>
      <c r="O26" s="12">
        <f t="shared" si="3"/>
        <v>2400000000</v>
      </c>
    </row>
    <row r="27" spans="1:23" x14ac:dyDescent="0.25">
      <c r="A27" t="s">
        <v>20</v>
      </c>
      <c r="B27">
        <v>7</v>
      </c>
      <c r="C27" s="12">
        <v>9.9999999999999995E-7</v>
      </c>
      <c r="D27">
        <v>5.0000000000000001E-3</v>
      </c>
      <c r="E27" s="12">
        <f t="shared" si="0"/>
        <v>5.0000000000000001E-9</v>
      </c>
      <c r="F27" s="12">
        <f t="shared" si="1"/>
        <v>1400000000</v>
      </c>
      <c r="K27">
        <v>13</v>
      </c>
      <c r="L27" s="12">
        <v>9.9999999999999995E-7</v>
      </c>
      <c r="M27">
        <v>5.0000000000000001E-3</v>
      </c>
      <c r="N27" s="12">
        <f t="shared" si="2"/>
        <v>5.0000000000000001E-9</v>
      </c>
      <c r="O27" s="12">
        <f t="shared" si="3"/>
        <v>2600000000</v>
      </c>
    </row>
    <row r="28" spans="1:23" x14ac:dyDescent="0.25">
      <c r="A28" t="s">
        <v>20</v>
      </c>
      <c r="B28">
        <v>11</v>
      </c>
      <c r="C28" s="12">
        <v>9.9999999999999995E-7</v>
      </c>
      <c r="D28">
        <v>5.0000000000000001E-3</v>
      </c>
      <c r="E28" s="12">
        <f t="shared" si="0"/>
        <v>5.0000000000000001E-9</v>
      </c>
      <c r="F28" s="12">
        <f t="shared" si="1"/>
        <v>2200000000</v>
      </c>
      <c r="K28">
        <v>13</v>
      </c>
      <c r="L28" s="12">
        <v>9.9999999999999995E-7</v>
      </c>
      <c r="M28">
        <v>5.0000000000000001E-3</v>
      </c>
      <c r="N28" s="12">
        <f t="shared" si="2"/>
        <v>5.0000000000000001E-9</v>
      </c>
      <c r="O28" s="12">
        <f t="shared" si="3"/>
        <v>2600000000</v>
      </c>
    </row>
    <row r="29" spans="1:23" x14ac:dyDescent="0.25">
      <c r="A29" t="s">
        <v>20</v>
      </c>
      <c r="B29">
        <v>9</v>
      </c>
      <c r="C29" s="12">
        <v>9.9999999999999995E-7</v>
      </c>
      <c r="D29">
        <v>5.0000000000000001E-3</v>
      </c>
      <c r="E29" s="12">
        <f t="shared" si="0"/>
        <v>5.0000000000000001E-9</v>
      </c>
      <c r="F29" s="12">
        <f t="shared" si="1"/>
        <v>1800000000</v>
      </c>
      <c r="K29">
        <v>16</v>
      </c>
      <c r="L29" s="12">
        <v>9.9999999999999995E-7</v>
      </c>
      <c r="M29">
        <v>5.0000000000000001E-3</v>
      </c>
      <c r="N29" s="12">
        <f t="shared" si="2"/>
        <v>5.0000000000000001E-9</v>
      </c>
      <c r="O29" s="12">
        <f t="shared" si="3"/>
        <v>3200000000</v>
      </c>
    </row>
    <row r="30" spans="1:23" x14ac:dyDescent="0.25">
      <c r="A30" t="s">
        <v>20</v>
      </c>
      <c r="B30">
        <v>8</v>
      </c>
      <c r="C30" s="12">
        <v>9.9999999999999995E-7</v>
      </c>
      <c r="D30">
        <v>5.0000000000000001E-3</v>
      </c>
      <c r="E30" s="12">
        <f t="shared" si="0"/>
        <v>5.0000000000000001E-9</v>
      </c>
      <c r="F30" s="12">
        <f t="shared" si="1"/>
        <v>1600000000</v>
      </c>
      <c r="K30">
        <v>12</v>
      </c>
      <c r="L30" s="12">
        <v>9.9999999999999995E-7</v>
      </c>
      <c r="M30">
        <v>5.0000000000000001E-3</v>
      </c>
      <c r="N30" s="12">
        <f t="shared" si="2"/>
        <v>5.0000000000000001E-9</v>
      </c>
      <c r="O30" s="12">
        <f t="shared" si="3"/>
        <v>2400000000</v>
      </c>
    </row>
    <row r="31" spans="1:23" x14ac:dyDescent="0.25">
      <c r="A31" t="s">
        <v>20</v>
      </c>
      <c r="B31">
        <v>11</v>
      </c>
      <c r="C31" s="12">
        <v>9.9999999999999995E-7</v>
      </c>
      <c r="D31">
        <v>5.0000000000000001E-3</v>
      </c>
      <c r="E31" s="12">
        <f t="shared" si="0"/>
        <v>5.0000000000000001E-9</v>
      </c>
      <c r="F31" s="12">
        <f>B31/E31</f>
        <v>2200000000</v>
      </c>
      <c r="K31">
        <v>13</v>
      </c>
      <c r="L31" s="12">
        <v>9.9999999999999995E-7</v>
      </c>
      <c r="M31">
        <v>5.0000000000000001E-3</v>
      </c>
      <c r="N31" s="12">
        <f t="shared" si="2"/>
        <v>5.0000000000000001E-9</v>
      </c>
      <c r="O31" s="12">
        <f t="shared" si="3"/>
        <v>2600000000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C8AA-4E28-494F-910D-02BF34ACADE0}">
  <dimension ref="A3:AC48"/>
  <sheetViews>
    <sheetView topLeftCell="A40" zoomScale="70" zoomScaleNormal="70" workbookViewId="0">
      <selection activeCell="Q8" sqref="Q8"/>
    </sheetView>
  </sheetViews>
  <sheetFormatPr defaultRowHeight="15" x14ac:dyDescent="0.25"/>
  <cols>
    <col min="5" max="5" width="13.140625" customWidth="1"/>
    <col min="7" max="7" width="12" bestFit="1" customWidth="1"/>
    <col min="9" max="9" width="16" customWidth="1"/>
    <col min="11" max="11" width="16.28515625" customWidth="1"/>
    <col min="18" max="21" width="15.85546875" customWidth="1"/>
    <col min="23" max="23" width="22.5703125" customWidth="1"/>
    <col min="24" max="24" width="14.42578125" customWidth="1"/>
    <col min="28" max="28" width="38.5703125" customWidth="1"/>
    <col min="29" max="29" width="36.28515625" customWidth="1"/>
  </cols>
  <sheetData>
    <row r="3" spans="1:29" x14ac:dyDescent="0.25">
      <c r="A3">
        <v>1</v>
      </c>
      <c r="B3" t="s">
        <v>256</v>
      </c>
    </row>
    <row r="4" spans="1:29" x14ac:dyDescent="0.25">
      <c r="A4">
        <v>2</v>
      </c>
      <c r="B4" t="s">
        <v>257</v>
      </c>
    </row>
    <row r="5" spans="1:29" x14ac:dyDescent="0.25">
      <c r="A5">
        <v>3</v>
      </c>
      <c r="B5" t="s">
        <v>259</v>
      </c>
    </row>
    <row r="6" spans="1:29" x14ac:dyDescent="0.25">
      <c r="A6">
        <v>4</v>
      </c>
      <c r="B6" s="67" t="s">
        <v>258</v>
      </c>
    </row>
    <row r="8" spans="1:29" x14ac:dyDescent="0.25">
      <c r="A8">
        <v>5</v>
      </c>
      <c r="B8" t="s">
        <v>260</v>
      </c>
    </row>
    <row r="11" spans="1:29" x14ac:dyDescent="0.25">
      <c r="A11" t="s">
        <v>221</v>
      </c>
      <c r="B11" t="s">
        <v>222</v>
      </c>
      <c r="C11" t="s">
        <v>43</v>
      </c>
      <c r="D11" t="s">
        <v>223</v>
      </c>
      <c r="E11" t="s">
        <v>224</v>
      </c>
      <c r="F11" t="s">
        <v>225</v>
      </c>
      <c r="G11" t="s">
        <v>226</v>
      </c>
      <c r="H11" t="s">
        <v>227</v>
      </c>
      <c r="I11" t="s">
        <v>228</v>
      </c>
      <c r="J11" t="s">
        <v>229</v>
      </c>
      <c r="K11" s="56" t="s">
        <v>230</v>
      </c>
      <c r="L11" s="56" t="s">
        <v>225</v>
      </c>
      <c r="M11" s="56" t="s">
        <v>226</v>
      </c>
      <c r="N11" s="56" t="s">
        <v>227</v>
      </c>
      <c r="O11" s="56" t="s">
        <v>228</v>
      </c>
      <c r="P11" s="56" t="s">
        <v>231</v>
      </c>
      <c r="Q11" t="s">
        <v>43</v>
      </c>
      <c r="R11" t="s">
        <v>232</v>
      </c>
      <c r="S11" t="s">
        <v>233</v>
      </c>
      <c r="T11" t="s">
        <v>234</v>
      </c>
      <c r="U11" t="s">
        <v>235</v>
      </c>
      <c r="V11" t="s">
        <v>43</v>
      </c>
      <c r="W11" t="s">
        <v>236</v>
      </c>
      <c r="X11" t="s">
        <v>233</v>
      </c>
      <c r="Y11" t="s">
        <v>234</v>
      </c>
      <c r="Z11" t="s">
        <v>235</v>
      </c>
      <c r="AA11" t="s">
        <v>237</v>
      </c>
      <c r="AB11" t="s">
        <v>238</v>
      </c>
      <c r="AC11" t="s">
        <v>239</v>
      </c>
    </row>
    <row r="12" spans="1:29" x14ac:dyDescent="0.25">
      <c r="A12" s="9" t="s">
        <v>20</v>
      </c>
      <c r="B12" s="9" t="s">
        <v>7</v>
      </c>
      <c r="C12" s="9" t="s">
        <v>21</v>
      </c>
      <c r="D12" s="42">
        <v>100000000</v>
      </c>
      <c r="E12" s="9">
        <v>23</v>
      </c>
      <c r="F12" s="42">
        <v>1.0000000000000001E-5</v>
      </c>
      <c r="G12" s="9">
        <v>5.0000000000000001E-3</v>
      </c>
      <c r="H12" s="9">
        <v>0.44750000000000001</v>
      </c>
      <c r="I12" s="42">
        <f>F12*G12*H12</f>
        <v>2.2375000000000003E-8</v>
      </c>
      <c r="J12" s="42">
        <f>E12/I12</f>
        <v>1027932960.8938546</v>
      </c>
      <c r="K12" s="57">
        <v>23</v>
      </c>
      <c r="L12" s="58">
        <v>1.0000000000000001E-5</v>
      </c>
      <c r="M12" s="59">
        <v>5.0000000000000001E-3</v>
      </c>
      <c r="N12" s="59">
        <v>0.44750000000000001</v>
      </c>
      <c r="O12" s="58">
        <f>L12*M12*N12</f>
        <v>2.2375000000000003E-8</v>
      </c>
      <c r="P12" s="58">
        <f>K12/O12</f>
        <v>1027932960.8938546</v>
      </c>
      <c r="Q12" s="9" t="s">
        <v>21</v>
      </c>
      <c r="R12">
        <f>LOG10(J12)</f>
        <v>9.0119647920296426</v>
      </c>
      <c r="S12">
        <f>AVERAGE(R12:R14)</f>
        <v>9.0577917749179448</v>
      </c>
      <c r="T12">
        <f>_xlfn.STDEV.S(R12:R14)</f>
        <v>9.6577001141251881E-2</v>
      </c>
      <c r="U12">
        <f>T12/SQRT(3)</f>
        <v>5.5758757606428573E-2</v>
      </c>
      <c r="V12" s="9" t="s">
        <v>21</v>
      </c>
      <c r="W12">
        <f>LOG10(P12)</f>
        <v>9.0119647920296426</v>
      </c>
      <c r="X12">
        <f>AVERAGE(W12:W14)</f>
        <v>9.0597721727970804</v>
      </c>
      <c r="Y12">
        <f>_xlfn.STDEV.S(W12:W14)</f>
        <v>8.2804812465993347E-2</v>
      </c>
      <c r="Z12">
        <f>Y12/SQRT(3)</f>
        <v>4.7807380767437742E-2</v>
      </c>
      <c r="AA12">
        <f>_xlfn.CONFIDENCE.T(0.05,Y12,3)</f>
        <v>0.205698557361188</v>
      </c>
      <c r="AB12">
        <f>X12-AA12</f>
        <v>8.8540736154358921</v>
      </c>
      <c r="AC12">
        <f>X12+AA12</f>
        <v>9.2654707301582686</v>
      </c>
    </row>
    <row r="13" spans="1:29" x14ac:dyDescent="0.25">
      <c r="A13" s="9" t="s">
        <v>20</v>
      </c>
      <c r="B13" s="9" t="s">
        <v>7</v>
      </c>
      <c r="C13" s="9" t="s">
        <v>21</v>
      </c>
      <c r="D13" s="42">
        <v>100000000</v>
      </c>
      <c r="E13" s="9">
        <v>22</v>
      </c>
      <c r="F13" s="42">
        <v>1.0000000000000001E-5</v>
      </c>
      <c r="G13" s="9">
        <v>5.0000000000000001E-3</v>
      </c>
      <c r="H13" s="9">
        <v>0.44750000000000001</v>
      </c>
      <c r="I13" s="42">
        <f t="shared" ref="I13:I47" si="0">F13*G13*H13</f>
        <v>2.2375000000000003E-8</v>
      </c>
      <c r="J13" s="42">
        <f t="shared" ref="J13:J47" si="1">E13/I13</f>
        <v>983240223.46368694</v>
      </c>
      <c r="K13" s="57">
        <v>32</v>
      </c>
      <c r="L13" s="58">
        <v>1.0000000000000001E-5</v>
      </c>
      <c r="M13" s="59">
        <v>5.0000000000000001E-3</v>
      </c>
      <c r="N13" s="59">
        <v>0.44750000000000001</v>
      </c>
      <c r="O13" s="58">
        <f t="shared" ref="O13:O47" si="2">L13*M13*N13</f>
        <v>2.2375000000000003E-8</v>
      </c>
      <c r="P13" s="58">
        <f t="shared" ref="P13:P47" si="3">K13/O13</f>
        <v>1430167597.765363</v>
      </c>
      <c r="Q13" s="9" t="s">
        <v>21</v>
      </c>
      <c r="R13">
        <f t="shared" ref="R13:R47" si="4">LOG10(J13)</f>
        <v>8.9926596368342562</v>
      </c>
      <c r="V13" s="9" t="s">
        <v>21</v>
      </c>
      <c r="W13">
        <f t="shared" ref="W13:W47" si="5">LOG10(P13)</f>
        <v>9.1553869343319558</v>
      </c>
      <c r="AA13" t="e">
        <f t="shared" ref="AA13:AA47" si="6">_xlfn.CONFIDENCE.T(0.05,Y13,3)</f>
        <v>#NUM!</v>
      </c>
      <c r="AB13" t="e">
        <f t="shared" ref="AB13:AB47" si="7">X13-AA13</f>
        <v>#NUM!</v>
      </c>
      <c r="AC13" t="e">
        <f t="shared" ref="AC13:AC47" si="8">X13+AA13</f>
        <v>#NUM!</v>
      </c>
    </row>
    <row r="14" spans="1:29" x14ac:dyDescent="0.25">
      <c r="A14" s="9" t="s">
        <v>20</v>
      </c>
      <c r="B14" s="9" t="s">
        <v>7</v>
      </c>
      <c r="C14" s="9" t="s">
        <v>21</v>
      </c>
      <c r="D14" s="42">
        <v>100000000</v>
      </c>
      <c r="E14" s="9">
        <v>33</v>
      </c>
      <c r="F14" s="42">
        <v>1.0000000000000001E-5</v>
      </c>
      <c r="G14" s="9">
        <v>5.0000000000000001E-3</v>
      </c>
      <c r="H14" s="9">
        <v>0.44750000000000001</v>
      </c>
      <c r="I14" s="42">
        <f t="shared" si="0"/>
        <v>2.2375000000000003E-8</v>
      </c>
      <c r="J14" s="42">
        <f t="shared" si="1"/>
        <v>1474860335.1955304</v>
      </c>
      <c r="K14" s="57">
        <v>23</v>
      </c>
      <c r="L14" s="58">
        <v>1.0000000000000001E-5</v>
      </c>
      <c r="M14" s="59">
        <v>5.0000000000000001E-3</v>
      </c>
      <c r="N14" s="59">
        <v>0.44750000000000001</v>
      </c>
      <c r="O14" s="58">
        <f t="shared" si="2"/>
        <v>2.2375000000000003E-8</v>
      </c>
      <c r="P14" s="58">
        <f t="shared" si="3"/>
        <v>1027932960.8938546</v>
      </c>
      <c r="Q14" s="9" t="s">
        <v>21</v>
      </c>
      <c r="R14">
        <f t="shared" si="4"/>
        <v>9.1687508958899375</v>
      </c>
      <c r="V14" s="9" t="s">
        <v>21</v>
      </c>
      <c r="W14">
        <f t="shared" si="5"/>
        <v>9.0119647920296426</v>
      </c>
      <c r="AA14" t="e">
        <f t="shared" si="6"/>
        <v>#NUM!</v>
      </c>
      <c r="AB14" t="e">
        <f t="shared" si="7"/>
        <v>#NUM!</v>
      </c>
      <c r="AC14" t="e">
        <f t="shared" si="8"/>
        <v>#NUM!</v>
      </c>
    </row>
    <row r="15" spans="1:29" x14ac:dyDescent="0.25">
      <c r="A15" s="9" t="s">
        <v>20</v>
      </c>
      <c r="B15" s="9" t="s">
        <v>7</v>
      </c>
      <c r="C15" s="9" t="s">
        <v>22</v>
      </c>
      <c r="D15" s="42">
        <v>100000000</v>
      </c>
      <c r="E15" s="9">
        <v>30</v>
      </c>
      <c r="F15" s="42">
        <v>1.0000000000000001E-5</v>
      </c>
      <c r="G15" s="9">
        <v>5.0000000000000001E-3</v>
      </c>
      <c r="H15" s="9">
        <v>0.44750000000000001</v>
      </c>
      <c r="I15" s="42">
        <f t="shared" si="0"/>
        <v>2.2375000000000003E-8</v>
      </c>
      <c r="J15" s="42">
        <f t="shared" si="1"/>
        <v>1340782122.9050276</v>
      </c>
      <c r="K15" s="57">
        <v>17</v>
      </c>
      <c r="L15" s="58">
        <v>1.0000000000000001E-5</v>
      </c>
      <c r="M15" s="59">
        <v>5.0000000000000001E-3</v>
      </c>
      <c r="N15" s="59">
        <v>0.44750000000000001</v>
      </c>
      <c r="O15" s="58">
        <f t="shared" si="2"/>
        <v>2.2375000000000003E-8</v>
      </c>
      <c r="P15" s="58">
        <f t="shared" si="3"/>
        <v>759776536.31284904</v>
      </c>
      <c r="Q15" s="9" t="s">
        <v>22</v>
      </c>
      <c r="R15">
        <f t="shared" si="4"/>
        <v>9.1273582107317122</v>
      </c>
      <c r="S15">
        <f>AVERAGE(R15:R17)</f>
        <v>9.0237615997473331</v>
      </c>
      <c r="T15">
        <f>_xlfn.STDEV.S(R15:R17)</f>
        <v>9.2073513844854307E-2</v>
      </c>
      <c r="U15">
        <f>T15/SQRT(3)</f>
        <v>5.3158668003561373E-2</v>
      </c>
      <c r="V15" s="9" t="s">
        <v>22</v>
      </c>
      <c r="W15">
        <f t="shared" si="5"/>
        <v>8.8806858773903237</v>
      </c>
      <c r="X15">
        <f>AVERAGE(W15:W17)</f>
        <v>8.9180104638716333</v>
      </c>
      <c r="Y15">
        <f>_xlfn.STDEV.S(W15:W17)</f>
        <v>6.4648080157128834E-2</v>
      </c>
      <c r="Z15">
        <f>Y15/SQRT(3)</f>
        <v>3.7324586481310838E-2</v>
      </c>
      <c r="AA15">
        <f>_xlfn.CONFIDENCE.T(0.05,Y15,3)</f>
        <v>0.16059473391058202</v>
      </c>
      <c r="AB15">
        <f>X15-AA15</f>
        <v>8.7574157299610516</v>
      </c>
      <c r="AC15">
        <f t="shared" si="8"/>
        <v>9.0786051977822151</v>
      </c>
    </row>
    <row r="16" spans="1:29" x14ac:dyDescent="0.25">
      <c r="A16" s="9" t="s">
        <v>20</v>
      </c>
      <c r="B16" s="9" t="s">
        <v>7</v>
      </c>
      <c r="C16" s="9" t="s">
        <v>22</v>
      </c>
      <c r="D16" s="42">
        <v>100000000</v>
      </c>
      <c r="E16" s="9">
        <v>22</v>
      </c>
      <c r="F16" s="42">
        <v>1.0000000000000001E-5</v>
      </c>
      <c r="G16" s="9">
        <v>5.0000000000000001E-3</v>
      </c>
      <c r="H16" s="9">
        <v>0.44750000000000001</v>
      </c>
      <c r="I16" s="42">
        <f t="shared" si="0"/>
        <v>2.2375000000000003E-8</v>
      </c>
      <c r="J16" s="42">
        <f t="shared" si="1"/>
        <v>983240223.46368694</v>
      </c>
      <c r="K16" s="57">
        <v>17</v>
      </c>
      <c r="L16" s="58">
        <v>1.0000000000000001E-5</v>
      </c>
      <c r="M16" s="59">
        <v>5.0000000000000001E-3</v>
      </c>
      <c r="N16" s="59">
        <v>0.44750000000000001</v>
      </c>
      <c r="O16" s="58">
        <f t="shared" si="2"/>
        <v>2.2375000000000003E-8</v>
      </c>
      <c r="P16" s="58">
        <f t="shared" si="3"/>
        <v>759776536.31284904</v>
      </c>
      <c r="Q16" s="9" t="s">
        <v>22</v>
      </c>
      <c r="R16">
        <f t="shared" si="4"/>
        <v>8.9926596368342562</v>
      </c>
      <c r="V16" s="9" t="s">
        <v>22</v>
      </c>
      <c r="W16">
        <f t="shared" si="5"/>
        <v>8.8806858773903237</v>
      </c>
      <c r="AA16" t="e">
        <f t="shared" si="6"/>
        <v>#NUM!</v>
      </c>
      <c r="AB16" t="e">
        <f t="shared" si="7"/>
        <v>#NUM!</v>
      </c>
      <c r="AC16" t="e">
        <f t="shared" si="8"/>
        <v>#NUM!</v>
      </c>
    </row>
    <row r="17" spans="1:29" x14ac:dyDescent="0.25">
      <c r="A17" s="9" t="s">
        <v>20</v>
      </c>
      <c r="B17" s="9" t="s">
        <v>7</v>
      </c>
      <c r="C17" s="9" t="s">
        <v>22</v>
      </c>
      <c r="D17" s="42">
        <v>100000000</v>
      </c>
      <c r="E17" s="9">
        <v>20</v>
      </c>
      <c r="F17" s="42">
        <v>1.0000000000000001E-5</v>
      </c>
      <c r="G17" s="9">
        <v>5.0000000000000001E-3</v>
      </c>
      <c r="H17" s="9">
        <v>0.44750000000000001</v>
      </c>
      <c r="I17" s="42">
        <f t="shared" si="0"/>
        <v>2.2375000000000003E-8</v>
      </c>
      <c r="J17" s="42">
        <f t="shared" si="1"/>
        <v>893854748.60335183</v>
      </c>
      <c r="K17" s="57">
        <v>22</v>
      </c>
      <c r="L17" s="58">
        <v>1.0000000000000001E-5</v>
      </c>
      <c r="M17" s="59">
        <v>5.0000000000000001E-3</v>
      </c>
      <c r="N17" s="59">
        <v>0.44750000000000001</v>
      </c>
      <c r="O17" s="58">
        <f t="shared" si="2"/>
        <v>2.2375000000000003E-8</v>
      </c>
      <c r="P17" s="58">
        <f t="shared" si="3"/>
        <v>983240223.46368694</v>
      </c>
      <c r="Q17" s="9" t="s">
        <v>22</v>
      </c>
      <c r="R17">
        <f t="shared" si="4"/>
        <v>8.9512669516760308</v>
      </c>
      <c r="V17" s="9" t="s">
        <v>22</v>
      </c>
      <c r="W17">
        <f t="shared" si="5"/>
        <v>8.9926596368342562</v>
      </c>
      <c r="AA17" t="e">
        <f t="shared" si="6"/>
        <v>#NUM!</v>
      </c>
      <c r="AB17" t="e">
        <f t="shared" si="7"/>
        <v>#NUM!</v>
      </c>
      <c r="AC17" t="e">
        <f t="shared" si="8"/>
        <v>#NUM!</v>
      </c>
    </row>
    <row r="18" spans="1:29" x14ac:dyDescent="0.25">
      <c r="A18" s="9" t="s">
        <v>20</v>
      </c>
      <c r="B18" s="9" t="s">
        <v>8</v>
      </c>
      <c r="C18" s="9" t="s">
        <v>23</v>
      </c>
      <c r="D18" s="42">
        <v>100000000</v>
      </c>
      <c r="E18" s="9">
        <v>28</v>
      </c>
      <c r="F18" s="42">
        <v>1.0000000000000001E-5</v>
      </c>
      <c r="G18" s="9">
        <v>5.0000000000000001E-3</v>
      </c>
      <c r="H18" s="9">
        <v>0.44750000000000001</v>
      </c>
      <c r="I18" s="42">
        <f t="shared" si="0"/>
        <v>2.2375000000000003E-8</v>
      </c>
      <c r="J18" s="42">
        <f t="shared" si="1"/>
        <v>1251396648.0446925</v>
      </c>
      <c r="K18" s="57">
        <v>27</v>
      </c>
      <c r="L18" s="58">
        <v>1.0000000000000001E-5</v>
      </c>
      <c r="M18" s="59">
        <v>5.0000000000000001E-3</v>
      </c>
      <c r="N18" s="59">
        <v>0.44750000000000001</v>
      </c>
      <c r="O18" s="58">
        <f t="shared" si="2"/>
        <v>2.2375000000000003E-8</v>
      </c>
      <c r="P18" s="58">
        <f t="shared" si="3"/>
        <v>1206703910.6145248</v>
      </c>
      <c r="Q18" s="9" t="s">
        <v>23</v>
      </c>
      <c r="R18">
        <f t="shared" si="4"/>
        <v>9.097394987354269</v>
      </c>
      <c r="S18">
        <f>AVERAGE(R18:R20)</f>
        <v>9.0227049174841643</v>
      </c>
      <c r="T18">
        <f>_xlfn.STDEV.S(R18:R20)</f>
        <v>0.10276207815166676</v>
      </c>
      <c r="U18">
        <f>T18/SQRT(3)</f>
        <v>5.9329713483350165E-2</v>
      </c>
      <c r="V18" s="9" t="s">
        <v>23</v>
      </c>
      <c r="W18">
        <f t="shared" si="5"/>
        <v>9.0816007201710374</v>
      </c>
      <c r="X18">
        <f>AVERAGE(W18:W20)</f>
        <v>9.0155722025837548</v>
      </c>
      <c r="Y18">
        <f>_xlfn.STDEV.S(W18:W20)</f>
        <v>5.8067788432475363E-2</v>
      </c>
      <c r="Z18">
        <f>Y18/SQRT(3)</f>
        <v>3.3525453282735887E-2</v>
      </c>
      <c r="AA18">
        <f t="shared" si="6"/>
        <v>0.14424838308305168</v>
      </c>
      <c r="AB18">
        <f t="shared" si="7"/>
        <v>8.8713238195007023</v>
      </c>
      <c r="AC18">
        <f t="shared" si="8"/>
        <v>9.1598205856668073</v>
      </c>
    </row>
    <row r="19" spans="1:29" x14ac:dyDescent="0.25">
      <c r="A19" s="9" t="s">
        <v>20</v>
      </c>
      <c r="B19" s="9" t="s">
        <v>8</v>
      </c>
      <c r="C19" s="9" t="s">
        <v>23</v>
      </c>
      <c r="D19" s="42">
        <v>100000000</v>
      </c>
      <c r="E19" s="9">
        <v>26</v>
      </c>
      <c r="F19" s="42">
        <v>1.0000000000000001E-5</v>
      </c>
      <c r="G19" s="9">
        <v>5.0000000000000001E-3</v>
      </c>
      <c r="H19" s="9">
        <v>0.44750000000000001</v>
      </c>
      <c r="I19" s="42">
        <f t="shared" si="0"/>
        <v>2.2375000000000003E-8</v>
      </c>
      <c r="J19" s="42">
        <f t="shared" si="1"/>
        <v>1162011173.1843574</v>
      </c>
      <c r="K19" s="57">
        <v>21</v>
      </c>
      <c r="L19" s="58">
        <v>1.0000000000000001E-5</v>
      </c>
      <c r="M19" s="59">
        <v>5.0000000000000001E-3</v>
      </c>
      <c r="N19" s="59">
        <v>0.44750000000000001</v>
      </c>
      <c r="O19" s="58">
        <f t="shared" si="2"/>
        <v>2.2375000000000003E-8</v>
      </c>
      <c r="P19" s="58">
        <f t="shared" si="3"/>
        <v>938547486.03351939</v>
      </c>
      <c r="Q19" s="9" t="s">
        <v>23</v>
      </c>
      <c r="R19">
        <f t="shared" si="4"/>
        <v>9.0652103039828678</v>
      </c>
      <c r="V19" s="9" t="s">
        <v>23</v>
      </c>
      <c r="W19">
        <f t="shared" si="5"/>
        <v>8.9724562507459691</v>
      </c>
      <c r="AA19" t="e">
        <f t="shared" si="6"/>
        <v>#NUM!</v>
      </c>
      <c r="AB19" t="e">
        <f t="shared" si="7"/>
        <v>#NUM!</v>
      </c>
      <c r="AC19" t="e">
        <f t="shared" si="8"/>
        <v>#NUM!</v>
      </c>
    </row>
    <row r="20" spans="1:29" x14ac:dyDescent="0.25">
      <c r="A20" s="9" t="s">
        <v>20</v>
      </c>
      <c r="B20" s="9" t="s">
        <v>8</v>
      </c>
      <c r="C20" s="9" t="s">
        <v>23</v>
      </c>
      <c r="D20" s="42">
        <v>100000000</v>
      </c>
      <c r="E20" s="9">
        <v>18</v>
      </c>
      <c r="F20" s="42">
        <v>1.0000000000000001E-5</v>
      </c>
      <c r="G20" s="9">
        <v>5.0000000000000001E-3</v>
      </c>
      <c r="H20" s="9">
        <v>0.44750000000000001</v>
      </c>
      <c r="I20" s="42">
        <f t="shared" si="0"/>
        <v>2.2375000000000003E-8</v>
      </c>
      <c r="J20" s="42">
        <f t="shared" si="1"/>
        <v>804469273.7430166</v>
      </c>
      <c r="K20" s="57">
        <v>22</v>
      </c>
      <c r="L20" s="58">
        <v>1.0000000000000001E-5</v>
      </c>
      <c r="M20" s="59">
        <v>5.0000000000000001E-3</v>
      </c>
      <c r="N20" s="59">
        <v>0.44750000000000001</v>
      </c>
      <c r="O20" s="58">
        <f t="shared" si="2"/>
        <v>2.2375000000000003E-8</v>
      </c>
      <c r="P20" s="58">
        <f t="shared" si="3"/>
        <v>983240223.46368694</v>
      </c>
      <c r="Q20" s="9" t="s">
        <v>23</v>
      </c>
      <c r="R20">
        <f t="shared" si="4"/>
        <v>8.905509461115356</v>
      </c>
      <c r="V20" s="9" t="s">
        <v>23</v>
      </c>
      <c r="W20">
        <f t="shared" si="5"/>
        <v>8.9926596368342562</v>
      </c>
      <c r="AA20" t="e">
        <f t="shared" si="6"/>
        <v>#NUM!</v>
      </c>
      <c r="AB20" t="e">
        <f t="shared" si="7"/>
        <v>#NUM!</v>
      </c>
      <c r="AC20" t="e">
        <f t="shared" si="8"/>
        <v>#NUM!</v>
      </c>
    </row>
    <row r="21" spans="1:29" x14ac:dyDescent="0.25">
      <c r="A21" s="43" t="s">
        <v>20</v>
      </c>
      <c r="B21" s="43" t="s">
        <v>8</v>
      </c>
      <c r="C21" s="43" t="s">
        <v>24</v>
      </c>
      <c r="D21" s="44">
        <v>10000000</v>
      </c>
      <c r="E21" s="43">
        <v>32</v>
      </c>
      <c r="F21" s="44">
        <v>1E-4</v>
      </c>
      <c r="G21" s="43">
        <v>5.0000000000000001E-3</v>
      </c>
      <c r="H21" s="43">
        <v>0.44750000000000001</v>
      </c>
      <c r="I21" s="44">
        <f t="shared" si="0"/>
        <v>2.2375000000000005E-7</v>
      </c>
      <c r="J21" s="44">
        <f t="shared" si="1"/>
        <v>143016759.77653629</v>
      </c>
      <c r="K21" s="60">
        <v>33</v>
      </c>
      <c r="L21" s="61">
        <v>1E-4</v>
      </c>
      <c r="M21" s="62">
        <v>5.0000000000000001E-3</v>
      </c>
      <c r="N21" s="62">
        <v>0.44750000000000001</v>
      </c>
      <c r="O21" s="61">
        <f t="shared" si="2"/>
        <v>2.2375000000000005E-7</v>
      </c>
      <c r="P21" s="61">
        <f t="shared" si="3"/>
        <v>147486033.51955304</v>
      </c>
      <c r="Q21" s="45" t="s">
        <v>24</v>
      </c>
      <c r="R21">
        <f t="shared" si="4"/>
        <v>8.1553869343319558</v>
      </c>
      <c r="S21">
        <f>AVERAGE(R21:R23)</f>
        <v>8.2199936096706594</v>
      </c>
      <c r="T21">
        <f>_xlfn.STDEV.S(R21:R23)</f>
        <v>5.5951022097371406E-2</v>
      </c>
      <c r="U21">
        <f>T21/SQRT(3)</f>
        <v>3.2303337669352082E-2</v>
      </c>
      <c r="V21" s="46" t="s">
        <v>24</v>
      </c>
      <c r="W21">
        <f t="shared" si="5"/>
        <v>8.1687508958899375</v>
      </c>
      <c r="X21">
        <f>AVERAGE(W21,W23)</f>
        <v>8.2211185711499439</v>
      </c>
      <c r="Y21">
        <f>_xlfn.STDEV.S(W21,W23)</f>
        <v>7.4059076582651054E-2</v>
      </c>
      <c r="Z21">
        <f>Y21/SQRT(2)</f>
        <v>5.2367675260006401E-2</v>
      </c>
      <c r="AA21">
        <f>_xlfn.CONFIDENCE.T(0.05,Y21,2)</f>
        <v>0.6653944034111523</v>
      </c>
      <c r="AB21">
        <f t="shared" si="7"/>
        <v>7.5557241677387914</v>
      </c>
      <c r="AC21">
        <f t="shared" si="8"/>
        <v>8.8865129745610965</v>
      </c>
    </row>
    <row r="22" spans="1:29" x14ac:dyDescent="0.25">
      <c r="A22" s="43" t="s">
        <v>20</v>
      </c>
      <c r="B22" s="43" t="s">
        <v>8</v>
      </c>
      <c r="C22" s="43" t="s">
        <v>24</v>
      </c>
      <c r="D22" s="44">
        <v>10000000</v>
      </c>
      <c r="E22" s="43">
        <v>4</v>
      </c>
      <c r="F22" s="44">
        <v>1.0000000000000001E-5</v>
      </c>
      <c r="G22" s="43">
        <v>5.0000000000000001E-3</v>
      </c>
      <c r="H22" s="43">
        <v>0.44750000000000001</v>
      </c>
      <c r="I22" s="44">
        <f t="shared" si="0"/>
        <v>2.2375000000000003E-8</v>
      </c>
      <c r="J22" s="44">
        <f t="shared" si="1"/>
        <v>178770949.72067037</v>
      </c>
      <c r="K22" s="60">
        <v>32</v>
      </c>
      <c r="L22" s="61">
        <v>1.0000000000000001E-5</v>
      </c>
      <c r="M22" s="62">
        <v>5.0000000000000001E-3</v>
      </c>
      <c r="N22" s="62">
        <v>0.44750000000000001</v>
      </c>
      <c r="O22" s="61">
        <f t="shared" si="2"/>
        <v>2.2375000000000003E-8</v>
      </c>
      <c r="P22" s="61">
        <f t="shared" si="3"/>
        <v>1430167597.765363</v>
      </c>
      <c r="Q22" s="43" t="s">
        <v>24</v>
      </c>
      <c r="R22">
        <f t="shared" si="4"/>
        <v>8.2522969473400121</v>
      </c>
      <c r="V22" s="46" t="s">
        <v>24</v>
      </c>
      <c r="W22">
        <f t="shared" si="5"/>
        <v>9.1553869343319558</v>
      </c>
      <c r="AA22" t="e">
        <f t="shared" si="6"/>
        <v>#NUM!</v>
      </c>
      <c r="AB22" t="e">
        <f t="shared" si="7"/>
        <v>#NUM!</v>
      </c>
      <c r="AC22" t="e">
        <f t="shared" si="8"/>
        <v>#NUM!</v>
      </c>
    </row>
    <row r="23" spans="1:29" x14ac:dyDescent="0.25">
      <c r="A23" s="43" t="s">
        <v>20</v>
      </c>
      <c r="B23" s="43" t="s">
        <v>8</v>
      </c>
      <c r="C23" s="43" t="s">
        <v>24</v>
      </c>
      <c r="D23" s="44">
        <v>10000000</v>
      </c>
      <c r="E23" s="43">
        <v>40</v>
      </c>
      <c r="F23" s="44">
        <v>1E-4</v>
      </c>
      <c r="G23" s="43">
        <v>5.0000000000000001E-3</v>
      </c>
      <c r="H23" s="43">
        <v>0.44750000000000001</v>
      </c>
      <c r="I23" s="44">
        <f t="shared" si="0"/>
        <v>2.2375000000000005E-7</v>
      </c>
      <c r="J23" s="44">
        <f t="shared" si="1"/>
        <v>178770949.72067034</v>
      </c>
      <c r="K23" s="60">
        <v>42</v>
      </c>
      <c r="L23" s="61">
        <v>1E-4</v>
      </c>
      <c r="M23" s="62">
        <v>5.0000000000000001E-3</v>
      </c>
      <c r="N23" s="62">
        <v>0.44750000000000001</v>
      </c>
      <c r="O23" s="61">
        <f t="shared" si="2"/>
        <v>2.2375000000000005E-7</v>
      </c>
      <c r="P23" s="61">
        <f t="shared" si="3"/>
        <v>187709497.20670387</v>
      </c>
      <c r="Q23" s="43" t="s">
        <v>24</v>
      </c>
      <c r="R23">
        <f t="shared" si="4"/>
        <v>8.2522969473400121</v>
      </c>
      <c r="V23" s="46" t="s">
        <v>24</v>
      </c>
      <c r="W23">
        <f t="shared" si="5"/>
        <v>8.2734862464099503</v>
      </c>
      <c r="AA23" t="e">
        <f t="shared" si="6"/>
        <v>#NUM!</v>
      </c>
      <c r="AB23" t="e">
        <f t="shared" si="7"/>
        <v>#NUM!</v>
      </c>
      <c r="AC23" t="e">
        <f t="shared" si="8"/>
        <v>#NUM!</v>
      </c>
    </row>
    <row r="24" spans="1:29" x14ac:dyDescent="0.25">
      <c r="A24" s="43" t="s">
        <v>20</v>
      </c>
      <c r="B24" s="43" t="s">
        <v>9</v>
      </c>
      <c r="C24" s="43" t="s">
        <v>25</v>
      </c>
      <c r="D24" s="44">
        <v>10000000</v>
      </c>
      <c r="E24" s="43">
        <v>38</v>
      </c>
      <c r="F24" s="44">
        <v>1E-4</v>
      </c>
      <c r="G24" s="43">
        <v>5.0000000000000001E-3</v>
      </c>
      <c r="H24" s="43">
        <v>0.44750000000000001</v>
      </c>
      <c r="I24" s="44">
        <f t="shared" si="0"/>
        <v>2.2375000000000005E-7</v>
      </c>
      <c r="J24" s="44">
        <f t="shared" si="1"/>
        <v>169832402.23463684</v>
      </c>
      <c r="K24" s="60">
        <v>34</v>
      </c>
      <c r="L24" s="61">
        <v>1E-4</v>
      </c>
      <c r="M24" s="62">
        <v>5.0000000000000001E-3</v>
      </c>
      <c r="N24" s="62">
        <v>0.44750000000000001</v>
      </c>
      <c r="O24" s="61">
        <f t="shared" si="2"/>
        <v>2.2375000000000005E-7</v>
      </c>
      <c r="P24" s="61">
        <f t="shared" si="3"/>
        <v>151955307.26256979</v>
      </c>
      <c r="Q24" s="45" t="s">
        <v>25</v>
      </c>
      <c r="R24">
        <f t="shared" si="4"/>
        <v>8.2300205526288597</v>
      </c>
      <c r="S24">
        <f>AVERAGE(R24:R26)</f>
        <v>8.2032252369001952</v>
      </c>
      <c r="T24">
        <f>_xlfn.STDEV.S(R24:R26)</f>
        <v>6.6640180710054106E-2</v>
      </c>
      <c r="U24">
        <f>T24/SQRT(3)</f>
        <v>3.8474726271795046E-2</v>
      </c>
      <c r="V24" s="46" t="s">
        <v>25</v>
      </c>
      <c r="W24">
        <f t="shared" si="5"/>
        <v>8.1817158730543049</v>
      </c>
      <c r="X24">
        <f>AVERAGE(W24:W26)</f>
        <v>8.2556904999112852</v>
      </c>
      <c r="Y24">
        <f>_xlfn.STDEV.S(W24:W26)</f>
        <v>7.059547966431394E-2</v>
      </c>
      <c r="Z24">
        <f>Y24/SQRT(3)</f>
        <v>4.0758319187762404E-2</v>
      </c>
      <c r="AA24">
        <f>_xlfn.CONFIDENCE.T(0.05,Y24,3)</f>
        <v>0.17536889331322586</v>
      </c>
      <c r="AB24">
        <f t="shared" si="7"/>
        <v>8.0803216065980585</v>
      </c>
      <c r="AC24">
        <f t="shared" si="8"/>
        <v>8.4310593932245119</v>
      </c>
    </row>
    <row r="25" spans="1:29" x14ac:dyDescent="0.25">
      <c r="A25" s="43" t="s">
        <v>20</v>
      </c>
      <c r="B25" s="43" t="s">
        <v>9</v>
      </c>
      <c r="C25" s="43" t="s">
        <v>25</v>
      </c>
      <c r="D25" s="44">
        <v>10000000</v>
      </c>
      <c r="E25" s="43">
        <v>40</v>
      </c>
      <c r="F25" s="44">
        <v>1E-4</v>
      </c>
      <c r="G25" s="43">
        <v>5.0000000000000001E-3</v>
      </c>
      <c r="H25" s="43">
        <v>0.44750000000000001</v>
      </c>
      <c r="I25" s="44">
        <f t="shared" si="0"/>
        <v>2.2375000000000005E-7</v>
      </c>
      <c r="J25" s="44">
        <f t="shared" si="1"/>
        <v>178770949.72067034</v>
      </c>
      <c r="K25" s="60">
        <v>47</v>
      </c>
      <c r="L25" s="61">
        <v>1E-4</v>
      </c>
      <c r="M25" s="62">
        <v>5.0000000000000001E-3</v>
      </c>
      <c r="N25" s="62">
        <v>0.44750000000000001</v>
      </c>
      <c r="O25" s="61">
        <f t="shared" si="2"/>
        <v>2.2375000000000005E-7</v>
      </c>
      <c r="P25" s="61">
        <f t="shared" si="3"/>
        <v>210055865.92178765</v>
      </c>
      <c r="Q25" s="43" t="s">
        <v>25</v>
      </c>
      <c r="R25">
        <f t="shared" si="4"/>
        <v>8.2522969473400121</v>
      </c>
      <c r="V25" s="46" t="s">
        <v>25</v>
      </c>
      <c r="W25">
        <f t="shared" si="5"/>
        <v>8.3223348139477675</v>
      </c>
      <c r="AA25" t="e">
        <f t="shared" si="6"/>
        <v>#NUM!</v>
      </c>
      <c r="AB25" t="e">
        <f t="shared" si="7"/>
        <v>#NUM!</v>
      </c>
      <c r="AC25" t="e">
        <f t="shared" si="8"/>
        <v>#NUM!</v>
      </c>
    </row>
    <row r="26" spans="1:29" x14ac:dyDescent="0.25">
      <c r="A26" s="43" t="s">
        <v>20</v>
      </c>
      <c r="B26" s="43" t="s">
        <v>9</v>
      </c>
      <c r="C26" s="43" t="s">
        <v>25</v>
      </c>
      <c r="D26" s="44">
        <v>10000000</v>
      </c>
      <c r="E26" s="43">
        <v>30</v>
      </c>
      <c r="F26" s="44">
        <v>1E-4</v>
      </c>
      <c r="G26" s="43">
        <v>5.0000000000000001E-3</v>
      </c>
      <c r="H26" s="43">
        <v>0.44750000000000001</v>
      </c>
      <c r="I26" s="44">
        <f t="shared" si="0"/>
        <v>2.2375000000000005E-7</v>
      </c>
      <c r="J26" s="44">
        <f t="shared" si="1"/>
        <v>134078212.29050276</v>
      </c>
      <c r="K26" s="60">
        <v>41</v>
      </c>
      <c r="L26" s="61">
        <v>1E-4</v>
      </c>
      <c r="M26" s="62">
        <v>5.0000000000000001E-3</v>
      </c>
      <c r="N26" s="62">
        <v>0.44750000000000001</v>
      </c>
      <c r="O26" s="61">
        <f t="shared" si="2"/>
        <v>2.2375000000000005E-7</v>
      </c>
      <c r="P26" s="61">
        <f t="shared" si="3"/>
        <v>183240223.46368709</v>
      </c>
      <c r="Q26" s="43" t="s">
        <v>25</v>
      </c>
      <c r="R26">
        <f t="shared" si="4"/>
        <v>8.1273582107317122</v>
      </c>
      <c r="V26" s="46" t="s">
        <v>25</v>
      </c>
      <c r="W26">
        <f t="shared" si="5"/>
        <v>8.263020812731785</v>
      </c>
      <c r="AA26" t="e">
        <f t="shared" si="6"/>
        <v>#NUM!</v>
      </c>
      <c r="AB26" t="e">
        <f t="shared" si="7"/>
        <v>#NUM!</v>
      </c>
      <c r="AC26" t="e">
        <f t="shared" si="8"/>
        <v>#NUM!</v>
      </c>
    </row>
    <row r="27" spans="1:29" x14ac:dyDescent="0.25">
      <c r="A27" s="43" t="s">
        <v>20</v>
      </c>
      <c r="B27" s="43" t="s">
        <v>9</v>
      </c>
      <c r="C27" s="43" t="s">
        <v>26</v>
      </c>
      <c r="D27" s="44">
        <v>10000000</v>
      </c>
      <c r="E27" s="43">
        <v>50</v>
      </c>
      <c r="F27" s="44">
        <v>1E-4</v>
      </c>
      <c r="G27" s="43">
        <v>5.0000000000000001E-3</v>
      </c>
      <c r="H27" s="43">
        <v>0.44750000000000001</v>
      </c>
      <c r="I27" s="44">
        <f t="shared" si="0"/>
        <v>2.2375000000000005E-7</v>
      </c>
      <c r="J27" s="44">
        <f t="shared" si="1"/>
        <v>223463687.15083793</v>
      </c>
      <c r="K27" s="60">
        <v>31</v>
      </c>
      <c r="L27" s="61">
        <v>1E-4</v>
      </c>
      <c r="M27" s="62">
        <v>5.0000000000000001E-3</v>
      </c>
      <c r="N27" s="62">
        <v>0.44750000000000001</v>
      </c>
      <c r="O27" s="61">
        <f t="shared" si="2"/>
        <v>2.2375000000000005E-7</v>
      </c>
      <c r="P27" s="61">
        <f t="shared" si="3"/>
        <v>138547486.03351951</v>
      </c>
      <c r="Q27" s="45" t="s">
        <v>26</v>
      </c>
      <c r="R27">
        <f t="shared" si="4"/>
        <v>8.3492069603480683</v>
      </c>
      <c r="S27">
        <f>AVERAGE(R27:R29)</f>
        <v>8.3184157286291569</v>
      </c>
      <c r="T27">
        <f>_xlfn.STDEV.S(R27:R29)</f>
        <v>3.2926169602213173E-2</v>
      </c>
      <c r="U27">
        <f>T27/SQRT(3)</f>
        <v>1.9009932883221049E-2</v>
      </c>
      <c r="V27" s="46" t="s">
        <v>26</v>
      </c>
      <c r="W27">
        <f t="shared" si="5"/>
        <v>8.1415986498463226</v>
      </c>
      <c r="X27">
        <f>AVERAGE(W27:W29)</f>
        <v>8.2585737727950406</v>
      </c>
      <c r="Y27">
        <f>_xlfn.STDEV.S(W27:W29)</f>
        <v>0.10396451791515721</v>
      </c>
      <c r="Z27">
        <f>Y27/SQRT(3)</f>
        <v>6.0023942404485685E-2</v>
      </c>
      <c r="AA27">
        <f t="shared" si="6"/>
        <v>0.25826217963698489</v>
      </c>
      <c r="AB27">
        <f t="shared" si="7"/>
        <v>8.000311593158056</v>
      </c>
      <c r="AC27">
        <f t="shared" si="8"/>
        <v>8.5168359524320252</v>
      </c>
    </row>
    <row r="28" spans="1:29" x14ac:dyDescent="0.25">
      <c r="A28" s="43" t="s">
        <v>20</v>
      </c>
      <c r="B28" s="43" t="s">
        <v>9</v>
      </c>
      <c r="C28" s="43" t="s">
        <v>26</v>
      </c>
      <c r="D28" s="44">
        <v>10000000</v>
      </c>
      <c r="E28" s="43">
        <v>43</v>
      </c>
      <c r="F28" s="44">
        <v>1E-4</v>
      </c>
      <c r="G28" s="43">
        <v>5.0000000000000001E-3</v>
      </c>
      <c r="H28" s="43">
        <v>0.44750000000000001</v>
      </c>
      <c r="I28" s="44">
        <f t="shared" si="0"/>
        <v>2.2375000000000005E-7</v>
      </c>
      <c r="J28" s="44">
        <f t="shared" si="1"/>
        <v>192178770.94972062</v>
      </c>
      <c r="K28" s="60">
        <v>44</v>
      </c>
      <c r="L28" s="61">
        <v>1E-4</v>
      </c>
      <c r="M28" s="62">
        <v>5.0000000000000001E-3</v>
      </c>
      <c r="N28" s="62">
        <v>0.44750000000000001</v>
      </c>
      <c r="O28" s="61">
        <f t="shared" si="2"/>
        <v>2.2375000000000005E-7</v>
      </c>
      <c r="P28" s="61">
        <f t="shared" si="3"/>
        <v>196648044.69273737</v>
      </c>
      <c r="Q28" s="43" t="s">
        <v>26</v>
      </c>
      <c r="R28">
        <f t="shared" si="4"/>
        <v>8.2837054115916366</v>
      </c>
      <c r="V28" s="46" t="s">
        <v>26</v>
      </c>
      <c r="W28">
        <f t="shared" si="5"/>
        <v>8.2936896324982374</v>
      </c>
      <c r="AA28" t="e">
        <f t="shared" si="6"/>
        <v>#NUM!</v>
      </c>
      <c r="AB28" t="e">
        <f t="shared" si="7"/>
        <v>#NUM!</v>
      </c>
      <c r="AC28" t="e">
        <f t="shared" si="8"/>
        <v>#NUM!</v>
      </c>
    </row>
    <row r="29" spans="1:29" x14ac:dyDescent="0.25">
      <c r="A29" s="43" t="s">
        <v>20</v>
      </c>
      <c r="B29" s="43" t="s">
        <v>9</v>
      </c>
      <c r="C29" s="43" t="s">
        <v>26</v>
      </c>
      <c r="D29" s="44">
        <v>10000000</v>
      </c>
      <c r="E29" s="43">
        <v>47</v>
      </c>
      <c r="F29" s="44">
        <v>1E-4</v>
      </c>
      <c r="G29" s="43">
        <v>5.0000000000000001E-3</v>
      </c>
      <c r="H29" s="43">
        <v>0.44750000000000001</v>
      </c>
      <c r="I29" s="44">
        <f t="shared" si="0"/>
        <v>2.2375000000000005E-7</v>
      </c>
      <c r="J29" s="44">
        <f t="shared" si="1"/>
        <v>210055865.92178765</v>
      </c>
      <c r="K29" s="60">
        <v>49</v>
      </c>
      <c r="L29" s="61">
        <v>1E-4</v>
      </c>
      <c r="M29" s="62">
        <v>5.0000000000000001E-3</v>
      </c>
      <c r="N29" s="62">
        <v>0.44750000000000001</v>
      </c>
      <c r="O29" s="61">
        <f t="shared" si="2"/>
        <v>2.2375000000000005E-7</v>
      </c>
      <c r="P29" s="61">
        <f t="shared" si="3"/>
        <v>218994413.40782118</v>
      </c>
      <c r="Q29" s="43" t="s">
        <v>26</v>
      </c>
      <c r="R29">
        <f t="shared" si="4"/>
        <v>8.3223348139477675</v>
      </c>
      <c r="V29" s="46" t="s">
        <v>26</v>
      </c>
      <c r="W29">
        <f t="shared" si="5"/>
        <v>8.3404330360405634</v>
      </c>
      <c r="AA29" t="e">
        <f t="shared" si="6"/>
        <v>#NUM!</v>
      </c>
      <c r="AB29" t="e">
        <f t="shared" si="7"/>
        <v>#NUM!</v>
      </c>
      <c r="AC29" t="e">
        <f t="shared" si="8"/>
        <v>#NUM!</v>
      </c>
    </row>
    <row r="30" spans="1:29" x14ac:dyDescent="0.25">
      <c r="A30" s="47" t="s">
        <v>20</v>
      </c>
      <c r="B30" s="47" t="s">
        <v>10</v>
      </c>
      <c r="C30" s="47" t="s">
        <v>27</v>
      </c>
      <c r="D30" s="48">
        <v>1000000</v>
      </c>
      <c r="E30" s="47">
        <v>44</v>
      </c>
      <c r="F30" s="48">
        <v>1E-3</v>
      </c>
      <c r="G30" s="47">
        <v>5.0000000000000001E-3</v>
      </c>
      <c r="H30" s="47">
        <v>0.44750000000000001</v>
      </c>
      <c r="I30" s="48">
        <f t="shared" si="0"/>
        <v>2.2375000000000002E-6</v>
      </c>
      <c r="J30" s="48">
        <f>E30/I30</f>
        <v>19664804.469273742</v>
      </c>
      <c r="K30" s="63">
        <v>27</v>
      </c>
      <c r="L30" s="64">
        <v>1E-3</v>
      </c>
      <c r="M30" s="63">
        <v>5.0000000000000001E-3</v>
      </c>
      <c r="N30" s="63">
        <v>0.44750000000000001</v>
      </c>
      <c r="O30" s="64">
        <f t="shared" si="2"/>
        <v>2.2375000000000002E-6</v>
      </c>
      <c r="P30" s="64">
        <f t="shared" si="3"/>
        <v>12067039.10614525</v>
      </c>
      <c r="Q30" s="49" t="s">
        <v>27</v>
      </c>
      <c r="R30">
        <f>LOG10(J30)</f>
        <v>7.2936896324982374</v>
      </c>
      <c r="S30">
        <f>AVERAGE(R30:R32)</f>
        <v>7.255003916055216</v>
      </c>
      <c r="T30">
        <f>_xlfn.STDEV.S(R30:R32)</f>
        <v>3.3974310758252135E-2</v>
      </c>
      <c r="U30">
        <f>T30/SQRT(3)</f>
        <v>1.9615077461808871E-2</v>
      </c>
      <c r="V30" s="47" t="s">
        <v>27</v>
      </c>
      <c r="W30">
        <f t="shared" si="5"/>
        <v>7.0816007201710374</v>
      </c>
      <c r="X30">
        <f>AVERAGE(W30:W32)</f>
        <v>7.180145708096795</v>
      </c>
      <c r="Y30">
        <f>_xlfn.STDEV.S(W30:W32)</f>
        <v>0.13303976027424888</v>
      </c>
      <c r="Z30">
        <f>Y30/SQRT(3)</f>
        <v>7.6810541407260874E-2</v>
      </c>
      <c r="AA30">
        <f>_xlfn.CONFIDENCE.T(0.05,Y30,3)</f>
        <v>0.3304890856594852</v>
      </c>
      <c r="AB30">
        <f t="shared" si="7"/>
        <v>6.8496566224373101</v>
      </c>
      <c r="AC30">
        <f t="shared" si="8"/>
        <v>7.5106347937562798</v>
      </c>
    </row>
    <row r="31" spans="1:29" x14ac:dyDescent="0.25">
      <c r="A31" s="47" t="s">
        <v>20</v>
      </c>
      <c r="B31" s="47" t="s">
        <v>10</v>
      </c>
      <c r="C31" s="47" t="s">
        <v>27</v>
      </c>
      <c r="D31" s="48">
        <v>1000000</v>
      </c>
      <c r="E31" s="47">
        <v>39</v>
      </c>
      <c r="F31" s="48">
        <v>1E-3</v>
      </c>
      <c r="G31" s="47">
        <v>5.0000000000000001E-3</v>
      </c>
      <c r="H31" s="47">
        <v>0.44750000000000001</v>
      </c>
      <c r="I31" s="48">
        <f t="shared" si="0"/>
        <v>2.2375000000000002E-6</v>
      </c>
      <c r="J31" s="48">
        <f t="shared" si="1"/>
        <v>17430167.59776536</v>
      </c>
      <c r="K31" s="63">
        <v>3</v>
      </c>
      <c r="L31" s="64">
        <v>1E-4</v>
      </c>
      <c r="M31" s="63">
        <v>5.0000000000000001E-3</v>
      </c>
      <c r="N31" s="63">
        <v>0.44750000000000001</v>
      </c>
      <c r="O31" s="64">
        <f t="shared" si="2"/>
        <v>2.2375000000000005E-7</v>
      </c>
      <c r="P31" s="64">
        <f t="shared" si="3"/>
        <v>13407821.229050277</v>
      </c>
      <c r="Q31" s="47" t="s">
        <v>27</v>
      </c>
      <c r="R31">
        <f t="shared" si="4"/>
        <v>7.2413015630385491</v>
      </c>
      <c r="V31" s="47" t="s">
        <v>27</v>
      </c>
      <c r="W31">
        <f t="shared" si="5"/>
        <v>7.1273582107317131</v>
      </c>
      <c r="AA31" t="e">
        <f t="shared" si="6"/>
        <v>#NUM!</v>
      </c>
      <c r="AB31" t="e">
        <f t="shared" si="7"/>
        <v>#NUM!</v>
      </c>
      <c r="AC31" t="e">
        <f t="shared" si="8"/>
        <v>#NUM!</v>
      </c>
    </row>
    <row r="32" spans="1:29" x14ac:dyDescent="0.25">
      <c r="A32" s="47" t="s">
        <v>20</v>
      </c>
      <c r="B32" s="47" t="s">
        <v>10</v>
      </c>
      <c r="C32" s="47" t="s">
        <v>27</v>
      </c>
      <c r="D32" s="48">
        <v>1000000</v>
      </c>
      <c r="E32" s="47">
        <v>38</v>
      </c>
      <c r="F32" s="48">
        <v>1E-3</v>
      </c>
      <c r="G32" s="47">
        <v>5.0000000000000001E-3</v>
      </c>
      <c r="H32" s="47">
        <v>0.44750000000000001</v>
      </c>
      <c r="I32" s="48">
        <f t="shared" si="0"/>
        <v>2.2375000000000002E-6</v>
      </c>
      <c r="J32" s="48">
        <f t="shared" si="1"/>
        <v>16983240.223463684</v>
      </c>
      <c r="K32" s="63">
        <v>48</v>
      </c>
      <c r="L32" s="64">
        <v>1E-3</v>
      </c>
      <c r="M32" s="63">
        <v>5.0000000000000001E-3</v>
      </c>
      <c r="N32" s="63">
        <v>0.44750000000000001</v>
      </c>
      <c r="O32" s="64">
        <f t="shared" si="2"/>
        <v>2.2375000000000002E-6</v>
      </c>
      <c r="P32" s="64">
        <f t="shared" si="3"/>
        <v>21452513.966480445</v>
      </c>
      <c r="Q32" s="47" t="s">
        <v>27</v>
      </c>
      <c r="R32">
        <f t="shared" si="4"/>
        <v>7.2300205526288606</v>
      </c>
      <c r="V32" s="47" t="s">
        <v>27</v>
      </c>
      <c r="W32">
        <f t="shared" si="5"/>
        <v>7.3314781933876372</v>
      </c>
      <c r="AA32" t="e">
        <f t="shared" si="6"/>
        <v>#NUM!</v>
      </c>
      <c r="AB32" t="e">
        <f t="shared" si="7"/>
        <v>#NUM!</v>
      </c>
      <c r="AC32" t="e">
        <f t="shared" si="8"/>
        <v>#NUM!</v>
      </c>
    </row>
    <row r="33" spans="1:29" x14ac:dyDescent="0.25">
      <c r="A33" s="47" t="s">
        <v>20</v>
      </c>
      <c r="B33" s="47" t="s">
        <v>10</v>
      </c>
      <c r="C33" s="47" t="s">
        <v>28</v>
      </c>
      <c r="D33" s="48">
        <v>1000000</v>
      </c>
      <c r="E33" s="47">
        <v>54</v>
      </c>
      <c r="F33" s="48">
        <v>1E-3</v>
      </c>
      <c r="G33" s="47">
        <v>5.0000000000000001E-3</v>
      </c>
      <c r="H33" s="47">
        <v>0.44750000000000001</v>
      </c>
      <c r="I33" s="48">
        <f t="shared" si="0"/>
        <v>2.2375000000000002E-6</v>
      </c>
      <c r="J33" s="48">
        <f t="shared" si="1"/>
        <v>24134078.212290499</v>
      </c>
      <c r="K33" s="63">
        <v>2</v>
      </c>
      <c r="L33" s="64">
        <v>1E-4</v>
      </c>
      <c r="M33" s="63">
        <v>5.0000000000000001E-3</v>
      </c>
      <c r="N33" s="63">
        <v>0.44750000000000001</v>
      </c>
      <c r="O33" s="64">
        <f t="shared" si="2"/>
        <v>2.2375000000000005E-7</v>
      </c>
      <c r="P33" s="64">
        <f t="shared" si="3"/>
        <v>8938547.4860335179</v>
      </c>
      <c r="Q33" s="49" t="s">
        <v>28</v>
      </c>
      <c r="R33">
        <f t="shared" si="4"/>
        <v>7.3826307158350186</v>
      </c>
      <c r="S33">
        <f>AVERAGE(R33:R35)</f>
        <v>7.335932847240298</v>
      </c>
      <c r="T33">
        <f>_xlfn.STDEV.S(R33:R35)</f>
        <v>4.4637563015809137E-2</v>
      </c>
      <c r="U33">
        <f>T33/SQRT(3)</f>
        <v>2.5771509023146288E-2</v>
      </c>
      <c r="V33" s="47" t="s">
        <v>28</v>
      </c>
      <c r="W33">
        <f t="shared" si="5"/>
        <v>6.9512669516760317</v>
      </c>
      <c r="X33">
        <f>AVERAGE(W33:W35)</f>
        <v>7.1564082693046798</v>
      </c>
      <c r="Y33">
        <f>_xlfn.STDEV.S(W33:W35)</f>
        <v>0.19925691443145119</v>
      </c>
      <c r="Z33">
        <f>Y33/SQRT(3)</f>
        <v>0.11504103318489257</v>
      </c>
      <c r="AA33">
        <f>_xlfn.CONFIDENCE.T(0.05,Y33,3)</f>
        <v>0.49498161546617669</v>
      </c>
      <c r="AB33">
        <f t="shared" si="7"/>
        <v>6.661426653838503</v>
      </c>
      <c r="AC33">
        <f t="shared" si="8"/>
        <v>7.6513898847708566</v>
      </c>
    </row>
    <row r="34" spans="1:29" x14ac:dyDescent="0.25">
      <c r="A34" s="47" t="s">
        <v>20</v>
      </c>
      <c r="B34" s="47" t="s">
        <v>10</v>
      </c>
      <c r="C34" s="47" t="s">
        <v>28</v>
      </c>
      <c r="D34" s="48">
        <v>1000000</v>
      </c>
      <c r="E34" s="47">
        <v>44</v>
      </c>
      <c r="F34" s="48">
        <v>1E-3</v>
      </c>
      <c r="G34" s="47">
        <v>5.0000000000000001E-3</v>
      </c>
      <c r="H34" s="47">
        <v>0.44750000000000001</v>
      </c>
      <c r="I34" s="48">
        <f t="shared" si="0"/>
        <v>2.2375000000000002E-6</v>
      </c>
      <c r="J34" s="48">
        <f t="shared" si="1"/>
        <v>19664804.469273742</v>
      </c>
      <c r="K34" s="63">
        <v>33</v>
      </c>
      <c r="L34" s="64">
        <v>1E-3</v>
      </c>
      <c r="M34" s="63">
        <v>5.0000000000000001E-3</v>
      </c>
      <c r="N34" s="63">
        <v>0.44750000000000001</v>
      </c>
      <c r="O34" s="64">
        <f t="shared" si="2"/>
        <v>2.2375000000000002E-6</v>
      </c>
      <c r="P34" s="64">
        <f t="shared" si="3"/>
        <v>14748603.351955306</v>
      </c>
      <c r="Q34" s="47" t="s">
        <v>28</v>
      </c>
      <c r="R34">
        <f t="shared" si="4"/>
        <v>7.2936896324982374</v>
      </c>
      <c r="V34" s="47" t="s">
        <v>28</v>
      </c>
      <c r="W34">
        <f t="shared" si="5"/>
        <v>7.1687508958899375</v>
      </c>
      <c r="AA34" t="e">
        <f t="shared" si="6"/>
        <v>#NUM!</v>
      </c>
      <c r="AB34" t="e">
        <f t="shared" si="7"/>
        <v>#NUM!</v>
      </c>
      <c r="AC34" t="e">
        <f t="shared" si="8"/>
        <v>#NUM!</v>
      </c>
    </row>
    <row r="35" spans="1:29" x14ac:dyDescent="0.25">
      <c r="A35" s="47" t="s">
        <v>20</v>
      </c>
      <c r="B35" s="47" t="s">
        <v>10</v>
      </c>
      <c r="C35" s="47" t="s">
        <v>28</v>
      </c>
      <c r="D35" s="48">
        <v>1000000</v>
      </c>
      <c r="E35" s="47">
        <v>48</v>
      </c>
      <c r="F35" s="48">
        <v>1E-3</v>
      </c>
      <c r="G35" s="47">
        <v>5.0000000000000001E-3</v>
      </c>
      <c r="H35" s="47">
        <v>0.44750000000000001</v>
      </c>
      <c r="I35" s="48">
        <f t="shared" si="0"/>
        <v>2.2375000000000002E-6</v>
      </c>
      <c r="J35" s="48">
        <f t="shared" si="1"/>
        <v>21452513.966480445</v>
      </c>
      <c r="K35" s="63">
        <v>5</v>
      </c>
      <c r="L35" s="64">
        <v>1E-4</v>
      </c>
      <c r="M35" s="63">
        <v>5.0000000000000001E-3</v>
      </c>
      <c r="N35" s="63">
        <v>0.44750000000000001</v>
      </c>
      <c r="O35" s="64">
        <f t="shared" si="2"/>
        <v>2.2375000000000005E-7</v>
      </c>
      <c r="P35" s="64">
        <f t="shared" si="3"/>
        <v>22346368.715083793</v>
      </c>
      <c r="Q35" s="47" t="s">
        <v>28</v>
      </c>
      <c r="R35">
        <f t="shared" si="4"/>
        <v>7.3314781933876372</v>
      </c>
      <c r="V35" s="47" t="s">
        <v>28</v>
      </c>
      <c r="W35">
        <f t="shared" si="5"/>
        <v>7.3492069603480692</v>
      </c>
      <c r="AA35" t="e">
        <f t="shared" si="6"/>
        <v>#NUM!</v>
      </c>
      <c r="AB35" t="e">
        <f t="shared" si="7"/>
        <v>#NUM!</v>
      </c>
      <c r="AC35" t="e">
        <f t="shared" si="8"/>
        <v>#NUM!</v>
      </c>
    </row>
    <row r="36" spans="1:29" x14ac:dyDescent="0.25">
      <c r="A36" s="47" t="s">
        <v>20</v>
      </c>
      <c r="B36" s="47" t="s">
        <v>11</v>
      </c>
      <c r="C36" s="47" t="s">
        <v>29</v>
      </c>
      <c r="D36" s="48">
        <v>1000000</v>
      </c>
      <c r="E36" s="47">
        <v>71</v>
      </c>
      <c r="F36" s="48">
        <v>1E-3</v>
      </c>
      <c r="G36" s="47">
        <v>5.0000000000000001E-3</v>
      </c>
      <c r="H36" s="47">
        <v>0.44750000000000001</v>
      </c>
      <c r="I36" s="48">
        <f t="shared" si="0"/>
        <v>2.2375000000000002E-6</v>
      </c>
      <c r="J36" s="48">
        <f t="shared" si="1"/>
        <v>31731843.57541899</v>
      </c>
      <c r="K36" s="63">
        <v>48</v>
      </c>
      <c r="L36" s="64">
        <v>1E-3</v>
      </c>
      <c r="M36" s="63">
        <v>5.0000000000000001E-3</v>
      </c>
      <c r="N36" s="63">
        <v>0.44750000000000001</v>
      </c>
      <c r="O36" s="64">
        <f t="shared" si="2"/>
        <v>2.2375000000000002E-6</v>
      </c>
      <c r="P36" s="64">
        <f t="shared" si="3"/>
        <v>21452513.966480445</v>
      </c>
      <c r="Q36" s="49" t="s">
        <v>29</v>
      </c>
      <c r="R36">
        <f t="shared" si="4"/>
        <v>7.5014953047311259</v>
      </c>
      <c r="S36">
        <f>AVERAGE(R36:R38)</f>
        <v>7.4691632467308979</v>
      </c>
      <c r="T36">
        <f>_xlfn.STDEV.S(R36:R38)</f>
        <v>2.8208436909442355E-2</v>
      </c>
      <c r="U36">
        <f>T36/SQRT(3)</f>
        <v>1.628614864308512E-2</v>
      </c>
      <c r="V36" s="47" t="s">
        <v>29</v>
      </c>
      <c r="W36">
        <f t="shared" si="5"/>
        <v>7.3314781933876372</v>
      </c>
      <c r="X36">
        <f>AVERAGE(W36:W38)</f>
        <v>7.354599383703488</v>
      </c>
      <c r="Y36">
        <f>_xlfn.STDEV.S(W36:W38)</f>
        <v>2.1695901227401372E-2</v>
      </c>
      <c r="Z36">
        <f>Y36/SQRT(3)</f>
        <v>1.2526134413951714E-2</v>
      </c>
      <c r="AA36">
        <f>_xlfn.CONFIDENCE.T(0.05,Y36,3)</f>
        <v>5.3895606429398044E-2</v>
      </c>
      <c r="AB36">
        <f t="shared" si="7"/>
        <v>7.3007037772740899</v>
      </c>
      <c r="AC36">
        <f t="shared" si="8"/>
        <v>7.408494990132886</v>
      </c>
    </row>
    <row r="37" spans="1:29" x14ac:dyDescent="0.25">
      <c r="A37" s="47" t="s">
        <v>20</v>
      </c>
      <c r="B37" s="47" t="s">
        <v>11</v>
      </c>
      <c r="C37" s="47" t="s">
        <v>29</v>
      </c>
      <c r="D37" s="48">
        <v>1000000</v>
      </c>
      <c r="E37" s="47">
        <v>64</v>
      </c>
      <c r="F37" s="48">
        <v>1E-3</v>
      </c>
      <c r="G37" s="47">
        <v>5.0000000000000001E-3</v>
      </c>
      <c r="H37" s="47">
        <v>0.44750000000000001</v>
      </c>
      <c r="I37" s="48">
        <f t="shared" si="0"/>
        <v>2.2375000000000002E-6</v>
      </c>
      <c r="J37" s="48">
        <f t="shared" si="1"/>
        <v>28603351.95530726</v>
      </c>
      <c r="K37" s="63">
        <v>53</v>
      </c>
      <c r="L37" s="64">
        <v>1E-3</v>
      </c>
      <c r="M37" s="63">
        <v>5.0000000000000001E-3</v>
      </c>
      <c r="N37" s="63">
        <v>0.44750000000000001</v>
      </c>
      <c r="O37" s="64">
        <f t="shared" si="2"/>
        <v>2.2375000000000002E-6</v>
      </c>
      <c r="P37" s="64">
        <f t="shared" si="3"/>
        <v>23687150.837988824</v>
      </c>
      <c r="Q37" s="47" t="s">
        <v>29</v>
      </c>
      <c r="R37">
        <f t="shared" si="4"/>
        <v>7.456416929995938</v>
      </c>
      <c r="V37" s="47" t="s">
        <v>29</v>
      </c>
      <c r="W37">
        <f t="shared" si="5"/>
        <v>7.3745128256128396</v>
      </c>
      <c r="AA37" t="e">
        <f t="shared" si="6"/>
        <v>#NUM!</v>
      </c>
      <c r="AB37" t="e">
        <f t="shared" si="7"/>
        <v>#NUM!</v>
      </c>
      <c r="AC37" t="e">
        <f t="shared" si="8"/>
        <v>#NUM!</v>
      </c>
    </row>
    <row r="38" spans="1:29" x14ac:dyDescent="0.25">
      <c r="A38" s="47" t="s">
        <v>20</v>
      </c>
      <c r="B38" s="47" t="s">
        <v>11</v>
      </c>
      <c r="C38" s="47" t="s">
        <v>29</v>
      </c>
      <c r="D38" s="48">
        <v>1000000</v>
      </c>
      <c r="E38" s="47">
        <v>63</v>
      </c>
      <c r="F38" s="48">
        <v>1E-3</v>
      </c>
      <c r="G38" s="47">
        <v>5.0000000000000001E-3</v>
      </c>
      <c r="H38" s="47">
        <v>0.44750000000000001</v>
      </c>
      <c r="I38" s="48">
        <f t="shared" si="0"/>
        <v>2.2375000000000002E-6</v>
      </c>
      <c r="J38" s="48">
        <f t="shared" si="1"/>
        <v>28156424.581005584</v>
      </c>
      <c r="K38" s="63">
        <v>51</v>
      </c>
      <c r="L38" s="64">
        <v>1E-3</v>
      </c>
      <c r="M38" s="63">
        <v>5.0000000000000001E-3</v>
      </c>
      <c r="N38" s="63">
        <v>0.44750000000000001</v>
      </c>
      <c r="O38" s="64">
        <f t="shared" si="2"/>
        <v>2.2375000000000002E-6</v>
      </c>
      <c r="P38" s="64">
        <f t="shared" si="3"/>
        <v>22793296.089385472</v>
      </c>
      <c r="Q38" s="47" t="s">
        <v>29</v>
      </c>
      <c r="R38">
        <f t="shared" si="4"/>
        <v>7.4495775054656317</v>
      </c>
      <c r="V38" s="47" t="s">
        <v>29</v>
      </c>
      <c r="W38">
        <f t="shared" si="5"/>
        <v>7.3578071321099872</v>
      </c>
      <c r="AA38" t="e">
        <f t="shared" si="6"/>
        <v>#NUM!</v>
      </c>
      <c r="AB38" t="e">
        <f t="shared" si="7"/>
        <v>#NUM!</v>
      </c>
      <c r="AC38" t="e">
        <f t="shared" si="8"/>
        <v>#NUM!</v>
      </c>
    </row>
    <row r="39" spans="1:29" x14ac:dyDescent="0.25">
      <c r="A39" s="50" t="s">
        <v>20</v>
      </c>
      <c r="B39" s="50" t="s">
        <v>11</v>
      </c>
      <c r="C39" s="50" t="s">
        <v>30</v>
      </c>
      <c r="D39" s="51">
        <v>100000</v>
      </c>
      <c r="E39" s="50">
        <v>43</v>
      </c>
      <c r="F39" s="51">
        <v>0.01</v>
      </c>
      <c r="G39" s="50">
        <v>5.0000000000000001E-3</v>
      </c>
      <c r="H39" s="50">
        <v>0.44750000000000001</v>
      </c>
      <c r="I39" s="51">
        <f t="shared" si="0"/>
        <v>2.2375000000000002E-5</v>
      </c>
      <c r="J39" s="51">
        <f t="shared" si="1"/>
        <v>1921787.7094972066</v>
      </c>
      <c r="K39" s="65">
        <v>8</v>
      </c>
      <c r="L39" s="66">
        <v>1E-3</v>
      </c>
      <c r="M39" s="65">
        <v>5.0000000000000001E-3</v>
      </c>
      <c r="N39" s="65">
        <v>0.44750000000000001</v>
      </c>
      <c r="O39" s="66">
        <f t="shared" si="2"/>
        <v>2.2375000000000002E-6</v>
      </c>
      <c r="P39" s="66">
        <f t="shared" si="3"/>
        <v>3575418.9944134075</v>
      </c>
      <c r="Q39" s="52" t="s">
        <v>30</v>
      </c>
      <c r="R39">
        <f t="shared" si="4"/>
        <v>6.2837054115916366</v>
      </c>
      <c r="S39">
        <f>AVERAGE(R39:R41)</f>
        <v>6.3501017313446466</v>
      </c>
      <c r="T39">
        <f>_xlfn.STDEV.S(R39:R41)</f>
        <v>9.8399406810743967E-2</v>
      </c>
      <c r="U39">
        <f>T39/SQRT(3)</f>
        <v>5.6810924010282531E-2</v>
      </c>
      <c r="V39" s="53" t="s">
        <v>30</v>
      </c>
      <c r="W39">
        <f t="shared" si="5"/>
        <v>6.5533269430039942</v>
      </c>
      <c r="X39">
        <f>AVERAGE(W39:W41)</f>
        <v>6.4172469545667106</v>
      </c>
      <c r="Y39">
        <f>_xlfn.STDEV.S(W39:W41)</f>
        <v>0.11784872693338005</v>
      </c>
      <c r="Z39">
        <f>Y39/SQRT(3)</f>
        <v>6.8039994218641681E-2</v>
      </c>
      <c r="AA39">
        <f t="shared" si="6"/>
        <v>0.29275246685697637</v>
      </c>
      <c r="AB39">
        <f t="shared" si="7"/>
        <v>6.1244944877097343</v>
      </c>
      <c r="AC39">
        <f t="shared" si="8"/>
        <v>6.7099994214236869</v>
      </c>
    </row>
    <row r="40" spans="1:29" x14ac:dyDescent="0.25">
      <c r="A40" s="50" t="s">
        <v>20</v>
      </c>
      <c r="B40" s="50" t="s">
        <v>11</v>
      </c>
      <c r="C40" s="50" t="s">
        <v>30</v>
      </c>
      <c r="D40" s="51">
        <v>100000</v>
      </c>
      <c r="E40" s="50">
        <v>45</v>
      </c>
      <c r="F40" s="51">
        <v>0.01</v>
      </c>
      <c r="G40" s="50">
        <v>5.0000000000000001E-3</v>
      </c>
      <c r="H40" s="50">
        <v>0.44750000000000001</v>
      </c>
      <c r="I40" s="51">
        <f t="shared" si="0"/>
        <v>2.2375000000000002E-5</v>
      </c>
      <c r="J40" s="51">
        <f t="shared" si="1"/>
        <v>2011173.1843575418</v>
      </c>
      <c r="K40" s="65">
        <v>5</v>
      </c>
      <c r="L40" s="66">
        <v>1E-3</v>
      </c>
      <c r="M40" s="65">
        <v>5.0000000000000001E-3</v>
      </c>
      <c r="N40" s="65">
        <v>0.44750000000000001</v>
      </c>
      <c r="O40" s="66">
        <f t="shared" si="2"/>
        <v>2.2375000000000002E-6</v>
      </c>
      <c r="P40" s="66">
        <f t="shared" si="3"/>
        <v>2234636.8715083799</v>
      </c>
      <c r="Q40" s="50" t="s">
        <v>30</v>
      </c>
      <c r="R40">
        <f t="shared" si="4"/>
        <v>6.3034494697873944</v>
      </c>
      <c r="V40" s="53" t="s">
        <v>30</v>
      </c>
      <c r="W40">
        <f t="shared" si="5"/>
        <v>6.3492069603480692</v>
      </c>
      <c r="AA40" t="e">
        <f t="shared" si="6"/>
        <v>#NUM!</v>
      </c>
      <c r="AB40" t="e">
        <f t="shared" si="7"/>
        <v>#NUM!</v>
      </c>
      <c r="AC40" t="e">
        <f t="shared" si="8"/>
        <v>#NUM!</v>
      </c>
    </row>
    <row r="41" spans="1:29" x14ac:dyDescent="0.25">
      <c r="A41" s="50" t="s">
        <v>20</v>
      </c>
      <c r="B41" s="50" t="s">
        <v>11</v>
      </c>
      <c r="C41" s="50" t="s">
        <v>30</v>
      </c>
      <c r="D41" s="51">
        <v>100000</v>
      </c>
      <c r="E41" s="50">
        <v>65</v>
      </c>
      <c r="F41" s="51">
        <v>0.01</v>
      </c>
      <c r="G41" s="50">
        <v>5.0000000000000001E-3</v>
      </c>
      <c r="H41" s="50">
        <v>0.44750000000000001</v>
      </c>
      <c r="I41" s="51">
        <f t="shared" si="0"/>
        <v>2.2375000000000002E-5</v>
      </c>
      <c r="J41" s="51">
        <f t="shared" si="1"/>
        <v>2905027.9329608935</v>
      </c>
      <c r="K41" s="65">
        <v>5</v>
      </c>
      <c r="L41" s="66">
        <v>1E-3</v>
      </c>
      <c r="M41" s="65">
        <v>5.0000000000000001E-3</v>
      </c>
      <c r="N41" s="65">
        <v>0.44750000000000001</v>
      </c>
      <c r="O41" s="66">
        <f t="shared" si="2"/>
        <v>2.2375000000000002E-6</v>
      </c>
      <c r="P41" s="66">
        <f t="shared" si="3"/>
        <v>2234636.8715083799</v>
      </c>
      <c r="Q41" s="50" t="s">
        <v>30</v>
      </c>
      <c r="R41">
        <f t="shared" si="4"/>
        <v>6.4631503126549061</v>
      </c>
      <c r="V41" s="53" t="s">
        <v>30</v>
      </c>
      <c r="W41">
        <f t="shared" si="5"/>
        <v>6.3492069603480692</v>
      </c>
      <c r="AA41" t="e">
        <f t="shared" si="6"/>
        <v>#NUM!</v>
      </c>
      <c r="AB41" t="e">
        <f t="shared" si="7"/>
        <v>#NUM!</v>
      </c>
      <c r="AC41" t="e">
        <f t="shared" si="8"/>
        <v>#NUM!</v>
      </c>
    </row>
    <row r="42" spans="1:29" x14ac:dyDescent="0.25">
      <c r="A42" s="50" t="s">
        <v>20</v>
      </c>
      <c r="B42" s="50" t="s">
        <v>12</v>
      </c>
      <c r="C42" s="50" t="s">
        <v>31</v>
      </c>
      <c r="D42" s="51">
        <v>100000</v>
      </c>
      <c r="E42" s="50">
        <v>11</v>
      </c>
      <c r="F42" s="51">
        <v>0.01</v>
      </c>
      <c r="G42" s="50">
        <v>5.0000000000000001E-3</v>
      </c>
      <c r="H42" s="50">
        <v>0.44750000000000001</v>
      </c>
      <c r="I42" s="51">
        <f t="shared" si="0"/>
        <v>2.2375000000000002E-5</v>
      </c>
      <c r="J42" s="51">
        <f t="shared" si="1"/>
        <v>491620.11173184356</v>
      </c>
      <c r="K42" s="65">
        <v>14</v>
      </c>
      <c r="L42" s="66">
        <v>1E-3</v>
      </c>
      <c r="M42" s="65">
        <v>5.0000000000000001E-3</v>
      </c>
      <c r="N42" s="65">
        <v>0.44750000000000001</v>
      </c>
      <c r="O42" s="66">
        <f t="shared" si="2"/>
        <v>2.2375000000000002E-6</v>
      </c>
      <c r="P42" s="66">
        <f t="shared" si="3"/>
        <v>6256983.2402234636</v>
      </c>
      <c r="Q42" s="52" t="s">
        <v>31</v>
      </c>
      <c r="R42">
        <f t="shared" si="4"/>
        <v>5.6916296411702758</v>
      </c>
      <c r="S42">
        <f>AVERAGE(R42:R44)</f>
        <v>5.7391376116400794</v>
      </c>
      <c r="T42">
        <f>_xlfn.STDEV.S(R42:R44)</f>
        <v>5.3039830354943918E-2</v>
      </c>
      <c r="U42">
        <f>T42/SQRT(3)</f>
        <v>3.0622560333198958E-2</v>
      </c>
      <c r="V42" s="53" t="s">
        <v>31</v>
      </c>
      <c r="W42">
        <f t="shared" si="5"/>
        <v>6.7963649916902886</v>
      </c>
      <c r="X42">
        <f>AVERAGE(W42:W44)</f>
        <v>6.860853443398657</v>
      </c>
      <c r="Y42">
        <f>_xlfn.STDEV.S(W42:W44)</f>
        <v>5.7211212887381728E-2</v>
      </c>
      <c r="Z42">
        <f>Y42/SQRT(3)</f>
        <v>3.3030909161194832E-2</v>
      </c>
      <c r="AA42">
        <f t="shared" si="6"/>
        <v>0.14212053146852152</v>
      </c>
      <c r="AB42">
        <f t="shared" si="7"/>
        <v>6.7187329119301351</v>
      </c>
      <c r="AC42">
        <f t="shared" si="8"/>
        <v>7.0029739748671789</v>
      </c>
    </row>
    <row r="43" spans="1:29" x14ac:dyDescent="0.25">
      <c r="A43" s="50" t="s">
        <v>20</v>
      </c>
      <c r="B43" s="50" t="s">
        <v>12</v>
      </c>
      <c r="C43" s="50" t="s">
        <v>31</v>
      </c>
      <c r="D43" s="51">
        <v>100000</v>
      </c>
      <c r="E43" s="50">
        <v>14</v>
      </c>
      <c r="F43" s="51">
        <v>0.01</v>
      </c>
      <c r="G43" s="50">
        <v>5.0000000000000001E-3</v>
      </c>
      <c r="H43" s="50">
        <v>0.44750000000000001</v>
      </c>
      <c r="I43" s="51">
        <f t="shared" si="0"/>
        <v>2.2375000000000002E-5</v>
      </c>
      <c r="J43" s="51">
        <f t="shared" si="1"/>
        <v>625698.32402234629</v>
      </c>
      <c r="K43" s="65">
        <v>17</v>
      </c>
      <c r="L43" s="66">
        <v>1E-3</v>
      </c>
      <c r="M43" s="65">
        <v>5.0000000000000001E-3</v>
      </c>
      <c r="N43" s="65">
        <v>0.44750000000000001</v>
      </c>
      <c r="O43" s="66">
        <f t="shared" si="2"/>
        <v>2.2375000000000002E-6</v>
      </c>
      <c r="P43" s="66">
        <f t="shared" si="3"/>
        <v>7597765.3631284907</v>
      </c>
      <c r="Q43" s="50" t="s">
        <v>31</v>
      </c>
      <c r="R43">
        <f t="shared" si="4"/>
        <v>5.7963649916902886</v>
      </c>
      <c r="V43" s="53" t="s">
        <v>31</v>
      </c>
      <c r="W43">
        <f t="shared" si="5"/>
        <v>6.8806858773903246</v>
      </c>
      <c r="AA43" t="e">
        <f t="shared" si="6"/>
        <v>#NUM!</v>
      </c>
      <c r="AB43" t="e">
        <f t="shared" si="7"/>
        <v>#NUM!</v>
      </c>
      <c r="AC43" t="e">
        <f t="shared" si="8"/>
        <v>#NUM!</v>
      </c>
    </row>
    <row r="44" spans="1:29" x14ac:dyDescent="0.25">
      <c r="A44" s="50" t="s">
        <v>20</v>
      </c>
      <c r="B44" s="50" t="s">
        <v>12</v>
      </c>
      <c r="C44" s="50" t="s">
        <v>31</v>
      </c>
      <c r="D44" s="51">
        <v>100000</v>
      </c>
      <c r="E44" s="50">
        <v>12</v>
      </c>
      <c r="F44" s="51">
        <v>0.01</v>
      </c>
      <c r="G44" s="50">
        <v>5.0000000000000001E-3</v>
      </c>
      <c r="H44" s="50">
        <v>0.44750000000000001</v>
      </c>
      <c r="I44" s="51">
        <f t="shared" si="0"/>
        <v>2.2375000000000002E-5</v>
      </c>
      <c r="J44" s="51">
        <f t="shared" si="1"/>
        <v>536312.84916201117</v>
      </c>
      <c r="K44" s="65">
        <v>18</v>
      </c>
      <c r="L44" s="66">
        <v>1E-3</v>
      </c>
      <c r="M44" s="65">
        <v>5.0000000000000001E-3</v>
      </c>
      <c r="N44" s="65">
        <v>0.44750000000000001</v>
      </c>
      <c r="O44" s="66">
        <f t="shared" si="2"/>
        <v>2.2375000000000002E-6</v>
      </c>
      <c r="P44" s="66">
        <f t="shared" si="3"/>
        <v>8044692.7374301674</v>
      </c>
      <c r="Q44" s="50" t="s">
        <v>31</v>
      </c>
      <c r="R44">
        <f t="shared" si="4"/>
        <v>5.7294182020596756</v>
      </c>
      <c r="V44" s="53" t="s">
        <v>31</v>
      </c>
      <c r="W44">
        <f t="shared" si="5"/>
        <v>6.9055094611153569</v>
      </c>
      <c r="AA44" t="e">
        <f t="shared" si="6"/>
        <v>#NUM!</v>
      </c>
      <c r="AB44" t="e">
        <f t="shared" si="7"/>
        <v>#NUM!</v>
      </c>
      <c r="AC44" t="e">
        <f t="shared" si="8"/>
        <v>#NUM!</v>
      </c>
    </row>
    <row r="45" spans="1:29" x14ac:dyDescent="0.25">
      <c r="A45" s="50" t="s">
        <v>20</v>
      </c>
      <c r="B45" s="50" t="s">
        <v>12</v>
      </c>
      <c r="C45" s="50" t="s">
        <v>32</v>
      </c>
      <c r="D45" s="51">
        <v>100000</v>
      </c>
      <c r="E45" s="50">
        <v>13</v>
      </c>
      <c r="F45" s="51">
        <v>0.01</v>
      </c>
      <c r="G45" s="50">
        <v>5.0000000000000001E-3</v>
      </c>
      <c r="H45" s="50">
        <v>0.44750000000000001</v>
      </c>
      <c r="I45" s="51">
        <f t="shared" si="0"/>
        <v>2.2375000000000002E-5</v>
      </c>
      <c r="J45" s="51">
        <f t="shared" si="1"/>
        <v>581005.58659217868</v>
      </c>
      <c r="K45" s="65">
        <v>15</v>
      </c>
      <c r="L45" s="66">
        <v>1E-3</v>
      </c>
      <c r="M45" s="65">
        <v>5.0000000000000001E-3</v>
      </c>
      <c r="N45" s="65">
        <v>0.44750000000000001</v>
      </c>
      <c r="O45" s="66">
        <f t="shared" si="2"/>
        <v>2.2375000000000002E-6</v>
      </c>
      <c r="P45" s="66">
        <f t="shared" si="3"/>
        <v>6703910.6145251393</v>
      </c>
      <c r="Q45" s="52" t="s">
        <v>32</v>
      </c>
      <c r="R45">
        <f t="shared" si="4"/>
        <v>5.7641803083188874</v>
      </c>
      <c r="S45">
        <f>AVERAGE(R45:R47)</f>
        <v>6.0567214683709878</v>
      </c>
      <c r="T45">
        <f>_xlfn.STDEV.S(R45:R47)</f>
        <v>0.45393930330144178</v>
      </c>
      <c r="U45">
        <f>T45/SQRT(3)</f>
        <v>0.2620819789568386</v>
      </c>
      <c r="V45" s="53" t="s">
        <v>32</v>
      </c>
      <c r="W45">
        <f t="shared" si="5"/>
        <v>6.8263282150677318</v>
      </c>
      <c r="X45">
        <f>AVERAGE(W45:W47)</f>
        <v>6.7676311287158377</v>
      </c>
      <c r="Y45">
        <f>_xlfn.STDEV.S(W45:W47)</f>
        <v>0.10166633581773775</v>
      </c>
      <c r="Z45">
        <f>Y45/SQRT(3)</f>
        <v>5.8697086351893787E-2</v>
      </c>
      <c r="AA45">
        <f t="shared" si="6"/>
        <v>0.2525531788203158</v>
      </c>
      <c r="AB45">
        <f t="shared" si="7"/>
        <v>6.515077949895522</v>
      </c>
      <c r="AC45">
        <f t="shared" si="8"/>
        <v>7.0201843075361534</v>
      </c>
    </row>
    <row r="46" spans="1:29" x14ac:dyDescent="0.25">
      <c r="A46" s="50" t="s">
        <v>20</v>
      </c>
      <c r="B46" s="50" t="s">
        <v>12</v>
      </c>
      <c r="C46" s="50" t="s">
        <v>32</v>
      </c>
      <c r="D46" s="51">
        <v>100000</v>
      </c>
      <c r="E46" s="50">
        <v>85</v>
      </c>
      <c r="F46" s="51">
        <v>0.01</v>
      </c>
      <c r="G46" s="50">
        <v>5.0000000000000001E-3</v>
      </c>
      <c r="H46" s="50">
        <v>0.44750000000000001</v>
      </c>
      <c r="I46" s="51">
        <f t="shared" si="0"/>
        <v>2.2375000000000002E-5</v>
      </c>
      <c r="J46" s="51">
        <f t="shared" si="1"/>
        <v>3798882.6815642454</v>
      </c>
      <c r="K46" s="65">
        <v>10</v>
      </c>
      <c r="L46" s="66">
        <v>1E-3</v>
      </c>
      <c r="M46" s="65">
        <v>5.0000000000000001E-3</v>
      </c>
      <c r="N46" s="65">
        <v>0.44750000000000001</v>
      </c>
      <c r="O46" s="66">
        <f t="shared" si="2"/>
        <v>2.2375000000000002E-6</v>
      </c>
      <c r="P46" s="66">
        <f t="shared" si="3"/>
        <v>4469273.7430167599</v>
      </c>
      <c r="Q46" s="50" t="s">
        <v>32</v>
      </c>
      <c r="R46">
        <f t="shared" si="4"/>
        <v>6.5796558817263433</v>
      </c>
      <c r="V46" s="53" t="s">
        <v>32</v>
      </c>
      <c r="W46">
        <f t="shared" si="5"/>
        <v>6.6502369560120504</v>
      </c>
      <c r="AA46" t="e">
        <f t="shared" si="6"/>
        <v>#NUM!</v>
      </c>
      <c r="AB46" t="e">
        <f t="shared" si="7"/>
        <v>#NUM!</v>
      </c>
      <c r="AC46" t="e">
        <f t="shared" si="8"/>
        <v>#NUM!</v>
      </c>
    </row>
    <row r="47" spans="1:29" x14ac:dyDescent="0.25">
      <c r="A47" s="50" t="s">
        <v>20</v>
      </c>
      <c r="B47" s="50" t="s">
        <v>12</v>
      </c>
      <c r="C47" s="50" t="s">
        <v>32</v>
      </c>
      <c r="D47" s="51">
        <v>100000</v>
      </c>
      <c r="E47" s="50">
        <v>15</v>
      </c>
      <c r="F47" s="51">
        <v>0.01</v>
      </c>
      <c r="G47" s="50">
        <v>5.0000000000000001E-3</v>
      </c>
      <c r="H47" s="50">
        <v>0.44750000000000001</v>
      </c>
      <c r="I47" s="51">
        <f t="shared" si="0"/>
        <v>2.2375000000000002E-5</v>
      </c>
      <c r="J47" s="51">
        <f t="shared" si="1"/>
        <v>670391.06145251391</v>
      </c>
      <c r="K47" s="65">
        <v>15</v>
      </c>
      <c r="L47" s="66">
        <v>1E-3</v>
      </c>
      <c r="M47" s="65">
        <v>5.0000000000000001E-3</v>
      </c>
      <c r="N47" s="65">
        <v>0.44750000000000001</v>
      </c>
      <c r="O47" s="66">
        <f t="shared" si="2"/>
        <v>2.2375000000000002E-6</v>
      </c>
      <c r="P47" s="66">
        <f t="shared" si="3"/>
        <v>6703910.6145251393</v>
      </c>
      <c r="Q47" s="50" t="s">
        <v>32</v>
      </c>
      <c r="R47">
        <f t="shared" si="4"/>
        <v>5.8263282150677318</v>
      </c>
      <c r="V47" s="53" t="s">
        <v>32</v>
      </c>
      <c r="W47">
        <f t="shared" si="5"/>
        <v>6.8263282150677318</v>
      </c>
      <c r="AA47" t="e">
        <f t="shared" si="6"/>
        <v>#NUM!</v>
      </c>
      <c r="AB47" t="e">
        <f t="shared" si="7"/>
        <v>#NUM!</v>
      </c>
      <c r="AC47" t="e">
        <f t="shared" si="8"/>
        <v>#NUM!</v>
      </c>
    </row>
    <row r="48" spans="1:29" x14ac:dyDescent="0.25">
      <c r="D48" s="12"/>
      <c r="F48" s="12"/>
      <c r="I48" s="12"/>
      <c r="J48" s="12"/>
      <c r="L48" s="12"/>
      <c r="O48" s="12"/>
      <c r="P48" s="12"/>
      <c r="Q48" s="5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1ED6-0B03-4FDF-8C0B-1BAC65E5F5E1}">
  <dimension ref="A5:S291"/>
  <sheetViews>
    <sheetView topLeftCell="A278" workbookViewId="0">
      <selection activeCell="H299" sqref="H299"/>
    </sheetView>
  </sheetViews>
  <sheetFormatPr defaultRowHeight="15" x14ac:dyDescent="0.25"/>
  <sheetData>
    <row r="5" spans="1:19" x14ac:dyDescent="0.25">
      <c r="B5" t="s">
        <v>137</v>
      </c>
    </row>
    <row r="6" spans="1:19" x14ac:dyDescent="0.25">
      <c r="A6" t="s">
        <v>138</v>
      </c>
      <c r="C6">
        <v>1.3</v>
      </c>
      <c r="D6" t="s">
        <v>141</v>
      </c>
      <c r="E6" t="s">
        <v>142</v>
      </c>
      <c r="F6" t="s">
        <v>143</v>
      </c>
      <c r="G6" t="s">
        <v>144</v>
      </c>
      <c r="H6" t="b">
        <v>0</v>
      </c>
      <c r="I6">
        <v>1</v>
      </c>
      <c r="Q6" t="s">
        <v>251</v>
      </c>
      <c r="R6" t="s">
        <v>252</v>
      </c>
      <c r="S6" t="s">
        <v>253</v>
      </c>
    </row>
    <row r="7" spans="1:19" x14ac:dyDescent="0.25">
      <c r="A7" t="s">
        <v>139</v>
      </c>
      <c r="B7" t="s">
        <v>140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Q7">
        <f>AVERAGE(E20:N27,E44:N51,E68:N75,E92:N99,E116:N123,E140:N147,E164:N171,E188:N195,E212:N219,E236:N243,E260:N267,E284:N291)</f>
        <v>3.5032999999999954</v>
      </c>
      <c r="R7">
        <v>12</v>
      </c>
      <c r="S7">
        <f>_xlfn.STDEV.S(E20:N27,E44:N51,E68:N75,E92:N99,E116:N123,E140:N147,E164:N171,E188:N195,E212:N219,E236:N243,E260:N267,E284:N291)</f>
        <v>0.41905953048927319</v>
      </c>
    </row>
    <row r="8" spans="1:19" x14ac:dyDescent="0.25">
      <c r="B8" t="s">
        <v>145</v>
      </c>
      <c r="C8">
        <v>2.8780999999999999</v>
      </c>
      <c r="D8">
        <v>1.2834000000000001</v>
      </c>
      <c r="E8">
        <v>8.2600000000000007E-2</v>
      </c>
      <c r="F8">
        <v>7.9600000000000004E-2</v>
      </c>
      <c r="G8">
        <v>5.9900000000000002E-2</v>
      </c>
      <c r="H8">
        <v>5.2400000000000002E-2</v>
      </c>
      <c r="I8">
        <v>5.33E-2</v>
      </c>
      <c r="J8">
        <v>4.8899999999999999E-2</v>
      </c>
      <c r="K8">
        <v>4.8800000000000003E-2</v>
      </c>
      <c r="L8">
        <v>4.7800000000000002E-2</v>
      </c>
      <c r="M8">
        <v>4.87E-2</v>
      </c>
      <c r="N8">
        <v>5.45E-2</v>
      </c>
    </row>
    <row r="9" spans="1:19" x14ac:dyDescent="0.25">
      <c r="B9">
        <v>23.9</v>
      </c>
      <c r="C9">
        <v>2.7982999999999998</v>
      </c>
      <c r="D9">
        <v>0.57779999999999998</v>
      </c>
      <c r="E9">
        <v>0.1176</v>
      </c>
      <c r="F9">
        <v>5.8999999999999997E-2</v>
      </c>
      <c r="G9">
        <v>5.5300000000000002E-2</v>
      </c>
      <c r="H9">
        <v>5.3499999999999999E-2</v>
      </c>
      <c r="I9">
        <v>5.1900000000000002E-2</v>
      </c>
      <c r="J9">
        <v>4.99E-2</v>
      </c>
      <c r="K9">
        <v>5.0500000000000003E-2</v>
      </c>
      <c r="L9">
        <v>4.8300000000000003E-2</v>
      </c>
      <c r="M9">
        <v>4.9299999999999997E-2</v>
      </c>
      <c r="N9">
        <v>5.21E-2</v>
      </c>
      <c r="P9" t="s">
        <v>254</v>
      </c>
      <c r="Q9">
        <f>5*S7</f>
        <v>2.0952976524463658</v>
      </c>
    </row>
    <row r="10" spans="1:19" x14ac:dyDescent="0.25">
      <c r="C10">
        <v>2.8793000000000002</v>
      </c>
      <c r="D10">
        <v>0.88439999999999996</v>
      </c>
      <c r="E10">
        <v>9.8699999999999996E-2</v>
      </c>
      <c r="F10">
        <v>7.0900000000000005E-2</v>
      </c>
      <c r="G10">
        <v>5.5199999999999999E-2</v>
      </c>
      <c r="H10">
        <v>5.3999999999999999E-2</v>
      </c>
      <c r="I10">
        <v>5.4600000000000003E-2</v>
      </c>
      <c r="J10">
        <v>5.1900000000000002E-2</v>
      </c>
      <c r="K10">
        <v>5.1499999999999997E-2</v>
      </c>
      <c r="L10">
        <v>5.0700000000000002E-2</v>
      </c>
      <c r="M10">
        <v>5.0299999999999997E-2</v>
      </c>
      <c r="N10">
        <v>5.2400000000000002E-2</v>
      </c>
      <c r="P10" t="s">
        <v>255</v>
      </c>
      <c r="Q10" s="55">
        <f>Q7+Q9</f>
        <v>5.5985976524463616</v>
      </c>
    </row>
    <row r="11" spans="1:19" x14ac:dyDescent="0.25">
      <c r="C11">
        <v>3.1503999999999999</v>
      </c>
      <c r="D11">
        <v>0.50380000000000003</v>
      </c>
      <c r="E11">
        <v>0.1275</v>
      </c>
      <c r="F11">
        <v>6.4000000000000001E-2</v>
      </c>
      <c r="G11">
        <v>5.8099999999999999E-2</v>
      </c>
      <c r="H11">
        <v>5.5800000000000002E-2</v>
      </c>
      <c r="I11">
        <v>5.45E-2</v>
      </c>
      <c r="J11">
        <v>5.3800000000000001E-2</v>
      </c>
      <c r="K11">
        <v>5.1799999999999999E-2</v>
      </c>
      <c r="L11">
        <v>5.0599999999999999E-2</v>
      </c>
      <c r="M11">
        <v>5.33E-2</v>
      </c>
      <c r="N11">
        <v>5.1499999999999997E-2</v>
      </c>
    </row>
    <row r="12" spans="1:19" x14ac:dyDescent="0.25">
      <c r="C12">
        <v>3.1644000000000001</v>
      </c>
      <c r="D12">
        <v>0.48680000000000001</v>
      </c>
      <c r="E12">
        <v>9.1300000000000006E-2</v>
      </c>
      <c r="F12">
        <v>6.9000000000000006E-2</v>
      </c>
      <c r="G12">
        <v>5.4300000000000001E-2</v>
      </c>
      <c r="H12">
        <v>5.5100000000000003E-2</v>
      </c>
      <c r="I12">
        <v>5.6300000000000003E-2</v>
      </c>
      <c r="J12">
        <v>5.2999999999999999E-2</v>
      </c>
      <c r="K12">
        <v>5.2999999999999999E-2</v>
      </c>
      <c r="L12">
        <v>5.21E-2</v>
      </c>
      <c r="M12">
        <v>5.6800000000000003E-2</v>
      </c>
      <c r="N12">
        <v>4.9700000000000001E-2</v>
      </c>
    </row>
    <row r="13" spans="1:19" x14ac:dyDescent="0.25">
      <c r="C13">
        <v>3.0188999999999999</v>
      </c>
      <c r="D13">
        <v>0.38229999999999997</v>
      </c>
      <c r="E13">
        <v>9.5500000000000002E-2</v>
      </c>
      <c r="F13">
        <v>6.4199999999999993E-2</v>
      </c>
      <c r="G13">
        <v>5.7500000000000002E-2</v>
      </c>
      <c r="H13">
        <v>5.7500000000000002E-2</v>
      </c>
      <c r="I13">
        <v>5.4699999999999999E-2</v>
      </c>
      <c r="J13">
        <v>5.4600000000000003E-2</v>
      </c>
      <c r="K13">
        <v>5.57E-2</v>
      </c>
      <c r="L13">
        <v>5.2900000000000003E-2</v>
      </c>
      <c r="M13">
        <v>6.6299999999999998E-2</v>
      </c>
      <c r="N13">
        <v>5.2299999999999999E-2</v>
      </c>
    </row>
    <row r="14" spans="1:19" x14ac:dyDescent="0.25">
      <c r="C14">
        <v>3.1756000000000002</v>
      </c>
      <c r="D14">
        <v>1.5004</v>
      </c>
      <c r="E14">
        <v>8.6400000000000005E-2</v>
      </c>
      <c r="F14">
        <v>6.3799999999999996E-2</v>
      </c>
      <c r="G14">
        <v>6.0600000000000001E-2</v>
      </c>
      <c r="H14">
        <v>5.6599999999999998E-2</v>
      </c>
      <c r="I14">
        <v>5.5899999999999998E-2</v>
      </c>
      <c r="J14">
        <v>5.4300000000000001E-2</v>
      </c>
      <c r="K14">
        <v>5.5300000000000002E-2</v>
      </c>
      <c r="L14">
        <v>5.4100000000000002E-2</v>
      </c>
      <c r="M14">
        <v>5.6099999999999997E-2</v>
      </c>
      <c r="N14">
        <v>5.1999999999999998E-2</v>
      </c>
    </row>
    <row r="15" spans="1:19" x14ac:dyDescent="0.25">
      <c r="C15">
        <v>4</v>
      </c>
      <c r="D15">
        <v>1.153</v>
      </c>
      <c r="E15">
        <v>0.41449999999999998</v>
      </c>
      <c r="F15">
        <v>6.6799999999999998E-2</v>
      </c>
      <c r="G15">
        <v>8.9800000000000005E-2</v>
      </c>
      <c r="H15">
        <v>5.6500000000000002E-2</v>
      </c>
      <c r="I15">
        <v>5.5899999999999998E-2</v>
      </c>
      <c r="J15">
        <v>5.4899999999999997E-2</v>
      </c>
      <c r="K15">
        <v>5.4100000000000002E-2</v>
      </c>
      <c r="L15">
        <v>5.5300000000000002E-2</v>
      </c>
      <c r="M15">
        <v>5.5500000000000001E-2</v>
      </c>
      <c r="N15">
        <v>5.57E-2</v>
      </c>
    </row>
    <row r="18" spans="1:14" x14ac:dyDescent="0.25">
      <c r="A18" t="s">
        <v>146</v>
      </c>
      <c r="B18" t="s">
        <v>137</v>
      </c>
      <c r="C18">
        <v>1.3</v>
      </c>
      <c r="D18" t="s">
        <v>141</v>
      </c>
      <c r="E18" t="s">
        <v>142</v>
      </c>
      <c r="F18" t="s">
        <v>148</v>
      </c>
      <c r="G18" t="b">
        <v>0</v>
      </c>
      <c r="H18" t="s">
        <v>144</v>
      </c>
      <c r="I18" t="b">
        <v>0</v>
      </c>
      <c r="J18">
        <v>1</v>
      </c>
    </row>
    <row r="19" spans="1:14" x14ac:dyDescent="0.25">
      <c r="A19" t="s">
        <v>139</v>
      </c>
      <c r="B19" t="s">
        <v>147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</row>
    <row r="20" spans="1:14" x14ac:dyDescent="0.25">
      <c r="B20" t="s">
        <v>145</v>
      </c>
      <c r="C20">
        <v>14.504</v>
      </c>
      <c r="D20">
        <v>9.032</v>
      </c>
      <c r="E20" s="9">
        <v>3.5950000000000002</v>
      </c>
      <c r="F20" s="9">
        <v>4.2270000000000003</v>
      </c>
      <c r="G20" s="9">
        <v>3.7970000000000002</v>
      </c>
      <c r="H20" s="9">
        <v>3.661</v>
      </c>
      <c r="I20" s="9">
        <v>3.8239999999999998</v>
      </c>
      <c r="J20" s="9">
        <v>3.3319999999999999</v>
      </c>
      <c r="K20" s="9">
        <v>2.8149999999999999</v>
      </c>
      <c r="L20" s="9">
        <v>3.95</v>
      </c>
      <c r="M20" s="9">
        <v>3.7890000000000001</v>
      </c>
      <c r="N20" s="9">
        <v>4.0449999999999999</v>
      </c>
    </row>
    <row r="21" spans="1:14" x14ac:dyDescent="0.25">
      <c r="B21">
        <v>24</v>
      </c>
      <c r="C21">
        <v>15.365</v>
      </c>
      <c r="D21">
        <v>8.0210000000000008</v>
      </c>
      <c r="E21" s="9">
        <v>3.7789999999999999</v>
      </c>
      <c r="F21" s="9">
        <v>3.3969999999999998</v>
      </c>
      <c r="G21" s="9">
        <v>3.464</v>
      </c>
      <c r="H21" s="9">
        <v>3.5379999999999998</v>
      </c>
      <c r="I21" s="9">
        <v>3.1970000000000001</v>
      </c>
      <c r="J21" s="9">
        <v>3.3410000000000002</v>
      </c>
      <c r="K21" s="9">
        <v>3.3340000000000001</v>
      </c>
      <c r="L21" s="9">
        <v>3.645</v>
      </c>
      <c r="M21" s="9">
        <v>3.1640000000000001</v>
      </c>
      <c r="N21" s="9">
        <v>4.2350000000000003</v>
      </c>
    </row>
    <row r="22" spans="1:14" x14ac:dyDescent="0.25">
      <c r="C22">
        <v>15.321999999999999</v>
      </c>
      <c r="D22">
        <v>8.2110000000000003</v>
      </c>
      <c r="E22" s="9">
        <v>3.7839999999999998</v>
      </c>
      <c r="F22" s="9">
        <v>3.601</v>
      </c>
      <c r="G22" s="9">
        <v>3.613</v>
      </c>
      <c r="H22" s="9">
        <v>3.8109999999999999</v>
      </c>
      <c r="I22" s="9">
        <v>3.5430000000000001</v>
      </c>
      <c r="J22" s="9">
        <v>3.649</v>
      </c>
      <c r="K22" s="9">
        <v>4.07</v>
      </c>
      <c r="L22" s="9">
        <v>3.339</v>
      </c>
      <c r="M22" s="9">
        <v>3.5569999999999999</v>
      </c>
      <c r="N22" s="9">
        <v>3.9529999999999998</v>
      </c>
    </row>
    <row r="23" spans="1:14" x14ac:dyDescent="0.25">
      <c r="C23">
        <v>14.738</v>
      </c>
      <c r="D23">
        <v>8.3420000000000005</v>
      </c>
      <c r="E23" s="9">
        <v>3.6850000000000001</v>
      </c>
      <c r="F23" s="9">
        <v>3.5339999999999998</v>
      </c>
      <c r="G23" s="9">
        <v>3.609</v>
      </c>
      <c r="H23" s="9">
        <v>3.7450000000000001</v>
      </c>
      <c r="I23" s="9">
        <v>3.4009999999999998</v>
      </c>
      <c r="J23" s="9">
        <v>3.3839999999999999</v>
      </c>
      <c r="K23" s="9">
        <v>3.7610000000000001</v>
      </c>
      <c r="L23" s="9">
        <v>3.782</v>
      </c>
      <c r="M23" s="9">
        <v>3.3889999999999998</v>
      </c>
      <c r="N23" s="9">
        <v>3.7909999999999999</v>
      </c>
    </row>
    <row r="24" spans="1:14" x14ac:dyDescent="0.25">
      <c r="C24">
        <v>14.035</v>
      </c>
      <c r="D24">
        <v>7.5640000000000001</v>
      </c>
      <c r="E24" s="9">
        <v>3.9769999999999999</v>
      </c>
      <c r="F24" s="9">
        <v>3.7040000000000002</v>
      </c>
      <c r="G24" s="9">
        <v>4.0170000000000003</v>
      </c>
      <c r="H24" s="9">
        <v>2.9809999999999999</v>
      </c>
      <c r="I24" s="9">
        <v>3.1749999999999998</v>
      </c>
      <c r="J24" s="9">
        <v>3.7269999999999999</v>
      </c>
      <c r="K24" s="9">
        <v>4.0709999999999997</v>
      </c>
      <c r="L24" s="9">
        <v>3.556</v>
      </c>
      <c r="M24" s="9">
        <v>3.2959999999999998</v>
      </c>
      <c r="N24" s="9">
        <v>4.1849999999999996</v>
      </c>
    </row>
    <row r="25" spans="1:14" x14ac:dyDescent="0.25">
      <c r="C25">
        <v>14.718999999999999</v>
      </c>
      <c r="D25">
        <v>7.1379999999999999</v>
      </c>
      <c r="E25" s="9">
        <v>4.0529999999999999</v>
      </c>
      <c r="F25" s="9">
        <v>3.3759999999999999</v>
      </c>
      <c r="G25" s="9">
        <v>3.548</v>
      </c>
      <c r="H25" s="9">
        <v>3.5409999999999999</v>
      </c>
      <c r="I25" s="9">
        <v>3.6019999999999999</v>
      </c>
      <c r="J25" s="9">
        <v>3.4540000000000002</v>
      </c>
      <c r="K25" s="9">
        <v>3.9119999999999999</v>
      </c>
      <c r="L25" s="9">
        <v>3.5339999999999998</v>
      </c>
      <c r="M25" s="9">
        <v>3.5169999999999999</v>
      </c>
      <c r="N25" s="9">
        <v>4.0110000000000001</v>
      </c>
    </row>
    <row r="26" spans="1:14" x14ac:dyDescent="0.25">
      <c r="C26">
        <v>15.132999999999999</v>
      </c>
      <c r="D26">
        <v>9.9269999999999996</v>
      </c>
      <c r="E26" s="9">
        <v>4.3860000000000001</v>
      </c>
      <c r="F26" s="9">
        <v>3.9580000000000002</v>
      </c>
      <c r="G26" s="9">
        <v>3.7730000000000001</v>
      </c>
      <c r="H26" s="9">
        <v>3.15</v>
      </c>
      <c r="I26" s="9">
        <v>3.722</v>
      </c>
      <c r="J26" s="9">
        <v>3.4359999999999999</v>
      </c>
      <c r="K26" s="9">
        <v>3.3849999999999998</v>
      </c>
      <c r="L26" s="9">
        <v>3.0089999999999999</v>
      </c>
      <c r="M26" s="9">
        <v>3.7679999999999998</v>
      </c>
      <c r="N26" s="9">
        <v>4.1280000000000001</v>
      </c>
    </row>
    <row r="27" spans="1:14" x14ac:dyDescent="0.25">
      <c r="C27">
        <v>19.026</v>
      </c>
      <c r="D27">
        <v>12.164999999999999</v>
      </c>
      <c r="E27" s="9">
        <v>4.407</v>
      </c>
      <c r="F27" s="9">
        <v>3.6440000000000001</v>
      </c>
      <c r="G27" s="9">
        <v>3.7320000000000002</v>
      </c>
      <c r="H27" s="9">
        <v>3.6890000000000001</v>
      </c>
      <c r="I27" s="9">
        <v>4.048</v>
      </c>
      <c r="J27" s="9">
        <v>2.97</v>
      </c>
      <c r="K27" s="9">
        <v>3.407</v>
      </c>
      <c r="L27" s="9">
        <v>4.0750000000000002</v>
      </c>
      <c r="M27" s="9">
        <v>3.64</v>
      </c>
      <c r="N27" s="9">
        <v>4.1079999999999997</v>
      </c>
    </row>
    <row r="30" spans="1:14" x14ac:dyDescent="0.25">
      <c r="A30" t="s">
        <v>146</v>
      </c>
      <c r="B30" t="s">
        <v>150</v>
      </c>
      <c r="C30">
        <v>1.3</v>
      </c>
      <c r="D30" t="s">
        <v>141</v>
      </c>
      <c r="E30" t="s">
        <v>142</v>
      </c>
      <c r="F30" t="s">
        <v>143</v>
      </c>
      <c r="G30" t="s">
        <v>144</v>
      </c>
      <c r="H30" t="b">
        <v>0</v>
      </c>
      <c r="I30">
        <v>1</v>
      </c>
    </row>
    <row r="31" spans="1:14" x14ac:dyDescent="0.25">
      <c r="A31" t="s">
        <v>139</v>
      </c>
      <c r="B31" t="s">
        <v>151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</row>
    <row r="32" spans="1:14" x14ac:dyDescent="0.25">
      <c r="B32" t="s">
        <v>145</v>
      </c>
      <c r="C32">
        <v>2.6263000000000001</v>
      </c>
      <c r="D32">
        <v>0.90139999999999998</v>
      </c>
      <c r="E32">
        <v>0.21859999999999999</v>
      </c>
      <c r="F32">
        <v>7.8100000000000003E-2</v>
      </c>
      <c r="G32">
        <v>6.08E-2</v>
      </c>
      <c r="H32">
        <v>5.8299999999999998E-2</v>
      </c>
      <c r="I32">
        <v>5.7799999999999997E-2</v>
      </c>
      <c r="J32">
        <v>5.8999999999999997E-2</v>
      </c>
      <c r="K32">
        <v>6.0100000000000001E-2</v>
      </c>
      <c r="L32">
        <v>6.1699999999999998E-2</v>
      </c>
      <c r="M32">
        <v>6.3600000000000004E-2</v>
      </c>
      <c r="N32">
        <v>6.1899999999999997E-2</v>
      </c>
    </row>
    <row r="33" spans="1:14" x14ac:dyDescent="0.25">
      <c r="B33">
        <v>24.1</v>
      </c>
      <c r="C33">
        <v>2.5695999999999999</v>
      </c>
      <c r="D33">
        <v>0.78039999999999998</v>
      </c>
      <c r="E33">
        <v>0.1459</v>
      </c>
      <c r="F33">
        <v>7.1900000000000006E-2</v>
      </c>
      <c r="G33">
        <v>5.8700000000000002E-2</v>
      </c>
      <c r="H33">
        <v>5.74E-2</v>
      </c>
      <c r="I33">
        <v>5.79E-2</v>
      </c>
      <c r="J33">
        <v>5.8400000000000001E-2</v>
      </c>
      <c r="K33">
        <v>5.96E-2</v>
      </c>
      <c r="L33">
        <v>6.0400000000000002E-2</v>
      </c>
      <c r="M33">
        <v>6.4000000000000001E-2</v>
      </c>
      <c r="N33">
        <v>6.3899999999999998E-2</v>
      </c>
    </row>
    <row r="34" spans="1:14" x14ac:dyDescent="0.25">
      <c r="C34">
        <v>3.7757000000000001</v>
      </c>
      <c r="D34">
        <v>1.3789</v>
      </c>
      <c r="E34">
        <v>0.2127</v>
      </c>
      <c r="F34">
        <v>7.8799999999999995E-2</v>
      </c>
      <c r="G34">
        <v>5.79E-2</v>
      </c>
      <c r="H34">
        <v>5.6300000000000003E-2</v>
      </c>
      <c r="I34">
        <v>5.67E-2</v>
      </c>
      <c r="J34">
        <v>6.0299999999999999E-2</v>
      </c>
      <c r="K34">
        <v>5.74E-2</v>
      </c>
      <c r="L34">
        <v>5.8900000000000001E-2</v>
      </c>
      <c r="M34">
        <v>5.9400000000000001E-2</v>
      </c>
      <c r="N34">
        <v>6.2E-2</v>
      </c>
    </row>
    <row r="35" spans="1:14" x14ac:dyDescent="0.25">
      <c r="C35">
        <v>4</v>
      </c>
      <c r="D35">
        <v>0.89729999999999999</v>
      </c>
      <c r="E35">
        <v>0.19089999999999999</v>
      </c>
      <c r="F35">
        <v>7.9500000000000001E-2</v>
      </c>
      <c r="G35">
        <v>5.8000000000000003E-2</v>
      </c>
      <c r="H35">
        <v>5.8900000000000001E-2</v>
      </c>
      <c r="I35">
        <v>5.6399999999999999E-2</v>
      </c>
      <c r="J35">
        <v>6.0199999999999997E-2</v>
      </c>
      <c r="K35">
        <v>5.8400000000000001E-2</v>
      </c>
      <c r="L35">
        <v>0.06</v>
      </c>
      <c r="M35">
        <v>5.9400000000000001E-2</v>
      </c>
      <c r="N35">
        <v>6.0699999999999997E-2</v>
      </c>
    </row>
    <row r="36" spans="1:14" x14ac:dyDescent="0.25">
      <c r="C36">
        <v>4</v>
      </c>
      <c r="D36">
        <v>1.4579</v>
      </c>
      <c r="E36">
        <v>0.16300000000000001</v>
      </c>
      <c r="F36">
        <v>9.2700000000000005E-2</v>
      </c>
      <c r="G36">
        <v>5.8900000000000001E-2</v>
      </c>
      <c r="H36">
        <v>5.8000000000000003E-2</v>
      </c>
      <c r="I36">
        <v>5.7500000000000002E-2</v>
      </c>
      <c r="J36">
        <v>5.8599999999999999E-2</v>
      </c>
      <c r="K36">
        <v>5.8799999999999998E-2</v>
      </c>
      <c r="L36">
        <v>5.8599999999999999E-2</v>
      </c>
      <c r="M36">
        <v>5.9700000000000003E-2</v>
      </c>
      <c r="N36">
        <v>5.8999999999999997E-2</v>
      </c>
    </row>
    <row r="37" spans="1:14" x14ac:dyDescent="0.25">
      <c r="C37">
        <v>4</v>
      </c>
      <c r="D37">
        <v>2.0365000000000002</v>
      </c>
      <c r="E37">
        <v>0.22170000000000001</v>
      </c>
      <c r="F37">
        <v>0.11899999999999999</v>
      </c>
      <c r="G37">
        <v>0.06</v>
      </c>
      <c r="H37">
        <v>5.91E-2</v>
      </c>
      <c r="I37">
        <v>8.5699999999999998E-2</v>
      </c>
      <c r="J37">
        <v>6.1899999999999997E-2</v>
      </c>
      <c r="K37">
        <v>5.9499999999999997E-2</v>
      </c>
      <c r="L37">
        <v>6.0600000000000001E-2</v>
      </c>
      <c r="M37">
        <v>6.1199999999999997E-2</v>
      </c>
      <c r="N37">
        <v>6.0499999999999998E-2</v>
      </c>
    </row>
    <row r="38" spans="1:14" x14ac:dyDescent="0.25">
      <c r="C38">
        <v>3.9508000000000001</v>
      </c>
      <c r="D38">
        <v>1.9115</v>
      </c>
      <c r="E38">
        <v>0.2213</v>
      </c>
      <c r="F38">
        <v>0.1077</v>
      </c>
      <c r="G38">
        <v>6.4199999999999993E-2</v>
      </c>
      <c r="H38">
        <v>5.7700000000000001E-2</v>
      </c>
      <c r="I38">
        <v>6.0400000000000002E-2</v>
      </c>
      <c r="J38">
        <v>6.1400000000000003E-2</v>
      </c>
      <c r="K38">
        <v>6.2E-2</v>
      </c>
      <c r="L38">
        <v>6.2100000000000002E-2</v>
      </c>
      <c r="M38">
        <v>6.2300000000000001E-2</v>
      </c>
      <c r="N38">
        <v>5.8999999999999997E-2</v>
      </c>
    </row>
    <row r="39" spans="1:14" x14ac:dyDescent="0.25">
      <c r="C39">
        <v>3.8473000000000002</v>
      </c>
      <c r="D39">
        <v>2.3614999999999999</v>
      </c>
      <c r="E39">
        <v>0.52729999999999999</v>
      </c>
      <c r="F39">
        <v>0.1138</v>
      </c>
      <c r="G39">
        <v>6.3E-2</v>
      </c>
      <c r="H39">
        <v>5.7700000000000001E-2</v>
      </c>
      <c r="I39">
        <v>6.0400000000000002E-2</v>
      </c>
      <c r="J39">
        <v>5.9700000000000003E-2</v>
      </c>
      <c r="K39">
        <v>5.9900000000000002E-2</v>
      </c>
      <c r="L39">
        <v>6.0699999999999997E-2</v>
      </c>
      <c r="M39">
        <v>6.3600000000000004E-2</v>
      </c>
      <c r="N39">
        <v>6.0299999999999999E-2</v>
      </c>
    </row>
    <row r="42" spans="1:14" x14ac:dyDescent="0.25">
      <c r="A42" t="s">
        <v>146</v>
      </c>
      <c r="B42" t="s">
        <v>150</v>
      </c>
      <c r="C42">
        <v>1.3</v>
      </c>
      <c r="D42" t="s">
        <v>141</v>
      </c>
      <c r="E42" t="s">
        <v>142</v>
      </c>
      <c r="F42" t="s">
        <v>148</v>
      </c>
      <c r="G42" t="b">
        <v>0</v>
      </c>
      <c r="H42" t="s">
        <v>144</v>
      </c>
      <c r="I42" t="b">
        <v>0</v>
      </c>
      <c r="J42">
        <v>1</v>
      </c>
    </row>
    <row r="43" spans="1:14" x14ac:dyDescent="0.25">
      <c r="A43" t="s">
        <v>139</v>
      </c>
      <c r="B43" t="s">
        <v>152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  <c r="M43">
        <v>11</v>
      </c>
      <c r="N43">
        <v>12</v>
      </c>
    </row>
    <row r="44" spans="1:14" x14ac:dyDescent="0.25">
      <c r="B44" t="s">
        <v>145</v>
      </c>
      <c r="C44">
        <v>16.131</v>
      </c>
      <c r="D44">
        <v>6.8140000000000001</v>
      </c>
      <c r="E44" s="9">
        <v>3.6269999999999998</v>
      </c>
      <c r="F44" s="9">
        <v>3.3079999999999998</v>
      </c>
      <c r="G44" s="9">
        <v>4.0599999999999996</v>
      </c>
      <c r="H44" s="9">
        <v>2.915</v>
      </c>
      <c r="I44" s="9">
        <v>3.895</v>
      </c>
      <c r="J44" s="9">
        <v>3.5350000000000001</v>
      </c>
      <c r="K44" s="9">
        <v>3.9660000000000002</v>
      </c>
      <c r="L44" s="9">
        <v>3.476</v>
      </c>
      <c r="M44" s="9">
        <v>3.3380000000000001</v>
      </c>
      <c r="N44" s="9">
        <v>3.8460000000000001</v>
      </c>
    </row>
    <row r="45" spans="1:14" x14ac:dyDescent="0.25">
      <c r="B45">
        <v>24</v>
      </c>
      <c r="C45">
        <v>15.16</v>
      </c>
      <c r="D45">
        <v>7.8239999999999998</v>
      </c>
      <c r="E45" s="9">
        <v>3.3079999999999998</v>
      </c>
      <c r="F45" s="9">
        <v>3.9239999999999999</v>
      </c>
      <c r="G45" s="9">
        <v>3.04</v>
      </c>
      <c r="H45" s="9">
        <v>3.5059999999999998</v>
      </c>
      <c r="I45" s="9">
        <v>3.504</v>
      </c>
      <c r="J45" s="9">
        <v>3.3420000000000001</v>
      </c>
      <c r="K45" s="9">
        <v>3.4140000000000001</v>
      </c>
      <c r="L45" s="9">
        <v>3.169</v>
      </c>
      <c r="M45" s="9">
        <v>3.0750000000000002</v>
      </c>
      <c r="N45" s="9">
        <v>3.8359999999999999</v>
      </c>
    </row>
    <row r="46" spans="1:14" x14ac:dyDescent="0.25">
      <c r="C46">
        <v>15.545999999999999</v>
      </c>
      <c r="D46">
        <v>12.491</v>
      </c>
      <c r="E46" s="9">
        <v>3.8250000000000002</v>
      </c>
      <c r="F46" s="9">
        <v>3.8620000000000001</v>
      </c>
      <c r="G46" s="9">
        <v>3.0750000000000002</v>
      </c>
      <c r="H46" s="9">
        <v>3.5230000000000001</v>
      </c>
      <c r="I46" s="9">
        <v>3.4340000000000002</v>
      </c>
      <c r="J46" s="9">
        <v>3.7149999999999999</v>
      </c>
      <c r="K46" s="9">
        <v>3.07</v>
      </c>
      <c r="L46" s="9">
        <v>3.258</v>
      </c>
      <c r="M46" s="9">
        <v>3.3980000000000001</v>
      </c>
      <c r="N46" s="9">
        <v>4.5880000000000001</v>
      </c>
    </row>
    <row r="47" spans="1:14" x14ac:dyDescent="0.25">
      <c r="C47">
        <v>16.423999999999999</v>
      </c>
      <c r="D47">
        <v>12.938000000000001</v>
      </c>
      <c r="E47" s="9">
        <v>4.05</v>
      </c>
      <c r="F47" s="9">
        <v>3.6440000000000001</v>
      </c>
      <c r="G47" s="9">
        <v>3.363</v>
      </c>
      <c r="H47" s="9">
        <v>3.4569999999999999</v>
      </c>
      <c r="I47" s="9">
        <v>3.7770000000000001</v>
      </c>
      <c r="J47" s="9">
        <v>3.0249999999999999</v>
      </c>
      <c r="K47" s="9">
        <v>3.34</v>
      </c>
      <c r="L47" s="9">
        <v>3.702</v>
      </c>
      <c r="M47" s="9">
        <v>3.2040000000000002</v>
      </c>
      <c r="N47" s="9">
        <v>3.702</v>
      </c>
    </row>
    <row r="48" spans="1:14" x14ac:dyDescent="0.25">
      <c r="C48">
        <v>16.966000000000001</v>
      </c>
      <c r="D48">
        <v>12.01</v>
      </c>
      <c r="E48" s="9">
        <v>3.5329999999999999</v>
      </c>
      <c r="F48" s="9">
        <v>3.1360000000000001</v>
      </c>
      <c r="G48" s="9">
        <v>3.5870000000000002</v>
      </c>
      <c r="H48" s="9">
        <v>3.56</v>
      </c>
      <c r="I48" s="9">
        <v>3.3809999999999998</v>
      </c>
      <c r="J48" s="9">
        <v>3.2280000000000002</v>
      </c>
      <c r="K48" s="9">
        <v>3.7349999999999999</v>
      </c>
      <c r="L48" s="9">
        <v>3.1240000000000001</v>
      </c>
      <c r="M48" s="9">
        <v>3.621</v>
      </c>
      <c r="N48" s="9">
        <v>3.855</v>
      </c>
    </row>
    <row r="49" spans="1:14" x14ac:dyDescent="0.25">
      <c r="C49">
        <v>16.38</v>
      </c>
      <c r="D49">
        <v>12.9</v>
      </c>
      <c r="E49" s="9">
        <v>4.6989999999999998</v>
      </c>
      <c r="F49" s="9">
        <v>3.2610000000000001</v>
      </c>
      <c r="G49" s="9">
        <v>3.6890000000000001</v>
      </c>
      <c r="H49" s="9">
        <v>4.0149999999999997</v>
      </c>
      <c r="I49" s="9">
        <v>3.6230000000000002</v>
      </c>
      <c r="J49" s="9">
        <v>3.7189999999999999</v>
      </c>
      <c r="K49" s="9">
        <v>3.4329999999999998</v>
      </c>
      <c r="L49" s="9">
        <v>3.5739999999999998</v>
      </c>
      <c r="M49" s="9">
        <v>3.2709999999999999</v>
      </c>
      <c r="N49" s="9">
        <v>4.5739999999999998</v>
      </c>
    </row>
    <row r="50" spans="1:14" x14ac:dyDescent="0.25">
      <c r="C50">
        <v>16.501000000000001</v>
      </c>
      <c r="D50">
        <v>13.303000000000001</v>
      </c>
      <c r="E50" s="9">
        <v>4.7789999999999999</v>
      </c>
      <c r="F50" s="9">
        <v>3.427</v>
      </c>
      <c r="G50" s="9">
        <v>3.7170000000000001</v>
      </c>
      <c r="H50" s="9">
        <v>3.97</v>
      </c>
      <c r="I50" s="9">
        <v>3.2410000000000001</v>
      </c>
      <c r="J50" s="9">
        <v>3.5870000000000002</v>
      </c>
      <c r="K50" s="9">
        <v>4.0869999999999997</v>
      </c>
      <c r="L50" s="9">
        <v>3.8170000000000002</v>
      </c>
      <c r="M50" s="9">
        <v>3.6560000000000001</v>
      </c>
      <c r="N50" s="9">
        <v>4.3220000000000001</v>
      </c>
    </row>
    <row r="51" spans="1:14" x14ac:dyDescent="0.25">
      <c r="C51">
        <v>16.03</v>
      </c>
      <c r="D51">
        <v>14.305999999999999</v>
      </c>
      <c r="E51" s="9">
        <v>3.8690000000000002</v>
      </c>
      <c r="F51" s="9">
        <v>3.9380000000000002</v>
      </c>
      <c r="G51" s="9">
        <v>3.38</v>
      </c>
      <c r="H51" s="9">
        <v>3.9590000000000001</v>
      </c>
      <c r="I51" s="9">
        <v>3.7229999999999999</v>
      </c>
      <c r="J51" s="9">
        <v>3.746</v>
      </c>
      <c r="K51" s="9">
        <v>3.5070000000000001</v>
      </c>
      <c r="L51" s="9">
        <v>3.2570000000000001</v>
      </c>
      <c r="M51" s="9">
        <v>3.6970000000000001</v>
      </c>
      <c r="N51" s="9">
        <v>4.0190000000000001</v>
      </c>
    </row>
    <row r="54" spans="1:14" x14ac:dyDescent="0.25">
      <c r="A54" t="s">
        <v>146</v>
      </c>
      <c r="B54" t="s">
        <v>153</v>
      </c>
      <c r="C54">
        <v>1.3</v>
      </c>
      <c r="D54" t="s">
        <v>141</v>
      </c>
      <c r="E54" t="s">
        <v>142</v>
      </c>
      <c r="F54" t="s">
        <v>143</v>
      </c>
      <c r="G54" t="s">
        <v>144</v>
      </c>
      <c r="H54" t="b">
        <v>0</v>
      </c>
      <c r="I54">
        <v>1</v>
      </c>
    </row>
    <row r="55" spans="1:14" x14ac:dyDescent="0.25">
      <c r="A55" t="s">
        <v>139</v>
      </c>
      <c r="B55" t="s">
        <v>154</v>
      </c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>
        <v>8</v>
      </c>
      <c r="K55">
        <v>9</v>
      </c>
      <c r="L55">
        <v>10</v>
      </c>
      <c r="M55">
        <v>11</v>
      </c>
      <c r="N55">
        <v>12</v>
      </c>
    </row>
    <row r="56" spans="1:14" x14ac:dyDescent="0.25">
      <c r="B56" t="s">
        <v>145</v>
      </c>
      <c r="C56">
        <v>2.7856000000000001</v>
      </c>
      <c r="D56">
        <v>0.65300000000000002</v>
      </c>
      <c r="E56">
        <v>0.25669999999999998</v>
      </c>
      <c r="F56">
        <v>8.0799999999999997E-2</v>
      </c>
      <c r="G56">
        <v>6.2E-2</v>
      </c>
      <c r="H56">
        <v>6.1199999999999997E-2</v>
      </c>
      <c r="I56">
        <v>6.0699999999999997E-2</v>
      </c>
      <c r="J56">
        <v>6.6600000000000006E-2</v>
      </c>
      <c r="K56">
        <v>6.3399999999999998E-2</v>
      </c>
      <c r="L56">
        <v>6.59E-2</v>
      </c>
      <c r="M56">
        <v>6.9599999999999995E-2</v>
      </c>
      <c r="N56">
        <v>6.3799999999999996E-2</v>
      </c>
    </row>
    <row r="57" spans="1:14" x14ac:dyDescent="0.25">
      <c r="B57">
        <v>24.1</v>
      </c>
      <c r="C57">
        <v>2.6274999999999999</v>
      </c>
      <c r="D57">
        <v>0.47899999999999998</v>
      </c>
      <c r="E57">
        <v>0.12379999999999999</v>
      </c>
      <c r="F57">
        <v>7.0300000000000001E-2</v>
      </c>
      <c r="G57">
        <v>6.1400000000000003E-2</v>
      </c>
      <c r="H57">
        <v>6.0100000000000001E-2</v>
      </c>
      <c r="I57">
        <v>5.96E-2</v>
      </c>
      <c r="J57">
        <v>6.4799999999999996E-2</v>
      </c>
      <c r="K57">
        <v>6.5299999999999997E-2</v>
      </c>
      <c r="L57">
        <v>7.1199999999999999E-2</v>
      </c>
      <c r="M57">
        <v>6.7199999999999996E-2</v>
      </c>
      <c r="N57">
        <v>6.3899999999999998E-2</v>
      </c>
    </row>
    <row r="58" spans="1:14" x14ac:dyDescent="0.25">
      <c r="C58">
        <v>2.5068000000000001</v>
      </c>
      <c r="D58">
        <v>0.42470000000000002</v>
      </c>
      <c r="E58">
        <v>0.12620000000000001</v>
      </c>
      <c r="F58">
        <v>6.4799999999999996E-2</v>
      </c>
      <c r="G58">
        <v>5.9900000000000002E-2</v>
      </c>
      <c r="H58">
        <v>6.0499999999999998E-2</v>
      </c>
      <c r="I58">
        <v>5.6300000000000003E-2</v>
      </c>
      <c r="J58">
        <v>6.1100000000000002E-2</v>
      </c>
      <c r="K58">
        <v>5.8900000000000001E-2</v>
      </c>
      <c r="L58">
        <v>6.5199999999999994E-2</v>
      </c>
      <c r="M58">
        <v>6.1600000000000002E-2</v>
      </c>
      <c r="N58">
        <v>6.3600000000000004E-2</v>
      </c>
    </row>
    <row r="59" spans="1:14" x14ac:dyDescent="0.25">
      <c r="C59">
        <v>2.3976999999999999</v>
      </c>
      <c r="D59">
        <v>0.61109999999999998</v>
      </c>
      <c r="E59">
        <v>0.20630000000000001</v>
      </c>
      <c r="F59">
        <v>6.6400000000000001E-2</v>
      </c>
      <c r="G59">
        <v>6.4100000000000004E-2</v>
      </c>
      <c r="H59">
        <v>6.1100000000000002E-2</v>
      </c>
      <c r="I59">
        <v>5.9400000000000001E-2</v>
      </c>
      <c r="J59">
        <v>6.2300000000000001E-2</v>
      </c>
      <c r="K59">
        <v>5.7799999999999997E-2</v>
      </c>
      <c r="L59">
        <v>6.25E-2</v>
      </c>
      <c r="M59">
        <v>6.2700000000000006E-2</v>
      </c>
      <c r="N59">
        <v>6.5000000000000002E-2</v>
      </c>
    </row>
    <row r="60" spans="1:14" x14ac:dyDescent="0.25">
      <c r="C60">
        <v>2.6276999999999999</v>
      </c>
      <c r="D60">
        <v>1.0871999999999999</v>
      </c>
      <c r="E60">
        <v>0.1681</v>
      </c>
      <c r="F60">
        <v>8.3299999999999999E-2</v>
      </c>
      <c r="G60">
        <v>6.5000000000000002E-2</v>
      </c>
      <c r="H60">
        <v>6.0699999999999997E-2</v>
      </c>
      <c r="I60">
        <v>6.0400000000000002E-2</v>
      </c>
      <c r="J60">
        <v>6.25E-2</v>
      </c>
      <c r="K60">
        <v>6.1100000000000002E-2</v>
      </c>
      <c r="L60">
        <v>6.2399999999999997E-2</v>
      </c>
      <c r="M60">
        <v>6.2E-2</v>
      </c>
      <c r="N60">
        <v>6.2300000000000001E-2</v>
      </c>
    </row>
    <row r="61" spans="1:14" x14ac:dyDescent="0.25">
      <c r="C61">
        <v>2.6229</v>
      </c>
      <c r="D61">
        <v>0.61729999999999996</v>
      </c>
      <c r="E61">
        <v>0.1162</v>
      </c>
      <c r="F61">
        <v>7.1499999999999994E-2</v>
      </c>
      <c r="G61">
        <v>6.0999999999999999E-2</v>
      </c>
      <c r="H61">
        <v>6.6000000000000003E-2</v>
      </c>
      <c r="I61">
        <v>6.9000000000000006E-2</v>
      </c>
      <c r="J61">
        <v>6.3E-2</v>
      </c>
      <c r="K61">
        <v>6.3399999999999998E-2</v>
      </c>
      <c r="L61">
        <v>6.4899999999999999E-2</v>
      </c>
      <c r="M61">
        <v>6.5000000000000002E-2</v>
      </c>
      <c r="N61">
        <v>6.4699999999999994E-2</v>
      </c>
    </row>
    <row r="62" spans="1:14" x14ac:dyDescent="0.25">
      <c r="C62">
        <v>2.9493</v>
      </c>
      <c r="D62">
        <v>0.81240000000000001</v>
      </c>
      <c r="E62">
        <v>0.11559999999999999</v>
      </c>
      <c r="F62">
        <v>7.7600000000000002E-2</v>
      </c>
      <c r="G62">
        <v>6.1899999999999997E-2</v>
      </c>
      <c r="H62">
        <v>5.96E-2</v>
      </c>
      <c r="I62">
        <v>6.8900000000000003E-2</v>
      </c>
      <c r="J62">
        <v>6.4699999999999994E-2</v>
      </c>
      <c r="K62">
        <v>6.4899999999999999E-2</v>
      </c>
      <c r="L62">
        <v>6.3100000000000003E-2</v>
      </c>
      <c r="M62">
        <v>6.6100000000000006E-2</v>
      </c>
      <c r="N62">
        <v>6.9099999999999995E-2</v>
      </c>
    </row>
    <row r="63" spans="1:14" x14ac:dyDescent="0.25">
      <c r="C63">
        <v>3.3098999999999998</v>
      </c>
      <c r="D63">
        <v>1.1264000000000001</v>
      </c>
      <c r="E63">
        <v>0.1381</v>
      </c>
      <c r="F63">
        <v>8.3099999999999993E-2</v>
      </c>
      <c r="G63">
        <v>6.4399999999999999E-2</v>
      </c>
      <c r="H63">
        <v>5.79E-2</v>
      </c>
      <c r="I63">
        <v>6.6299999999999998E-2</v>
      </c>
      <c r="J63">
        <v>6.7100000000000007E-2</v>
      </c>
      <c r="K63">
        <v>6.6400000000000001E-2</v>
      </c>
      <c r="L63">
        <v>6.6699999999999995E-2</v>
      </c>
      <c r="M63">
        <v>6.9599999999999995E-2</v>
      </c>
      <c r="N63">
        <v>6.6299999999999998E-2</v>
      </c>
    </row>
    <row r="66" spans="1:14" x14ac:dyDescent="0.25">
      <c r="A66" t="s">
        <v>146</v>
      </c>
      <c r="B66" t="s">
        <v>153</v>
      </c>
      <c r="C66">
        <v>1.3</v>
      </c>
      <c r="D66" t="s">
        <v>141</v>
      </c>
      <c r="E66" t="s">
        <v>142</v>
      </c>
      <c r="F66" t="s">
        <v>148</v>
      </c>
      <c r="G66" t="b">
        <v>0</v>
      </c>
      <c r="H66" t="s">
        <v>144</v>
      </c>
      <c r="I66" t="b">
        <v>0</v>
      </c>
      <c r="J66">
        <v>1</v>
      </c>
    </row>
    <row r="67" spans="1:14" x14ac:dyDescent="0.25">
      <c r="A67" t="s">
        <v>139</v>
      </c>
      <c r="B67" t="s">
        <v>155</v>
      </c>
      <c r="C67">
        <v>1</v>
      </c>
      <c r="D67">
        <v>2</v>
      </c>
      <c r="E67">
        <v>3</v>
      </c>
      <c r="F67">
        <v>4</v>
      </c>
      <c r="G67">
        <v>5</v>
      </c>
      <c r="H67">
        <v>6</v>
      </c>
      <c r="I67">
        <v>7</v>
      </c>
      <c r="J67">
        <v>8</v>
      </c>
      <c r="K67">
        <v>9</v>
      </c>
      <c r="L67">
        <v>10</v>
      </c>
      <c r="M67">
        <v>11</v>
      </c>
      <c r="N67">
        <v>12</v>
      </c>
    </row>
    <row r="68" spans="1:14" x14ac:dyDescent="0.25">
      <c r="B68" t="s">
        <v>145</v>
      </c>
      <c r="C68">
        <v>13.688000000000001</v>
      </c>
      <c r="D68">
        <v>6.0880000000000001</v>
      </c>
      <c r="E68" s="9">
        <v>3.863</v>
      </c>
      <c r="F68" s="9">
        <v>3.444</v>
      </c>
      <c r="G68" s="9">
        <v>3.41</v>
      </c>
      <c r="H68" s="9">
        <v>3.355</v>
      </c>
      <c r="I68" s="9">
        <v>3.714</v>
      </c>
      <c r="J68" s="9">
        <v>3.0659999999999998</v>
      </c>
      <c r="K68" s="9">
        <v>3.2490000000000001</v>
      </c>
      <c r="L68" s="9">
        <v>3.1629999999999998</v>
      </c>
      <c r="M68" s="9">
        <v>3.387</v>
      </c>
      <c r="N68" s="9">
        <v>3.8359999999999999</v>
      </c>
    </row>
    <row r="69" spans="1:14" x14ac:dyDescent="0.25">
      <c r="B69">
        <v>24.2</v>
      </c>
      <c r="C69">
        <v>12.785</v>
      </c>
      <c r="D69">
        <v>5.35</v>
      </c>
      <c r="E69" s="9">
        <v>3.4649999999999999</v>
      </c>
      <c r="F69" s="9">
        <v>3.145</v>
      </c>
      <c r="G69" s="9">
        <v>3.3820000000000001</v>
      </c>
      <c r="H69" s="9">
        <v>2.9489999999999998</v>
      </c>
      <c r="I69" s="9">
        <v>3.4239999999999999</v>
      </c>
      <c r="J69" s="9">
        <v>3.3809999999999998</v>
      </c>
      <c r="K69" s="9">
        <v>3.4830000000000001</v>
      </c>
      <c r="L69" s="9">
        <v>3.2930000000000001</v>
      </c>
      <c r="M69" s="9">
        <v>3.004</v>
      </c>
      <c r="N69" s="9">
        <v>3.49</v>
      </c>
    </row>
    <row r="70" spans="1:14" x14ac:dyDescent="0.25">
      <c r="C70">
        <v>13.587</v>
      </c>
      <c r="D70">
        <v>5.6470000000000002</v>
      </c>
      <c r="E70" s="9">
        <v>3.1080000000000001</v>
      </c>
      <c r="F70" s="9">
        <v>3.0630000000000002</v>
      </c>
      <c r="G70" s="9">
        <v>3.2829999999999999</v>
      </c>
      <c r="H70" s="9">
        <v>3.5739999999999998</v>
      </c>
      <c r="I70" s="9">
        <v>3.1080000000000001</v>
      </c>
      <c r="J70" s="9">
        <v>3.2530000000000001</v>
      </c>
      <c r="K70" s="9">
        <v>2.7250000000000001</v>
      </c>
      <c r="L70" s="9">
        <v>3.052</v>
      </c>
      <c r="M70" s="9">
        <v>2.835</v>
      </c>
      <c r="N70" s="9">
        <v>3.5870000000000002</v>
      </c>
    </row>
    <row r="71" spans="1:14" x14ac:dyDescent="0.25">
      <c r="C71">
        <v>13.478</v>
      </c>
      <c r="D71">
        <v>4.9400000000000004</v>
      </c>
      <c r="E71" s="9">
        <v>3.601</v>
      </c>
      <c r="F71" s="9">
        <v>2.8029999999999999</v>
      </c>
      <c r="G71" s="9">
        <v>3.101</v>
      </c>
      <c r="H71" s="9">
        <v>3.1429999999999998</v>
      </c>
      <c r="I71" s="9">
        <v>3.0830000000000002</v>
      </c>
      <c r="J71" s="9">
        <v>2.9790000000000001</v>
      </c>
      <c r="K71" s="9">
        <v>3.07</v>
      </c>
      <c r="L71" s="9">
        <v>3.3260000000000001</v>
      </c>
      <c r="M71" s="9">
        <v>3.25</v>
      </c>
      <c r="N71" s="9">
        <v>4.1120000000000001</v>
      </c>
    </row>
    <row r="72" spans="1:14" x14ac:dyDescent="0.25">
      <c r="C72">
        <v>13</v>
      </c>
      <c r="D72">
        <v>7.15</v>
      </c>
      <c r="E72" s="9">
        <v>3.8929999999999998</v>
      </c>
      <c r="F72" s="9">
        <v>3.581</v>
      </c>
      <c r="G72" s="9">
        <v>3.3839999999999999</v>
      </c>
      <c r="H72" s="9">
        <v>2.9319999999999999</v>
      </c>
      <c r="I72" s="9">
        <v>3.0419999999999998</v>
      </c>
      <c r="J72" s="9">
        <v>2.8620000000000001</v>
      </c>
      <c r="K72" s="9">
        <v>2.8839999999999999</v>
      </c>
      <c r="L72" s="9">
        <v>3.4910000000000001</v>
      </c>
      <c r="M72" s="9">
        <v>3.1339999999999999</v>
      </c>
      <c r="N72" s="9">
        <v>3.5750000000000002</v>
      </c>
    </row>
    <row r="73" spans="1:14" x14ac:dyDescent="0.25">
      <c r="C73">
        <v>13.835000000000001</v>
      </c>
      <c r="D73">
        <v>6.5490000000000004</v>
      </c>
      <c r="E73" s="9">
        <v>3.4660000000000002</v>
      </c>
      <c r="F73" s="9">
        <v>3.25</v>
      </c>
      <c r="G73" s="9">
        <v>3.6520000000000001</v>
      </c>
      <c r="H73" s="9">
        <v>3.2349999999999999</v>
      </c>
      <c r="I73" s="9">
        <v>3.0550000000000002</v>
      </c>
      <c r="J73" s="9">
        <v>3.222</v>
      </c>
      <c r="K73" s="9">
        <v>3.4969999999999999</v>
      </c>
      <c r="L73" s="9">
        <v>3.52</v>
      </c>
      <c r="M73" s="9">
        <v>3.27</v>
      </c>
      <c r="N73" s="9">
        <v>4.1630000000000003</v>
      </c>
    </row>
    <row r="74" spans="1:14" x14ac:dyDescent="0.25">
      <c r="C74">
        <v>13.353</v>
      </c>
      <c r="D74">
        <v>7.0049999999999999</v>
      </c>
      <c r="E74" s="9">
        <v>3.9140000000000001</v>
      </c>
      <c r="F74" s="9">
        <v>3.3879999999999999</v>
      </c>
      <c r="G74" s="9">
        <v>3.41</v>
      </c>
      <c r="H74" s="9">
        <v>3.319</v>
      </c>
      <c r="I74" s="9">
        <v>3.492</v>
      </c>
      <c r="J74" s="9">
        <v>3.0550000000000002</v>
      </c>
      <c r="K74" s="9">
        <v>3.5579999999999998</v>
      </c>
      <c r="L74" s="9">
        <v>3.2959999999999998</v>
      </c>
      <c r="M74" s="9">
        <v>3.3090000000000002</v>
      </c>
      <c r="N74" s="9">
        <v>4.4909999999999997</v>
      </c>
    </row>
    <row r="75" spans="1:14" x14ac:dyDescent="0.25">
      <c r="C75">
        <v>12.94</v>
      </c>
      <c r="D75">
        <v>7.9349999999999996</v>
      </c>
      <c r="E75" s="9">
        <v>3.6819999999999999</v>
      </c>
      <c r="F75" s="9">
        <v>3.754</v>
      </c>
      <c r="G75" s="9">
        <v>3.9969999999999999</v>
      </c>
      <c r="H75" s="9">
        <v>3.2879999999999998</v>
      </c>
      <c r="I75" s="9">
        <v>3.2629999999999999</v>
      </c>
      <c r="J75" s="9">
        <v>3.67</v>
      </c>
      <c r="K75" s="9">
        <v>3.4079999999999999</v>
      </c>
      <c r="L75" s="9">
        <v>3.22</v>
      </c>
      <c r="M75" s="9">
        <v>3.4710000000000001</v>
      </c>
      <c r="N75" s="9">
        <v>3.9620000000000002</v>
      </c>
    </row>
    <row r="78" spans="1:14" x14ac:dyDescent="0.25">
      <c r="A78" t="s">
        <v>146</v>
      </c>
      <c r="B78" t="s">
        <v>156</v>
      </c>
      <c r="C78">
        <v>1.3</v>
      </c>
      <c r="D78" t="s">
        <v>141</v>
      </c>
      <c r="E78" t="s">
        <v>142</v>
      </c>
      <c r="F78" t="s">
        <v>143</v>
      </c>
      <c r="G78" t="s">
        <v>144</v>
      </c>
      <c r="H78" t="b">
        <v>0</v>
      </c>
      <c r="I78">
        <v>1</v>
      </c>
    </row>
    <row r="79" spans="1:14" x14ac:dyDescent="0.25">
      <c r="A79" t="s">
        <v>139</v>
      </c>
      <c r="B79" t="s">
        <v>140</v>
      </c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I79">
        <v>7</v>
      </c>
      <c r="J79">
        <v>8</v>
      </c>
      <c r="K79">
        <v>9</v>
      </c>
      <c r="L79">
        <v>10</v>
      </c>
      <c r="M79">
        <v>11</v>
      </c>
      <c r="N79">
        <v>12</v>
      </c>
    </row>
    <row r="80" spans="1:14" x14ac:dyDescent="0.25">
      <c r="B80" t="s">
        <v>145</v>
      </c>
      <c r="C80">
        <v>3.4937</v>
      </c>
      <c r="D80">
        <v>0.3034</v>
      </c>
      <c r="E80">
        <v>9.8699999999999996E-2</v>
      </c>
      <c r="F80">
        <v>6.6400000000000001E-2</v>
      </c>
      <c r="G80">
        <v>6.2300000000000001E-2</v>
      </c>
      <c r="H80">
        <v>5.8900000000000001E-2</v>
      </c>
      <c r="I80">
        <v>6.08E-2</v>
      </c>
      <c r="J80">
        <v>6.6100000000000006E-2</v>
      </c>
      <c r="K80">
        <v>6.1499999999999999E-2</v>
      </c>
      <c r="L80">
        <v>6.7799999999999999E-2</v>
      </c>
      <c r="M80">
        <v>6.6299999999999998E-2</v>
      </c>
      <c r="N80">
        <v>6.6600000000000006E-2</v>
      </c>
    </row>
    <row r="81" spans="1:14" x14ac:dyDescent="0.25">
      <c r="B81">
        <v>24.3</v>
      </c>
      <c r="C81">
        <v>3.1848999999999998</v>
      </c>
      <c r="D81">
        <v>0.26240000000000002</v>
      </c>
      <c r="E81">
        <v>0.1031</v>
      </c>
      <c r="F81">
        <v>6.4799999999999996E-2</v>
      </c>
      <c r="G81">
        <v>6.0199999999999997E-2</v>
      </c>
      <c r="H81">
        <v>5.8400000000000001E-2</v>
      </c>
      <c r="I81">
        <v>6.2399999999999997E-2</v>
      </c>
      <c r="J81">
        <v>6.3799999999999996E-2</v>
      </c>
      <c r="K81">
        <v>6.2700000000000006E-2</v>
      </c>
      <c r="L81">
        <v>6.8099999999999994E-2</v>
      </c>
      <c r="M81">
        <v>6.6500000000000004E-2</v>
      </c>
      <c r="N81">
        <v>6.4799999999999996E-2</v>
      </c>
    </row>
    <row r="82" spans="1:14" x14ac:dyDescent="0.25">
      <c r="C82">
        <v>3.6356999999999999</v>
      </c>
      <c r="D82">
        <v>0.39169999999999999</v>
      </c>
      <c r="E82">
        <v>0.1086</v>
      </c>
      <c r="F82">
        <v>6.5100000000000005E-2</v>
      </c>
      <c r="G82">
        <v>5.9900000000000002E-2</v>
      </c>
      <c r="H82">
        <v>5.8200000000000002E-2</v>
      </c>
      <c r="I82">
        <v>5.6599999999999998E-2</v>
      </c>
      <c r="J82">
        <v>6.0600000000000001E-2</v>
      </c>
      <c r="K82">
        <v>5.8400000000000001E-2</v>
      </c>
      <c r="L82">
        <v>6.5299999999999997E-2</v>
      </c>
      <c r="M82">
        <v>6.1899999999999997E-2</v>
      </c>
      <c r="N82">
        <v>6.4000000000000001E-2</v>
      </c>
    </row>
    <row r="83" spans="1:14" x14ac:dyDescent="0.25">
      <c r="C83">
        <v>2.9041999999999999</v>
      </c>
      <c r="D83">
        <v>0.24329999999999999</v>
      </c>
      <c r="E83">
        <v>0.10059999999999999</v>
      </c>
      <c r="F83">
        <v>6.3899999999999998E-2</v>
      </c>
      <c r="G83">
        <v>6.13E-2</v>
      </c>
      <c r="H83">
        <v>5.7000000000000002E-2</v>
      </c>
      <c r="I83">
        <v>5.6899999999999999E-2</v>
      </c>
      <c r="J83">
        <v>6.1199999999999997E-2</v>
      </c>
      <c r="K83">
        <v>5.74E-2</v>
      </c>
      <c r="L83">
        <v>6.2600000000000003E-2</v>
      </c>
      <c r="M83">
        <v>6.3299999999999995E-2</v>
      </c>
      <c r="N83">
        <v>6.4500000000000002E-2</v>
      </c>
    </row>
    <row r="84" spans="1:14" x14ac:dyDescent="0.25">
      <c r="C84">
        <v>2.923</v>
      </c>
      <c r="D84">
        <v>0.22570000000000001</v>
      </c>
      <c r="E84">
        <v>0.10299999999999999</v>
      </c>
      <c r="F84">
        <v>6.5600000000000006E-2</v>
      </c>
      <c r="G84">
        <v>6.3E-2</v>
      </c>
      <c r="H84">
        <v>5.9700000000000003E-2</v>
      </c>
      <c r="I84">
        <v>5.9200000000000003E-2</v>
      </c>
      <c r="J84">
        <v>6.3500000000000001E-2</v>
      </c>
      <c r="K84">
        <v>5.9299999999999999E-2</v>
      </c>
      <c r="L84">
        <v>6.2899999999999998E-2</v>
      </c>
      <c r="M84">
        <v>6.2799999999999995E-2</v>
      </c>
      <c r="N84">
        <v>6.3100000000000003E-2</v>
      </c>
    </row>
    <row r="85" spans="1:14" x14ac:dyDescent="0.25">
      <c r="C85">
        <v>3.3902000000000001</v>
      </c>
      <c r="D85">
        <v>0.31469999999999998</v>
      </c>
      <c r="E85">
        <v>0.1166</v>
      </c>
      <c r="F85">
        <v>7.0999999999999994E-2</v>
      </c>
      <c r="G85">
        <v>5.8299999999999998E-2</v>
      </c>
      <c r="H85">
        <v>6.2399999999999997E-2</v>
      </c>
      <c r="I85">
        <v>6.6400000000000001E-2</v>
      </c>
      <c r="J85">
        <v>6.2899999999999998E-2</v>
      </c>
      <c r="K85">
        <v>6.1100000000000002E-2</v>
      </c>
      <c r="L85">
        <v>6.4299999999999996E-2</v>
      </c>
      <c r="M85">
        <v>6.3899999999999998E-2</v>
      </c>
      <c r="N85">
        <v>6.4699999999999994E-2</v>
      </c>
    </row>
    <row r="86" spans="1:14" x14ac:dyDescent="0.25">
      <c r="C86">
        <v>4</v>
      </c>
      <c r="D86">
        <v>1.2413000000000001</v>
      </c>
      <c r="E86">
        <v>0.1236</v>
      </c>
      <c r="F86">
        <v>7.8899999999999998E-2</v>
      </c>
      <c r="G86">
        <v>6.1199999999999997E-2</v>
      </c>
      <c r="H86">
        <v>5.7000000000000002E-2</v>
      </c>
      <c r="I86">
        <v>6.5199999999999994E-2</v>
      </c>
      <c r="J86">
        <v>6.3700000000000007E-2</v>
      </c>
      <c r="K86">
        <v>6.2300000000000001E-2</v>
      </c>
      <c r="L86">
        <v>6.1400000000000003E-2</v>
      </c>
      <c r="M86">
        <v>6.7699999999999996E-2</v>
      </c>
      <c r="N86">
        <v>6.4799999999999996E-2</v>
      </c>
    </row>
    <row r="87" spans="1:14" x14ac:dyDescent="0.25">
      <c r="C87">
        <v>4</v>
      </c>
      <c r="D87">
        <v>0.78369999999999995</v>
      </c>
      <c r="E87">
        <v>0.16969999999999999</v>
      </c>
      <c r="F87">
        <v>7.1599999999999997E-2</v>
      </c>
      <c r="G87">
        <v>6.1199999999999997E-2</v>
      </c>
      <c r="H87">
        <v>5.6899999999999999E-2</v>
      </c>
      <c r="I87">
        <v>6.2600000000000003E-2</v>
      </c>
      <c r="J87">
        <v>6.5199999999999994E-2</v>
      </c>
      <c r="K87">
        <v>6.3200000000000006E-2</v>
      </c>
      <c r="L87">
        <v>6.6900000000000001E-2</v>
      </c>
      <c r="M87">
        <v>6.6900000000000001E-2</v>
      </c>
      <c r="N87">
        <v>6.4500000000000002E-2</v>
      </c>
    </row>
    <row r="90" spans="1:14" x14ac:dyDescent="0.25">
      <c r="A90" t="s">
        <v>146</v>
      </c>
      <c r="B90" t="s">
        <v>156</v>
      </c>
      <c r="C90">
        <v>1.3</v>
      </c>
      <c r="D90" t="s">
        <v>141</v>
      </c>
      <c r="E90" t="s">
        <v>142</v>
      </c>
      <c r="F90" t="s">
        <v>148</v>
      </c>
      <c r="G90" t="b">
        <v>0</v>
      </c>
      <c r="H90" t="s">
        <v>144</v>
      </c>
      <c r="I90" t="b">
        <v>0</v>
      </c>
      <c r="J90">
        <v>1</v>
      </c>
    </row>
    <row r="91" spans="1:14" x14ac:dyDescent="0.25">
      <c r="A91" t="s">
        <v>139</v>
      </c>
      <c r="B91" t="s">
        <v>147</v>
      </c>
      <c r="C91">
        <v>1</v>
      </c>
      <c r="D91">
        <v>2</v>
      </c>
      <c r="E91">
        <v>3</v>
      </c>
      <c r="F91">
        <v>4</v>
      </c>
      <c r="G91">
        <v>5</v>
      </c>
      <c r="H91">
        <v>6</v>
      </c>
      <c r="I91">
        <v>7</v>
      </c>
      <c r="J91">
        <v>8</v>
      </c>
      <c r="K91">
        <v>9</v>
      </c>
      <c r="L91">
        <v>10</v>
      </c>
      <c r="M91">
        <v>11</v>
      </c>
      <c r="N91">
        <v>12</v>
      </c>
    </row>
    <row r="92" spans="1:14" x14ac:dyDescent="0.25">
      <c r="B92" t="s">
        <v>145</v>
      </c>
      <c r="C92">
        <v>15.311999999999999</v>
      </c>
      <c r="D92">
        <v>10.117000000000001</v>
      </c>
      <c r="E92" s="9">
        <v>3.49</v>
      </c>
      <c r="F92" s="9">
        <v>3.3130000000000002</v>
      </c>
      <c r="G92" s="9">
        <v>3.3660000000000001</v>
      </c>
      <c r="H92" s="9">
        <v>3.5590000000000002</v>
      </c>
      <c r="I92" s="9">
        <v>3.0409999999999999</v>
      </c>
      <c r="J92" s="9">
        <v>3.59</v>
      </c>
      <c r="K92" s="9">
        <v>3.698</v>
      </c>
      <c r="L92" s="9">
        <v>3.3519999999999999</v>
      </c>
      <c r="M92" s="9">
        <v>3.1339999999999999</v>
      </c>
      <c r="N92" s="9">
        <v>3.9809999999999999</v>
      </c>
    </row>
    <row r="93" spans="1:14" x14ac:dyDescent="0.25">
      <c r="B93">
        <v>24.2</v>
      </c>
      <c r="C93">
        <v>15.303000000000001</v>
      </c>
      <c r="D93">
        <v>8.9079999999999995</v>
      </c>
      <c r="E93" s="9">
        <v>3.4910000000000001</v>
      </c>
      <c r="F93" s="9">
        <v>3.3610000000000002</v>
      </c>
      <c r="G93" s="9">
        <v>3.4620000000000002</v>
      </c>
      <c r="H93" s="9">
        <v>2.911</v>
      </c>
      <c r="I93" s="9">
        <v>3.3570000000000002</v>
      </c>
      <c r="J93" s="9">
        <v>3.4140000000000001</v>
      </c>
      <c r="K93" s="9">
        <v>2.9620000000000002</v>
      </c>
      <c r="L93" s="9">
        <v>3.1949999999999998</v>
      </c>
      <c r="M93" s="9">
        <v>3.0270000000000001</v>
      </c>
      <c r="N93" s="9">
        <v>3.782</v>
      </c>
    </row>
    <row r="94" spans="1:14" x14ac:dyDescent="0.25">
      <c r="C94">
        <v>15.442</v>
      </c>
      <c r="D94">
        <v>12.28</v>
      </c>
      <c r="E94" s="9">
        <v>3.673</v>
      </c>
      <c r="F94" s="9">
        <v>3.68</v>
      </c>
      <c r="G94" s="9">
        <v>3.3540000000000001</v>
      </c>
      <c r="H94" s="9">
        <v>3.2909999999999999</v>
      </c>
      <c r="I94" s="9">
        <v>3.0819999999999999</v>
      </c>
      <c r="J94" s="9">
        <v>3.3290000000000002</v>
      </c>
      <c r="K94" s="9">
        <v>3.3580000000000001</v>
      </c>
      <c r="L94" s="9">
        <v>3.38</v>
      </c>
      <c r="M94" s="9">
        <v>2.8370000000000002</v>
      </c>
      <c r="N94" s="9">
        <v>3.5539999999999998</v>
      </c>
    </row>
    <row r="95" spans="1:14" x14ac:dyDescent="0.25">
      <c r="C95">
        <v>16.111999999999998</v>
      </c>
      <c r="D95">
        <v>8.9730000000000008</v>
      </c>
      <c r="E95" s="9">
        <v>3.5640000000000001</v>
      </c>
      <c r="F95" s="9">
        <v>3.2360000000000002</v>
      </c>
      <c r="G95" s="9">
        <v>3.3860000000000001</v>
      </c>
      <c r="H95" s="9">
        <v>3.258</v>
      </c>
      <c r="I95" s="9">
        <v>3.1709999999999998</v>
      </c>
      <c r="J95" s="9">
        <v>2.9830000000000001</v>
      </c>
      <c r="K95" s="9">
        <v>3.125</v>
      </c>
      <c r="L95" s="9">
        <v>3.45</v>
      </c>
      <c r="M95" s="9">
        <v>3.4060000000000001</v>
      </c>
      <c r="N95" s="9">
        <v>3.3180000000000001</v>
      </c>
    </row>
    <row r="96" spans="1:14" x14ac:dyDescent="0.25">
      <c r="C96">
        <v>15.433999999999999</v>
      </c>
      <c r="D96">
        <v>7.7240000000000002</v>
      </c>
      <c r="E96" s="9">
        <v>3.7589999999999999</v>
      </c>
      <c r="F96" s="9">
        <v>2.94</v>
      </c>
      <c r="G96" s="9">
        <v>3.1749999999999998</v>
      </c>
      <c r="H96" s="9">
        <v>3.2450000000000001</v>
      </c>
      <c r="I96" s="9">
        <v>3.2320000000000002</v>
      </c>
      <c r="J96" s="9">
        <v>3.02</v>
      </c>
      <c r="K96" s="9">
        <v>3.25</v>
      </c>
      <c r="L96" s="9">
        <v>3.403</v>
      </c>
      <c r="M96" s="9">
        <v>3.3519999999999999</v>
      </c>
      <c r="N96" s="9">
        <v>3.633</v>
      </c>
    </row>
    <row r="97" spans="1:14" x14ac:dyDescent="0.25">
      <c r="C97">
        <v>16.574999999999999</v>
      </c>
      <c r="D97">
        <v>12.468</v>
      </c>
      <c r="E97" s="9">
        <v>3.3889999999999998</v>
      </c>
      <c r="F97" s="9">
        <v>3.2229999999999999</v>
      </c>
      <c r="G97" s="9">
        <v>3.3180000000000001</v>
      </c>
      <c r="H97" s="9">
        <v>3.3769999999999998</v>
      </c>
      <c r="I97" s="9">
        <v>2.9830000000000001</v>
      </c>
      <c r="J97" s="9">
        <v>3.7989999999999999</v>
      </c>
      <c r="K97" s="9">
        <v>3.7240000000000002</v>
      </c>
      <c r="L97" s="9">
        <v>3.2050000000000001</v>
      </c>
      <c r="M97" s="9">
        <v>3.3</v>
      </c>
      <c r="N97" s="9">
        <v>4.1890000000000001</v>
      </c>
    </row>
    <row r="98" spans="1:14" x14ac:dyDescent="0.25">
      <c r="C98">
        <v>17.292999999999999</v>
      </c>
      <c r="D98">
        <v>14.132999999999999</v>
      </c>
      <c r="E98" s="9">
        <v>4.0389999999999997</v>
      </c>
      <c r="F98" s="9">
        <v>3.9119999999999999</v>
      </c>
      <c r="G98" s="9">
        <v>3.2170000000000001</v>
      </c>
      <c r="H98" s="9">
        <v>3.0979999999999999</v>
      </c>
      <c r="I98" s="9">
        <v>3.0609999999999999</v>
      </c>
      <c r="J98" s="9">
        <v>3.6419999999999999</v>
      </c>
      <c r="K98" s="9">
        <v>3.004</v>
      </c>
      <c r="L98" s="9">
        <v>3.3140000000000001</v>
      </c>
      <c r="M98" s="9">
        <v>2.68</v>
      </c>
      <c r="N98" s="9">
        <v>3.8079999999999998</v>
      </c>
    </row>
    <row r="99" spans="1:14" x14ac:dyDescent="0.25">
      <c r="C99">
        <v>17.318999999999999</v>
      </c>
      <c r="D99">
        <v>14.045999999999999</v>
      </c>
      <c r="E99" s="9">
        <v>4.585</v>
      </c>
      <c r="F99" s="9">
        <v>3.4449999999999998</v>
      </c>
      <c r="G99" s="9">
        <v>3.6059999999999999</v>
      </c>
      <c r="H99" s="9">
        <v>3.109</v>
      </c>
      <c r="I99" s="9">
        <v>3.2440000000000002</v>
      </c>
      <c r="J99" s="9">
        <v>3.1930000000000001</v>
      </c>
      <c r="K99" s="9">
        <v>3.0830000000000002</v>
      </c>
      <c r="L99" s="9">
        <v>3.7709999999999999</v>
      </c>
      <c r="M99" s="9">
        <v>2.4830000000000001</v>
      </c>
      <c r="N99" s="9">
        <v>4.2450000000000001</v>
      </c>
    </row>
    <row r="102" spans="1:14" x14ac:dyDescent="0.25">
      <c r="A102" t="s">
        <v>146</v>
      </c>
      <c r="B102" t="s">
        <v>157</v>
      </c>
      <c r="C102">
        <v>1.3</v>
      </c>
      <c r="D102" t="s">
        <v>141</v>
      </c>
      <c r="E102" t="s">
        <v>142</v>
      </c>
      <c r="F102" t="s">
        <v>143</v>
      </c>
      <c r="G102" t="s">
        <v>144</v>
      </c>
      <c r="H102" t="b">
        <v>0</v>
      </c>
      <c r="I102">
        <v>1</v>
      </c>
    </row>
    <row r="103" spans="1:14" x14ac:dyDescent="0.25">
      <c r="A103" t="s">
        <v>139</v>
      </c>
      <c r="B103" t="s">
        <v>151</v>
      </c>
      <c r="C103">
        <v>1</v>
      </c>
      <c r="D103">
        <v>2</v>
      </c>
      <c r="E103">
        <v>3</v>
      </c>
      <c r="F103">
        <v>4</v>
      </c>
      <c r="G103">
        <v>5</v>
      </c>
      <c r="H103">
        <v>6</v>
      </c>
      <c r="I103">
        <v>7</v>
      </c>
      <c r="J103">
        <v>8</v>
      </c>
      <c r="K103">
        <v>9</v>
      </c>
      <c r="L103">
        <v>10</v>
      </c>
      <c r="M103">
        <v>11</v>
      </c>
      <c r="N103">
        <v>12</v>
      </c>
    </row>
    <row r="104" spans="1:14" x14ac:dyDescent="0.25">
      <c r="B104" t="s">
        <v>145</v>
      </c>
      <c r="C104">
        <v>2.7738</v>
      </c>
      <c r="D104">
        <v>0.6744</v>
      </c>
      <c r="E104">
        <v>0.1656</v>
      </c>
      <c r="F104">
        <v>7.3599999999999999E-2</v>
      </c>
      <c r="G104">
        <v>6.3500000000000001E-2</v>
      </c>
      <c r="H104">
        <v>6.0100000000000001E-2</v>
      </c>
      <c r="I104">
        <v>6.3100000000000003E-2</v>
      </c>
      <c r="J104">
        <v>6.4899999999999999E-2</v>
      </c>
      <c r="K104">
        <v>6.54E-2</v>
      </c>
      <c r="L104">
        <v>6.8400000000000002E-2</v>
      </c>
      <c r="M104">
        <v>7.1199999999999999E-2</v>
      </c>
      <c r="N104">
        <v>7.2599999999999998E-2</v>
      </c>
    </row>
    <row r="105" spans="1:14" x14ac:dyDescent="0.25">
      <c r="B105">
        <v>24.3</v>
      </c>
      <c r="C105">
        <v>4</v>
      </c>
      <c r="D105">
        <v>0.9113</v>
      </c>
      <c r="E105">
        <v>0.13270000000000001</v>
      </c>
      <c r="F105">
        <v>7.8100000000000003E-2</v>
      </c>
      <c r="G105">
        <v>6.3200000000000006E-2</v>
      </c>
      <c r="H105">
        <v>6.0699999999999997E-2</v>
      </c>
      <c r="I105">
        <v>6.0699999999999997E-2</v>
      </c>
      <c r="J105">
        <v>6.54E-2</v>
      </c>
      <c r="K105">
        <v>6.5199999999999994E-2</v>
      </c>
      <c r="L105">
        <v>7.0000000000000007E-2</v>
      </c>
      <c r="M105">
        <v>7.0199999999999999E-2</v>
      </c>
      <c r="N105">
        <v>7.3300000000000004E-2</v>
      </c>
    </row>
    <row r="106" spans="1:14" x14ac:dyDescent="0.25">
      <c r="C106">
        <v>4</v>
      </c>
      <c r="D106">
        <v>0.9879</v>
      </c>
      <c r="E106">
        <v>0.22639999999999999</v>
      </c>
      <c r="F106">
        <v>7.3599999999999999E-2</v>
      </c>
      <c r="G106">
        <v>6.1600000000000002E-2</v>
      </c>
      <c r="H106">
        <v>5.8599999999999999E-2</v>
      </c>
      <c r="I106">
        <v>5.6300000000000003E-2</v>
      </c>
      <c r="J106">
        <v>6.2300000000000001E-2</v>
      </c>
      <c r="K106">
        <v>5.8599999999999999E-2</v>
      </c>
      <c r="L106">
        <v>6.6900000000000001E-2</v>
      </c>
      <c r="M106">
        <v>6.6699999999999995E-2</v>
      </c>
      <c r="N106">
        <v>6.9400000000000003E-2</v>
      </c>
    </row>
    <row r="107" spans="1:14" x14ac:dyDescent="0.25">
      <c r="C107">
        <v>2.7726000000000002</v>
      </c>
      <c r="D107">
        <v>0.29630000000000001</v>
      </c>
      <c r="E107">
        <v>0.1192</v>
      </c>
      <c r="F107">
        <v>7.2300000000000003E-2</v>
      </c>
      <c r="G107">
        <v>6.6000000000000003E-2</v>
      </c>
      <c r="H107">
        <v>5.8900000000000001E-2</v>
      </c>
      <c r="I107">
        <v>5.8200000000000002E-2</v>
      </c>
      <c r="J107">
        <v>6.1800000000000001E-2</v>
      </c>
      <c r="K107">
        <v>5.9499999999999997E-2</v>
      </c>
      <c r="L107">
        <v>6.4199999999999993E-2</v>
      </c>
      <c r="M107">
        <v>6.5699999999999995E-2</v>
      </c>
      <c r="N107">
        <v>7.3300000000000004E-2</v>
      </c>
    </row>
    <row r="108" spans="1:14" x14ac:dyDescent="0.25">
      <c r="C108">
        <v>2.8031000000000001</v>
      </c>
      <c r="D108">
        <v>0.46079999999999999</v>
      </c>
      <c r="E108">
        <v>9.1600000000000001E-2</v>
      </c>
      <c r="F108">
        <v>7.8299999999999995E-2</v>
      </c>
      <c r="G108">
        <v>6.4000000000000001E-2</v>
      </c>
      <c r="H108">
        <v>6.0199999999999997E-2</v>
      </c>
      <c r="I108">
        <v>5.96E-2</v>
      </c>
      <c r="J108">
        <v>6.1699999999999998E-2</v>
      </c>
      <c r="K108">
        <v>5.9900000000000002E-2</v>
      </c>
      <c r="L108">
        <v>6.6500000000000004E-2</v>
      </c>
      <c r="M108">
        <v>6.5199999999999994E-2</v>
      </c>
      <c r="N108">
        <v>6.59E-2</v>
      </c>
    </row>
    <row r="109" spans="1:14" x14ac:dyDescent="0.25">
      <c r="C109">
        <v>4</v>
      </c>
      <c r="D109">
        <v>1.1841999999999999</v>
      </c>
      <c r="E109">
        <v>0.10730000000000001</v>
      </c>
      <c r="F109">
        <v>7.8600000000000003E-2</v>
      </c>
      <c r="G109">
        <v>6.0400000000000002E-2</v>
      </c>
      <c r="H109">
        <v>6.2600000000000003E-2</v>
      </c>
      <c r="I109">
        <v>6.8500000000000005E-2</v>
      </c>
      <c r="J109">
        <v>6.83E-2</v>
      </c>
      <c r="K109">
        <v>6.4000000000000001E-2</v>
      </c>
      <c r="L109">
        <v>6.9900000000000004E-2</v>
      </c>
      <c r="M109">
        <v>6.9800000000000001E-2</v>
      </c>
      <c r="N109">
        <v>7.0800000000000002E-2</v>
      </c>
    </row>
    <row r="110" spans="1:14" x14ac:dyDescent="0.25">
      <c r="C110">
        <v>3.9228000000000001</v>
      </c>
      <c r="D110">
        <v>0.92069999999999996</v>
      </c>
      <c r="E110">
        <v>9.9599999999999994E-2</v>
      </c>
      <c r="F110">
        <v>8.9200000000000002E-2</v>
      </c>
      <c r="G110">
        <v>6.1400000000000003E-2</v>
      </c>
      <c r="H110">
        <v>5.7099999999999998E-2</v>
      </c>
      <c r="I110">
        <v>6.4899999999999999E-2</v>
      </c>
      <c r="J110">
        <v>6.4399999999999999E-2</v>
      </c>
      <c r="K110">
        <v>6.8400000000000002E-2</v>
      </c>
      <c r="L110">
        <v>6.4000000000000001E-2</v>
      </c>
      <c r="M110">
        <v>7.46E-2</v>
      </c>
      <c r="N110">
        <v>6.9400000000000003E-2</v>
      </c>
    </row>
    <row r="111" spans="1:14" x14ac:dyDescent="0.25">
      <c r="C111">
        <v>4</v>
      </c>
      <c r="D111">
        <v>2.1255000000000002</v>
      </c>
      <c r="E111">
        <v>0.1492</v>
      </c>
      <c r="F111">
        <v>8.9300000000000004E-2</v>
      </c>
      <c r="G111">
        <v>6.5000000000000002E-2</v>
      </c>
      <c r="H111">
        <v>5.79E-2</v>
      </c>
      <c r="I111">
        <v>6.5100000000000005E-2</v>
      </c>
      <c r="J111">
        <v>6.7900000000000002E-2</v>
      </c>
      <c r="K111">
        <v>6.7599999999999993E-2</v>
      </c>
      <c r="L111">
        <v>7.17E-2</v>
      </c>
      <c r="M111">
        <v>7.5600000000000001E-2</v>
      </c>
      <c r="N111">
        <v>6.9000000000000006E-2</v>
      </c>
    </row>
    <row r="114" spans="1:14" x14ac:dyDescent="0.25">
      <c r="A114" t="s">
        <v>146</v>
      </c>
      <c r="B114" t="s">
        <v>157</v>
      </c>
      <c r="C114">
        <v>1.3</v>
      </c>
      <c r="D114" t="s">
        <v>141</v>
      </c>
      <c r="E114" t="s">
        <v>142</v>
      </c>
      <c r="F114" t="s">
        <v>148</v>
      </c>
      <c r="G114" t="b">
        <v>0</v>
      </c>
      <c r="H114" t="s">
        <v>144</v>
      </c>
      <c r="I114" t="b">
        <v>0</v>
      </c>
      <c r="J114">
        <v>1</v>
      </c>
    </row>
    <row r="115" spans="1:14" x14ac:dyDescent="0.25">
      <c r="A115" t="s">
        <v>139</v>
      </c>
      <c r="B115" t="s">
        <v>152</v>
      </c>
      <c r="C115">
        <v>1</v>
      </c>
      <c r="D115">
        <v>2</v>
      </c>
      <c r="E115">
        <v>3</v>
      </c>
      <c r="F115">
        <v>4</v>
      </c>
      <c r="G115">
        <v>5</v>
      </c>
      <c r="H115">
        <v>6</v>
      </c>
      <c r="I115">
        <v>7</v>
      </c>
      <c r="J115">
        <v>8</v>
      </c>
      <c r="K115">
        <v>9</v>
      </c>
      <c r="L115">
        <v>10</v>
      </c>
      <c r="M115">
        <v>11</v>
      </c>
      <c r="N115">
        <v>12</v>
      </c>
    </row>
    <row r="116" spans="1:14" x14ac:dyDescent="0.25">
      <c r="B116" t="s">
        <v>145</v>
      </c>
      <c r="C116">
        <v>13.22</v>
      </c>
      <c r="D116">
        <v>5.431</v>
      </c>
      <c r="E116" s="9">
        <v>2.919</v>
      </c>
      <c r="F116" s="9">
        <v>3.7029999999999998</v>
      </c>
      <c r="G116" s="9">
        <v>3.242</v>
      </c>
      <c r="H116" s="9">
        <v>3.5609999999999999</v>
      </c>
      <c r="I116" s="9">
        <v>3.218</v>
      </c>
      <c r="J116" s="9">
        <v>3.2610000000000001</v>
      </c>
      <c r="K116" s="9">
        <v>3.6520000000000001</v>
      </c>
      <c r="L116" s="9">
        <v>3.6549999999999998</v>
      </c>
      <c r="M116" s="9">
        <v>3.4409999999999998</v>
      </c>
      <c r="N116" s="9">
        <v>3.738</v>
      </c>
    </row>
    <row r="117" spans="1:14" x14ac:dyDescent="0.25">
      <c r="B117">
        <v>24.4</v>
      </c>
      <c r="C117">
        <v>12.426</v>
      </c>
      <c r="D117">
        <v>7.9779999999999998</v>
      </c>
      <c r="E117" s="9">
        <v>3.2639999999999998</v>
      </c>
      <c r="F117" s="9">
        <v>3.339</v>
      </c>
      <c r="G117" s="9">
        <v>3.327</v>
      </c>
      <c r="H117" s="9">
        <v>3.0339999999999998</v>
      </c>
      <c r="I117" s="9">
        <v>3.2719999999999998</v>
      </c>
      <c r="J117" s="9">
        <v>3.327</v>
      </c>
      <c r="K117" s="9">
        <v>3.153</v>
      </c>
      <c r="L117" s="9">
        <v>3.5</v>
      </c>
      <c r="M117" s="9">
        <v>3.5750000000000002</v>
      </c>
      <c r="N117" s="9">
        <v>3.996</v>
      </c>
    </row>
    <row r="118" spans="1:14" x14ac:dyDescent="0.25">
      <c r="C118">
        <v>15.701000000000001</v>
      </c>
      <c r="D118">
        <v>8.4909999999999997</v>
      </c>
      <c r="E118" s="9">
        <v>3.335</v>
      </c>
      <c r="F118" s="9">
        <v>3.2989999999999999</v>
      </c>
      <c r="G118" s="9">
        <v>3.34</v>
      </c>
      <c r="H118" s="9">
        <v>3.254</v>
      </c>
      <c r="I118" s="9">
        <v>2.996</v>
      </c>
      <c r="J118" s="9">
        <v>3.0430000000000001</v>
      </c>
      <c r="K118" s="9">
        <v>2.9809999999999999</v>
      </c>
      <c r="L118" s="9">
        <v>3.508</v>
      </c>
      <c r="M118" s="9">
        <v>2.927</v>
      </c>
      <c r="N118" s="9">
        <v>3.621</v>
      </c>
    </row>
    <row r="119" spans="1:14" x14ac:dyDescent="0.25">
      <c r="C119">
        <v>11.877000000000001</v>
      </c>
      <c r="D119">
        <v>5.3220000000000001</v>
      </c>
      <c r="E119" s="9">
        <v>3.58</v>
      </c>
      <c r="F119" s="9">
        <v>3.4079999999999999</v>
      </c>
      <c r="G119" s="9">
        <v>2.9889999999999999</v>
      </c>
      <c r="H119" s="9">
        <v>3.2389999999999999</v>
      </c>
      <c r="I119" s="9">
        <v>3.1480000000000001</v>
      </c>
      <c r="J119" s="9">
        <v>3.44</v>
      </c>
      <c r="K119" s="9">
        <v>2.9529999999999998</v>
      </c>
      <c r="L119" s="9">
        <v>3.2440000000000002</v>
      </c>
      <c r="M119" s="9">
        <v>2.8690000000000002</v>
      </c>
      <c r="N119" s="9">
        <v>3.7890000000000001</v>
      </c>
    </row>
    <row r="120" spans="1:14" x14ac:dyDescent="0.25">
      <c r="C120">
        <v>12.573</v>
      </c>
      <c r="D120">
        <v>5.5720000000000001</v>
      </c>
      <c r="E120" s="9">
        <v>3.3</v>
      </c>
      <c r="F120" s="9">
        <v>3.26</v>
      </c>
      <c r="G120" s="9">
        <v>3.0430000000000001</v>
      </c>
      <c r="H120" s="9">
        <v>3.637</v>
      </c>
      <c r="I120" s="9">
        <v>3.3119999999999998</v>
      </c>
      <c r="J120" s="9">
        <v>2.9540000000000002</v>
      </c>
      <c r="K120" s="9">
        <v>3.1419999999999999</v>
      </c>
      <c r="L120" s="9">
        <v>2.7229999999999999</v>
      </c>
      <c r="M120" s="9">
        <v>3.0270000000000001</v>
      </c>
      <c r="N120" s="9">
        <v>3.8050000000000002</v>
      </c>
    </row>
    <row r="121" spans="1:14" x14ac:dyDescent="0.25">
      <c r="C121">
        <v>15.74</v>
      </c>
      <c r="D121">
        <v>8.9030000000000005</v>
      </c>
      <c r="E121" s="9">
        <v>3.867</v>
      </c>
      <c r="F121" s="9">
        <v>2.9769999999999999</v>
      </c>
      <c r="G121" s="9">
        <v>3.2050000000000001</v>
      </c>
      <c r="H121" s="9">
        <v>2.8130000000000002</v>
      </c>
      <c r="I121" s="9">
        <v>3.032</v>
      </c>
      <c r="J121" s="9">
        <v>3.403</v>
      </c>
      <c r="K121" s="9">
        <v>2.931</v>
      </c>
      <c r="L121" s="9">
        <v>2.5339999999999998</v>
      </c>
      <c r="M121" s="9">
        <v>2.7509999999999999</v>
      </c>
      <c r="N121" s="9">
        <v>3.9729999999999999</v>
      </c>
    </row>
    <row r="122" spans="1:14" x14ac:dyDescent="0.25">
      <c r="C122">
        <v>15.534000000000001</v>
      </c>
      <c r="D122">
        <v>7.8109999999999999</v>
      </c>
      <c r="E122" s="9">
        <v>3.863</v>
      </c>
      <c r="F122" s="9">
        <v>3.504</v>
      </c>
      <c r="G122" s="9">
        <v>3.012</v>
      </c>
      <c r="H122" s="9">
        <v>3.2570000000000001</v>
      </c>
      <c r="I122" s="9">
        <v>3.0419999999999998</v>
      </c>
      <c r="J122" s="9">
        <v>3.4649999999999999</v>
      </c>
      <c r="K122" s="9">
        <v>3.55</v>
      </c>
      <c r="L122" s="9">
        <v>3.49</v>
      </c>
      <c r="M122" s="9">
        <v>3.387</v>
      </c>
      <c r="N122" s="9">
        <v>3.1389999999999998</v>
      </c>
    </row>
    <row r="123" spans="1:14" x14ac:dyDescent="0.25">
      <c r="C123">
        <v>18.469000000000001</v>
      </c>
      <c r="D123">
        <v>12.840999999999999</v>
      </c>
      <c r="E123" s="9">
        <v>4.2290000000000001</v>
      </c>
      <c r="F123" s="9">
        <v>3.3650000000000002</v>
      </c>
      <c r="G123" s="9">
        <v>2.96</v>
      </c>
      <c r="H123" s="9">
        <v>3.0859999999999999</v>
      </c>
      <c r="I123" s="9">
        <v>3.7589999999999999</v>
      </c>
      <c r="J123" s="9">
        <v>3.3260000000000001</v>
      </c>
      <c r="K123" s="9">
        <v>3.2149999999999999</v>
      </c>
      <c r="L123" s="9">
        <v>3.5230000000000001</v>
      </c>
      <c r="M123" s="9">
        <v>3.222</v>
      </c>
      <c r="N123" s="9">
        <v>3.746</v>
      </c>
    </row>
    <row r="126" spans="1:14" x14ac:dyDescent="0.25">
      <c r="A126" t="s">
        <v>146</v>
      </c>
      <c r="B126" t="s">
        <v>158</v>
      </c>
      <c r="C126">
        <v>1.3</v>
      </c>
      <c r="D126" t="s">
        <v>141</v>
      </c>
      <c r="E126" t="s">
        <v>142</v>
      </c>
      <c r="F126" t="s">
        <v>143</v>
      </c>
      <c r="G126" t="s">
        <v>144</v>
      </c>
      <c r="H126" t="b">
        <v>0</v>
      </c>
      <c r="I126">
        <v>1</v>
      </c>
    </row>
    <row r="127" spans="1:14" x14ac:dyDescent="0.25">
      <c r="A127" t="s">
        <v>139</v>
      </c>
      <c r="B127" t="s">
        <v>154</v>
      </c>
      <c r="C127">
        <v>1</v>
      </c>
      <c r="D127">
        <v>2</v>
      </c>
      <c r="E127">
        <v>3</v>
      </c>
      <c r="F127">
        <v>4</v>
      </c>
      <c r="G127">
        <v>5</v>
      </c>
      <c r="H127">
        <v>6</v>
      </c>
      <c r="I127">
        <v>7</v>
      </c>
      <c r="J127">
        <v>8</v>
      </c>
      <c r="K127">
        <v>9</v>
      </c>
      <c r="L127">
        <v>10</v>
      </c>
      <c r="M127">
        <v>11</v>
      </c>
      <c r="N127">
        <v>12</v>
      </c>
    </row>
    <row r="128" spans="1:14" x14ac:dyDescent="0.25">
      <c r="B128" t="s">
        <v>145</v>
      </c>
      <c r="C128">
        <v>4</v>
      </c>
      <c r="D128">
        <v>0.4698</v>
      </c>
      <c r="E128">
        <v>0.22389999999999999</v>
      </c>
      <c r="F128">
        <v>8.4599999999999995E-2</v>
      </c>
      <c r="G128">
        <v>6.3E-2</v>
      </c>
      <c r="H128">
        <v>0.06</v>
      </c>
      <c r="I128">
        <v>5.9900000000000002E-2</v>
      </c>
      <c r="J128">
        <v>6.5000000000000002E-2</v>
      </c>
      <c r="K128">
        <v>6.7199999999999996E-2</v>
      </c>
      <c r="L128">
        <v>7.0499999999999993E-2</v>
      </c>
      <c r="M128">
        <v>7.6899999999999996E-2</v>
      </c>
      <c r="N128">
        <v>6.9500000000000006E-2</v>
      </c>
    </row>
    <row r="129" spans="1:14" x14ac:dyDescent="0.25">
      <c r="B129">
        <v>24.4</v>
      </c>
      <c r="C129">
        <v>3.2725</v>
      </c>
      <c r="D129">
        <v>0.33560000000000001</v>
      </c>
      <c r="E129">
        <v>0.18870000000000001</v>
      </c>
      <c r="F129">
        <v>7.5600000000000001E-2</v>
      </c>
      <c r="G129">
        <v>6.1699999999999998E-2</v>
      </c>
      <c r="H129">
        <v>5.96E-2</v>
      </c>
      <c r="I129">
        <v>6.2199999999999998E-2</v>
      </c>
      <c r="J129">
        <v>6.4799999999999996E-2</v>
      </c>
      <c r="K129">
        <v>6.7500000000000004E-2</v>
      </c>
      <c r="L129">
        <v>7.2099999999999997E-2</v>
      </c>
      <c r="M129">
        <v>7.4300000000000005E-2</v>
      </c>
      <c r="N129">
        <v>7.2800000000000004E-2</v>
      </c>
    </row>
    <row r="130" spans="1:14" x14ac:dyDescent="0.25">
      <c r="C130">
        <v>3.4186000000000001</v>
      </c>
      <c r="D130">
        <v>0.21529999999999999</v>
      </c>
      <c r="E130">
        <v>0.13600000000000001</v>
      </c>
      <c r="F130">
        <v>7.1999999999999995E-2</v>
      </c>
      <c r="G130">
        <v>6.0100000000000001E-2</v>
      </c>
      <c r="H130">
        <v>5.96E-2</v>
      </c>
      <c r="I130">
        <v>5.74E-2</v>
      </c>
      <c r="J130">
        <v>6.2199999999999998E-2</v>
      </c>
      <c r="K130">
        <v>5.9900000000000002E-2</v>
      </c>
      <c r="L130">
        <v>7.3599999999999999E-2</v>
      </c>
      <c r="M130">
        <v>6.5500000000000003E-2</v>
      </c>
      <c r="N130">
        <v>7.1499999999999994E-2</v>
      </c>
    </row>
    <row r="131" spans="1:14" x14ac:dyDescent="0.25">
      <c r="C131">
        <v>2.8256000000000001</v>
      </c>
      <c r="D131">
        <v>0.21340000000000001</v>
      </c>
      <c r="E131">
        <v>9.7500000000000003E-2</v>
      </c>
      <c r="F131">
        <v>7.4800000000000005E-2</v>
      </c>
      <c r="G131">
        <v>6.4600000000000005E-2</v>
      </c>
      <c r="H131">
        <v>5.7599999999999998E-2</v>
      </c>
      <c r="I131">
        <v>6.0400000000000002E-2</v>
      </c>
      <c r="J131">
        <v>6.1499999999999999E-2</v>
      </c>
      <c r="K131">
        <v>5.91E-2</v>
      </c>
      <c r="L131">
        <v>6.7199999999999996E-2</v>
      </c>
      <c r="M131">
        <v>6.7599999999999993E-2</v>
      </c>
      <c r="N131">
        <v>6.9099999999999995E-2</v>
      </c>
    </row>
    <row r="132" spans="1:14" x14ac:dyDescent="0.25">
      <c r="C132">
        <v>3.3334000000000001</v>
      </c>
      <c r="D132">
        <v>0.33660000000000001</v>
      </c>
      <c r="E132">
        <v>0.1222</v>
      </c>
      <c r="F132">
        <v>7.3800000000000004E-2</v>
      </c>
      <c r="G132">
        <v>6.54E-2</v>
      </c>
      <c r="H132">
        <v>6.1800000000000001E-2</v>
      </c>
      <c r="I132">
        <v>6.1400000000000003E-2</v>
      </c>
      <c r="J132">
        <v>6.3299999999999995E-2</v>
      </c>
      <c r="K132">
        <v>6.2399999999999997E-2</v>
      </c>
      <c r="L132">
        <v>6.6900000000000001E-2</v>
      </c>
      <c r="M132">
        <v>6.8199999999999997E-2</v>
      </c>
      <c r="N132">
        <v>7.0199999999999999E-2</v>
      </c>
    </row>
    <row r="133" spans="1:14" x14ac:dyDescent="0.25">
      <c r="C133">
        <v>3.1440000000000001</v>
      </c>
      <c r="D133">
        <v>0.25559999999999999</v>
      </c>
      <c r="E133">
        <v>0.1208</v>
      </c>
      <c r="F133">
        <v>7.1499999999999994E-2</v>
      </c>
      <c r="G133">
        <v>5.8200000000000002E-2</v>
      </c>
      <c r="H133">
        <v>6.0999999999999999E-2</v>
      </c>
      <c r="I133">
        <v>6.7199999999999996E-2</v>
      </c>
      <c r="J133">
        <v>6.4799999999999996E-2</v>
      </c>
      <c r="K133">
        <v>6.2100000000000002E-2</v>
      </c>
      <c r="L133">
        <v>6.9500000000000006E-2</v>
      </c>
      <c r="M133">
        <v>6.8599999999999994E-2</v>
      </c>
      <c r="N133">
        <v>6.8400000000000002E-2</v>
      </c>
    </row>
    <row r="134" spans="1:14" x14ac:dyDescent="0.25">
      <c r="C134">
        <v>3.6143999999999998</v>
      </c>
      <c r="D134">
        <v>0.30320000000000003</v>
      </c>
      <c r="E134">
        <v>0.1386</v>
      </c>
      <c r="F134">
        <v>8.43E-2</v>
      </c>
      <c r="G134">
        <v>6.08E-2</v>
      </c>
      <c r="H134">
        <v>5.7099999999999998E-2</v>
      </c>
      <c r="I134">
        <v>6.7599999999999993E-2</v>
      </c>
      <c r="J134">
        <v>6.4500000000000002E-2</v>
      </c>
      <c r="K134">
        <v>6.5199999999999994E-2</v>
      </c>
      <c r="L134">
        <v>6.4199999999999993E-2</v>
      </c>
      <c r="M134">
        <v>7.2400000000000006E-2</v>
      </c>
      <c r="N134">
        <v>6.8500000000000005E-2</v>
      </c>
    </row>
    <row r="135" spans="1:14" x14ac:dyDescent="0.25">
      <c r="C135">
        <v>4</v>
      </c>
      <c r="D135">
        <v>1.1613</v>
      </c>
      <c r="E135">
        <v>0.14480000000000001</v>
      </c>
      <c r="F135">
        <v>7.6899999999999996E-2</v>
      </c>
      <c r="G135">
        <v>6.4399999999999999E-2</v>
      </c>
      <c r="H135">
        <v>5.7500000000000002E-2</v>
      </c>
      <c r="I135">
        <v>6.4399999999999999E-2</v>
      </c>
      <c r="J135">
        <v>6.7799999999999999E-2</v>
      </c>
      <c r="K135">
        <v>6.7699999999999996E-2</v>
      </c>
      <c r="L135">
        <v>7.1099999999999997E-2</v>
      </c>
      <c r="M135">
        <v>7.4700000000000003E-2</v>
      </c>
      <c r="N135">
        <v>6.8699999999999997E-2</v>
      </c>
    </row>
    <row r="138" spans="1:14" x14ac:dyDescent="0.25">
      <c r="A138" t="s">
        <v>146</v>
      </c>
      <c r="B138" t="s">
        <v>158</v>
      </c>
      <c r="C138">
        <v>1.3</v>
      </c>
      <c r="D138" t="s">
        <v>141</v>
      </c>
      <c r="E138" t="s">
        <v>142</v>
      </c>
      <c r="F138" t="s">
        <v>148</v>
      </c>
      <c r="G138" t="b">
        <v>0</v>
      </c>
      <c r="H138" t="s">
        <v>144</v>
      </c>
      <c r="I138" t="b">
        <v>0</v>
      </c>
      <c r="J138">
        <v>1</v>
      </c>
    </row>
    <row r="139" spans="1:14" x14ac:dyDescent="0.25">
      <c r="A139" t="s">
        <v>139</v>
      </c>
      <c r="B139" t="s">
        <v>155</v>
      </c>
      <c r="C139">
        <v>1</v>
      </c>
      <c r="D139">
        <v>2</v>
      </c>
      <c r="E139">
        <v>3</v>
      </c>
      <c r="F139">
        <v>4</v>
      </c>
      <c r="G139">
        <v>5</v>
      </c>
      <c r="H139">
        <v>6</v>
      </c>
      <c r="I139">
        <v>7</v>
      </c>
      <c r="J139">
        <v>8</v>
      </c>
      <c r="K139">
        <v>9</v>
      </c>
      <c r="L139">
        <v>10</v>
      </c>
      <c r="M139">
        <v>11</v>
      </c>
      <c r="N139">
        <v>12</v>
      </c>
    </row>
    <row r="140" spans="1:14" x14ac:dyDescent="0.25">
      <c r="B140" t="s">
        <v>145</v>
      </c>
      <c r="C140">
        <v>16.744</v>
      </c>
      <c r="D140">
        <v>9.4039999999999999</v>
      </c>
      <c r="E140" s="9">
        <v>3.8730000000000002</v>
      </c>
      <c r="F140" s="9">
        <v>4.1280000000000001</v>
      </c>
      <c r="G140" s="9">
        <v>4.1139999999999999</v>
      </c>
      <c r="H140" s="9">
        <v>4.3490000000000002</v>
      </c>
      <c r="I140" s="9">
        <v>4.5880000000000001</v>
      </c>
      <c r="J140" s="9">
        <v>4.4820000000000002</v>
      </c>
      <c r="K140" s="9">
        <v>3.86</v>
      </c>
      <c r="L140" s="9">
        <v>3.952</v>
      </c>
      <c r="M140" s="9">
        <v>4.2549999999999999</v>
      </c>
      <c r="N140" s="9">
        <v>4.5309999999999997</v>
      </c>
    </row>
    <row r="141" spans="1:14" x14ac:dyDescent="0.25">
      <c r="B141">
        <v>24.4</v>
      </c>
      <c r="C141">
        <v>17.530999999999999</v>
      </c>
      <c r="D141">
        <v>6.42</v>
      </c>
      <c r="E141" s="9">
        <v>3.6970000000000001</v>
      </c>
      <c r="F141" s="9">
        <v>3.8330000000000002</v>
      </c>
      <c r="G141" s="9">
        <v>3.823</v>
      </c>
      <c r="H141" s="9">
        <v>3.6240000000000001</v>
      </c>
      <c r="I141" s="9">
        <v>4.2489999999999997</v>
      </c>
      <c r="J141" s="9">
        <v>3.71</v>
      </c>
      <c r="K141" s="9">
        <v>3.6779999999999999</v>
      </c>
      <c r="L141" s="9">
        <v>3.6720000000000002</v>
      </c>
      <c r="M141" s="9">
        <v>4.3040000000000003</v>
      </c>
      <c r="N141" s="9">
        <v>4.391</v>
      </c>
    </row>
    <row r="142" spans="1:14" x14ac:dyDescent="0.25">
      <c r="C142">
        <v>16.587</v>
      </c>
      <c r="D142">
        <v>6.5209999999999999</v>
      </c>
      <c r="E142" s="9">
        <v>3.734</v>
      </c>
      <c r="F142" s="9">
        <v>3.85</v>
      </c>
      <c r="G142" s="9">
        <v>3.5190000000000001</v>
      </c>
      <c r="H142" s="9">
        <v>3.5649999999999999</v>
      </c>
      <c r="I142" s="9">
        <v>4.0510000000000002</v>
      </c>
      <c r="J142" s="9">
        <v>4.2169999999999996</v>
      </c>
      <c r="K142" s="9">
        <v>3.2429999999999999</v>
      </c>
      <c r="L142" s="9">
        <v>3.806</v>
      </c>
      <c r="M142" s="9">
        <v>3.867</v>
      </c>
      <c r="N142" s="9">
        <v>4.2060000000000004</v>
      </c>
    </row>
    <row r="143" spans="1:14" x14ac:dyDescent="0.25">
      <c r="C143">
        <v>16.462</v>
      </c>
      <c r="D143">
        <v>5.18</v>
      </c>
      <c r="E143" s="9">
        <v>4.0049999999999999</v>
      </c>
      <c r="F143" s="9">
        <v>3.8130000000000002</v>
      </c>
      <c r="G143" s="9">
        <v>3.964</v>
      </c>
      <c r="H143" s="9">
        <v>3.8119999999999998</v>
      </c>
      <c r="I143" s="9">
        <v>3.613</v>
      </c>
      <c r="J143" s="9">
        <v>3.8889999999999998</v>
      </c>
      <c r="K143" s="9">
        <v>3.5</v>
      </c>
      <c r="L143" s="9">
        <v>3.6880000000000002</v>
      </c>
      <c r="M143" s="9">
        <v>3.8250000000000002</v>
      </c>
      <c r="N143" s="9">
        <v>4.6070000000000002</v>
      </c>
    </row>
    <row r="144" spans="1:14" x14ac:dyDescent="0.25">
      <c r="C144">
        <v>15.497</v>
      </c>
      <c r="D144">
        <v>6.7439999999999998</v>
      </c>
      <c r="E144" s="9">
        <v>3.6920000000000002</v>
      </c>
      <c r="F144" s="9">
        <v>3.7509999999999999</v>
      </c>
      <c r="G144" s="9">
        <v>3.581</v>
      </c>
      <c r="H144" s="9">
        <v>3.9849999999999999</v>
      </c>
      <c r="I144" s="9">
        <v>4.0350000000000001</v>
      </c>
      <c r="J144" s="9">
        <v>3.6070000000000002</v>
      </c>
      <c r="K144" s="9">
        <v>4.2</v>
      </c>
      <c r="L144" s="9">
        <v>3.7280000000000002</v>
      </c>
      <c r="M144" s="9">
        <v>3.91</v>
      </c>
      <c r="N144" s="9">
        <v>4.5979999999999999</v>
      </c>
    </row>
    <row r="145" spans="1:14" x14ac:dyDescent="0.25">
      <c r="C145">
        <v>16.890999999999998</v>
      </c>
      <c r="D145">
        <v>5.1589999999999998</v>
      </c>
      <c r="E145" s="9">
        <v>3.35</v>
      </c>
      <c r="F145" s="9">
        <v>3.8929999999999998</v>
      </c>
      <c r="G145" s="9">
        <v>3.9740000000000002</v>
      </c>
      <c r="H145" s="9">
        <v>4.2229999999999999</v>
      </c>
      <c r="I145" s="9">
        <v>3.3860000000000001</v>
      </c>
      <c r="J145" s="9">
        <v>3.835</v>
      </c>
      <c r="K145" s="9">
        <v>2.9430000000000001</v>
      </c>
      <c r="L145" s="9">
        <v>3.327</v>
      </c>
      <c r="M145" s="9">
        <v>3.7370000000000001</v>
      </c>
      <c r="N145" s="9">
        <v>4.6159999999999997</v>
      </c>
    </row>
    <row r="146" spans="1:14" x14ac:dyDescent="0.25">
      <c r="C146">
        <v>16.925999999999998</v>
      </c>
      <c r="D146">
        <v>8.4990000000000006</v>
      </c>
      <c r="E146" s="9">
        <v>3.7959999999999998</v>
      </c>
      <c r="F146" s="9">
        <v>3.4209999999999998</v>
      </c>
      <c r="G146" s="9">
        <v>3.7250000000000001</v>
      </c>
      <c r="H146" s="9">
        <v>4.3179999999999996</v>
      </c>
      <c r="I146" s="9">
        <v>4.0129999999999999</v>
      </c>
      <c r="J146" s="9">
        <v>3.5219999999999998</v>
      </c>
      <c r="K146" s="9">
        <v>4.4210000000000003</v>
      </c>
      <c r="L146" s="9">
        <v>4.0599999999999996</v>
      </c>
      <c r="M146" s="9">
        <v>3.5920000000000001</v>
      </c>
      <c r="N146" s="9">
        <v>4.359</v>
      </c>
    </row>
    <row r="147" spans="1:14" x14ac:dyDescent="0.25">
      <c r="C147">
        <v>16.815999999999999</v>
      </c>
      <c r="D147">
        <v>14.356</v>
      </c>
      <c r="E147" s="9">
        <v>3.4289999999999998</v>
      </c>
      <c r="F147" s="9">
        <v>4.0110000000000001</v>
      </c>
      <c r="G147" s="9">
        <v>3.831</v>
      </c>
      <c r="H147" s="9">
        <v>3.448</v>
      </c>
      <c r="I147" s="9">
        <v>3.367</v>
      </c>
      <c r="J147" s="9">
        <v>4.1989999999999998</v>
      </c>
      <c r="K147" s="9">
        <v>3.456</v>
      </c>
      <c r="L147" s="9">
        <v>3.91</v>
      </c>
      <c r="M147" s="9">
        <v>3.8620000000000001</v>
      </c>
      <c r="N147" s="9">
        <v>4.4550000000000001</v>
      </c>
    </row>
    <row r="150" spans="1:14" x14ac:dyDescent="0.25">
      <c r="A150" t="s">
        <v>146</v>
      </c>
      <c r="B150" t="s">
        <v>159</v>
      </c>
      <c r="C150">
        <v>1.3</v>
      </c>
      <c r="D150" t="s">
        <v>141</v>
      </c>
      <c r="E150" t="s">
        <v>142</v>
      </c>
      <c r="F150" t="s">
        <v>143</v>
      </c>
      <c r="G150" t="s">
        <v>144</v>
      </c>
      <c r="H150" t="b">
        <v>0</v>
      </c>
      <c r="I150">
        <v>1</v>
      </c>
    </row>
    <row r="151" spans="1:14" x14ac:dyDescent="0.25">
      <c r="A151" t="s">
        <v>139</v>
      </c>
      <c r="B151" t="s">
        <v>140</v>
      </c>
      <c r="C151">
        <v>1</v>
      </c>
      <c r="D151">
        <v>2</v>
      </c>
      <c r="E151">
        <v>3</v>
      </c>
      <c r="F151">
        <v>4</v>
      </c>
      <c r="G151">
        <v>5</v>
      </c>
      <c r="H151">
        <v>6</v>
      </c>
      <c r="I151">
        <v>7</v>
      </c>
      <c r="J151">
        <v>8</v>
      </c>
      <c r="K151">
        <v>9</v>
      </c>
      <c r="L151">
        <v>10</v>
      </c>
      <c r="M151">
        <v>11</v>
      </c>
      <c r="N151">
        <v>12</v>
      </c>
    </row>
    <row r="152" spans="1:14" x14ac:dyDescent="0.25">
      <c r="B152" t="s">
        <v>145</v>
      </c>
      <c r="C152">
        <v>3.4424000000000001</v>
      </c>
      <c r="D152">
        <v>2.1985000000000001</v>
      </c>
      <c r="E152">
        <v>0.35089999999999999</v>
      </c>
      <c r="F152">
        <v>9.3299999999999994E-2</v>
      </c>
      <c r="G152">
        <v>6.3500000000000001E-2</v>
      </c>
      <c r="H152">
        <v>5.9799999999999999E-2</v>
      </c>
      <c r="I152">
        <v>5.8299999999999998E-2</v>
      </c>
      <c r="J152">
        <v>5.9900000000000002E-2</v>
      </c>
      <c r="K152">
        <v>5.8400000000000001E-2</v>
      </c>
      <c r="L152">
        <v>5.91E-2</v>
      </c>
      <c r="M152">
        <v>6.0499999999999998E-2</v>
      </c>
      <c r="N152">
        <v>5.91E-2</v>
      </c>
    </row>
    <row r="153" spans="1:14" x14ac:dyDescent="0.25">
      <c r="B153">
        <v>24.5</v>
      </c>
      <c r="C153">
        <v>3.8321000000000001</v>
      </c>
      <c r="D153">
        <v>2.5085000000000002</v>
      </c>
      <c r="E153">
        <v>0.46229999999999999</v>
      </c>
      <c r="F153">
        <v>0.1133</v>
      </c>
      <c r="G153">
        <v>6.4199999999999993E-2</v>
      </c>
      <c r="H153">
        <v>6.1600000000000002E-2</v>
      </c>
      <c r="I153">
        <v>5.8599999999999999E-2</v>
      </c>
      <c r="J153">
        <v>5.7599999999999998E-2</v>
      </c>
      <c r="K153">
        <v>5.7299999999999997E-2</v>
      </c>
      <c r="L153">
        <v>5.8400000000000001E-2</v>
      </c>
      <c r="M153">
        <v>6.0999999999999999E-2</v>
      </c>
      <c r="N153">
        <v>6.0499999999999998E-2</v>
      </c>
    </row>
    <row r="154" spans="1:14" x14ac:dyDescent="0.25">
      <c r="C154">
        <v>3.5394999999999999</v>
      </c>
      <c r="D154">
        <v>2.4026000000000001</v>
      </c>
      <c r="E154">
        <v>0.43509999999999999</v>
      </c>
      <c r="F154">
        <v>0.1159</v>
      </c>
      <c r="G154">
        <v>6.4600000000000005E-2</v>
      </c>
      <c r="H154">
        <v>5.6800000000000003E-2</v>
      </c>
      <c r="I154">
        <v>5.6099999999999997E-2</v>
      </c>
      <c r="J154">
        <v>5.8200000000000002E-2</v>
      </c>
      <c r="K154">
        <v>5.6000000000000001E-2</v>
      </c>
      <c r="L154">
        <v>5.7599999999999998E-2</v>
      </c>
      <c r="M154">
        <v>5.7500000000000002E-2</v>
      </c>
      <c r="N154">
        <v>5.9200000000000003E-2</v>
      </c>
    </row>
    <row r="155" spans="1:14" x14ac:dyDescent="0.25">
      <c r="C155">
        <v>4</v>
      </c>
      <c r="D155">
        <v>2.2622</v>
      </c>
      <c r="E155">
        <v>0.40389999999999998</v>
      </c>
      <c r="F155">
        <v>0.104</v>
      </c>
      <c r="G155">
        <v>6.08E-2</v>
      </c>
      <c r="H155">
        <v>5.7700000000000001E-2</v>
      </c>
      <c r="I155">
        <v>5.6599999999999998E-2</v>
      </c>
      <c r="J155">
        <v>5.7700000000000001E-2</v>
      </c>
      <c r="K155">
        <v>5.62E-2</v>
      </c>
      <c r="L155">
        <v>5.8000000000000003E-2</v>
      </c>
      <c r="M155">
        <v>5.7099999999999998E-2</v>
      </c>
      <c r="N155">
        <v>5.8999999999999997E-2</v>
      </c>
    </row>
    <row r="156" spans="1:14" x14ac:dyDescent="0.25">
      <c r="C156">
        <v>4</v>
      </c>
      <c r="D156">
        <v>2.3946999999999998</v>
      </c>
      <c r="E156">
        <v>0.42920000000000003</v>
      </c>
      <c r="F156">
        <v>0.1158</v>
      </c>
      <c r="G156">
        <v>6.3200000000000006E-2</v>
      </c>
      <c r="H156">
        <v>5.7700000000000001E-2</v>
      </c>
      <c r="I156">
        <v>5.6099999999999997E-2</v>
      </c>
      <c r="J156">
        <v>5.6899999999999999E-2</v>
      </c>
      <c r="K156">
        <v>5.6599999999999998E-2</v>
      </c>
      <c r="L156">
        <v>5.8099999999999999E-2</v>
      </c>
      <c r="M156">
        <v>5.74E-2</v>
      </c>
      <c r="N156">
        <v>5.6800000000000003E-2</v>
      </c>
    </row>
    <row r="157" spans="1:14" x14ac:dyDescent="0.25">
      <c r="C157">
        <v>4</v>
      </c>
      <c r="D157">
        <v>2.6738</v>
      </c>
      <c r="E157">
        <v>0.53039999999999998</v>
      </c>
      <c r="F157">
        <v>0.1547</v>
      </c>
      <c r="G157">
        <v>6.83E-2</v>
      </c>
      <c r="H157">
        <v>5.8500000000000003E-2</v>
      </c>
      <c r="I157">
        <v>5.8500000000000003E-2</v>
      </c>
      <c r="J157">
        <v>5.8700000000000002E-2</v>
      </c>
      <c r="K157">
        <v>5.8700000000000002E-2</v>
      </c>
      <c r="L157">
        <v>5.7000000000000002E-2</v>
      </c>
      <c r="M157">
        <v>5.79E-2</v>
      </c>
      <c r="N157">
        <v>5.8999999999999997E-2</v>
      </c>
    </row>
    <row r="158" spans="1:14" x14ac:dyDescent="0.25">
      <c r="C158">
        <v>4</v>
      </c>
      <c r="D158">
        <v>2.7077</v>
      </c>
      <c r="E158">
        <v>0.69989999999999997</v>
      </c>
      <c r="F158">
        <v>0.154</v>
      </c>
      <c r="G158">
        <v>7.0099999999999996E-2</v>
      </c>
      <c r="H158">
        <v>5.8599999999999999E-2</v>
      </c>
      <c r="I158">
        <v>5.7500000000000002E-2</v>
      </c>
      <c r="J158">
        <v>5.8900000000000001E-2</v>
      </c>
      <c r="K158">
        <v>5.8799999999999998E-2</v>
      </c>
      <c r="L158">
        <v>5.7599999999999998E-2</v>
      </c>
      <c r="M158">
        <v>6.0400000000000002E-2</v>
      </c>
      <c r="N158">
        <v>5.6800000000000003E-2</v>
      </c>
    </row>
    <row r="159" spans="1:14" x14ac:dyDescent="0.25">
      <c r="C159">
        <v>4</v>
      </c>
      <c r="D159">
        <v>2.5223</v>
      </c>
      <c r="E159">
        <v>0.69899999999999995</v>
      </c>
      <c r="F159">
        <v>0.13220000000000001</v>
      </c>
      <c r="G159">
        <v>6.7000000000000004E-2</v>
      </c>
      <c r="H159">
        <v>5.7299999999999997E-2</v>
      </c>
      <c r="I159">
        <v>5.7599999999999998E-2</v>
      </c>
      <c r="J159">
        <v>5.7700000000000001E-2</v>
      </c>
      <c r="K159">
        <v>5.7200000000000001E-2</v>
      </c>
      <c r="L159">
        <v>5.6899999999999999E-2</v>
      </c>
      <c r="M159">
        <v>5.8400000000000001E-2</v>
      </c>
      <c r="N159">
        <v>5.8500000000000003E-2</v>
      </c>
    </row>
    <row r="162" spans="1:14" x14ac:dyDescent="0.25">
      <c r="A162" t="s">
        <v>146</v>
      </c>
      <c r="B162" t="s">
        <v>159</v>
      </c>
      <c r="C162">
        <v>1.3</v>
      </c>
      <c r="D162" t="s">
        <v>141</v>
      </c>
      <c r="E162" t="s">
        <v>142</v>
      </c>
      <c r="F162" t="s">
        <v>148</v>
      </c>
      <c r="G162" t="b">
        <v>0</v>
      </c>
      <c r="H162" t="s">
        <v>144</v>
      </c>
      <c r="I162" t="b">
        <v>0</v>
      </c>
      <c r="J162">
        <v>1</v>
      </c>
    </row>
    <row r="163" spans="1:14" x14ac:dyDescent="0.25">
      <c r="A163" t="s">
        <v>139</v>
      </c>
      <c r="B163" t="s">
        <v>147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7</v>
      </c>
      <c r="J163">
        <v>8</v>
      </c>
      <c r="K163">
        <v>9</v>
      </c>
      <c r="L163">
        <v>10</v>
      </c>
      <c r="M163">
        <v>11</v>
      </c>
      <c r="N163">
        <v>12</v>
      </c>
    </row>
    <row r="164" spans="1:14" x14ac:dyDescent="0.25">
      <c r="B164" t="s">
        <v>145</v>
      </c>
      <c r="C164">
        <v>14.644</v>
      </c>
      <c r="D164">
        <v>8.5809999999999995</v>
      </c>
      <c r="E164" s="9">
        <v>3.613</v>
      </c>
      <c r="F164" s="9">
        <v>3.0169999999999999</v>
      </c>
      <c r="G164" s="9">
        <v>3.262</v>
      </c>
      <c r="H164" s="9">
        <v>3.581</v>
      </c>
      <c r="I164" s="9">
        <v>3.335</v>
      </c>
      <c r="J164" s="9">
        <v>3.165</v>
      </c>
      <c r="K164" s="9">
        <v>3.359</v>
      </c>
      <c r="L164" s="9">
        <v>3.5619999999999998</v>
      </c>
      <c r="M164" s="9">
        <v>3.0289999999999999</v>
      </c>
      <c r="N164" s="9">
        <v>3.8650000000000002</v>
      </c>
    </row>
    <row r="165" spans="1:14" x14ac:dyDescent="0.25">
      <c r="B165">
        <v>24.5</v>
      </c>
      <c r="C165">
        <v>15.952999999999999</v>
      </c>
      <c r="D165">
        <v>9.7750000000000004</v>
      </c>
      <c r="E165" s="9">
        <v>3.1120000000000001</v>
      </c>
      <c r="F165" s="9">
        <v>3.2370000000000001</v>
      </c>
      <c r="G165" s="9">
        <v>2.7170000000000001</v>
      </c>
      <c r="H165" s="9">
        <v>3.0790000000000002</v>
      </c>
      <c r="I165" s="9">
        <v>3.2120000000000002</v>
      </c>
      <c r="J165" s="9">
        <v>3.0270000000000001</v>
      </c>
      <c r="K165" s="9">
        <v>2.4700000000000002</v>
      </c>
      <c r="L165" s="9">
        <v>3.4620000000000002</v>
      </c>
      <c r="M165" s="9">
        <v>2.5739999999999998</v>
      </c>
      <c r="N165" s="9">
        <v>3.7879999999999998</v>
      </c>
    </row>
    <row r="166" spans="1:14" x14ac:dyDescent="0.25">
      <c r="C166">
        <v>13.161</v>
      </c>
      <c r="D166">
        <v>9.4489999999999998</v>
      </c>
      <c r="E166" s="9">
        <v>3.302</v>
      </c>
      <c r="F166" s="9">
        <v>3.46</v>
      </c>
      <c r="G166" s="9">
        <v>3.008</v>
      </c>
      <c r="H166" s="9">
        <v>3.0150000000000001</v>
      </c>
      <c r="I166" s="9">
        <v>2.88</v>
      </c>
      <c r="J166" s="9">
        <v>2.9649999999999999</v>
      </c>
      <c r="K166" s="9">
        <v>2.8109999999999999</v>
      </c>
      <c r="L166" s="9">
        <v>2.923</v>
      </c>
      <c r="M166" s="9">
        <v>2.9279999999999999</v>
      </c>
      <c r="N166" s="9">
        <v>3.226</v>
      </c>
    </row>
    <row r="167" spans="1:14" x14ac:dyDescent="0.25">
      <c r="C167">
        <v>15.122999999999999</v>
      </c>
      <c r="D167">
        <v>8.6329999999999991</v>
      </c>
      <c r="E167" s="9">
        <v>3.5659999999999998</v>
      </c>
      <c r="F167" s="9">
        <v>3.472</v>
      </c>
      <c r="G167" s="9">
        <v>3.0840000000000001</v>
      </c>
      <c r="H167" s="9">
        <v>2.7549999999999999</v>
      </c>
      <c r="I167" s="9">
        <v>3.153</v>
      </c>
      <c r="J167" s="9">
        <v>2.7469999999999999</v>
      </c>
      <c r="K167" s="9">
        <v>3.0150000000000001</v>
      </c>
      <c r="L167" s="9">
        <v>3.4129999999999998</v>
      </c>
      <c r="M167" s="9">
        <v>3.032</v>
      </c>
      <c r="N167" s="9">
        <v>2.972</v>
      </c>
    </row>
    <row r="168" spans="1:14" x14ac:dyDescent="0.25">
      <c r="C168">
        <v>13.316000000000001</v>
      </c>
      <c r="D168">
        <v>9.0050000000000008</v>
      </c>
      <c r="E168" s="9">
        <v>3.4209999999999998</v>
      </c>
      <c r="F168" s="9">
        <v>3.387</v>
      </c>
      <c r="G168" s="9">
        <v>3.0339999999999998</v>
      </c>
      <c r="H168" s="9">
        <v>3.0710000000000002</v>
      </c>
      <c r="I168" s="9">
        <v>3.387</v>
      </c>
      <c r="J168" s="9">
        <v>2.7280000000000002</v>
      </c>
      <c r="K168" s="9">
        <v>2.427</v>
      </c>
      <c r="L168" s="9">
        <v>3.1120000000000001</v>
      </c>
      <c r="M168" s="9">
        <v>3.0720000000000001</v>
      </c>
      <c r="N168" s="9">
        <v>3.2280000000000002</v>
      </c>
    </row>
    <row r="169" spans="1:14" x14ac:dyDescent="0.25">
      <c r="C169">
        <v>17.657</v>
      </c>
      <c r="D169">
        <v>11.914999999999999</v>
      </c>
      <c r="E169" s="9">
        <v>3.7010000000000001</v>
      </c>
      <c r="F169" s="9">
        <v>3.0289999999999999</v>
      </c>
      <c r="G169" s="9">
        <v>2.8149999999999999</v>
      </c>
      <c r="H169" s="9">
        <v>3.5</v>
      </c>
      <c r="I169" s="9">
        <v>2.7749999999999999</v>
      </c>
      <c r="J169" s="9">
        <v>3.1619999999999999</v>
      </c>
      <c r="K169" s="9">
        <v>3.1680000000000001</v>
      </c>
      <c r="L169" s="9">
        <v>2.8340000000000001</v>
      </c>
      <c r="M169" s="9">
        <v>3.0680000000000001</v>
      </c>
      <c r="N169" s="9">
        <v>3.593</v>
      </c>
    </row>
    <row r="170" spans="1:14" x14ac:dyDescent="0.25">
      <c r="C170">
        <v>19.477</v>
      </c>
      <c r="D170">
        <v>10.933</v>
      </c>
      <c r="E170" s="9">
        <v>3.843</v>
      </c>
      <c r="F170" s="9">
        <v>3.0249999999999999</v>
      </c>
      <c r="G170" s="9">
        <v>3.2109999999999999</v>
      </c>
      <c r="H170" s="9">
        <v>2.4009999999999998</v>
      </c>
      <c r="I170" s="9">
        <v>3.3039999999999998</v>
      </c>
      <c r="J170" s="9">
        <v>2.9489999999999998</v>
      </c>
      <c r="K170" s="9">
        <v>3.1379999999999999</v>
      </c>
      <c r="L170" s="9">
        <v>3.8069999999999999</v>
      </c>
      <c r="M170" s="9">
        <v>3.3639999999999999</v>
      </c>
      <c r="N170" s="9">
        <v>3.2749999999999999</v>
      </c>
    </row>
    <row r="171" spans="1:14" x14ac:dyDescent="0.25">
      <c r="C171">
        <v>16.18</v>
      </c>
      <c r="D171">
        <v>11.058999999999999</v>
      </c>
      <c r="E171" s="9">
        <v>3.9039999999999999</v>
      </c>
      <c r="F171" s="9">
        <v>2.9239999999999999</v>
      </c>
      <c r="G171" s="9">
        <v>2.7850000000000001</v>
      </c>
      <c r="H171" s="9">
        <v>3.3079999999999998</v>
      </c>
      <c r="I171" s="9">
        <v>2.9830000000000001</v>
      </c>
      <c r="J171" s="9">
        <v>3.1480000000000001</v>
      </c>
      <c r="K171" s="9">
        <v>2.944</v>
      </c>
      <c r="L171" s="9">
        <v>3.0459999999999998</v>
      </c>
      <c r="M171" s="9">
        <v>3.073</v>
      </c>
      <c r="N171" s="9">
        <v>3.21</v>
      </c>
    </row>
    <row r="174" spans="1:14" x14ac:dyDescent="0.25">
      <c r="A174" t="s">
        <v>146</v>
      </c>
      <c r="B174" t="s">
        <v>160</v>
      </c>
      <c r="C174">
        <v>1.3</v>
      </c>
      <c r="D174" t="s">
        <v>141</v>
      </c>
      <c r="E174" t="s">
        <v>142</v>
      </c>
      <c r="F174" t="s">
        <v>143</v>
      </c>
      <c r="G174" t="s">
        <v>144</v>
      </c>
      <c r="H174" t="b">
        <v>0</v>
      </c>
      <c r="I174">
        <v>1</v>
      </c>
    </row>
    <row r="175" spans="1:14" x14ac:dyDescent="0.25">
      <c r="A175" t="s">
        <v>139</v>
      </c>
      <c r="B175" t="s">
        <v>151</v>
      </c>
      <c r="C175">
        <v>1</v>
      </c>
      <c r="D175">
        <v>2</v>
      </c>
      <c r="E175">
        <v>3</v>
      </c>
      <c r="F175">
        <v>4</v>
      </c>
      <c r="G175">
        <v>5</v>
      </c>
      <c r="H175">
        <v>6</v>
      </c>
      <c r="I175">
        <v>7</v>
      </c>
      <c r="J175">
        <v>8</v>
      </c>
      <c r="K175">
        <v>9</v>
      </c>
      <c r="L175">
        <v>10</v>
      </c>
      <c r="M175">
        <v>11</v>
      </c>
      <c r="N175">
        <v>12</v>
      </c>
    </row>
    <row r="176" spans="1:14" x14ac:dyDescent="0.25">
      <c r="B176" t="s">
        <v>145</v>
      </c>
      <c r="C176">
        <v>3.5960000000000001</v>
      </c>
      <c r="D176">
        <v>0.65980000000000005</v>
      </c>
      <c r="E176">
        <v>0.30640000000000001</v>
      </c>
      <c r="F176">
        <v>8.8099999999999998E-2</v>
      </c>
      <c r="G176">
        <v>6.3899999999999998E-2</v>
      </c>
      <c r="H176">
        <v>5.8799999999999998E-2</v>
      </c>
      <c r="I176">
        <v>6.0900000000000003E-2</v>
      </c>
      <c r="J176">
        <v>6.59E-2</v>
      </c>
      <c r="K176">
        <v>6.3500000000000001E-2</v>
      </c>
      <c r="L176">
        <v>6.9800000000000001E-2</v>
      </c>
      <c r="M176">
        <v>6.6299999999999998E-2</v>
      </c>
      <c r="N176">
        <v>6.3500000000000001E-2</v>
      </c>
    </row>
    <row r="177" spans="1:14" x14ac:dyDescent="0.25">
      <c r="B177">
        <v>24.6</v>
      </c>
      <c r="C177">
        <v>3.4289999999999998</v>
      </c>
      <c r="D177">
        <v>0.60389999999999999</v>
      </c>
      <c r="E177">
        <v>0.1129</v>
      </c>
      <c r="F177">
        <v>6.8900000000000003E-2</v>
      </c>
      <c r="G177">
        <v>6.0499999999999998E-2</v>
      </c>
      <c r="H177">
        <v>5.8799999999999998E-2</v>
      </c>
      <c r="I177">
        <v>6.1100000000000002E-2</v>
      </c>
      <c r="J177">
        <v>6.5199999999999994E-2</v>
      </c>
      <c r="K177">
        <v>6.4399999999999999E-2</v>
      </c>
      <c r="L177">
        <v>6.5500000000000003E-2</v>
      </c>
      <c r="M177">
        <v>6.4799999999999996E-2</v>
      </c>
      <c r="N177">
        <v>6.3500000000000001E-2</v>
      </c>
    </row>
    <row r="178" spans="1:14" x14ac:dyDescent="0.25">
      <c r="C178">
        <v>3.4996</v>
      </c>
      <c r="D178">
        <v>2.0884</v>
      </c>
      <c r="E178">
        <v>0.13739999999999999</v>
      </c>
      <c r="F178">
        <v>6.8500000000000005E-2</v>
      </c>
      <c r="G178">
        <v>6.1800000000000001E-2</v>
      </c>
      <c r="H178">
        <v>5.96E-2</v>
      </c>
      <c r="I178">
        <v>5.7299999999999997E-2</v>
      </c>
      <c r="J178">
        <v>6.1899999999999997E-2</v>
      </c>
      <c r="K178">
        <v>5.8900000000000001E-2</v>
      </c>
      <c r="L178">
        <v>6.4699999999999994E-2</v>
      </c>
      <c r="M178">
        <v>6.1199999999999997E-2</v>
      </c>
      <c r="N178">
        <v>6.2899999999999998E-2</v>
      </c>
    </row>
    <row r="179" spans="1:14" x14ac:dyDescent="0.25">
      <c r="C179">
        <v>3.2456999999999998</v>
      </c>
      <c r="D179">
        <v>1.7455000000000001</v>
      </c>
      <c r="E179">
        <v>0.115</v>
      </c>
      <c r="F179">
        <v>6.6000000000000003E-2</v>
      </c>
      <c r="G179">
        <v>6.2100000000000002E-2</v>
      </c>
      <c r="H179">
        <v>5.8000000000000003E-2</v>
      </c>
      <c r="I179">
        <v>5.74E-2</v>
      </c>
      <c r="J179">
        <v>6.0600000000000001E-2</v>
      </c>
      <c r="K179">
        <v>5.7000000000000002E-2</v>
      </c>
      <c r="L179">
        <v>6.2799999999999995E-2</v>
      </c>
      <c r="M179">
        <v>6.0999999999999999E-2</v>
      </c>
      <c r="N179">
        <v>6.3200000000000006E-2</v>
      </c>
    </row>
    <row r="180" spans="1:14" x14ac:dyDescent="0.25">
      <c r="C180">
        <v>3.839</v>
      </c>
      <c r="D180">
        <v>2.0737000000000001</v>
      </c>
      <c r="E180">
        <v>0.18060000000000001</v>
      </c>
      <c r="F180">
        <v>7.6499999999999999E-2</v>
      </c>
      <c r="G180">
        <v>6.3299999999999995E-2</v>
      </c>
      <c r="H180">
        <v>5.8999999999999997E-2</v>
      </c>
      <c r="I180">
        <v>5.91E-2</v>
      </c>
      <c r="J180">
        <v>6.1699999999999998E-2</v>
      </c>
      <c r="K180">
        <v>5.8200000000000002E-2</v>
      </c>
      <c r="L180">
        <v>6.2100000000000002E-2</v>
      </c>
      <c r="M180">
        <v>5.9700000000000003E-2</v>
      </c>
      <c r="N180">
        <v>6.1800000000000001E-2</v>
      </c>
    </row>
    <row r="181" spans="1:14" x14ac:dyDescent="0.25">
      <c r="C181">
        <v>3.7153999999999998</v>
      </c>
      <c r="D181">
        <v>1.7609999999999999</v>
      </c>
      <c r="E181">
        <v>0.19719999999999999</v>
      </c>
      <c r="F181">
        <v>6.8500000000000005E-2</v>
      </c>
      <c r="G181">
        <v>5.8099999999999999E-2</v>
      </c>
      <c r="H181">
        <v>6.3100000000000003E-2</v>
      </c>
      <c r="I181">
        <v>6.6100000000000006E-2</v>
      </c>
      <c r="J181">
        <v>6.2E-2</v>
      </c>
      <c r="K181">
        <v>6.0499999999999998E-2</v>
      </c>
      <c r="L181">
        <v>6.4000000000000001E-2</v>
      </c>
      <c r="M181">
        <v>6.2700000000000006E-2</v>
      </c>
      <c r="N181">
        <v>6.1800000000000001E-2</v>
      </c>
    </row>
    <row r="182" spans="1:14" x14ac:dyDescent="0.25">
      <c r="C182">
        <v>4</v>
      </c>
      <c r="D182">
        <v>2.355</v>
      </c>
      <c r="E182">
        <v>0.2356</v>
      </c>
      <c r="F182">
        <v>7.3899999999999993E-2</v>
      </c>
      <c r="G182">
        <v>5.8900000000000001E-2</v>
      </c>
      <c r="H182">
        <v>5.5800000000000002E-2</v>
      </c>
      <c r="I182">
        <v>6.4399999999999999E-2</v>
      </c>
      <c r="J182">
        <v>6.2899999999999998E-2</v>
      </c>
      <c r="K182">
        <v>6.3700000000000007E-2</v>
      </c>
      <c r="L182">
        <v>6.1100000000000002E-2</v>
      </c>
      <c r="M182">
        <v>6.3899999999999998E-2</v>
      </c>
      <c r="N182">
        <v>6.2899999999999998E-2</v>
      </c>
    </row>
    <row r="183" spans="1:14" x14ac:dyDescent="0.25">
      <c r="C183">
        <v>4</v>
      </c>
      <c r="D183">
        <v>2.4998999999999998</v>
      </c>
      <c r="E183">
        <v>0.33729999999999999</v>
      </c>
      <c r="F183">
        <v>7.51E-2</v>
      </c>
      <c r="G183">
        <v>6.1400000000000003E-2</v>
      </c>
      <c r="H183">
        <v>5.6800000000000003E-2</v>
      </c>
      <c r="I183">
        <v>6.3500000000000001E-2</v>
      </c>
      <c r="J183">
        <v>6.4899999999999999E-2</v>
      </c>
      <c r="K183">
        <v>6.3600000000000004E-2</v>
      </c>
      <c r="L183">
        <v>6.5600000000000006E-2</v>
      </c>
      <c r="M183">
        <v>6.6100000000000006E-2</v>
      </c>
      <c r="N183">
        <v>6.1499999999999999E-2</v>
      </c>
    </row>
    <row r="186" spans="1:14" x14ac:dyDescent="0.25">
      <c r="A186" t="s">
        <v>146</v>
      </c>
      <c r="B186" t="s">
        <v>160</v>
      </c>
      <c r="C186">
        <v>1.3</v>
      </c>
      <c r="D186" t="s">
        <v>141</v>
      </c>
      <c r="E186" t="s">
        <v>142</v>
      </c>
      <c r="F186" t="s">
        <v>148</v>
      </c>
      <c r="G186" t="b">
        <v>0</v>
      </c>
      <c r="H186" t="s">
        <v>144</v>
      </c>
      <c r="I186" t="b">
        <v>0</v>
      </c>
      <c r="J186">
        <v>1</v>
      </c>
    </row>
    <row r="187" spans="1:14" x14ac:dyDescent="0.25">
      <c r="A187" t="s">
        <v>139</v>
      </c>
      <c r="B187" t="s">
        <v>152</v>
      </c>
      <c r="C187">
        <v>1</v>
      </c>
      <c r="D187">
        <v>2</v>
      </c>
      <c r="E187">
        <v>3</v>
      </c>
      <c r="F187">
        <v>4</v>
      </c>
      <c r="G187">
        <v>5</v>
      </c>
      <c r="H187">
        <v>6</v>
      </c>
      <c r="I187">
        <v>7</v>
      </c>
      <c r="J187">
        <v>8</v>
      </c>
      <c r="K187">
        <v>9</v>
      </c>
      <c r="L187">
        <v>10</v>
      </c>
      <c r="M187">
        <v>11</v>
      </c>
      <c r="N187">
        <v>12</v>
      </c>
    </row>
    <row r="188" spans="1:14" x14ac:dyDescent="0.25">
      <c r="B188" t="s">
        <v>145</v>
      </c>
      <c r="C188">
        <v>15.353</v>
      </c>
      <c r="D188">
        <v>11.321999999999999</v>
      </c>
      <c r="E188" s="9">
        <v>4.351</v>
      </c>
      <c r="F188" s="9">
        <v>3.738</v>
      </c>
      <c r="G188" s="9">
        <v>4.125</v>
      </c>
      <c r="H188" s="9">
        <v>4.0759999999999996</v>
      </c>
      <c r="I188" s="9">
        <v>4.0359999999999996</v>
      </c>
      <c r="J188" s="9">
        <v>3.6930000000000001</v>
      </c>
      <c r="K188" s="9">
        <v>4.0039999999999996</v>
      </c>
      <c r="L188" s="9">
        <v>3.64</v>
      </c>
      <c r="M188" s="9">
        <v>3.9049999999999998</v>
      </c>
      <c r="N188" s="9">
        <v>4.4059999999999997</v>
      </c>
    </row>
    <row r="189" spans="1:14" x14ac:dyDescent="0.25">
      <c r="B189">
        <v>24.6</v>
      </c>
      <c r="C189">
        <v>15.801</v>
      </c>
      <c r="D189">
        <v>12.329000000000001</v>
      </c>
      <c r="E189" s="9">
        <v>3.931</v>
      </c>
      <c r="F189" s="9">
        <v>3.5529999999999999</v>
      </c>
      <c r="G189" s="9">
        <v>3.4470000000000001</v>
      </c>
      <c r="H189" s="9">
        <v>3.7240000000000002</v>
      </c>
      <c r="I189" s="9">
        <v>3.4510000000000001</v>
      </c>
      <c r="J189" s="9">
        <v>4.1070000000000002</v>
      </c>
      <c r="K189" s="9">
        <v>3.3460000000000001</v>
      </c>
      <c r="L189" s="9">
        <v>4.2370000000000001</v>
      </c>
      <c r="M189" s="9">
        <v>3.2450000000000001</v>
      </c>
      <c r="N189" s="9">
        <v>4.8550000000000004</v>
      </c>
    </row>
    <row r="190" spans="1:14" x14ac:dyDescent="0.25">
      <c r="C190">
        <v>15.858000000000001</v>
      </c>
      <c r="D190">
        <v>10.87</v>
      </c>
      <c r="E190" s="9">
        <v>3.4390000000000001</v>
      </c>
      <c r="F190" s="9">
        <v>3.6680000000000001</v>
      </c>
      <c r="G190" s="9">
        <v>4.2149999999999999</v>
      </c>
      <c r="H190" s="9">
        <v>3.8279999999999998</v>
      </c>
      <c r="I190" s="9">
        <v>3.8180000000000001</v>
      </c>
      <c r="J190" s="9">
        <v>3.819</v>
      </c>
      <c r="K190" s="9">
        <v>3.2320000000000002</v>
      </c>
      <c r="L190" s="9">
        <v>3.6819999999999999</v>
      </c>
      <c r="M190" s="9">
        <v>3.6040000000000001</v>
      </c>
      <c r="N190" s="9">
        <v>3.9809999999999999</v>
      </c>
    </row>
    <row r="191" spans="1:14" x14ac:dyDescent="0.25">
      <c r="C191">
        <v>15.537000000000001</v>
      </c>
      <c r="D191">
        <v>10.894</v>
      </c>
      <c r="E191" s="9">
        <v>3.5289999999999999</v>
      </c>
      <c r="F191" s="9">
        <v>4.3170000000000002</v>
      </c>
      <c r="G191" s="9">
        <v>3.371</v>
      </c>
      <c r="H191" s="9">
        <v>3.585</v>
      </c>
      <c r="I191" s="9">
        <v>3.9249999999999998</v>
      </c>
      <c r="J191" s="9">
        <v>3.2770000000000001</v>
      </c>
      <c r="K191" s="9">
        <v>4.242</v>
      </c>
      <c r="L191" s="9">
        <v>3.718</v>
      </c>
      <c r="M191" s="9">
        <v>3.7530000000000001</v>
      </c>
      <c r="N191" s="9">
        <v>4.1340000000000003</v>
      </c>
    </row>
    <row r="192" spans="1:14" x14ac:dyDescent="0.25">
      <c r="C192">
        <v>15.353999999999999</v>
      </c>
      <c r="D192">
        <v>11.691000000000001</v>
      </c>
      <c r="E192" s="9">
        <v>4.194</v>
      </c>
      <c r="F192" s="9">
        <v>3.2080000000000002</v>
      </c>
      <c r="G192" s="9">
        <v>3.653</v>
      </c>
      <c r="H192" s="9">
        <v>3.5070000000000001</v>
      </c>
      <c r="I192" s="9">
        <v>4.2619999999999996</v>
      </c>
      <c r="J192" s="9">
        <v>3.1850000000000001</v>
      </c>
      <c r="K192" s="9">
        <v>3.7450000000000001</v>
      </c>
      <c r="L192" s="9">
        <v>3.645</v>
      </c>
      <c r="M192" s="9">
        <v>3.6</v>
      </c>
      <c r="N192" s="9">
        <v>4.2859999999999996</v>
      </c>
    </row>
    <row r="193" spans="1:14" x14ac:dyDescent="0.25">
      <c r="C193">
        <v>15.66</v>
      </c>
      <c r="D193">
        <v>11.771000000000001</v>
      </c>
      <c r="E193" s="9">
        <v>3.444</v>
      </c>
      <c r="F193" s="9">
        <v>3.7320000000000002</v>
      </c>
      <c r="G193" s="9">
        <v>3.589</v>
      </c>
      <c r="H193" s="9">
        <v>3.8479999999999999</v>
      </c>
      <c r="I193" s="9">
        <v>3.5019999999999998</v>
      </c>
      <c r="J193" s="9">
        <v>3.3439999999999999</v>
      </c>
      <c r="K193" s="9">
        <v>3.4750000000000001</v>
      </c>
      <c r="L193" s="9">
        <v>3.367</v>
      </c>
      <c r="M193" s="9">
        <v>3.82</v>
      </c>
      <c r="N193" s="9">
        <v>3.95</v>
      </c>
    </row>
    <row r="194" spans="1:14" x14ac:dyDescent="0.25">
      <c r="C194">
        <v>16.213000000000001</v>
      </c>
      <c r="D194">
        <v>13.045</v>
      </c>
      <c r="E194" s="9">
        <v>3.988</v>
      </c>
      <c r="F194" s="9">
        <v>3.1280000000000001</v>
      </c>
      <c r="G194" s="9">
        <v>3.8639999999999999</v>
      </c>
      <c r="H194" s="9">
        <v>3.819</v>
      </c>
      <c r="I194" s="9">
        <v>3.9790000000000001</v>
      </c>
      <c r="J194" s="9">
        <v>3.3879999999999999</v>
      </c>
      <c r="K194" s="9">
        <v>3.8879999999999999</v>
      </c>
      <c r="L194" s="9">
        <v>3.7549999999999999</v>
      </c>
      <c r="M194" s="9">
        <v>4.2560000000000002</v>
      </c>
      <c r="N194" s="9">
        <v>4.7969999999999997</v>
      </c>
    </row>
    <row r="195" spans="1:14" x14ac:dyDescent="0.25">
      <c r="C195">
        <v>18.393000000000001</v>
      </c>
      <c r="D195">
        <v>13.568</v>
      </c>
      <c r="E195" s="9">
        <v>4.891</v>
      </c>
      <c r="F195" s="9">
        <v>3.988</v>
      </c>
      <c r="G195" s="9">
        <v>3.4860000000000002</v>
      </c>
      <c r="H195" s="9">
        <v>3.403</v>
      </c>
      <c r="I195" s="9">
        <v>3.3410000000000002</v>
      </c>
      <c r="J195" s="9">
        <v>3.5529999999999999</v>
      </c>
      <c r="K195" s="9">
        <v>3.85</v>
      </c>
      <c r="L195" s="9">
        <v>3.6459999999999999</v>
      </c>
      <c r="M195" s="9">
        <v>3.677</v>
      </c>
      <c r="N195" s="9">
        <v>4.0620000000000003</v>
      </c>
    </row>
    <row r="198" spans="1:14" x14ac:dyDescent="0.25">
      <c r="A198" t="s">
        <v>146</v>
      </c>
      <c r="B198" t="s">
        <v>161</v>
      </c>
      <c r="C198">
        <v>1.3</v>
      </c>
      <c r="D198" t="s">
        <v>141</v>
      </c>
      <c r="E198" t="s">
        <v>142</v>
      </c>
      <c r="F198" t="s">
        <v>143</v>
      </c>
      <c r="G198" t="s">
        <v>144</v>
      </c>
      <c r="H198" t="b">
        <v>0</v>
      </c>
      <c r="I198">
        <v>1</v>
      </c>
    </row>
    <row r="199" spans="1:14" x14ac:dyDescent="0.25">
      <c r="A199" t="s">
        <v>139</v>
      </c>
      <c r="B199" t="s">
        <v>154</v>
      </c>
      <c r="C199">
        <v>1</v>
      </c>
      <c r="D199">
        <v>2</v>
      </c>
      <c r="E199">
        <v>3</v>
      </c>
      <c r="F199">
        <v>4</v>
      </c>
      <c r="G199">
        <v>5</v>
      </c>
      <c r="H199">
        <v>6</v>
      </c>
      <c r="I199">
        <v>7</v>
      </c>
      <c r="J199">
        <v>8</v>
      </c>
      <c r="K199">
        <v>9</v>
      </c>
      <c r="L199">
        <v>10</v>
      </c>
      <c r="M199">
        <v>11</v>
      </c>
      <c r="N199">
        <v>12</v>
      </c>
    </row>
    <row r="200" spans="1:14" x14ac:dyDescent="0.25">
      <c r="B200" t="s">
        <v>145</v>
      </c>
      <c r="C200">
        <v>3.4891999999999999</v>
      </c>
      <c r="D200">
        <v>0.65029999999999999</v>
      </c>
      <c r="E200">
        <v>0.1216</v>
      </c>
      <c r="F200">
        <v>6.8199999999999997E-2</v>
      </c>
      <c r="G200">
        <v>5.8000000000000003E-2</v>
      </c>
      <c r="H200">
        <v>5.8200000000000002E-2</v>
      </c>
      <c r="I200">
        <v>5.8400000000000001E-2</v>
      </c>
      <c r="J200">
        <v>5.8099999999999999E-2</v>
      </c>
      <c r="K200">
        <v>5.7700000000000001E-2</v>
      </c>
      <c r="L200">
        <v>6.2799999999999995E-2</v>
      </c>
      <c r="M200">
        <v>5.9799999999999999E-2</v>
      </c>
      <c r="N200">
        <v>6.0900000000000003E-2</v>
      </c>
    </row>
    <row r="201" spans="1:14" x14ac:dyDescent="0.25">
      <c r="B201">
        <v>24.5</v>
      </c>
      <c r="C201">
        <v>3.3353000000000002</v>
      </c>
      <c r="D201">
        <v>0.40050000000000002</v>
      </c>
      <c r="E201">
        <v>0.123</v>
      </c>
      <c r="F201">
        <v>6.8900000000000003E-2</v>
      </c>
      <c r="G201">
        <v>5.8400000000000001E-2</v>
      </c>
      <c r="H201">
        <v>5.7700000000000001E-2</v>
      </c>
      <c r="I201">
        <v>5.7599999999999998E-2</v>
      </c>
      <c r="J201">
        <v>5.7799999999999997E-2</v>
      </c>
      <c r="K201">
        <v>5.74E-2</v>
      </c>
      <c r="L201">
        <v>5.9799999999999999E-2</v>
      </c>
      <c r="M201">
        <v>6.3E-2</v>
      </c>
      <c r="N201">
        <v>6.1199999999999997E-2</v>
      </c>
    </row>
    <row r="202" spans="1:14" x14ac:dyDescent="0.25">
      <c r="C202">
        <v>3.3433000000000002</v>
      </c>
      <c r="D202">
        <v>0.37919999999999998</v>
      </c>
      <c r="E202">
        <v>0.17269999999999999</v>
      </c>
      <c r="F202">
        <v>6.8900000000000003E-2</v>
      </c>
      <c r="G202">
        <v>5.6899999999999999E-2</v>
      </c>
      <c r="H202">
        <v>5.6800000000000003E-2</v>
      </c>
      <c r="I202">
        <v>5.7000000000000002E-2</v>
      </c>
      <c r="J202">
        <v>5.8999999999999997E-2</v>
      </c>
      <c r="K202">
        <v>5.74E-2</v>
      </c>
      <c r="L202">
        <v>5.91E-2</v>
      </c>
      <c r="M202">
        <v>5.74E-2</v>
      </c>
      <c r="N202">
        <v>5.8999999999999997E-2</v>
      </c>
    </row>
    <row r="203" spans="1:14" x14ac:dyDescent="0.25">
      <c r="C203">
        <v>3.2799</v>
      </c>
      <c r="D203">
        <v>0.58779999999999999</v>
      </c>
      <c r="E203">
        <v>0.1217</v>
      </c>
      <c r="F203">
        <v>7.3800000000000004E-2</v>
      </c>
      <c r="G203">
        <v>5.8099999999999999E-2</v>
      </c>
      <c r="H203">
        <v>5.8900000000000001E-2</v>
      </c>
      <c r="I203">
        <v>5.7200000000000001E-2</v>
      </c>
      <c r="J203">
        <v>5.8900000000000001E-2</v>
      </c>
      <c r="K203">
        <v>5.8000000000000003E-2</v>
      </c>
      <c r="L203">
        <v>5.9400000000000001E-2</v>
      </c>
      <c r="M203">
        <v>5.8000000000000003E-2</v>
      </c>
      <c r="N203">
        <v>5.91E-2</v>
      </c>
    </row>
    <row r="204" spans="1:14" x14ac:dyDescent="0.25">
      <c r="C204">
        <v>3.1145</v>
      </c>
      <c r="D204">
        <v>0.51939999999999997</v>
      </c>
      <c r="E204">
        <v>0.15310000000000001</v>
      </c>
      <c r="F204">
        <v>7.5999999999999998E-2</v>
      </c>
      <c r="G204">
        <v>5.8000000000000003E-2</v>
      </c>
      <c r="H204">
        <v>5.8299999999999998E-2</v>
      </c>
      <c r="I204">
        <v>5.79E-2</v>
      </c>
      <c r="J204">
        <v>5.79E-2</v>
      </c>
      <c r="K204">
        <v>5.7799999999999997E-2</v>
      </c>
      <c r="L204">
        <v>5.8700000000000002E-2</v>
      </c>
      <c r="M204">
        <v>5.7299999999999997E-2</v>
      </c>
      <c r="N204">
        <v>5.8099999999999999E-2</v>
      </c>
    </row>
    <row r="205" spans="1:14" x14ac:dyDescent="0.25">
      <c r="C205">
        <v>3.2229999999999999</v>
      </c>
      <c r="D205">
        <v>0.6986</v>
      </c>
      <c r="E205">
        <v>0.15859999999999999</v>
      </c>
      <c r="F205">
        <v>0.1076</v>
      </c>
      <c r="G205">
        <v>6.2100000000000002E-2</v>
      </c>
      <c r="H205">
        <v>5.9799999999999999E-2</v>
      </c>
      <c r="I205">
        <v>6.2600000000000003E-2</v>
      </c>
      <c r="J205">
        <v>6.2700000000000006E-2</v>
      </c>
      <c r="K205">
        <v>6.0400000000000002E-2</v>
      </c>
      <c r="L205">
        <v>5.9299999999999999E-2</v>
      </c>
      <c r="M205">
        <v>5.9200000000000003E-2</v>
      </c>
      <c r="N205">
        <v>5.9200000000000003E-2</v>
      </c>
    </row>
    <row r="206" spans="1:14" x14ac:dyDescent="0.25">
      <c r="C206">
        <v>3.7585000000000002</v>
      </c>
      <c r="D206">
        <v>0.83989999999999998</v>
      </c>
      <c r="E206">
        <v>0.12790000000000001</v>
      </c>
      <c r="F206">
        <v>0.08</v>
      </c>
      <c r="G206">
        <v>6.5100000000000005E-2</v>
      </c>
      <c r="H206">
        <v>5.79E-2</v>
      </c>
      <c r="I206">
        <v>5.9799999999999999E-2</v>
      </c>
      <c r="J206">
        <v>5.9700000000000003E-2</v>
      </c>
      <c r="K206">
        <v>6.08E-2</v>
      </c>
      <c r="L206">
        <v>6.1400000000000003E-2</v>
      </c>
      <c r="M206">
        <v>6.13E-2</v>
      </c>
      <c r="N206">
        <v>5.7099999999999998E-2</v>
      </c>
    </row>
    <row r="207" spans="1:14" x14ac:dyDescent="0.25">
      <c r="C207">
        <v>4</v>
      </c>
      <c r="D207">
        <v>1.3975</v>
      </c>
      <c r="E207">
        <v>0.2606</v>
      </c>
      <c r="F207">
        <v>9.3100000000000002E-2</v>
      </c>
      <c r="G207">
        <v>5.8999999999999997E-2</v>
      </c>
      <c r="H207">
        <v>5.7200000000000001E-2</v>
      </c>
      <c r="I207">
        <v>6.08E-2</v>
      </c>
      <c r="J207">
        <v>6.0900000000000003E-2</v>
      </c>
      <c r="K207">
        <v>5.9400000000000001E-2</v>
      </c>
      <c r="L207">
        <v>6.0400000000000002E-2</v>
      </c>
      <c r="M207">
        <v>6.3200000000000006E-2</v>
      </c>
      <c r="N207">
        <v>5.8999999999999997E-2</v>
      </c>
    </row>
    <row r="210" spans="1:14" x14ac:dyDescent="0.25">
      <c r="A210" t="s">
        <v>146</v>
      </c>
      <c r="B210" t="s">
        <v>161</v>
      </c>
      <c r="C210">
        <v>1.3</v>
      </c>
      <c r="D210" t="s">
        <v>141</v>
      </c>
      <c r="E210" t="s">
        <v>142</v>
      </c>
      <c r="F210" t="s">
        <v>148</v>
      </c>
      <c r="G210" t="b">
        <v>0</v>
      </c>
      <c r="H210" t="s">
        <v>144</v>
      </c>
      <c r="I210" t="b">
        <v>0</v>
      </c>
      <c r="J210">
        <v>1</v>
      </c>
    </row>
    <row r="211" spans="1:14" x14ac:dyDescent="0.25">
      <c r="A211" t="s">
        <v>139</v>
      </c>
      <c r="B211" t="s">
        <v>155</v>
      </c>
      <c r="C211">
        <v>1</v>
      </c>
      <c r="D211">
        <v>2</v>
      </c>
      <c r="E211">
        <v>3</v>
      </c>
      <c r="F211">
        <v>4</v>
      </c>
      <c r="G211">
        <v>5</v>
      </c>
      <c r="H211">
        <v>6</v>
      </c>
      <c r="I211">
        <v>7</v>
      </c>
      <c r="J211">
        <v>8</v>
      </c>
      <c r="K211">
        <v>9</v>
      </c>
      <c r="L211">
        <v>10</v>
      </c>
      <c r="M211">
        <v>11</v>
      </c>
      <c r="N211">
        <v>12</v>
      </c>
    </row>
    <row r="212" spans="1:14" x14ac:dyDescent="0.25">
      <c r="B212" t="s">
        <v>145</v>
      </c>
      <c r="C212">
        <v>13.874000000000001</v>
      </c>
      <c r="D212">
        <v>7.5469999999999997</v>
      </c>
      <c r="E212" s="9">
        <v>3.5249999999999999</v>
      </c>
      <c r="F212" s="9">
        <v>3.0750000000000002</v>
      </c>
      <c r="G212" s="9">
        <v>3.5840000000000001</v>
      </c>
      <c r="H212" s="9">
        <v>3.7290000000000001</v>
      </c>
      <c r="I212" s="9">
        <v>2.9</v>
      </c>
      <c r="J212" s="9">
        <v>3.49</v>
      </c>
      <c r="K212" s="9">
        <v>3.3340000000000001</v>
      </c>
      <c r="L212" s="9">
        <v>2.9950000000000001</v>
      </c>
      <c r="M212" s="9">
        <v>3.089</v>
      </c>
      <c r="N212" s="9">
        <v>3.95</v>
      </c>
    </row>
    <row r="213" spans="1:14" x14ac:dyDescent="0.25">
      <c r="B213">
        <v>24.5</v>
      </c>
      <c r="C213">
        <v>14.529</v>
      </c>
      <c r="D213">
        <v>6.4020000000000001</v>
      </c>
      <c r="E213" s="9">
        <v>3.6739999999999999</v>
      </c>
      <c r="F213" s="9">
        <v>3.456</v>
      </c>
      <c r="G213" s="9">
        <v>3.3919999999999999</v>
      </c>
      <c r="H213" s="9">
        <v>3.4489999999999998</v>
      </c>
      <c r="I213" s="9">
        <v>3.0680000000000001</v>
      </c>
      <c r="J213" s="9">
        <v>3.3029999999999999</v>
      </c>
      <c r="K213" s="9">
        <v>2.88</v>
      </c>
      <c r="L213" s="9">
        <v>2.9870000000000001</v>
      </c>
      <c r="M213" s="9">
        <v>3.258</v>
      </c>
      <c r="N213" s="9">
        <v>3.403</v>
      </c>
    </row>
    <row r="214" spans="1:14" x14ac:dyDescent="0.25">
      <c r="C214">
        <v>14.135</v>
      </c>
      <c r="D214">
        <v>6.0430000000000001</v>
      </c>
      <c r="E214" s="9">
        <v>3.125</v>
      </c>
      <c r="F214" s="9">
        <v>3.3759999999999999</v>
      </c>
      <c r="G214" s="9">
        <v>2.8559999999999999</v>
      </c>
      <c r="H214" s="9">
        <v>3.1160000000000001</v>
      </c>
      <c r="I214" s="9">
        <v>3.0230000000000001</v>
      </c>
      <c r="J214" s="9">
        <v>3.1880000000000002</v>
      </c>
      <c r="K214" s="9">
        <v>3.3050000000000002</v>
      </c>
      <c r="L214" s="9">
        <v>2.7080000000000002</v>
      </c>
      <c r="M214" s="9">
        <v>2.8690000000000002</v>
      </c>
      <c r="N214" s="9">
        <v>3.3260000000000001</v>
      </c>
    </row>
    <row r="215" spans="1:14" x14ac:dyDescent="0.25">
      <c r="C215">
        <v>13.516</v>
      </c>
      <c r="D215">
        <v>6.9720000000000004</v>
      </c>
      <c r="E215" s="9">
        <v>3.3519999999999999</v>
      </c>
      <c r="F215" s="9">
        <v>2.84</v>
      </c>
      <c r="G215" s="9">
        <v>3.0110000000000001</v>
      </c>
      <c r="H215" s="9">
        <v>3.1240000000000001</v>
      </c>
      <c r="I215" s="9">
        <v>2.7320000000000002</v>
      </c>
      <c r="J215" s="9">
        <v>3.3860000000000001</v>
      </c>
      <c r="K215" s="9">
        <v>3.01</v>
      </c>
      <c r="L215" s="9">
        <v>3.3069999999999999</v>
      </c>
      <c r="M215" s="9">
        <v>3.1789999999999998</v>
      </c>
      <c r="N215" s="9">
        <v>3.5830000000000002</v>
      </c>
    </row>
    <row r="216" spans="1:14" x14ac:dyDescent="0.25">
      <c r="C216">
        <v>12.49</v>
      </c>
      <c r="D216">
        <v>6.601</v>
      </c>
      <c r="E216" s="9">
        <v>3.173</v>
      </c>
      <c r="F216" s="9">
        <v>3.593</v>
      </c>
      <c r="G216" s="9">
        <v>3.4889999999999999</v>
      </c>
      <c r="H216" s="9">
        <v>2.569</v>
      </c>
      <c r="I216" s="9">
        <v>3.5510000000000002</v>
      </c>
      <c r="J216" s="9">
        <v>2.6659999999999999</v>
      </c>
      <c r="K216" s="9">
        <v>3.2730000000000001</v>
      </c>
      <c r="L216" s="9">
        <v>3.0579999999999998</v>
      </c>
      <c r="M216" s="9">
        <v>2.8639999999999999</v>
      </c>
      <c r="N216" s="9">
        <v>3.544</v>
      </c>
    </row>
    <row r="217" spans="1:14" x14ac:dyDescent="0.25">
      <c r="C217">
        <v>13.836</v>
      </c>
      <c r="D217">
        <v>7.6849999999999996</v>
      </c>
      <c r="E217" s="9">
        <v>3.8340000000000001</v>
      </c>
      <c r="F217" s="9">
        <v>3.0030000000000001</v>
      </c>
      <c r="G217" s="9">
        <v>3.11</v>
      </c>
      <c r="H217" s="9">
        <v>2.782</v>
      </c>
      <c r="I217" s="9">
        <v>2.6230000000000002</v>
      </c>
      <c r="J217" s="9">
        <v>3.06</v>
      </c>
      <c r="K217" s="9">
        <v>2.7679999999999998</v>
      </c>
      <c r="L217" s="9">
        <v>3.2989999999999999</v>
      </c>
      <c r="M217" s="9">
        <v>2.6579999999999999</v>
      </c>
      <c r="N217" s="9">
        <v>3.7029999999999998</v>
      </c>
    </row>
    <row r="218" spans="1:14" x14ac:dyDescent="0.25">
      <c r="C218">
        <v>15.606999999999999</v>
      </c>
      <c r="D218">
        <v>9.0579999999999998</v>
      </c>
      <c r="E218" s="9">
        <v>3.9449999999999998</v>
      </c>
      <c r="F218" s="9">
        <v>3.2909999999999999</v>
      </c>
      <c r="G218" s="9">
        <v>3.0640000000000001</v>
      </c>
      <c r="H218" s="9">
        <v>3.6080000000000001</v>
      </c>
      <c r="I218" s="9">
        <v>2.883</v>
      </c>
      <c r="J218" s="9">
        <v>3.2639999999999998</v>
      </c>
      <c r="K218" s="9">
        <v>3.1349999999999998</v>
      </c>
      <c r="L218" s="9">
        <v>3.2040000000000002</v>
      </c>
      <c r="M218" s="9">
        <v>3.0760000000000001</v>
      </c>
      <c r="N218" s="9">
        <v>3.5659999999999998</v>
      </c>
    </row>
    <row r="219" spans="1:14" x14ac:dyDescent="0.25">
      <c r="C219">
        <v>15.29</v>
      </c>
      <c r="D219">
        <v>11.045</v>
      </c>
      <c r="E219" s="9">
        <v>4.0780000000000003</v>
      </c>
      <c r="F219" s="9">
        <v>3.3919999999999999</v>
      </c>
      <c r="G219" s="9">
        <v>3.4430000000000001</v>
      </c>
      <c r="H219" s="9">
        <v>3.0369999999999999</v>
      </c>
      <c r="I219" s="9">
        <v>3.2360000000000002</v>
      </c>
      <c r="J219" s="9">
        <v>3.0329999999999999</v>
      </c>
      <c r="K219" s="9">
        <v>3.3769999999999998</v>
      </c>
      <c r="L219" s="9">
        <v>2.9279999999999999</v>
      </c>
      <c r="M219" s="9">
        <v>3.2810000000000001</v>
      </c>
      <c r="N219" s="9">
        <v>3.8879999999999999</v>
      </c>
    </row>
    <row r="222" spans="1:14" x14ac:dyDescent="0.25">
      <c r="A222" t="s">
        <v>146</v>
      </c>
      <c r="B222" t="s">
        <v>162</v>
      </c>
      <c r="C222">
        <v>1.3</v>
      </c>
      <c r="D222" t="s">
        <v>141</v>
      </c>
      <c r="E222" t="s">
        <v>142</v>
      </c>
      <c r="F222" t="s">
        <v>143</v>
      </c>
      <c r="G222" t="s">
        <v>144</v>
      </c>
      <c r="H222" t="b">
        <v>0</v>
      </c>
      <c r="I222">
        <v>1</v>
      </c>
    </row>
    <row r="223" spans="1:14" x14ac:dyDescent="0.25">
      <c r="A223" t="s">
        <v>139</v>
      </c>
      <c r="B223" t="s">
        <v>140</v>
      </c>
      <c r="C223">
        <v>1</v>
      </c>
      <c r="D223">
        <v>2</v>
      </c>
      <c r="E223">
        <v>3</v>
      </c>
      <c r="F223">
        <v>4</v>
      </c>
      <c r="G223">
        <v>5</v>
      </c>
      <c r="H223">
        <v>6</v>
      </c>
      <c r="I223">
        <v>7</v>
      </c>
      <c r="J223">
        <v>8</v>
      </c>
      <c r="K223">
        <v>9</v>
      </c>
      <c r="L223">
        <v>10</v>
      </c>
      <c r="M223">
        <v>11</v>
      </c>
      <c r="N223">
        <v>12</v>
      </c>
    </row>
    <row r="224" spans="1:14" x14ac:dyDescent="0.25">
      <c r="B224" t="s">
        <v>145</v>
      </c>
      <c r="C224">
        <v>3.589</v>
      </c>
      <c r="D224">
        <v>0.92900000000000005</v>
      </c>
      <c r="E224">
        <v>0.34079999999999999</v>
      </c>
      <c r="F224">
        <v>8.6900000000000005E-2</v>
      </c>
      <c r="G224">
        <v>6.0600000000000001E-2</v>
      </c>
      <c r="H224">
        <v>5.8000000000000003E-2</v>
      </c>
      <c r="I224">
        <v>5.62E-2</v>
      </c>
      <c r="J224">
        <v>5.91E-2</v>
      </c>
      <c r="K224">
        <v>5.6800000000000003E-2</v>
      </c>
      <c r="L224">
        <v>5.9400000000000001E-2</v>
      </c>
      <c r="M224">
        <v>6.1100000000000002E-2</v>
      </c>
      <c r="N224">
        <v>5.9499999999999997E-2</v>
      </c>
    </row>
    <row r="225" spans="1:14" x14ac:dyDescent="0.25">
      <c r="B225">
        <v>24.6</v>
      </c>
      <c r="C225">
        <v>4</v>
      </c>
      <c r="D225">
        <v>0.89300000000000002</v>
      </c>
      <c r="E225">
        <v>0.15390000000000001</v>
      </c>
      <c r="F225">
        <v>0.1017</v>
      </c>
      <c r="G225">
        <v>5.9700000000000003E-2</v>
      </c>
      <c r="H225">
        <v>5.7099999999999998E-2</v>
      </c>
      <c r="I225">
        <v>5.62E-2</v>
      </c>
      <c r="J225">
        <v>5.7700000000000001E-2</v>
      </c>
      <c r="K225">
        <v>5.7500000000000002E-2</v>
      </c>
      <c r="L225">
        <v>5.8999999999999997E-2</v>
      </c>
      <c r="M225">
        <v>6.1499999999999999E-2</v>
      </c>
      <c r="N225">
        <v>6.1899999999999997E-2</v>
      </c>
    </row>
    <row r="226" spans="1:14" x14ac:dyDescent="0.25">
      <c r="C226">
        <v>3.0817999999999999</v>
      </c>
      <c r="D226">
        <v>0.70179999999999998</v>
      </c>
      <c r="E226">
        <v>0.1123</v>
      </c>
      <c r="F226">
        <v>8.6900000000000005E-2</v>
      </c>
      <c r="G226">
        <v>5.7200000000000001E-2</v>
      </c>
      <c r="H226">
        <v>5.6300000000000003E-2</v>
      </c>
      <c r="I226">
        <v>5.5800000000000002E-2</v>
      </c>
      <c r="J226">
        <v>5.8400000000000001E-2</v>
      </c>
      <c r="K226">
        <v>5.7099999999999998E-2</v>
      </c>
      <c r="L226">
        <v>5.8599999999999999E-2</v>
      </c>
      <c r="M226">
        <v>5.74E-2</v>
      </c>
      <c r="N226">
        <v>5.8099999999999999E-2</v>
      </c>
    </row>
    <row r="227" spans="1:14" x14ac:dyDescent="0.25">
      <c r="C227">
        <v>3.1436999999999999</v>
      </c>
      <c r="D227">
        <v>0.93379999999999996</v>
      </c>
      <c r="E227">
        <v>0.2109</v>
      </c>
      <c r="F227">
        <v>8.8499999999999995E-2</v>
      </c>
      <c r="G227">
        <v>5.7299999999999997E-2</v>
      </c>
      <c r="H227">
        <v>5.7799999999999997E-2</v>
      </c>
      <c r="I227">
        <v>6.5500000000000003E-2</v>
      </c>
      <c r="J227">
        <v>5.8900000000000001E-2</v>
      </c>
      <c r="K227">
        <v>5.6599999999999998E-2</v>
      </c>
      <c r="L227">
        <v>5.8200000000000002E-2</v>
      </c>
      <c r="M227">
        <v>5.8200000000000002E-2</v>
      </c>
      <c r="N227">
        <v>5.8099999999999999E-2</v>
      </c>
    </row>
    <row r="228" spans="1:14" x14ac:dyDescent="0.25">
      <c r="C228">
        <v>3.7646000000000002</v>
      </c>
      <c r="D228">
        <v>1.2097</v>
      </c>
      <c r="E228">
        <v>0.41589999999999999</v>
      </c>
      <c r="F228">
        <v>9.0700000000000003E-2</v>
      </c>
      <c r="G228">
        <v>6.0400000000000002E-2</v>
      </c>
      <c r="H228">
        <v>5.8200000000000002E-2</v>
      </c>
      <c r="I228">
        <v>5.6399999999999999E-2</v>
      </c>
      <c r="J228">
        <v>5.8999999999999997E-2</v>
      </c>
      <c r="K228">
        <v>5.8299999999999998E-2</v>
      </c>
      <c r="L228">
        <v>5.79E-2</v>
      </c>
      <c r="M228">
        <v>5.8099999999999999E-2</v>
      </c>
      <c r="N228">
        <v>5.7700000000000001E-2</v>
      </c>
    </row>
    <row r="229" spans="1:14" x14ac:dyDescent="0.25">
      <c r="C229">
        <v>3.6526000000000001</v>
      </c>
      <c r="D229">
        <v>1.8314999999999999</v>
      </c>
      <c r="E229">
        <v>0.22950000000000001</v>
      </c>
      <c r="F229">
        <v>9.1200000000000003E-2</v>
      </c>
      <c r="G229">
        <v>6.0699999999999997E-2</v>
      </c>
      <c r="H229">
        <v>5.8900000000000001E-2</v>
      </c>
      <c r="I229">
        <v>5.9900000000000002E-2</v>
      </c>
      <c r="J229">
        <v>6.2600000000000003E-2</v>
      </c>
      <c r="K229">
        <v>5.8200000000000002E-2</v>
      </c>
      <c r="L229">
        <v>5.8200000000000002E-2</v>
      </c>
      <c r="M229">
        <v>5.96E-2</v>
      </c>
      <c r="N229">
        <v>5.9299999999999999E-2</v>
      </c>
    </row>
    <row r="230" spans="1:14" x14ac:dyDescent="0.25">
      <c r="C230">
        <v>4</v>
      </c>
      <c r="D230">
        <v>1.8833</v>
      </c>
      <c r="E230">
        <v>0.4304</v>
      </c>
      <c r="F230">
        <v>9.7699999999999995E-2</v>
      </c>
      <c r="G230">
        <v>6.2E-2</v>
      </c>
      <c r="H230">
        <v>5.8799999999999998E-2</v>
      </c>
      <c r="I230">
        <v>5.8000000000000003E-2</v>
      </c>
      <c r="J230">
        <v>6.0299999999999999E-2</v>
      </c>
      <c r="K230">
        <v>6.0299999999999999E-2</v>
      </c>
      <c r="L230">
        <v>5.91E-2</v>
      </c>
      <c r="M230">
        <v>6.08E-2</v>
      </c>
      <c r="N230">
        <v>5.7599999999999998E-2</v>
      </c>
    </row>
    <row r="231" spans="1:14" x14ac:dyDescent="0.25">
      <c r="C231">
        <v>4</v>
      </c>
      <c r="D231">
        <v>2.3925999999999998</v>
      </c>
      <c r="E231">
        <v>0.75570000000000004</v>
      </c>
      <c r="F231">
        <v>0.13370000000000001</v>
      </c>
      <c r="G231">
        <v>6.5500000000000003E-2</v>
      </c>
      <c r="H231">
        <v>5.8099999999999999E-2</v>
      </c>
      <c r="I231">
        <v>5.9299999999999999E-2</v>
      </c>
      <c r="J231">
        <v>6.3899999999999998E-2</v>
      </c>
      <c r="K231">
        <v>5.9400000000000001E-2</v>
      </c>
      <c r="L231">
        <v>6.1600000000000002E-2</v>
      </c>
      <c r="M231">
        <v>6.1800000000000001E-2</v>
      </c>
      <c r="N231">
        <v>5.9400000000000001E-2</v>
      </c>
    </row>
    <row r="234" spans="1:14" x14ac:dyDescent="0.25">
      <c r="A234" t="s">
        <v>146</v>
      </c>
      <c r="B234" t="s">
        <v>162</v>
      </c>
      <c r="C234">
        <v>1.3</v>
      </c>
      <c r="D234" t="s">
        <v>141</v>
      </c>
      <c r="E234" t="s">
        <v>142</v>
      </c>
      <c r="F234" t="s">
        <v>148</v>
      </c>
      <c r="G234" t="b">
        <v>0</v>
      </c>
      <c r="H234" t="s">
        <v>144</v>
      </c>
      <c r="I234" t="b">
        <v>0</v>
      </c>
      <c r="J234">
        <v>1</v>
      </c>
    </row>
    <row r="235" spans="1:14" x14ac:dyDescent="0.25">
      <c r="A235" t="s">
        <v>139</v>
      </c>
      <c r="B235" t="s">
        <v>147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6</v>
      </c>
      <c r="I235">
        <v>7</v>
      </c>
      <c r="J235">
        <v>8</v>
      </c>
      <c r="K235">
        <v>9</v>
      </c>
      <c r="L235">
        <v>10</v>
      </c>
      <c r="M235">
        <v>11</v>
      </c>
      <c r="N235">
        <v>12</v>
      </c>
    </row>
    <row r="236" spans="1:14" x14ac:dyDescent="0.25">
      <c r="B236" t="s">
        <v>145</v>
      </c>
      <c r="C236">
        <v>16.446999999999999</v>
      </c>
      <c r="D236">
        <v>10.763</v>
      </c>
      <c r="E236" s="9">
        <v>4.3899999999999997</v>
      </c>
      <c r="F236" s="9">
        <v>3.6970000000000001</v>
      </c>
      <c r="G236" s="9">
        <v>3.754</v>
      </c>
      <c r="H236" s="9">
        <v>3.6339999999999999</v>
      </c>
      <c r="I236" s="9">
        <v>4.2789999999999999</v>
      </c>
      <c r="J236" s="9">
        <v>3.7010000000000001</v>
      </c>
      <c r="K236" s="9">
        <v>3.56</v>
      </c>
      <c r="L236" s="9">
        <v>3.55</v>
      </c>
      <c r="M236" s="9">
        <v>3.3969999999999998</v>
      </c>
      <c r="N236" s="9">
        <v>4.21</v>
      </c>
    </row>
    <row r="237" spans="1:14" x14ac:dyDescent="0.25">
      <c r="B237">
        <v>24.6</v>
      </c>
      <c r="C237">
        <v>15.923</v>
      </c>
      <c r="D237">
        <v>12.663</v>
      </c>
      <c r="E237" s="9">
        <v>4.4020000000000001</v>
      </c>
      <c r="F237" s="9">
        <v>3.8149999999999999</v>
      </c>
      <c r="G237" s="9">
        <v>3.6880000000000002</v>
      </c>
      <c r="H237" s="9">
        <v>3.383</v>
      </c>
      <c r="I237" s="9">
        <v>3.5859999999999999</v>
      </c>
      <c r="J237" s="9">
        <v>3.54</v>
      </c>
      <c r="K237" s="9">
        <v>3.5529999999999999</v>
      </c>
      <c r="L237" s="9">
        <v>3.6070000000000002</v>
      </c>
      <c r="M237" s="9">
        <v>3.1709999999999998</v>
      </c>
      <c r="N237" s="9">
        <v>4.3099999999999996</v>
      </c>
    </row>
    <row r="238" spans="1:14" x14ac:dyDescent="0.25">
      <c r="C238">
        <v>14.994</v>
      </c>
      <c r="D238">
        <v>10.835000000000001</v>
      </c>
      <c r="E238" s="9">
        <v>4.1310000000000002</v>
      </c>
      <c r="F238" s="9">
        <v>3.5270000000000001</v>
      </c>
      <c r="G238" s="9">
        <v>3.9140000000000001</v>
      </c>
      <c r="H238" s="9">
        <v>3.6549999999999998</v>
      </c>
      <c r="I238" s="9">
        <v>3.5659999999999998</v>
      </c>
      <c r="J238" s="9">
        <v>3.9830000000000001</v>
      </c>
      <c r="K238" s="9">
        <v>3.6560000000000001</v>
      </c>
      <c r="L238" s="9">
        <v>3.2650000000000001</v>
      </c>
      <c r="M238" s="9">
        <v>3.0059999999999998</v>
      </c>
      <c r="N238" s="9">
        <v>4.7</v>
      </c>
    </row>
    <row r="239" spans="1:14" x14ac:dyDescent="0.25">
      <c r="C239">
        <v>16.32</v>
      </c>
      <c r="D239">
        <v>11.906000000000001</v>
      </c>
      <c r="E239" s="9">
        <v>4.03</v>
      </c>
      <c r="F239" s="9">
        <v>3.718</v>
      </c>
      <c r="G239" s="9">
        <v>3.883</v>
      </c>
      <c r="H239" s="9">
        <v>3.9420000000000002</v>
      </c>
      <c r="I239" s="9">
        <v>4.0259999999999998</v>
      </c>
      <c r="J239" s="9">
        <v>3.6339999999999999</v>
      </c>
      <c r="K239" s="9">
        <v>3.8639999999999999</v>
      </c>
      <c r="L239" s="9">
        <v>3.2909999999999999</v>
      </c>
      <c r="M239" s="9">
        <v>3.359</v>
      </c>
      <c r="N239" s="9">
        <v>4.4020000000000001</v>
      </c>
    </row>
    <row r="240" spans="1:14" x14ac:dyDescent="0.25">
      <c r="C240">
        <v>16.143000000000001</v>
      </c>
      <c r="D240">
        <v>11.887</v>
      </c>
      <c r="E240" s="9">
        <v>4.5069999999999997</v>
      </c>
      <c r="F240" s="9">
        <v>3.4289999999999998</v>
      </c>
      <c r="G240" s="9">
        <v>3.7690000000000001</v>
      </c>
      <c r="H240" s="9">
        <v>3.867</v>
      </c>
      <c r="I240" s="9">
        <v>4.0220000000000002</v>
      </c>
      <c r="J240" s="9">
        <v>3.1930000000000001</v>
      </c>
      <c r="K240" s="9">
        <v>3.238</v>
      </c>
      <c r="L240" s="9">
        <v>3.4910000000000001</v>
      </c>
      <c r="M240" s="9">
        <v>3.278</v>
      </c>
      <c r="N240" s="9">
        <v>4.3419999999999996</v>
      </c>
    </row>
    <row r="241" spans="1:14" x14ac:dyDescent="0.25">
      <c r="C241">
        <v>16.686</v>
      </c>
      <c r="D241">
        <v>12.036</v>
      </c>
      <c r="E241" s="9">
        <v>3.8260000000000001</v>
      </c>
      <c r="F241" s="9">
        <v>3.6909999999999998</v>
      </c>
      <c r="G241" s="9">
        <v>3.2829999999999999</v>
      </c>
      <c r="H241" s="9">
        <v>3.3759999999999999</v>
      </c>
      <c r="I241" s="9">
        <v>3.5329999999999999</v>
      </c>
      <c r="J241" s="9">
        <v>3.5529999999999999</v>
      </c>
      <c r="K241" s="9">
        <v>3.3170000000000002</v>
      </c>
      <c r="L241" s="9">
        <v>3.7029999999999998</v>
      </c>
      <c r="M241" s="9">
        <v>3.6040000000000001</v>
      </c>
      <c r="N241" s="9">
        <v>4.5129999999999999</v>
      </c>
    </row>
    <row r="242" spans="1:14" x14ac:dyDescent="0.25">
      <c r="C242">
        <v>16.596</v>
      </c>
      <c r="D242">
        <v>13.96</v>
      </c>
      <c r="E242" s="9">
        <v>4.4550000000000001</v>
      </c>
      <c r="F242" s="9">
        <v>3.79</v>
      </c>
      <c r="G242" s="9">
        <v>3.88</v>
      </c>
      <c r="H242" s="9">
        <v>3.79</v>
      </c>
      <c r="I242" s="9">
        <v>3.4060000000000001</v>
      </c>
      <c r="J242" s="9">
        <v>3.58</v>
      </c>
      <c r="K242" s="9">
        <v>3.6480000000000001</v>
      </c>
      <c r="L242" s="9">
        <v>3.7189999999999999</v>
      </c>
      <c r="M242" s="9">
        <v>3.0859999999999999</v>
      </c>
      <c r="N242" s="9">
        <v>4.0129999999999999</v>
      </c>
    </row>
    <row r="243" spans="1:14" x14ac:dyDescent="0.25">
      <c r="C243">
        <v>17.385000000000002</v>
      </c>
      <c r="D243">
        <v>14.061</v>
      </c>
      <c r="E243" s="9">
        <v>4.1580000000000004</v>
      </c>
      <c r="F243" s="9">
        <v>3.6619999999999999</v>
      </c>
      <c r="G243" s="9">
        <v>3.5379999999999998</v>
      </c>
      <c r="H243" s="9">
        <v>4.008</v>
      </c>
      <c r="I243" s="9">
        <v>3.093</v>
      </c>
      <c r="J243" s="9">
        <v>3.4289999999999998</v>
      </c>
      <c r="K243" s="9">
        <v>3.4449999999999998</v>
      </c>
      <c r="L243" s="9">
        <v>3.8639999999999999</v>
      </c>
      <c r="M243" s="9">
        <v>3.2810000000000001</v>
      </c>
      <c r="N243" s="9">
        <v>4.3680000000000003</v>
      </c>
    </row>
    <row r="246" spans="1:14" x14ac:dyDescent="0.25">
      <c r="A246" t="s">
        <v>146</v>
      </c>
      <c r="B246" t="s">
        <v>163</v>
      </c>
      <c r="C246">
        <v>1.3</v>
      </c>
      <c r="D246" t="s">
        <v>141</v>
      </c>
      <c r="E246" t="s">
        <v>142</v>
      </c>
      <c r="F246" t="s">
        <v>143</v>
      </c>
      <c r="G246" t="s">
        <v>144</v>
      </c>
      <c r="H246" t="b">
        <v>0</v>
      </c>
      <c r="I246">
        <v>1</v>
      </c>
    </row>
    <row r="247" spans="1:14" x14ac:dyDescent="0.25">
      <c r="A247" t="s">
        <v>139</v>
      </c>
      <c r="B247" t="s">
        <v>151</v>
      </c>
      <c r="C247">
        <v>1</v>
      </c>
      <c r="D247">
        <v>2</v>
      </c>
      <c r="E247">
        <v>3</v>
      </c>
      <c r="F247">
        <v>4</v>
      </c>
      <c r="G247">
        <v>5</v>
      </c>
      <c r="H247">
        <v>6</v>
      </c>
      <c r="I247">
        <v>7</v>
      </c>
      <c r="J247">
        <v>8</v>
      </c>
      <c r="K247">
        <v>9</v>
      </c>
      <c r="L247">
        <v>10</v>
      </c>
      <c r="M247">
        <v>11</v>
      </c>
      <c r="N247">
        <v>12</v>
      </c>
    </row>
    <row r="248" spans="1:14" x14ac:dyDescent="0.25">
      <c r="B248" t="s">
        <v>145</v>
      </c>
      <c r="C248">
        <v>3.6642000000000001</v>
      </c>
      <c r="D248">
        <v>1.6091</v>
      </c>
      <c r="E248">
        <v>0.20749999999999999</v>
      </c>
      <c r="F248">
        <v>8.0100000000000005E-2</v>
      </c>
      <c r="G248">
        <v>6.4699999999999994E-2</v>
      </c>
      <c r="H248">
        <v>6.2199999999999998E-2</v>
      </c>
      <c r="I248">
        <v>6.2799999999999995E-2</v>
      </c>
      <c r="J248">
        <v>7.0499999999999993E-2</v>
      </c>
      <c r="K248">
        <v>6.5799999999999997E-2</v>
      </c>
      <c r="L248">
        <v>6.6600000000000006E-2</v>
      </c>
      <c r="M248">
        <v>7.5499999999999998E-2</v>
      </c>
      <c r="N248">
        <v>7.0499999999999993E-2</v>
      </c>
    </row>
    <row r="249" spans="1:14" x14ac:dyDescent="0.25">
      <c r="B249">
        <v>24.6</v>
      </c>
      <c r="C249">
        <v>2.7955999999999999</v>
      </c>
      <c r="D249">
        <v>1.7051000000000001</v>
      </c>
      <c r="E249">
        <v>0.224</v>
      </c>
      <c r="F249">
        <v>8.0399999999999999E-2</v>
      </c>
      <c r="G249">
        <v>6.4299999999999996E-2</v>
      </c>
      <c r="H249">
        <v>5.9900000000000002E-2</v>
      </c>
      <c r="I249">
        <v>6.3799999999999996E-2</v>
      </c>
      <c r="J249">
        <v>6.8099999999999994E-2</v>
      </c>
      <c r="K249">
        <v>6.5600000000000006E-2</v>
      </c>
      <c r="L249">
        <v>7.2499999999999995E-2</v>
      </c>
      <c r="M249">
        <v>7.2300000000000003E-2</v>
      </c>
      <c r="N249">
        <v>7.2099999999999997E-2</v>
      </c>
    </row>
    <row r="250" spans="1:14" x14ac:dyDescent="0.25">
      <c r="C250">
        <v>3.8641999999999999</v>
      </c>
      <c r="D250">
        <v>0.92430000000000001</v>
      </c>
      <c r="E250">
        <v>0.35949999999999999</v>
      </c>
      <c r="F250">
        <v>9.1800000000000007E-2</v>
      </c>
      <c r="G250">
        <v>6.4799999999999996E-2</v>
      </c>
      <c r="H250">
        <v>6.0999999999999999E-2</v>
      </c>
      <c r="I250">
        <v>5.8500000000000003E-2</v>
      </c>
      <c r="J250">
        <v>6.2700000000000006E-2</v>
      </c>
      <c r="K250">
        <v>6.0999999999999999E-2</v>
      </c>
      <c r="L250">
        <v>7.0300000000000001E-2</v>
      </c>
      <c r="M250">
        <v>6.7199999999999996E-2</v>
      </c>
      <c r="N250">
        <v>7.17E-2</v>
      </c>
    </row>
    <row r="251" spans="1:14" x14ac:dyDescent="0.25">
      <c r="C251">
        <v>3.8287</v>
      </c>
      <c r="D251">
        <v>1.7109000000000001</v>
      </c>
      <c r="E251">
        <v>0.222</v>
      </c>
      <c r="F251">
        <v>8.1699999999999995E-2</v>
      </c>
      <c r="G251">
        <v>6.7699999999999996E-2</v>
      </c>
      <c r="H251">
        <v>6.2199999999999998E-2</v>
      </c>
      <c r="I251">
        <v>5.9700000000000003E-2</v>
      </c>
      <c r="J251">
        <v>6.3500000000000001E-2</v>
      </c>
      <c r="K251">
        <v>5.9700000000000003E-2</v>
      </c>
      <c r="L251">
        <v>6.5299999999999997E-2</v>
      </c>
      <c r="M251">
        <v>6.7299999999999999E-2</v>
      </c>
      <c r="N251">
        <v>7.2900000000000006E-2</v>
      </c>
    </row>
    <row r="252" spans="1:14" x14ac:dyDescent="0.25">
      <c r="C252">
        <v>3.3170000000000002</v>
      </c>
      <c r="D252">
        <v>1.0062</v>
      </c>
      <c r="E252">
        <v>0.15129999999999999</v>
      </c>
      <c r="F252">
        <v>8.7099999999999997E-2</v>
      </c>
      <c r="G252">
        <v>6.7900000000000002E-2</v>
      </c>
      <c r="H252">
        <v>6.4699999999999994E-2</v>
      </c>
      <c r="I252">
        <v>6.3700000000000007E-2</v>
      </c>
      <c r="J252">
        <v>6.4600000000000005E-2</v>
      </c>
      <c r="K252">
        <v>6.25E-2</v>
      </c>
      <c r="L252">
        <v>6.54E-2</v>
      </c>
      <c r="M252">
        <v>6.6500000000000004E-2</v>
      </c>
      <c r="N252">
        <v>6.7599999999999993E-2</v>
      </c>
    </row>
    <row r="253" spans="1:14" x14ac:dyDescent="0.25">
      <c r="C253">
        <v>4</v>
      </c>
      <c r="D253">
        <v>1.9901</v>
      </c>
      <c r="E253">
        <v>0.24579999999999999</v>
      </c>
      <c r="F253">
        <v>0.10299999999999999</v>
      </c>
      <c r="G253">
        <v>6.5100000000000005E-2</v>
      </c>
      <c r="H253">
        <v>6.7100000000000007E-2</v>
      </c>
      <c r="I253">
        <v>6.8199999999999997E-2</v>
      </c>
      <c r="J253">
        <v>6.8000000000000005E-2</v>
      </c>
      <c r="K253">
        <v>6.4500000000000002E-2</v>
      </c>
      <c r="L253">
        <v>7.0099999999999996E-2</v>
      </c>
      <c r="M253">
        <v>7.0900000000000005E-2</v>
      </c>
      <c r="N253">
        <v>7.4899999999999994E-2</v>
      </c>
    </row>
    <row r="254" spans="1:14" x14ac:dyDescent="0.25">
      <c r="C254">
        <v>3.8671000000000002</v>
      </c>
      <c r="D254">
        <v>1.3003</v>
      </c>
      <c r="E254">
        <v>0.33629999999999999</v>
      </c>
      <c r="F254">
        <v>9.7199999999999995E-2</v>
      </c>
      <c r="G254">
        <v>7.0300000000000001E-2</v>
      </c>
      <c r="H254">
        <v>6.0699999999999997E-2</v>
      </c>
      <c r="I254">
        <v>6.8900000000000003E-2</v>
      </c>
      <c r="J254">
        <v>6.7100000000000007E-2</v>
      </c>
      <c r="K254">
        <v>6.6199999999999995E-2</v>
      </c>
      <c r="L254">
        <v>6.7299999999999999E-2</v>
      </c>
      <c r="M254">
        <v>7.2400000000000006E-2</v>
      </c>
      <c r="N254">
        <v>7.4700000000000003E-2</v>
      </c>
    </row>
    <row r="255" spans="1:14" x14ac:dyDescent="0.25">
      <c r="C255">
        <v>4</v>
      </c>
      <c r="D255">
        <v>1.3429</v>
      </c>
      <c r="E255">
        <v>0.17</v>
      </c>
      <c r="F255">
        <v>8.6499999999999994E-2</v>
      </c>
      <c r="G255">
        <v>6.8400000000000002E-2</v>
      </c>
      <c r="H255">
        <v>6.0699999999999997E-2</v>
      </c>
      <c r="I255">
        <v>6.7000000000000004E-2</v>
      </c>
      <c r="J255">
        <v>6.9699999999999998E-2</v>
      </c>
      <c r="K255">
        <v>6.8099999999999994E-2</v>
      </c>
      <c r="L255">
        <v>6.9000000000000006E-2</v>
      </c>
      <c r="M255">
        <v>7.1999999999999995E-2</v>
      </c>
      <c r="N255">
        <v>7.3300000000000004E-2</v>
      </c>
    </row>
    <row r="258" spans="1:14" x14ac:dyDescent="0.25">
      <c r="A258" t="s">
        <v>146</v>
      </c>
      <c r="B258" t="s">
        <v>163</v>
      </c>
      <c r="C258">
        <v>1.3</v>
      </c>
      <c r="D258" t="s">
        <v>141</v>
      </c>
      <c r="E258" t="s">
        <v>142</v>
      </c>
      <c r="F258" t="s">
        <v>148</v>
      </c>
      <c r="G258" t="b">
        <v>0</v>
      </c>
      <c r="H258" t="s">
        <v>144</v>
      </c>
      <c r="I258" t="b">
        <v>0</v>
      </c>
      <c r="J258">
        <v>1</v>
      </c>
    </row>
    <row r="259" spans="1:14" x14ac:dyDescent="0.25">
      <c r="A259" t="s">
        <v>139</v>
      </c>
      <c r="B259" t="s">
        <v>152</v>
      </c>
      <c r="C259">
        <v>1</v>
      </c>
      <c r="D259">
        <v>2</v>
      </c>
      <c r="E259">
        <v>3</v>
      </c>
      <c r="F259">
        <v>4</v>
      </c>
      <c r="G259">
        <v>5</v>
      </c>
      <c r="H259">
        <v>6</v>
      </c>
      <c r="I259">
        <v>7</v>
      </c>
      <c r="J259">
        <v>8</v>
      </c>
      <c r="K259">
        <v>9</v>
      </c>
      <c r="L259">
        <v>10</v>
      </c>
      <c r="M259">
        <v>11</v>
      </c>
      <c r="N259">
        <v>12</v>
      </c>
    </row>
    <row r="260" spans="1:14" x14ac:dyDescent="0.25">
      <c r="B260" t="s">
        <v>145</v>
      </c>
      <c r="C260">
        <v>13.866</v>
      </c>
      <c r="D260">
        <v>8.7669999999999995</v>
      </c>
      <c r="E260" s="9">
        <v>3.6909999999999998</v>
      </c>
      <c r="F260" s="9">
        <v>3.5289999999999999</v>
      </c>
      <c r="G260" s="9">
        <v>3.234</v>
      </c>
      <c r="H260" s="9">
        <v>2.8170000000000002</v>
      </c>
      <c r="I260" s="9">
        <v>3.1949999999999998</v>
      </c>
      <c r="J260" s="9">
        <v>2.8820000000000001</v>
      </c>
      <c r="K260" s="9">
        <v>3.0409999999999999</v>
      </c>
      <c r="L260" s="9">
        <v>3.2650000000000001</v>
      </c>
      <c r="M260" s="9">
        <v>3.2069999999999999</v>
      </c>
      <c r="N260" s="9">
        <v>3.85</v>
      </c>
    </row>
    <row r="261" spans="1:14" x14ac:dyDescent="0.25">
      <c r="B261">
        <v>24.6</v>
      </c>
      <c r="C261">
        <v>14.965999999999999</v>
      </c>
      <c r="D261">
        <v>9.6280000000000001</v>
      </c>
      <c r="E261" s="9">
        <v>4.6100000000000003</v>
      </c>
      <c r="F261" s="9">
        <v>3.2770000000000001</v>
      </c>
      <c r="G261" s="9">
        <v>3.073</v>
      </c>
      <c r="H261" s="9">
        <v>2.944</v>
      </c>
      <c r="I261" s="9">
        <v>2.952</v>
      </c>
      <c r="J261" s="9">
        <v>3.5190000000000001</v>
      </c>
      <c r="K261" s="9">
        <v>2.9529999999999998</v>
      </c>
      <c r="L261" s="9">
        <v>3.4409999999999998</v>
      </c>
      <c r="M261" s="9">
        <v>3.13</v>
      </c>
      <c r="N261" s="9">
        <v>3.722</v>
      </c>
    </row>
    <row r="262" spans="1:14" x14ac:dyDescent="0.25">
      <c r="C262">
        <v>14.759</v>
      </c>
      <c r="D262">
        <v>7.6950000000000003</v>
      </c>
      <c r="E262" s="9">
        <v>3.1419999999999999</v>
      </c>
      <c r="F262" s="9">
        <v>3.7120000000000002</v>
      </c>
      <c r="G262" s="9">
        <v>3.2669999999999999</v>
      </c>
      <c r="H262" s="9">
        <v>2.9889999999999999</v>
      </c>
      <c r="I262" s="9">
        <v>2.8130000000000002</v>
      </c>
      <c r="J262" s="9">
        <v>2.9449999999999998</v>
      </c>
      <c r="K262" s="9">
        <v>3.3410000000000002</v>
      </c>
      <c r="L262" s="9">
        <v>3.552</v>
      </c>
      <c r="M262" s="9">
        <v>2.9649999999999999</v>
      </c>
      <c r="N262" s="9">
        <v>3.2559999999999998</v>
      </c>
    </row>
    <row r="263" spans="1:14" x14ac:dyDescent="0.25">
      <c r="C263">
        <v>14.377000000000001</v>
      </c>
      <c r="D263">
        <v>10.178000000000001</v>
      </c>
      <c r="E263" s="9">
        <v>2.992</v>
      </c>
      <c r="F263" s="9">
        <v>3.1789999999999998</v>
      </c>
      <c r="G263" s="9">
        <v>2.8410000000000002</v>
      </c>
      <c r="H263" s="9">
        <v>3.0920000000000001</v>
      </c>
      <c r="I263" s="9">
        <v>2.9950000000000001</v>
      </c>
      <c r="J263" s="9">
        <v>3.048</v>
      </c>
      <c r="K263" s="9">
        <v>2.8330000000000002</v>
      </c>
      <c r="L263" s="9">
        <v>2.9159999999999999</v>
      </c>
      <c r="M263" s="9">
        <v>2.9489999999999998</v>
      </c>
      <c r="N263" s="9">
        <v>3.7930000000000001</v>
      </c>
    </row>
    <row r="264" spans="1:14" x14ac:dyDescent="0.25">
      <c r="C264">
        <v>14.098000000000001</v>
      </c>
      <c r="D264">
        <v>7.5659999999999998</v>
      </c>
      <c r="E264" s="9">
        <v>3.1150000000000002</v>
      </c>
      <c r="F264" s="9">
        <v>3.0009999999999999</v>
      </c>
      <c r="G264" s="9">
        <v>3.6339999999999999</v>
      </c>
      <c r="H264" s="9">
        <v>3.605</v>
      </c>
      <c r="I264" s="9">
        <v>3.08</v>
      </c>
      <c r="J264" s="9">
        <v>3.0960000000000001</v>
      </c>
      <c r="K264" s="9">
        <v>3.496</v>
      </c>
      <c r="L264" s="9">
        <v>3.4409999999999998</v>
      </c>
      <c r="M264" s="9">
        <v>3.3149999999999999</v>
      </c>
      <c r="N264" s="9">
        <v>3.754</v>
      </c>
    </row>
    <row r="265" spans="1:14" x14ac:dyDescent="0.25">
      <c r="C265">
        <v>15.489000000000001</v>
      </c>
      <c r="D265">
        <v>10.582000000000001</v>
      </c>
      <c r="E265" s="9">
        <v>3.657</v>
      </c>
      <c r="F265" s="9">
        <v>3.2010000000000001</v>
      </c>
      <c r="G265" s="9">
        <v>3.2410000000000001</v>
      </c>
      <c r="H265" s="9">
        <v>3.6339999999999999</v>
      </c>
      <c r="I265" s="9">
        <v>3.3809999999999998</v>
      </c>
      <c r="J265" s="9">
        <v>3.589</v>
      </c>
      <c r="K265" s="9">
        <v>3.6080000000000001</v>
      </c>
      <c r="L265" s="9">
        <v>3.3740000000000001</v>
      </c>
      <c r="M265" s="9">
        <v>3.38</v>
      </c>
      <c r="N265" s="9">
        <v>3.6219999999999999</v>
      </c>
    </row>
    <row r="266" spans="1:14" x14ac:dyDescent="0.25">
      <c r="C266">
        <v>15.311999999999999</v>
      </c>
      <c r="D266">
        <v>8.891</v>
      </c>
      <c r="E266" s="9">
        <v>3.5310000000000001</v>
      </c>
      <c r="F266" s="9">
        <v>3.218</v>
      </c>
      <c r="G266" s="9">
        <v>3.3420000000000001</v>
      </c>
      <c r="H266" s="9">
        <v>3.2559999999999998</v>
      </c>
      <c r="I266" s="9">
        <v>3.2029999999999998</v>
      </c>
      <c r="J266" s="9">
        <v>2.9889999999999999</v>
      </c>
      <c r="K266" s="9">
        <v>2.6429999999999998</v>
      </c>
      <c r="L266" s="9">
        <v>3.61</v>
      </c>
      <c r="M266" s="9">
        <v>3.0619999999999998</v>
      </c>
      <c r="N266" s="9">
        <v>3.91</v>
      </c>
    </row>
    <row r="267" spans="1:14" x14ac:dyDescent="0.25">
      <c r="C267">
        <v>15.337</v>
      </c>
      <c r="D267">
        <v>9.9039999999999999</v>
      </c>
      <c r="E267" s="9">
        <v>3.7450000000000001</v>
      </c>
      <c r="F267" s="9">
        <v>3.3479999999999999</v>
      </c>
      <c r="G267" s="9">
        <v>3.504</v>
      </c>
      <c r="H267" s="9">
        <v>3.0339999999999998</v>
      </c>
      <c r="I267" s="9">
        <v>3.0830000000000002</v>
      </c>
      <c r="J267" s="9">
        <v>3.4209999999999998</v>
      </c>
      <c r="K267" s="9">
        <v>3.089</v>
      </c>
      <c r="L267" s="9">
        <v>3.34</v>
      </c>
      <c r="M267" s="9">
        <v>2.8239999999999998</v>
      </c>
      <c r="N267" s="9">
        <v>3.9729999999999999</v>
      </c>
    </row>
    <row r="270" spans="1:14" x14ac:dyDescent="0.25">
      <c r="A270" t="s">
        <v>146</v>
      </c>
      <c r="B270" t="s">
        <v>164</v>
      </c>
      <c r="C270">
        <v>1.3</v>
      </c>
      <c r="D270" t="s">
        <v>141</v>
      </c>
      <c r="E270" t="s">
        <v>142</v>
      </c>
      <c r="F270" t="s">
        <v>143</v>
      </c>
      <c r="G270" t="s">
        <v>144</v>
      </c>
      <c r="H270" t="b">
        <v>0</v>
      </c>
      <c r="I270">
        <v>1</v>
      </c>
    </row>
    <row r="271" spans="1:14" x14ac:dyDescent="0.25">
      <c r="A271" t="s">
        <v>139</v>
      </c>
      <c r="B271" t="s">
        <v>154</v>
      </c>
      <c r="C271">
        <v>1</v>
      </c>
      <c r="D271">
        <v>2</v>
      </c>
      <c r="E271">
        <v>3</v>
      </c>
      <c r="F271">
        <v>4</v>
      </c>
      <c r="G271">
        <v>5</v>
      </c>
      <c r="H271">
        <v>6</v>
      </c>
      <c r="I271">
        <v>7</v>
      </c>
      <c r="J271">
        <v>8</v>
      </c>
      <c r="K271">
        <v>9</v>
      </c>
      <c r="L271">
        <v>10</v>
      </c>
      <c r="M271">
        <v>11</v>
      </c>
      <c r="N271">
        <v>12</v>
      </c>
    </row>
    <row r="272" spans="1:14" x14ac:dyDescent="0.25">
      <c r="B272" t="s">
        <v>145</v>
      </c>
      <c r="C272">
        <v>3.2010000000000001</v>
      </c>
      <c r="D272">
        <v>1.6692</v>
      </c>
      <c r="E272">
        <v>0.19350000000000001</v>
      </c>
      <c r="F272">
        <v>8.8200000000000001E-2</v>
      </c>
      <c r="G272">
        <v>5.3900000000000003E-2</v>
      </c>
      <c r="H272">
        <v>5.1200000000000002E-2</v>
      </c>
      <c r="I272">
        <v>5.1900000000000002E-2</v>
      </c>
      <c r="J272">
        <v>5.1999999999999998E-2</v>
      </c>
      <c r="K272">
        <v>5.2400000000000002E-2</v>
      </c>
      <c r="L272">
        <v>5.33E-2</v>
      </c>
      <c r="M272">
        <v>5.45E-2</v>
      </c>
      <c r="N272">
        <v>5.2200000000000003E-2</v>
      </c>
    </row>
    <row r="273" spans="1:14" x14ac:dyDescent="0.25">
      <c r="B273">
        <v>24.7</v>
      </c>
      <c r="C273">
        <v>3.2604000000000002</v>
      </c>
      <c r="D273">
        <v>1.8352999999999999</v>
      </c>
      <c r="E273">
        <v>0.1389</v>
      </c>
      <c r="F273">
        <v>7.4399999999999994E-2</v>
      </c>
      <c r="G273">
        <v>5.6300000000000003E-2</v>
      </c>
      <c r="H273">
        <v>5.2900000000000003E-2</v>
      </c>
      <c r="I273">
        <v>5.28E-2</v>
      </c>
      <c r="J273">
        <v>5.3100000000000001E-2</v>
      </c>
      <c r="K273">
        <v>5.2499999999999998E-2</v>
      </c>
      <c r="L273">
        <v>5.7299999999999997E-2</v>
      </c>
      <c r="M273">
        <v>5.2600000000000001E-2</v>
      </c>
      <c r="N273">
        <v>5.3499999999999999E-2</v>
      </c>
    </row>
    <row r="274" spans="1:14" x14ac:dyDescent="0.25">
      <c r="C274">
        <v>3.2073999999999998</v>
      </c>
      <c r="D274">
        <v>1.2089000000000001</v>
      </c>
      <c r="E274">
        <v>0.26050000000000001</v>
      </c>
      <c r="F274">
        <v>7.7499999999999999E-2</v>
      </c>
      <c r="G274">
        <v>5.5E-2</v>
      </c>
      <c r="H274">
        <v>5.3400000000000003E-2</v>
      </c>
      <c r="I274">
        <v>5.28E-2</v>
      </c>
      <c r="J274">
        <v>5.2600000000000001E-2</v>
      </c>
      <c r="K274">
        <v>5.3699999999999998E-2</v>
      </c>
      <c r="L274">
        <v>5.4100000000000002E-2</v>
      </c>
      <c r="M274">
        <v>5.28E-2</v>
      </c>
      <c r="N274">
        <v>5.3499999999999999E-2</v>
      </c>
    </row>
    <row r="275" spans="1:14" x14ac:dyDescent="0.25">
      <c r="C275">
        <v>3.0962000000000001</v>
      </c>
      <c r="D275">
        <v>0.78500000000000003</v>
      </c>
      <c r="E275">
        <v>0.20469999999999999</v>
      </c>
      <c r="F275">
        <v>7.9699999999999993E-2</v>
      </c>
      <c r="G275">
        <v>5.5300000000000002E-2</v>
      </c>
      <c r="H275">
        <v>5.2999999999999999E-2</v>
      </c>
      <c r="I275">
        <v>5.3400000000000003E-2</v>
      </c>
      <c r="J275">
        <v>5.4100000000000002E-2</v>
      </c>
      <c r="K275">
        <v>5.2699999999999997E-2</v>
      </c>
      <c r="L275">
        <v>5.5399999999999998E-2</v>
      </c>
      <c r="M275">
        <v>5.3999999999999999E-2</v>
      </c>
      <c r="N275">
        <v>5.3699999999999998E-2</v>
      </c>
    </row>
    <row r="276" spans="1:14" x14ac:dyDescent="0.25">
      <c r="C276">
        <v>3.1345000000000001</v>
      </c>
      <c r="D276">
        <v>1.9148000000000001</v>
      </c>
      <c r="E276">
        <v>0.158</v>
      </c>
      <c r="F276">
        <v>7.0400000000000004E-2</v>
      </c>
      <c r="G276">
        <v>5.4899999999999997E-2</v>
      </c>
      <c r="H276">
        <v>5.3499999999999999E-2</v>
      </c>
      <c r="I276">
        <v>5.2699999999999997E-2</v>
      </c>
      <c r="J276">
        <v>5.3199999999999997E-2</v>
      </c>
      <c r="K276">
        <v>5.2600000000000001E-2</v>
      </c>
      <c r="L276">
        <v>5.3999999999999999E-2</v>
      </c>
      <c r="M276">
        <v>5.3900000000000003E-2</v>
      </c>
      <c r="N276">
        <v>5.33E-2</v>
      </c>
    </row>
    <row r="277" spans="1:14" x14ac:dyDescent="0.25">
      <c r="C277">
        <v>3.2995000000000001</v>
      </c>
      <c r="D277">
        <v>2.1038000000000001</v>
      </c>
      <c r="E277">
        <v>0.18329999999999999</v>
      </c>
      <c r="F277">
        <v>8.2199999999999995E-2</v>
      </c>
      <c r="G277">
        <v>5.6899999999999999E-2</v>
      </c>
      <c r="H277">
        <v>5.4199999999999998E-2</v>
      </c>
      <c r="I277">
        <v>5.4100000000000002E-2</v>
      </c>
      <c r="J277">
        <v>5.3699999999999998E-2</v>
      </c>
      <c r="K277">
        <v>5.3199999999999997E-2</v>
      </c>
      <c r="L277">
        <v>5.2900000000000003E-2</v>
      </c>
      <c r="M277">
        <v>5.28E-2</v>
      </c>
      <c r="N277">
        <v>5.2699999999999997E-2</v>
      </c>
    </row>
    <row r="278" spans="1:14" x14ac:dyDescent="0.25">
      <c r="C278">
        <v>3.6665000000000001</v>
      </c>
      <c r="D278">
        <v>2.1574</v>
      </c>
      <c r="E278">
        <v>0.17599999999999999</v>
      </c>
      <c r="F278">
        <v>8.5599999999999996E-2</v>
      </c>
      <c r="G278">
        <v>5.79E-2</v>
      </c>
      <c r="H278">
        <v>5.2900000000000003E-2</v>
      </c>
      <c r="I278">
        <v>5.4699999999999999E-2</v>
      </c>
      <c r="J278">
        <v>5.2900000000000003E-2</v>
      </c>
      <c r="K278">
        <v>5.2200000000000003E-2</v>
      </c>
      <c r="L278">
        <v>5.4800000000000001E-2</v>
      </c>
      <c r="M278">
        <v>5.3499999999999999E-2</v>
      </c>
      <c r="N278">
        <v>5.21E-2</v>
      </c>
    </row>
    <row r="279" spans="1:14" x14ac:dyDescent="0.25">
      <c r="C279">
        <v>3.6549</v>
      </c>
      <c r="D279">
        <v>2.2021999999999999</v>
      </c>
      <c r="E279">
        <v>0.36969999999999997</v>
      </c>
      <c r="F279">
        <v>8.2699999999999996E-2</v>
      </c>
      <c r="G279">
        <v>5.9700000000000003E-2</v>
      </c>
      <c r="H279">
        <v>5.4199999999999998E-2</v>
      </c>
      <c r="I279">
        <v>5.2999999999999999E-2</v>
      </c>
      <c r="J279">
        <v>5.2999999999999999E-2</v>
      </c>
      <c r="K279">
        <v>5.6300000000000003E-2</v>
      </c>
      <c r="L279">
        <v>5.3800000000000001E-2</v>
      </c>
      <c r="M279">
        <v>5.33E-2</v>
      </c>
      <c r="N279">
        <v>5.3400000000000003E-2</v>
      </c>
    </row>
    <row r="282" spans="1:14" x14ac:dyDescent="0.25">
      <c r="A282" t="s">
        <v>146</v>
      </c>
      <c r="B282" t="s">
        <v>164</v>
      </c>
      <c r="C282">
        <v>1.3</v>
      </c>
      <c r="D282" t="s">
        <v>141</v>
      </c>
      <c r="E282" t="s">
        <v>142</v>
      </c>
      <c r="F282" t="s">
        <v>148</v>
      </c>
      <c r="G282" t="b">
        <v>0</v>
      </c>
      <c r="H282" t="s">
        <v>144</v>
      </c>
      <c r="I282" t="b">
        <v>0</v>
      </c>
      <c r="J282">
        <v>1</v>
      </c>
    </row>
    <row r="283" spans="1:14" x14ac:dyDescent="0.25">
      <c r="A283" t="s">
        <v>139</v>
      </c>
      <c r="B283" t="s">
        <v>155</v>
      </c>
      <c r="C283">
        <v>1</v>
      </c>
      <c r="D283">
        <v>2</v>
      </c>
      <c r="E283">
        <v>3</v>
      </c>
      <c r="F283">
        <v>4</v>
      </c>
      <c r="G283">
        <v>5</v>
      </c>
      <c r="H283">
        <v>6</v>
      </c>
      <c r="I283">
        <v>7</v>
      </c>
      <c r="J283">
        <v>8</v>
      </c>
      <c r="K283">
        <v>9</v>
      </c>
      <c r="L283">
        <v>10</v>
      </c>
      <c r="M283">
        <v>11</v>
      </c>
      <c r="N283">
        <v>12</v>
      </c>
    </row>
    <row r="284" spans="1:14" x14ac:dyDescent="0.25">
      <c r="B284" t="s">
        <v>145</v>
      </c>
      <c r="C284">
        <v>18.632999999999999</v>
      </c>
      <c r="D284">
        <v>14.395</v>
      </c>
      <c r="E284" s="9">
        <v>3.3130000000000002</v>
      </c>
      <c r="F284" s="9">
        <v>3.5659999999999998</v>
      </c>
      <c r="G284" s="9">
        <v>2.8759999999999999</v>
      </c>
      <c r="H284" s="9">
        <v>3.52</v>
      </c>
      <c r="I284" s="9">
        <v>3.4180000000000001</v>
      </c>
      <c r="J284" s="9">
        <v>3.36</v>
      </c>
      <c r="K284" s="9">
        <v>3.766</v>
      </c>
      <c r="L284" s="9">
        <v>3.855</v>
      </c>
      <c r="M284" s="9">
        <v>4.0609999999999999</v>
      </c>
      <c r="N284" s="9">
        <v>4.4249999999999998</v>
      </c>
    </row>
    <row r="285" spans="1:14" x14ac:dyDescent="0.25">
      <c r="B285">
        <v>24.7</v>
      </c>
      <c r="C285">
        <v>17.638999999999999</v>
      </c>
      <c r="D285">
        <v>12.661</v>
      </c>
      <c r="E285" s="9">
        <v>3.298</v>
      </c>
      <c r="F285" s="9">
        <v>3.2469999999999999</v>
      </c>
      <c r="G285" s="9">
        <v>3.2930000000000001</v>
      </c>
      <c r="H285" s="9">
        <v>3.7850000000000001</v>
      </c>
      <c r="I285" s="9">
        <v>3.04</v>
      </c>
      <c r="J285" s="9">
        <v>3.63</v>
      </c>
      <c r="K285" s="9">
        <v>3.702</v>
      </c>
      <c r="L285" s="9">
        <v>3.7330000000000001</v>
      </c>
      <c r="M285" s="9">
        <v>3.9430000000000001</v>
      </c>
      <c r="N285" s="9">
        <v>4.2309999999999999</v>
      </c>
    </row>
    <row r="286" spans="1:14" x14ac:dyDescent="0.25">
      <c r="C286">
        <v>16.690000000000001</v>
      </c>
      <c r="D286">
        <v>13.486000000000001</v>
      </c>
      <c r="E286" s="9">
        <v>4.1559999999999997</v>
      </c>
      <c r="F286" s="9">
        <v>3.1240000000000001</v>
      </c>
      <c r="G286" s="9">
        <v>3.3359999999999999</v>
      </c>
      <c r="H286" s="9">
        <v>3.7280000000000002</v>
      </c>
      <c r="I286" s="9">
        <v>3.2629999999999999</v>
      </c>
      <c r="J286" s="9">
        <v>3.5339999999999998</v>
      </c>
      <c r="K286" s="9">
        <v>3.9159999999999999</v>
      </c>
      <c r="L286" s="9">
        <v>3.4820000000000002</v>
      </c>
      <c r="M286" s="9">
        <v>3.2229999999999999</v>
      </c>
      <c r="N286" s="9">
        <v>4.6710000000000003</v>
      </c>
    </row>
    <row r="287" spans="1:14" x14ac:dyDescent="0.25">
      <c r="C287">
        <v>17.591999999999999</v>
      </c>
      <c r="D287">
        <v>10.226000000000001</v>
      </c>
      <c r="E287" s="9">
        <v>3.8639999999999999</v>
      </c>
      <c r="F287" s="9">
        <v>3.488</v>
      </c>
      <c r="G287" s="9">
        <v>2.8250000000000002</v>
      </c>
      <c r="H287" s="9">
        <v>3.7549999999999999</v>
      </c>
      <c r="I287" s="9">
        <v>3.3370000000000002</v>
      </c>
      <c r="J287" s="9">
        <v>3.605</v>
      </c>
      <c r="K287" s="9">
        <v>3.4420000000000002</v>
      </c>
      <c r="L287" s="9">
        <v>3.5880000000000001</v>
      </c>
      <c r="M287" s="9">
        <v>4.0190000000000001</v>
      </c>
      <c r="N287" s="9">
        <v>3.9849999999999999</v>
      </c>
    </row>
    <row r="288" spans="1:14" x14ac:dyDescent="0.25">
      <c r="C288">
        <v>17.847999999999999</v>
      </c>
      <c r="D288">
        <v>14.456</v>
      </c>
      <c r="E288" s="9">
        <v>4.0279999999999996</v>
      </c>
      <c r="F288" s="9">
        <v>3.2240000000000002</v>
      </c>
      <c r="G288" s="9">
        <v>3.1160000000000001</v>
      </c>
      <c r="H288" s="9">
        <v>3.774</v>
      </c>
      <c r="I288" s="9">
        <v>4.0490000000000004</v>
      </c>
      <c r="J288" s="9">
        <v>3.7959999999999998</v>
      </c>
      <c r="K288" s="9">
        <v>3.339</v>
      </c>
      <c r="L288" s="9">
        <v>3.5680000000000001</v>
      </c>
      <c r="M288" s="9">
        <v>3.6829999999999998</v>
      </c>
      <c r="N288" s="9">
        <v>4.1529999999999996</v>
      </c>
    </row>
    <row r="289" spans="3:14" x14ac:dyDescent="0.25">
      <c r="C289">
        <v>18.015000000000001</v>
      </c>
      <c r="D289">
        <v>14.007999999999999</v>
      </c>
      <c r="E289" s="9">
        <v>3.391</v>
      </c>
      <c r="F289" s="9">
        <v>3.5750000000000002</v>
      </c>
      <c r="G289" s="9">
        <v>2.8780000000000001</v>
      </c>
      <c r="H289" s="9">
        <v>3.6040000000000001</v>
      </c>
      <c r="I289" s="9">
        <v>3.161</v>
      </c>
      <c r="J289" s="9">
        <v>3.7130000000000001</v>
      </c>
      <c r="K289" s="9">
        <v>3.4489999999999998</v>
      </c>
      <c r="L289" s="9">
        <v>3.6920000000000002</v>
      </c>
      <c r="M289" s="9">
        <v>3.6360000000000001</v>
      </c>
      <c r="N289" s="9">
        <v>3.76</v>
      </c>
    </row>
    <row r="290" spans="3:14" x14ac:dyDescent="0.25">
      <c r="C290">
        <v>18.414000000000001</v>
      </c>
      <c r="D290">
        <v>14.827</v>
      </c>
      <c r="E290" s="9">
        <v>4.008</v>
      </c>
      <c r="F290" s="9">
        <v>3.7850000000000001</v>
      </c>
      <c r="G290" s="9">
        <v>3.0209999999999999</v>
      </c>
      <c r="H290" s="9">
        <v>4.2489999999999997</v>
      </c>
      <c r="I290" s="9">
        <v>3.3239999999999998</v>
      </c>
      <c r="J290" s="9">
        <v>4.0019999999999998</v>
      </c>
      <c r="K290" s="9">
        <v>3.5209999999999999</v>
      </c>
      <c r="L290" s="9">
        <v>3.18</v>
      </c>
      <c r="M290" s="9">
        <v>3.5419999999999998</v>
      </c>
      <c r="N290" s="9">
        <v>4.0620000000000003</v>
      </c>
    </row>
    <row r="291" spans="3:14" x14ac:dyDescent="0.25">
      <c r="C291">
        <v>17.812000000000001</v>
      </c>
      <c r="D291">
        <v>15.461</v>
      </c>
      <c r="E291" s="9">
        <v>4.1959999999999997</v>
      </c>
      <c r="F291" s="9">
        <v>3.327</v>
      </c>
      <c r="G291" s="9">
        <v>3.5249999999999999</v>
      </c>
      <c r="H291" s="9">
        <v>3.601</v>
      </c>
      <c r="I291" s="9">
        <v>3.1640000000000001</v>
      </c>
      <c r="J291" s="9">
        <v>3.2170000000000001</v>
      </c>
      <c r="K291" s="9">
        <v>3.6110000000000002</v>
      </c>
      <c r="L291" s="9">
        <v>4.1710000000000003</v>
      </c>
      <c r="M291" s="9">
        <v>3.6179999999999999</v>
      </c>
      <c r="N291" s="9">
        <v>4.2229999999999999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180-9873-4B57-935B-3F73467D3A25}">
  <dimension ref="A1:AE583"/>
  <sheetViews>
    <sheetView workbookViewId="0">
      <selection activeCell="B22" sqref="B22"/>
    </sheetView>
  </sheetViews>
  <sheetFormatPr defaultRowHeight="15" x14ac:dyDescent="0.25"/>
  <cols>
    <col min="2" max="2" width="53.5703125" customWidth="1"/>
  </cols>
  <sheetData>
    <row r="1" spans="1:21" x14ac:dyDescent="0.25">
      <c r="B1" t="s">
        <v>192</v>
      </c>
    </row>
    <row r="2" spans="1:21" x14ac:dyDescent="0.25">
      <c r="B2" t="s">
        <v>193</v>
      </c>
    </row>
    <row r="3" spans="1:21" x14ac:dyDescent="0.25">
      <c r="B3" t="s">
        <v>194</v>
      </c>
    </row>
    <row r="5" spans="1:21" x14ac:dyDescent="0.25">
      <c r="B5" t="s">
        <v>137</v>
      </c>
    </row>
    <row r="6" spans="1:21" x14ac:dyDescent="0.25">
      <c r="A6" t="s">
        <v>138</v>
      </c>
    </row>
    <row r="7" spans="1:21" x14ac:dyDescent="0.25">
      <c r="A7" t="s">
        <v>139</v>
      </c>
      <c r="B7" t="s">
        <v>140</v>
      </c>
      <c r="C7">
        <v>1.3</v>
      </c>
      <c r="D7" t="s">
        <v>141</v>
      </c>
      <c r="E7" t="s">
        <v>142</v>
      </c>
      <c r="F7" t="s">
        <v>143</v>
      </c>
      <c r="G7" t="s">
        <v>144</v>
      </c>
      <c r="H7" t="b">
        <v>0</v>
      </c>
      <c r="I7">
        <v>1</v>
      </c>
      <c r="O7">
        <v>1</v>
      </c>
      <c r="P7">
        <v>620</v>
      </c>
      <c r="Q7">
        <v>1</v>
      </c>
      <c r="R7">
        <v>12</v>
      </c>
      <c r="S7">
        <v>96</v>
      </c>
      <c r="T7">
        <v>1</v>
      </c>
      <c r="U7">
        <v>8</v>
      </c>
    </row>
    <row r="8" spans="1:21" x14ac:dyDescent="0.25">
      <c r="B8" t="s">
        <v>145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</row>
    <row r="9" spans="1:21" x14ac:dyDescent="0.25">
      <c r="B9">
        <v>23.9</v>
      </c>
      <c r="C9">
        <v>2.7721</v>
      </c>
      <c r="D9">
        <v>1.8772</v>
      </c>
      <c r="E9">
        <v>1.3955</v>
      </c>
      <c r="F9">
        <v>1.0310999999999999</v>
      </c>
      <c r="G9">
        <v>1.292</v>
      </c>
      <c r="H9">
        <v>1.5357000000000001</v>
      </c>
      <c r="I9">
        <v>1.3125</v>
      </c>
      <c r="J9">
        <v>1.264</v>
      </c>
      <c r="K9">
        <v>0.37780000000000002</v>
      </c>
      <c r="L9">
        <v>5.0599999999999999E-2</v>
      </c>
      <c r="M9">
        <v>4.99E-2</v>
      </c>
      <c r="N9">
        <v>5.2200000000000003E-2</v>
      </c>
    </row>
    <row r="10" spans="1:21" x14ac:dyDescent="0.25">
      <c r="C10">
        <v>2.7311000000000001</v>
      </c>
      <c r="D10">
        <v>2.0183</v>
      </c>
      <c r="E10">
        <v>1.1029</v>
      </c>
      <c r="F10">
        <v>1.3945000000000001</v>
      </c>
      <c r="G10">
        <v>1.3225</v>
      </c>
      <c r="H10">
        <v>1.5062</v>
      </c>
      <c r="I10">
        <v>1.4569000000000001</v>
      </c>
      <c r="J10">
        <v>1.1114999999999999</v>
      </c>
      <c r="K10">
        <v>1.0306</v>
      </c>
      <c r="L10">
        <v>0.82050000000000001</v>
      </c>
      <c r="M10">
        <v>5.2299999999999999E-2</v>
      </c>
      <c r="N10">
        <v>5.1900000000000002E-2</v>
      </c>
    </row>
    <row r="11" spans="1:21" x14ac:dyDescent="0.25">
      <c r="C11">
        <v>2.9287000000000001</v>
      </c>
      <c r="D11">
        <v>2.1385999999999998</v>
      </c>
      <c r="E11">
        <v>1.2471000000000001</v>
      </c>
      <c r="F11">
        <v>1.4139999999999999</v>
      </c>
      <c r="G11">
        <v>1.3207</v>
      </c>
      <c r="H11">
        <v>1.5145</v>
      </c>
      <c r="I11">
        <v>1.4401999999999999</v>
      </c>
      <c r="J11">
        <v>1.1158999999999999</v>
      </c>
      <c r="K11">
        <v>0.26179999999999998</v>
      </c>
      <c r="L11">
        <v>5.0500000000000003E-2</v>
      </c>
      <c r="M11">
        <v>5.04E-2</v>
      </c>
      <c r="N11">
        <v>5.1700000000000003E-2</v>
      </c>
    </row>
    <row r="12" spans="1:21" x14ac:dyDescent="0.25">
      <c r="C12">
        <v>3.3058999999999998</v>
      </c>
      <c r="D12">
        <v>2.2309999999999999</v>
      </c>
      <c r="E12">
        <v>1.0646</v>
      </c>
      <c r="F12">
        <v>1.4244000000000001</v>
      </c>
      <c r="G12">
        <v>1.3523000000000001</v>
      </c>
      <c r="H12">
        <v>1.5139</v>
      </c>
      <c r="I12">
        <v>1.3874</v>
      </c>
      <c r="J12">
        <v>1.1319999999999999</v>
      </c>
      <c r="K12">
        <v>5.1700000000000003E-2</v>
      </c>
      <c r="L12">
        <v>5.16E-2</v>
      </c>
      <c r="M12">
        <v>5.2699999999999997E-2</v>
      </c>
      <c r="N12">
        <v>5.16E-2</v>
      </c>
    </row>
    <row r="13" spans="1:21" x14ac:dyDescent="0.25">
      <c r="C13">
        <v>2.9399000000000002</v>
      </c>
      <c r="D13">
        <v>2.0186999999999999</v>
      </c>
      <c r="E13">
        <v>1.1235999999999999</v>
      </c>
      <c r="F13">
        <v>1.4096</v>
      </c>
      <c r="G13">
        <v>1.351</v>
      </c>
      <c r="H13">
        <v>1.5951</v>
      </c>
      <c r="I13">
        <v>1.3962000000000001</v>
      </c>
      <c r="J13">
        <v>1.1544000000000001</v>
      </c>
      <c r="K13">
        <v>0.82069999999999999</v>
      </c>
      <c r="L13">
        <v>5.57E-2</v>
      </c>
      <c r="M13">
        <v>5.6000000000000001E-2</v>
      </c>
      <c r="N13">
        <v>5.0299999999999997E-2</v>
      </c>
    </row>
    <row r="14" spans="1:21" x14ac:dyDescent="0.25">
      <c r="C14">
        <v>2.9518</v>
      </c>
      <c r="D14">
        <v>1.9185000000000001</v>
      </c>
      <c r="E14">
        <v>1.1097999999999999</v>
      </c>
      <c r="F14">
        <v>1.1068</v>
      </c>
      <c r="G14">
        <v>1.3171999999999999</v>
      </c>
      <c r="H14">
        <v>1.4944</v>
      </c>
      <c r="I14">
        <v>1.3532999999999999</v>
      </c>
      <c r="J14">
        <v>1.1504000000000001</v>
      </c>
      <c r="K14">
        <v>5.5399999999999998E-2</v>
      </c>
      <c r="L14">
        <v>5.4199999999999998E-2</v>
      </c>
      <c r="M14">
        <v>5.7099999999999998E-2</v>
      </c>
      <c r="N14">
        <v>5.1900000000000002E-2</v>
      </c>
    </row>
    <row r="15" spans="1:21" x14ac:dyDescent="0.25">
      <c r="C15">
        <v>3.3054999999999999</v>
      </c>
      <c r="D15">
        <v>2.0362</v>
      </c>
      <c r="E15">
        <v>1.1671</v>
      </c>
      <c r="F15">
        <v>1.2182999999999999</v>
      </c>
      <c r="G15">
        <v>1.3506</v>
      </c>
      <c r="H15">
        <v>1.5866</v>
      </c>
      <c r="I15">
        <v>1.3717999999999999</v>
      </c>
      <c r="J15">
        <v>1.2603</v>
      </c>
      <c r="K15">
        <v>0.65269999999999995</v>
      </c>
      <c r="L15">
        <v>5.5100000000000003E-2</v>
      </c>
      <c r="M15">
        <v>5.6800000000000003E-2</v>
      </c>
      <c r="N15">
        <v>5.2200000000000003E-2</v>
      </c>
    </row>
    <row r="16" spans="1:21" x14ac:dyDescent="0.25">
      <c r="C16">
        <v>4</v>
      </c>
      <c r="D16">
        <v>2.5179999999999998</v>
      </c>
      <c r="E16">
        <v>1.2613000000000001</v>
      </c>
      <c r="F16">
        <v>1.3478000000000001</v>
      </c>
      <c r="G16">
        <v>1.3547</v>
      </c>
      <c r="H16">
        <v>1.4877</v>
      </c>
      <c r="I16">
        <v>1.448</v>
      </c>
      <c r="J16">
        <v>1.2060999999999999</v>
      </c>
      <c r="K16">
        <v>0.73540000000000005</v>
      </c>
      <c r="L16">
        <v>5.5300000000000002E-2</v>
      </c>
      <c r="M16">
        <v>5.5500000000000001E-2</v>
      </c>
      <c r="N16">
        <v>5.5199999999999999E-2</v>
      </c>
    </row>
    <row r="18" spans="1:31" x14ac:dyDescent="0.25">
      <c r="A18" t="s">
        <v>146</v>
      </c>
      <c r="B18" t="s">
        <v>137</v>
      </c>
      <c r="D18">
        <v>-1</v>
      </c>
      <c r="E18">
        <v>-2</v>
      </c>
      <c r="F18">
        <v>-3</v>
      </c>
      <c r="G18">
        <v>-4</v>
      </c>
      <c r="H18">
        <v>-5</v>
      </c>
      <c r="I18">
        <v>-6</v>
      </c>
      <c r="J18">
        <v>-7</v>
      </c>
      <c r="K18">
        <v>-8</v>
      </c>
      <c r="L18">
        <v>-9</v>
      </c>
      <c r="M18">
        <v>-10</v>
      </c>
      <c r="N18">
        <v>-11</v>
      </c>
    </row>
    <row r="19" spans="1:31" x14ac:dyDescent="0.25">
      <c r="A19" t="s">
        <v>139</v>
      </c>
      <c r="B19" t="s">
        <v>147</v>
      </c>
      <c r="C19">
        <v>1.3</v>
      </c>
      <c r="D19" t="s">
        <v>141</v>
      </c>
      <c r="E19" t="s">
        <v>142</v>
      </c>
      <c r="F19" t="s">
        <v>148</v>
      </c>
      <c r="G19" t="b">
        <v>0</v>
      </c>
      <c r="H19" t="s">
        <v>144</v>
      </c>
      <c r="I19" t="b">
        <v>0</v>
      </c>
      <c r="J19">
        <v>1</v>
      </c>
      <c r="P19">
        <v>1</v>
      </c>
      <c r="Q19">
        <v>620</v>
      </c>
      <c r="R19">
        <v>1</v>
      </c>
      <c r="S19">
        <v>12</v>
      </c>
      <c r="T19">
        <v>96</v>
      </c>
      <c r="U19">
        <v>571</v>
      </c>
      <c r="V19" t="s">
        <v>149</v>
      </c>
      <c r="W19">
        <v>610</v>
      </c>
      <c r="Z19">
        <v>6</v>
      </c>
      <c r="AD19">
        <v>1</v>
      </c>
      <c r="AE19">
        <v>8</v>
      </c>
    </row>
    <row r="20" spans="1:31" x14ac:dyDescent="0.25">
      <c r="B20" t="s">
        <v>145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</row>
    <row r="21" spans="1:31" x14ac:dyDescent="0.25">
      <c r="B21">
        <v>24</v>
      </c>
      <c r="C21">
        <v>22.163</v>
      </c>
      <c r="D21" s="23">
        <v>517.50800000000004</v>
      </c>
      <c r="E21" s="23">
        <v>532.51</v>
      </c>
      <c r="F21" s="23">
        <v>397.89699999999999</v>
      </c>
      <c r="G21" s="23">
        <v>425.86500000000001</v>
      </c>
      <c r="H21" s="23">
        <v>596.25599999999997</v>
      </c>
      <c r="I21" s="23">
        <v>601.96400000000006</v>
      </c>
      <c r="J21" s="23">
        <v>531.86500000000001</v>
      </c>
      <c r="K21" s="23">
        <v>175.547</v>
      </c>
      <c r="L21">
        <v>4.63</v>
      </c>
      <c r="M21">
        <v>4.1509999999999998</v>
      </c>
      <c r="N21">
        <v>5.0970000000000004</v>
      </c>
    </row>
    <row r="22" spans="1:31" x14ac:dyDescent="0.25">
      <c r="C22">
        <v>25</v>
      </c>
      <c r="D22" s="23">
        <v>484.38900000000001</v>
      </c>
      <c r="E22" s="23">
        <v>424.791</v>
      </c>
      <c r="F22" s="23">
        <v>439.46699999999998</v>
      </c>
      <c r="G22" s="23">
        <v>392.71100000000001</v>
      </c>
      <c r="H22" s="23">
        <v>548.02300000000002</v>
      </c>
      <c r="I22" s="23">
        <v>573.09299999999996</v>
      </c>
      <c r="J22" s="23">
        <v>432.06900000000002</v>
      </c>
      <c r="K22" s="23">
        <v>433.91500000000002</v>
      </c>
      <c r="L22" s="23">
        <v>341.38</v>
      </c>
      <c r="M22">
        <v>4.8170000000000002</v>
      </c>
      <c r="N22">
        <v>4.4720000000000004</v>
      </c>
    </row>
    <row r="23" spans="1:31" x14ac:dyDescent="0.25">
      <c r="C23">
        <v>28.64</v>
      </c>
      <c r="D23" s="23">
        <v>492.20699999999999</v>
      </c>
      <c r="E23" s="23">
        <v>453.48700000000002</v>
      </c>
      <c r="F23" s="23">
        <v>438.24099999999999</v>
      </c>
      <c r="G23" s="23">
        <v>397.40600000000001</v>
      </c>
      <c r="H23" s="23">
        <v>535.37400000000002</v>
      </c>
      <c r="I23" s="23">
        <v>506.08499999999998</v>
      </c>
      <c r="J23" s="23">
        <v>384.73899999999998</v>
      </c>
      <c r="K23" s="23">
        <v>96.004999999999995</v>
      </c>
      <c r="L23">
        <v>4.0659999999999998</v>
      </c>
      <c r="M23">
        <v>3.7349999999999999</v>
      </c>
      <c r="N23">
        <v>4.1950000000000003</v>
      </c>
    </row>
    <row r="24" spans="1:31" x14ac:dyDescent="0.25">
      <c r="C24">
        <v>29.382000000000001</v>
      </c>
      <c r="D24" s="23">
        <v>540.35400000000004</v>
      </c>
      <c r="E24" s="23">
        <v>411.21499999999997</v>
      </c>
      <c r="F24" s="23">
        <v>435.78899999999999</v>
      </c>
      <c r="G24" s="23">
        <v>423.35399999999998</v>
      </c>
      <c r="H24" s="23">
        <v>516.47699999999998</v>
      </c>
      <c r="I24" s="23">
        <v>491.755</v>
      </c>
      <c r="J24" s="23">
        <v>409.05200000000002</v>
      </c>
      <c r="K24">
        <v>4.1680000000000001</v>
      </c>
      <c r="L24">
        <v>4.5759999999999996</v>
      </c>
      <c r="M24">
        <v>4.3739999999999997</v>
      </c>
      <c r="N24">
        <v>4.5629999999999997</v>
      </c>
    </row>
    <row r="25" spans="1:31" x14ac:dyDescent="0.25">
      <c r="C25">
        <v>26.812000000000001</v>
      </c>
      <c r="D25" s="23">
        <v>462.72399999999999</v>
      </c>
      <c r="E25" s="23">
        <v>432.44400000000002</v>
      </c>
      <c r="F25" s="23">
        <v>435.97699999999998</v>
      </c>
      <c r="G25" s="23">
        <v>424.64800000000002</v>
      </c>
      <c r="H25" s="23">
        <v>538.45799999999997</v>
      </c>
      <c r="I25" s="23">
        <v>487.45400000000001</v>
      </c>
      <c r="J25" s="23">
        <v>404.50299999999999</v>
      </c>
      <c r="K25" s="23">
        <v>333.64699999999999</v>
      </c>
      <c r="L25">
        <v>4.4640000000000004</v>
      </c>
      <c r="M25">
        <v>4.0910000000000002</v>
      </c>
      <c r="N25">
        <v>4.9619999999999997</v>
      </c>
    </row>
    <row r="26" spans="1:31" x14ac:dyDescent="0.25">
      <c r="C26">
        <v>22.108000000000001</v>
      </c>
      <c r="D26" s="23">
        <v>451.58600000000001</v>
      </c>
      <c r="E26" s="23">
        <v>444.36900000000003</v>
      </c>
      <c r="F26" s="23">
        <v>366.82100000000003</v>
      </c>
      <c r="G26" s="23">
        <v>413.536</v>
      </c>
      <c r="H26" s="23">
        <v>505.524</v>
      </c>
      <c r="I26" s="23">
        <v>484.66</v>
      </c>
      <c r="J26" s="23">
        <v>445.31200000000001</v>
      </c>
      <c r="K26">
        <v>3.9609999999999999</v>
      </c>
      <c r="L26">
        <v>4.2039999999999997</v>
      </c>
      <c r="M26">
        <v>4.5199999999999996</v>
      </c>
      <c r="N26">
        <v>4.6680000000000001</v>
      </c>
    </row>
    <row r="27" spans="1:31" x14ac:dyDescent="0.25">
      <c r="C27">
        <v>28.385999999999999</v>
      </c>
      <c r="D27" s="23">
        <v>517.08299999999997</v>
      </c>
      <c r="E27" s="23">
        <v>434.053</v>
      </c>
      <c r="F27" s="23">
        <v>332.685</v>
      </c>
      <c r="G27" s="23">
        <v>409.37799999999999</v>
      </c>
      <c r="H27" s="23">
        <v>551.59500000000003</v>
      </c>
      <c r="I27" s="23">
        <v>515.05600000000004</v>
      </c>
      <c r="J27" s="23">
        <v>466.64499999999998</v>
      </c>
      <c r="K27" s="23">
        <v>254.345</v>
      </c>
      <c r="L27">
        <v>4.2439999999999998</v>
      </c>
      <c r="M27">
        <v>4.2729999999999997</v>
      </c>
      <c r="N27">
        <v>4.7249999999999996</v>
      </c>
    </row>
    <row r="28" spans="1:31" x14ac:dyDescent="0.25">
      <c r="C28">
        <v>29.629000000000001</v>
      </c>
      <c r="D28" s="23">
        <v>746.44600000000003</v>
      </c>
      <c r="E28" s="23">
        <v>487.48500000000001</v>
      </c>
      <c r="F28" s="23">
        <v>446.495</v>
      </c>
      <c r="G28" s="23">
        <v>478.85</v>
      </c>
      <c r="H28" s="23">
        <v>565.50199999999995</v>
      </c>
      <c r="I28" s="23">
        <v>630.25</v>
      </c>
      <c r="J28" s="23">
        <v>516.41</v>
      </c>
      <c r="K28" s="23">
        <v>327.43200000000002</v>
      </c>
      <c r="L28">
        <v>4.1269999999999998</v>
      </c>
      <c r="M28">
        <v>4.7859999999999996</v>
      </c>
      <c r="N28">
        <v>4.125</v>
      </c>
    </row>
    <row r="30" spans="1:31" x14ac:dyDescent="0.25">
      <c r="A30" t="s">
        <v>146</v>
      </c>
      <c r="B30" t="s">
        <v>150</v>
      </c>
    </row>
    <row r="31" spans="1:31" x14ac:dyDescent="0.25">
      <c r="A31" t="s">
        <v>139</v>
      </c>
      <c r="B31" t="s">
        <v>151</v>
      </c>
      <c r="C31">
        <v>1.3</v>
      </c>
      <c r="D31" t="s">
        <v>141</v>
      </c>
      <c r="E31" t="s">
        <v>142</v>
      </c>
      <c r="F31" t="s">
        <v>143</v>
      </c>
      <c r="G31" t="s">
        <v>144</v>
      </c>
      <c r="H31" t="b">
        <v>0</v>
      </c>
      <c r="I31">
        <v>1</v>
      </c>
      <c r="O31">
        <v>1</v>
      </c>
      <c r="P31">
        <v>620</v>
      </c>
      <c r="Q31">
        <v>1</v>
      </c>
      <c r="R31">
        <v>12</v>
      </c>
      <c r="S31">
        <v>96</v>
      </c>
      <c r="T31">
        <v>1</v>
      </c>
      <c r="U31">
        <v>8</v>
      </c>
    </row>
    <row r="32" spans="1:31" x14ac:dyDescent="0.25">
      <c r="B32" t="s">
        <v>145</v>
      </c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  <c r="L32">
        <v>10</v>
      </c>
      <c r="M32">
        <v>11</v>
      </c>
      <c r="N32">
        <v>12</v>
      </c>
    </row>
    <row r="33" spans="1:31" x14ac:dyDescent="0.25">
      <c r="B33">
        <v>24.1</v>
      </c>
      <c r="C33">
        <v>1.7062999999999999</v>
      </c>
      <c r="D33">
        <v>0.13830000000000001</v>
      </c>
      <c r="E33">
        <v>0.70760000000000001</v>
      </c>
      <c r="F33">
        <v>1.0631999999999999</v>
      </c>
      <c r="G33">
        <v>1.0204</v>
      </c>
      <c r="H33">
        <v>1.2623</v>
      </c>
      <c r="I33">
        <v>1.2663</v>
      </c>
      <c r="J33">
        <v>0.80930000000000002</v>
      </c>
      <c r="K33">
        <v>6.5699999999999995E-2</v>
      </c>
      <c r="L33">
        <v>7.7399999999999997E-2</v>
      </c>
      <c r="M33">
        <v>4.8300000000000003E-2</v>
      </c>
      <c r="N33">
        <v>4.99E-2</v>
      </c>
    </row>
    <row r="34" spans="1:31" x14ac:dyDescent="0.25">
      <c r="C34">
        <v>1.7265999999999999</v>
      </c>
      <c r="D34">
        <v>1.1066</v>
      </c>
      <c r="E34">
        <v>1.3183</v>
      </c>
      <c r="F34">
        <v>1.1363000000000001</v>
      </c>
      <c r="G34">
        <v>1.2407999999999999</v>
      </c>
      <c r="H34">
        <v>1.4984999999999999</v>
      </c>
      <c r="I34">
        <v>1.4035</v>
      </c>
      <c r="J34">
        <v>1.0806</v>
      </c>
      <c r="K34">
        <v>0.92130000000000001</v>
      </c>
      <c r="L34">
        <v>0.57750000000000001</v>
      </c>
      <c r="M34">
        <v>6.9099999999999995E-2</v>
      </c>
      <c r="N34">
        <v>7.9799999999999996E-2</v>
      </c>
    </row>
    <row r="35" spans="1:31" x14ac:dyDescent="0.25">
      <c r="C35">
        <v>1.8463000000000001</v>
      </c>
      <c r="D35">
        <v>2.0756999999999999</v>
      </c>
      <c r="E35">
        <v>1.2165999999999999</v>
      </c>
      <c r="F35">
        <v>1.3787</v>
      </c>
      <c r="G35">
        <v>1.2655000000000001</v>
      </c>
      <c r="H35">
        <v>1.5115000000000001</v>
      </c>
      <c r="I35">
        <v>1.5289999999999999</v>
      </c>
      <c r="J35">
        <v>1.2183999999999999</v>
      </c>
      <c r="K35">
        <v>5.7200000000000001E-2</v>
      </c>
      <c r="L35">
        <v>5.9700000000000003E-2</v>
      </c>
      <c r="M35">
        <v>5.9799999999999999E-2</v>
      </c>
      <c r="N35">
        <v>6.6199999999999995E-2</v>
      </c>
    </row>
    <row r="36" spans="1:31" x14ac:dyDescent="0.25">
      <c r="C36">
        <v>2.0131999999999999</v>
      </c>
      <c r="D36">
        <v>2.3711000000000002</v>
      </c>
      <c r="E36">
        <v>1.4494</v>
      </c>
      <c r="F36">
        <v>1.3706</v>
      </c>
      <c r="G36">
        <v>1.2986</v>
      </c>
      <c r="H36">
        <v>1.4748000000000001</v>
      </c>
      <c r="I36">
        <v>1.4975000000000001</v>
      </c>
      <c r="J36">
        <v>1.3029999999999999</v>
      </c>
      <c r="K36">
        <v>0.622</v>
      </c>
      <c r="L36">
        <v>5.9799999999999999E-2</v>
      </c>
      <c r="M36">
        <v>5.8900000000000001E-2</v>
      </c>
      <c r="N36">
        <v>6.5299999999999997E-2</v>
      </c>
    </row>
    <row r="37" spans="1:31" x14ac:dyDescent="0.25">
      <c r="C37">
        <v>1.7273000000000001</v>
      </c>
      <c r="D37">
        <v>2.3420000000000001</v>
      </c>
      <c r="E37">
        <v>1.2623</v>
      </c>
      <c r="F37">
        <v>1.409</v>
      </c>
      <c r="G37">
        <v>1.2825</v>
      </c>
      <c r="H37">
        <v>1.5270999999999999</v>
      </c>
      <c r="I37">
        <v>1.4142999999999999</v>
      </c>
      <c r="J37">
        <v>1.2815000000000001</v>
      </c>
      <c r="K37">
        <v>5.8400000000000001E-2</v>
      </c>
      <c r="L37">
        <v>5.8400000000000001E-2</v>
      </c>
      <c r="M37">
        <v>5.8700000000000002E-2</v>
      </c>
      <c r="N37">
        <v>6.0699999999999997E-2</v>
      </c>
    </row>
    <row r="38" spans="1:31" x14ac:dyDescent="0.25">
      <c r="C38">
        <v>2.3466999999999998</v>
      </c>
      <c r="D38">
        <v>2.5226999999999999</v>
      </c>
      <c r="E38">
        <v>1.2188000000000001</v>
      </c>
      <c r="F38">
        <v>1.3844000000000001</v>
      </c>
      <c r="G38">
        <v>1.2783</v>
      </c>
      <c r="H38">
        <v>1.5271999999999999</v>
      </c>
      <c r="I38">
        <v>1.4331</v>
      </c>
      <c r="J38">
        <v>1.2679</v>
      </c>
      <c r="K38">
        <v>0.97850000000000004</v>
      </c>
      <c r="L38">
        <v>5.9400000000000001E-2</v>
      </c>
      <c r="M38">
        <v>0.06</v>
      </c>
      <c r="N38">
        <v>6.5100000000000005E-2</v>
      </c>
    </row>
    <row r="39" spans="1:31" x14ac:dyDescent="0.25">
      <c r="C39">
        <v>1.9932000000000001</v>
      </c>
      <c r="D39">
        <v>2.2410999999999999</v>
      </c>
      <c r="E39">
        <v>1.4400999999999999</v>
      </c>
      <c r="F39">
        <v>1.3594999999999999</v>
      </c>
      <c r="G39">
        <v>1.2293000000000001</v>
      </c>
      <c r="H39">
        <v>1.5011000000000001</v>
      </c>
      <c r="I39">
        <v>1.3662000000000001</v>
      </c>
      <c r="J39">
        <v>1.1153</v>
      </c>
      <c r="K39">
        <v>0.99639999999999995</v>
      </c>
      <c r="L39">
        <v>6.0400000000000002E-2</v>
      </c>
      <c r="M39">
        <v>6.7699999999999996E-2</v>
      </c>
      <c r="N39">
        <v>6.5600000000000006E-2</v>
      </c>
    </row>
    <row r="40" spans="1:31" x14ac:dyDescent="0.25">
      <c r="C40">
        <v>2.4870000000000001</v>
      </c>
      <c r="D40">
        <v>1.8223</v>
      </c>
      <c r="E40">
        <v>0.92420000000000002</v>
      </c>
      <c r="F40">
        <v>1.0271999999999999</v>
      </c>
      <c r="G40">
        <v>1.0416000000000001</v>
      </c>
      <c r="H40">
        <v>1.3512999999999999</v>
      </c>
      <c r="I40">
        <v>1.1036999999999999</v>
      </c>
      <c r="J40">
        <v>0.92259999999999998</v>
      </c>
      <c r="K40">
        <v>0.6512</v>
      </c>
      <c r="L40">
        <v>6.4500000000000002E-2</v>
      </c>
      <c r="M40">
        <v>6.8599999999999994E-2</v>
      </c>
      <c r="N40">
        <v>7.1800000000000003E-2</v>
      </c>
    </row>
    <row r="42" spans="1:31" x14ac:dyDescent="0.25">
      <c r="A42" t="s">
        <v>146</v>
      </c>
      <c r="B42" t="s">
        <v>150</v>
      </c>
    </row>
    <row r="43" spans="1:31" x14ac:dyDescent="0.25">
      <c r="A43" t="s">
        <v>139</v>
      </c>
      <c r="B43" t="s">
        <v>152</v>
      </c>
      <c r="C43">
        <v>1.3</v>
      </c>
      <c r="D43">
        <v>-1</v>
      </c>
      <c r="E43">
        <v>-2</v>
      </c>
      <c r="F43">
        <v>-3</v>
      </c>
      <c r="G43">
        <v>-4</v>
      </c>
      <c r="H43">
        <v>-5</v>
      </c>
      <c r="I43">
        <v>-6</v>
      </c>
      <c r="J43">
        <v>-7</v>
      </c>
      <c r="K43">
        <v>-8</v>
      </c>
      <c r="L43">
        <v>-9</v>
      </c>
      <c r="M43">
        <v>-10</v>
      </c>
      <c r="N43">
        <v>-11</v>
      </c>
      <c r="P43">
        <v>1</v>
      </c>
      <c r="Q43">
        <v>620</v>
      </c>
      <c r="R43">
        <v>1</v>
      </c>
      <c r="S43">
        <v>12</v>
      </c>
      <c r="T43">
        <v>96</v>
      </c>
      <c r="U43">
        <v>571</v>
      </c>
      <c r="V43" t="s">
        <v>149</v>
      </c>
      <c r="W43">
        <v>610</v>
      </c>
      <c r="Z43">
        <v>6</v>
      </c>
      <c r="AD43">
        <v>1</v>
      </c>
      <c r="AE43">
        <v>8</v>
      </c>
    </row>
    <row r="44" spans="1:31" x14ac:dyDescent="0.25">
      <c r="B44" t="s">
        <v>145</v>
      </c>
      <c r="C44">
        <v>1</v>
      </c>
      <c r="D44">
        <v>2</v>
      </c>
      <c r="E44">
        <v>3</v>
      </c>
      <c r="F44">
        <v>4</v>
      </c>
      <c r="G44">
        <v>5</v>
      </c>
      <c r="H44">
        <v>6</v>
      </c>
      <c r="I44">
        <v>7</v>
      </c>
      <c r="J44">
        <v>8</v>
      </c>
      <c r="K44">
        <v>9</v>
      </c>
      <c r="L44">
        <v>10</v>
      </c>
      <c r="M44">
        <v>11</v>
      </c>
      <c r="N44">
        <v>12</v>
      </c>
    </row>
    <row r="45" spans="1:31" x14ac:dyDescent="0.25">
      <c r="B45">
        <v>24</v>
      </c>
      <c r="C45">
        <v>16.004999999999999</v>
      </c>
      <c r="D45" s="23">
        <v>332.495</v>
      </c>
      <c r="E45" s="23">
        <v>383.51799999999997</v>
      </c>
      <c r="F45" s="23">
        <v>360.72699999999998</v>
      </c>
      <c r="G45" s="23">
        <v>336.11399999999998</v>
      </c>
      <c r="H45" s="23">
        <v>460.44900000000001</v>
      </c>
      <c r="I45" s="23">
        <v>519.26300000000003</v>
      </c>
      <c r="J45" s="23">
        <v>360.79599999999999</v>
      </c>
      <c r="K45">
        <v>3.5870000000000002</v>
      </c>
      <c r="L45">
        <v>3.1469999999999998</v>
      </c>
      <c r="M45">
        <v>2.9350000000000001</v>
      </c>
      <c r="N45">
        <v>3.1739999999999999</v>
      </c>
    </row>
    <row r="46" spans="1:31" x14ac:dyDescent="0.25">
      <c r="C46">
        <v>17.734000000000002</v>
      </c>
      <c r="D46" s="23">
        <v>503.27499999999998</v>
      </c>
      <c r="E46" s="23">
        <v>369.22</v>
      </c>
      <c r="F46" s="23">
        <v>276.01600000000002</v>
      </c>
      <c r="G46" s="23">
        <v>303.63400000000001</v>
      </c>
      <c r="H46" s="23">
        <v>392.31799999999998</v>
      </c>
      <c r="I46" s="23">
        <v>435.75200000000001</v>
      </c>
      <c r="J46" s="23">
        <v>352.71499999999997</v>
      </c>
      <c r="K46" s="23">
        <v>341.62799999999999</v>
      </c>
      <c r="L46" s="23">
        <v>249.01499999999999</v>
      </c>
      <c r="M46">
        <v>3.2869999999999999</v>
      </c>
      <c r="N46">
        <v>3.0289999999999999</v>
      </c>
    </row>
    <row r="47" spans="1:31" x14ac:dyDescent="0.25">
      <c r="C47">
        <v>19.027999999999999</v>
      </c>
      <c r="D47" s="23">
        <v>540.95899999999995</v>
      </c>
      <c r="E47" s="23">
        <v>339.59100000000001</v>
      </c>
      <c r="F47" s="23">
        <v>299.786</v>
      </c>
      <c r="G47" s="23">
        <v>286.58100000000002</v>
      </c>
      <c r="H47" s="23">
        <v>358.63799999999998</v>
      </c>
      <c r="I47" s="23">
        <v>373.34899999999999</v>
      </c>
      <c r="J47" s="23">
        <v>347.38600000000002</v>
      </c>
      <c r="K47">
        <v>3.4689999999999999</v>
      </c>
      <c r="L47">
        <v>3.6880000000000002</v>
      </c>
      <c r="M47">
        <v>3.1150000000000002</v>
      </c>
      <c r="N47">
        <v>3.1269999999999998</v>
      </c>
    </row>
    <row r="48" spans="1:31" x14ac:dyDescent="0.25">
      <c r="C48">
        <v>18.789000000000001</v>
      </c>
      <c r="D48" s="23">
        <v>514.52</v>
      </c>
      <c r="E48" s="23">
        <v>342.05799999999999</v>
      </c>
      <c r="F48" s="23">
        <v>291.04700000000003</v>
      </c>
      <c r="G48" s="23">
        <v>277.75799999999998</v>
      </c>
      <c r="H48" s="23">
        <v>330.87900000000002</v>
      </c>
      <c r="I48" s="23">
        <v>361.68400000000003</v>
      </c>
      <c r="J48" s="23">
        <v>348.96800000000002</v>
      </c>
      <c r="K48" s="23">
        <v>174.58500000000001</v>
      </c>
      <c r="L48">
        <v>3.4350000000000001</v>
      </c>
      <c r="M48">
        <v>3.6819999999999999</v>
      </c>
      <c r="N48">
        <v>3.706</v>
      </c>
    </row>
    <row r="49" spans="1:21" x14ac:dyDescent="0.25">
      <c r="C49">
        <v>17.346</v>
      </c>
      <c r="D49" s="23">
        <v>430.245</v>
      </c>
      <c r="E49" s="23">
        <v>306.04000000000002</v>
      </c>
      <c r="F49" s="23">
        <v>290.48899999999998</v>
      </c>
      <c r="G49" s="23">
        <v>279.01799999999997</v>
      </c>
      <c r="H49" s="23">
        <v>341.05399999999997</v>
      </c>
      <c r="I49" s="23">
        <v>372.65</v>
      </c>
      <c r="J49" s="23">
        <v>337.20800000000003</v>
      </c>
      <c r="K49">
        <v>3.27</v>
      </c>
      <c r="L49">
        <v>3.0110000000000001</v>
      </c>
      <c r="M49">
        <v>3.3439999999999999</v>
      </c>
      <c r="N49">
        <v>3.141</v>
      </c>
    </row>
    <row r="50" spans="1:21" x14ac:dyDescent="0.25">
      <c r="C50">
        <v>16.510999999999999</v>
      </c>
      <c r="D50" s="23">
        <v>592.27200000000005</v>
      </c>
      <c r="E50" s="23">
        <v>341.84699999999998</v>
      </c>
      <c r="F50" s="23">
        <v>294.714</v>
      </c>
      <c r="G50" s="23">
        <v>289.065</v>
      </c>
      <c r="H50" s="23">
        <v>357.97199999999998</v>
      </c>
      <c r="I50" s="23">
        <v>360.98700000000002</v>
      </c>
      <c r="J50" s="23">
        <v>355.09100000000001</v>
      </c>
      <c r="K50" s="23">
        <v>295.48099999999999</v>
      </c>
      <c r="L50">
        <v>3.548</v>
      </c>
      <c r="M50">
        <v>3.3050000000000002</v>
      </c>
      <c r="N50">
        <v>3.206</v>
      </c>
    </row>
    <row r="51" spans="1:21" x14ac:dyDescent="0.25">
      <c r="C51">
        <v>17.754000000000001</v>
      </c>
      <c r="D51" s="23">
        <v>606.60400000000004</v>
      </c>
      <c r="E51" s="23">
        <v>389.45800000000003</v>
      </c>
      <c r="F51" s="23">
        <v>326.14800000000002</v>
      </c>
      <c r="G51" s="23">
        <v>296.87599999999998</v>
      </c>
      <c r="H51" s="23">
        <v>391.87</v>
      </c>
      <c r="I51" s="23">
        <v>402.952</v>
      </c>
      <c r="J51" s="23">
        <v>343.29</v>
      </c>
      <c r="K51" s="23">
        <v>324.16899999999998</v>
      </c>
      <c r="L51">
        <v>3.524</v>
      </c>
      <c r="M51">
        <v>2.8540000000000001</v>
      </c>
      <c r="N51">
        <v>3.1720000000000002</v>
      </c>
    </row>
    <row r="52" spans="1:21" x14ac:dyDescent="0.25">
      <c r="C52">
        <v>19.738</v>
      </c>
      <c r="D52" s="23">
        <v>832.97900000000004</v>
      </c>
      <c r="E52" s="23">
        <v>435.01900000000001</v>
      </c>
      <c r="F52" s="23">
        <v>347.67599999999999</v>
      </c>
      <c r="G52" s="23">
        <v>309.7</v>
      </c>
      <c r="H52" s="23">
        <v>417.952</v>
      </c>
      <c r="I52" s="23">
        <v>384.01</v>
      </c>
      <c r="J52" s="23">
        <v>321.12400000000002</v>
      </c>
      <c r="K52" s="23">
        <v>245.51900000000001</v>
      </c>
      <c r="L52">
        <v>2.5590000000000002</v>
      </c>
      <c r="M52">
        <v>3.2639999999999998</v>
      </c>
      <c r="N52">
        <v>3.0089999999999999</v>
      </c>
    </row>
    <row r="54" spans="1:21" x14ac:dyDescent="0.25">
      <c r="A54" t="s">
        <v>146</v>
      </c>
      <c r="B54" t="s">
        <v>153</v>
      </c>
    </row>
    <row r="55" spans="1:21" x14ac:dyDescent="0.25">
      <c r="A55" t="s">
        <v>139</v>
      </c>
      <c r="B55" t="s">
        <v>154</v>
      </c>
      <c r="C55">
        <v>1.3</v>
      </c>
      <c r="D55" t="s">
        <v>141</v>
      </c>
      <c r="E55" t="s">
        <v>142</v>
      </c>
      <c r="F55" t="s">
        <v>143</v>
      </c>
      <c r="G55" t="s">
        <v>144</v>
      </c>
      <c r="H55" t="b">
        <v>0</v>
      </c>
      <c r="I55">
        <v>1</v>
      </c>
      <c r="O55">
        <v>1</v>
      </c>
      <c r="P55">
        <v>620</v>
      </c>
      <c r="Q55">
        <v>1</v>
      </c>
      <c r="R55">
        <v>12</v>
      </c>
      <c r="S55">
        <v>96</v>
      </c>
      <c r="T55">
        <v>1</v>
      </c>
      <c r="U55">
        <v>8</v>
      </c>
    </row>
    <row r="56" spans="1:21" x14ac:dyDescent="0.25">
      <c r="B56" t="s">
        <v>145</v>
      </c>
      <c r="C56">
        <v>1</v>
      </c>
      <c r="D56">
        <v>2</v>
      </c>
      <c r="E56">
        <v>3</v>
      </c>
      <c r="F56">
        <v>4</v>
      </c>
      <c r="G56">
        <v>5</v>
      </c>
      <c r="H56">
        <v>6</v>
      </c>
      <c r="I56">
        <v>7</v>
      </c>
      <c r="J56">
        <v>8</v>
      </c>
      <c r="K56">
        <v>9</v>
      </c>
      <c r="L56">
        <v>10</v>
      </c>
      <c r="M56">
        <v>11</v>
      </c>
      <c r="N56">
        <v>12</v>
      </c>
    </row>
    <row r="57" spans="1:21" x14ac:dyDescent="0.25">
      <c r="B57">
        <v>24.1</v>
      </c>
      <c r="C57">
        <v>1.8322000000000001</v>
      </c>
      <c r="D57">
        <v>0.38390000000000002</v>
      </c>
      <c r="E57">
        <v>0.68269999999999997</v>
      </c>
      <c r="F57">
        <v>0.85940000000000005</v>
      </c>
      <c r="G57">
        <v>0.83220000000000005</v>
      </c>
      <c r="H57">
        <v>1.3714999999999999</v>
      </c>
      <c r="I57">
        <v>1.3333999999999999</v>
      </c>
      <c r="J57">
        <v>0.81899999999999995</v>
      </c>
      <c r="K57">
        <v>0.7087</v>
      </c>
      <c r="L57">
        <v>8.3500000000000005E-2</v>
      </c>
      <c r="M57">
        <v>8.5500000000000007E-2</v>
      </c>
      <c r="N57">
        <v>8.8900000000000007E-2</v>
      </c>
    </row>
    <row r="58" spans="1:21" x14ac:dyDescent="0.25">
      <c r="C58">
        <v>1.5563</v>
      </c>
      <c r="D58">
        <v>1.8128</v>
      </c>
      <c r="E58">
        <v>1.3191999999999999</v>
      </c>
      <c r="F58">
        <v>1.2063999999999999</v>
      </c>
      <c r="G58">
        <v>1.2649999999999999</v>
      </c>
      <c r="H58">
        <v>1.5284</v>
      </c>
      <c r="I58">
        <v>1.6378999999999999</v>
      </c>
      <c r="J58">
        <v>1.2790999999999999</v>
      </c>
      <c r="K58">
        <v>1.0546</v>
      </c>
      <c r="L58">
        <v>7.0499999999999993E-2</v>
      </c>
      <c r="M58">
        <v>7.0699999999999999E-2</v>
      </c>
      <c r="N58">
        <v>7.4899999999999994E-2</v>
      </c>
    </row>
    <row r="59" spans="1:21" x14ac:dyDescent="0.25">
      <c r="C59">
        <v>2.3026</v>
      </c>
      <c r="D59">
        <v>1.8122</v>
      </c>
      <c r="E59">
        <v>1.3939999999999999</v>
      </c>
      <c r="F59">
        <v>1.1628000000000001</v>
      </c>
      <c r="G59">
        <v>1.3353999999999999</v>
      </c>
      <c r="H59">
        <v>1.5857000000000001</v>
      </c>
      <c r="I59">
        <v>1.6677999999999999</v>
      </c>
      <c r="J59">
        <v>1.3754</v>
      </c>
      <c r="K59">
        <v>1.1238999999999999</v>
      </c>
      <c r="L59">
        <v>6.6000000000000003E-2</v>
      </c>
      <c r="M59">
        <v>6.2399999999999997E-2</v>
      </c>
      <c r="N59">
        <v>7.1999999999999995E-2</v>
      </c>
    </row>
    <row r="60" spans="1:21" x14ac:dyDescent="0.25">
      <c r="C60">
        <v>2.3574000000000002</v>
      </c>
      <c r="D60">
        <v>1.7845</v>
      </c>
      <c r="E60">
        <v>1.3059000000000001</v>
      </c>
      <c r="F60">
        <v>1.1569</v>
      </c>
      <c r="G60">
        <v>1.3189</v>
      </c>
      <c r="H60">
        <v>1.6192</v>
      </c>
      <c r="I60">
        <v>1.6914</v>
      </c>
      <c r="J60">
        <v>1.3286</v>
      </c>
      <c r="K60">
        <v>5.8299999999999998E-2</v>
      </c>
      <c r="L60">
        <v>6.2600000000000003E-2</v>
      </c>
      <c r="M60">
        <v>6.4600000000000005E-2</v>
      </c>
      <c r="N60">
        <v>7.3599999999999999E-2</v>
      </c>
    </row>
    <row r="61" spans="1:21" x14ac:dyDescent="0.25">
      <c r="C61">
        <v>2.3755000000000002</v>
      </c>
      <c r="D61">
        <v>2.0084</v>
      </c>
      <c r="E61">
        <v>1.3036000000000001</v>
      </c>
      <c r="F61">
        <v>1.4131</v>
      </c>
      <c r="G61">
        <v>1.3298000000000001</v>
      </c>
      <c r="H61">
        <v>1.5603</v>
      </c>
      <c r="I61">
        <v>1.7136</v>
      </c>
      <c r="J61">
        <v>1.4588000000000001</v>
      </c>
      <c r="K61">
        <v>5.9900000000000002E-2</v>
      </c>
      <c r="L61">
        <v>6.2399999999999997E-2</v>
      </c>
      <c r="M61">
        <v>6.13E-2</v>
      </c>
      <c r="N61">
        <v>6.8400000000000002E-2</v>
      </c>
    </row>
    <row r="62" spans="1:21" x14ac:dyDescent="0.25">
      <c r="C62">
        <v>2.4036</v>
      </c>
      <c r="D62">
        <v>1.9323999999999999</v>
      </c>
      <c r="E62">
        <v>1.2865</v>
      </c>
      <c r="F62">
        <v>1.1657999999999999</v>
      </c>
      <c r="G62">
        <v>1.3416999999999999</v>
      </c>
      <c r="H62">
        <v>1.5903</v>
      </c>
      <c r="I62">
        <v>1.6580999999999999</v>
      </c>
      <c r="J62">
        <v>1.3496999999999999</v>
      </c>
      <c r="K62">
        <v>1.1572</v>
      </c>
      <c r="L62">
        <v>6.2600000000000003E-2</v>
      </c>
      <c r="M62">
        <v>6.4600000000000005E-2</v>
      </c>
      <c r="N62">
        <v>7.1499999999999994E-2</v>
      </c>
    </row>
    <row r="63" spans="1:21" x14ac:dyDescent="0.25">
      <c r="C63">
        <v>2.1036999999999999</v>
      </c>
      <c r="D63">
        <v>2.0855000000000001</v>
      </c>
      <c r="E63">
        <v>1.3170999999999999</v>
      </c>
      <c r="F63">
        <v>1.1524000000000001</v>
      </c>
      <c r="G63">
        <v>1.2333000000000001</v>
      </c>
      <c r="H63">
        <v>1.4525999999999999</v>
      </c>
      <c r="I63">
        <v>1.6503000000000001</v>
      </c>
      <c r="J63">
        <v>1.4502999999999999</v>
      </c>
      <c r="K63">
        <v>6.2399999999999997E-2</v>
      </c>
      <c r="L63">
        <v>6.2100000000000002E-2</v>
      </c>
      <c r="M63">
        <v>6.59E-2</v>
      </c>
      <c r="N63">
        <v>7.2400000000000006E-2</v>
      </c>
    </row>
    <row r="64" spans="1:21" x14ac:dyDescent="0.25">
      <c r="C64">
        <v>2.3491</v>
      </c>
      <c r="D64">
        <v>1.8073999999999999</v>
      </c>
      <c r="E64">
        <v>1.0254000000000001</v>
      </c>
      <c r="F64">
        <v>0.98529999999999995</v>
      </c>
      <c r="G64">
        <v>0.90680000000000005</v>
      </c>
      <c r="H64">
        <v>1.462</v>
      </c>
      <c r="I64">
        <v>1.3573999999999999</v>
      </c>
      <c r="J64">
        <v>1.1553</v>
      </c>
      <c r="K64">
        <v>6.7400000000000002E-2</v>
      </c>
      <c r="L64">
        <v>7.0199999999999999E-2</v>
      </c>
      <c r="M64">
        <v>7.6600000000000001E-2</v>
      </c>
      <c r="N64">
        <v>7.2099999999999997E-2</v>
      </c>
    </row>
    <row r="66" spans="1:31" x14ac:dyDescent="0.25">
      <c r="A66" t="s">
        <v>146</v>
      </c>
      <c r="B66" t="s">
        <v>153</v>
      </c>
    </row>
    <row r="67" spans="1:31" x14ac:dyDescent="0.25">
      <c r="A67" t="s">
        <v>139</v>
      </c>
      <c r="B67" t="s">
        <v>155</v>
      </c>
      <c r="C67">
        <v>1.3</v>
      </c>
      <c r="D67">
        <v>-1</v>
      </c>
      <c r="E67">
        <v>-2</v>
      </c>
      <c r="F67">
        <v>-3</v>
      </c>
      <c r="G67">
        <v>-4</v>
      </c>
      <c r="H67">
        <v>-5</v>
      </c>
      <c r="I67">
        <v>-6</v>
      </c>
      <c r="J67">
        <v>-7</v>
      </c>
      <c r="K67">
        <v>-8</v>
      </c>
      <c r="L67">
        <v>-9</v>
      </c>
      <c r="M67">
        <v>-10</v>
      </c>
      <c r="N67">
        <v>-11</v>
      </c>
      <c r="P67">
        <v>1</v>
      </c>
      <c r="Q67">
        <v>620</v>
      </c>
      <c r="R67">
        <v>1</v>
      </c>
      <c r="S67">
        <v>12</v>
      </c>
      <c r="T67">
        <v>96</v>
      </c>
      <c r="U67">
        <v>571</v>
      </c>
      <c r="V67" t="s">
        <v>149</v>
      </c>
      <c r="W67">
        <v>610</v>
      </c>
      <c r="Z67">
        <v>6</v>
      </c>
      <c r="AD67">
        <v>1</v>
      </c>
      <c r="AE67">
        <v>8</v>
      </c>
    </row>
    <row r="68" spans="1:31" x14ac:dyDescent="0.25">
      <c r="B68" t="s">
        <v>145</v>
      </c>
      <c r="C68">
        <v>1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  <c r="M68">
        <v>11</v>
      </c>
      <c r="N68">
        <v>12</v>
      </c>
    </row>
    <row r="69" spans="1:31" x14ac:dyDescent="0.25">
      <c r="B69">
        <v>24.2</v>
      </c>
      <c r="C69">
        <v>20.946999999999999</v>
      </c>
      <c r="D69" s="23">
        <v>296.202</v>
      </c>
      <c r="E69" s="23">
        <v>345.05599999999998</v>
      </c>
      <c r="F69" s="23">
        <v>337.90499999999997</v>
      </c>
      <c r="G69" s="23">
        <v>216.584</v>
      </c>
      <c r="H69" s="23">
        <v>462.74700000000001</v>
      </c>
      <c r="I69" s="23">
        <v>483.74299999999999</v>
      </c>
      <c r="J69" s="23">
        <v>287.29399999999998</v>
      </c>
      <c r="K69" s="23">
        <v>298.49099999999999</v>
      </c>
      <c r="L69">
        <v>3.3279999999999998</v>
      </c>
      <c r="M69">
        <v>3.633</v>
      </c>
      <c r="N69">
        <v>4.2729999999999997</v>
      </c>
    </row>
    <row r="70" spans="1:31" x14ac:dyDescent="0.25">
      <c r="C70">
        <v>15.32</v>
      </c>
      <c r="D70" s="23">
        <v>370.24200000000002</v>
      </c>
      <c r="E70" s="23">
        <v>303.91300000000001</v>
      </c>
      <c r="F70" s="23">
        <v>267.13</v>
      </c>
      <c r="G70" s="23">
        <v>304.05200000000002</v>
      </c>
      <c r="H70" s="23">
        <v>402.93400000000003</v>
      </c>
      <c r="I70" s="23">
        <v>453.483</v>
      </c>
      <c r="J70" s="23">
        <v>369.21699999999998</v>
      </c>
      <c r="K70" s="23">
        <v>318.65800000000002</v>
      </c>
      <c r="L70">
        <v>3.907</v>
      </c>
      <c r="M70">
        <v>3.4249999999999998</v>
      </c>
      <c r="N70">
        <v>3.827</v>
      </c>
    </row>
    <row r="71" spans="1:31" x14ac:dyDescent="0.25">
      <c r="C71">
        <v>15.128</v>
      </c>
      <c r="D71" s="23">
        <v>373.43700000000001</v>
      </c>
      <c r="E71" s="23">
        <v>307.56099999999998</v>
      </c>
      <c r="F71" s="23">
        <v>248.71299999999999</v>
      </c>
      <c r="G71" s="23">
        <v>300.39999999999998</v>
      </c>
      <c r="H71" s="23">
        <v>369.59399999999999</v>
      </c>
      <c r="I71" s="23">
        <v>408.57499999999999</v>
      </c>
      <c r="J71" s="23">
        <v>350.24099999999999</v>
      </c>
      <c r="K71" s="23">
        <v>302.83199999999999</v>
      </c>
      <c r="L71">
        <v>3.5670000000000002</v>
      </c>
      <c r="M71">
        <v>3.5710000000000002</v>
      </c>
      <c r="N71">
        <v>3.294</v>
      </c>
    </row>
    <row r="72" spans="1:31" x14ac:dyDescent="0.25">
      <c r="C72">
        <v>21.276</v>
      </c>
      <c r="D72" s="23">
        <v>352.59800000000001</v>
      </c>
      <c r="E72" s="23">
        <v>284.11399999999998</v>
      </c>
      <c r="F72" s="23">
        <v>244.50800000000001</v>
      </c>
      <c r="G72" s="23">
        <v>286.99299999999999</v>
      </c>
      <c r="H72" s="23">
        <v>374.66300000000001</v>
      </c>
      <c r="I72" s="23">
        <v>405.88200000000001</v>
      </c>
      <c r="J72" s="23">
        <v>329.76100000000002</v>
      </c>
      <c r="K72">
        <v>4.1109999999999998</v>
      </c>
      <c r="L72">
        <v>3.7469999999999999</v>
      </c>
      <c r="M72">
        <v>3.4409999999999998</v>
      </c>
      <c r="N72">
        <v>3.5409999999999999</v>
      </c>
    </row>
    <row r="73" spans="1:31" x14ac:dyDescent="0.25">
      <c r="C73">
        <v>13.62</v>
      </c>
      <c r="D73" s="23">
        <v>331.92899999999997</v>
      </c>
      <c r="E73" s="23">
        <v>284.125</v>
      </c>
      <c r="F73" s="23">
        <v>292.45400000000001</v>
      </c>
      <c r="G73" s="23">
        <v>292.63299999999998</v>
      </c>
      <c r="H73" s="23">
        <v>360.40600000000001</v>
      </c>
      <c r="I73" s="23">
        <v>412.78100000000001</v>
      </c>
      <c r="J73" s="23">
        <v>376.61799999999999</v>
      </c>
      <c r="K73">
        <v>3.871</v>
      </c>
      <c r="L73">
        <v>4.0220000000000002</v>
      </c>
      <c r="M73">
        <v>3.4740000000000002</v>
      </c>
      <c r="N73">
        <v>4.0129999999999999</v>
      </c>
    </row>
    <row r="74" spans="1:31" x14ac:dyDescent="0.25">
      <c r="C74">
        <v>14.435</v>
      </c>
      <c r="D74" s="23">
        <v>344.40300000000002</v>
      </c>
      <c r="E74" s="23">
        <v>287.11399999999998</v>
      </c>
      <c r="F74" s="23">
        <v>246.36</v>
      </c>
      <c r="G74" s="23">
        <v>295.08800000000002</v>
      </c>
      <c r="H74" s="23">
        <v>379.041</v>
      </c>
      <c r="I74" s="23">
        <v>425.524</v>
      </c>
      <c r="J74" s="23">
        <v>339.53800000000001</v>
      </c>
      <c r="K74" s="23">
        <v>300.28399999999999</v>
      </c>
      <c r="L74">
        <v>3.6110000000000002</v>
      </c>
      <c r="M74">
        <v>2.9369999999999998</v>
      </c>
      <c r="N74">
        <v>3.9350000000000001</v>
      </c>
    </row>
    <row r="75" spans="1:31" x14ac:dyDescent="0.25">
      <c r="C75">
        <v>17.788</v>
      </c>
      <c r="D75" s="23">
        <v>405.12200000000001</v>
      </c>
      <c r="E75" s="23">
        <v>309.53699999999998</v>
      </c>
      <c r="F75" s="23">
        <v>258.89</v>
      </c>
      <c r="G75" s="23">
        <v>215.12</v>
      </c>
      <c r="H75" s="23">
        <v>353.97399999999999</v>
      </c>
      <c r="I75" s="23">
        <v>423.23700000000002</v>
      </c>
      <c r="J75" s="23">
        <v>405.072</v>
      </c>
      <c r="K75">
        <v>3.6110000000000002</v>
      </c>
      <c r="L75">
        <v>3.3809999999999998</v>
      </c>
      <c r="M75">
        <v>3.5339999999999998</v>
      </c>
      <c r="N75">
        <v>3.8740000000000001</v>
      </c>
    </row>
    <row r="76" spans="1:31" x14ac:dyDescent="0.25">
      <c r="C76">
        <v>18.693000000000001</v>
      </c>
      <c r="D76" s="23">
        <v>476.30200000000002</v>
      </c>
      <c r="E76" s="23">
        <v>331.72</v>
      </c>
      <c r="F76" s="23">
        <v>290.44400000000002</v>
      </c>
      <c r="G76" s="23">
        <v>301.99400000000003</v>
      </c>
      <c r="H76" s="23">
        <v>426.29199999999997</v>
      </c>
      <c r="I76" s="23">
        <v>478.66500000000002</v>
      </c>
      <c r="J76" s="23">
        <v>369.61200000000002</v>
      </c>
      <c r="K76">
        <v>3.9239999999999999</v>
      </c>
      <c r="L76">
        <v>3.5419999999999998</v>
      </c>
      <c r="M76">
        <v>3.181</v>
      </c>
      <c r="N76">
        <v>3.7450000000000001</v>
      </c>
    </row>
    <row r="78" spans="1:31" x14ac:dyDescent="0.25">
      <c r="A78" t="s">
        <v>146</v>
      </c>
      <c r="B78" t="s">
        <v>156</v>
      </c>
    </row>
    <row r="79" spans="1:31" x14ac:dyDescent="0.25">
      <c r="A79" t="s">
        <v>139</v>
      </c>
      <c r="B79" t="s">
        <v>140</v>
      </c>
      <c r="C79">
        <v>1.3</v>
      </c>
      <c r="D79" t="s">
        <v>141</v>
      </c>
      <c r="E79" t="s">
        <v>142</v>
      </c>
      <c r="F79" t="s">
        <v>143</v>
      </c>
      <c r="G79" t="s">
        <v>144</v>
      </c>
      <c r="H79" t="b">
        <v>0</v>
      </c>
      <c r="I79">
        <v>1</v>
      </c>
      <c r="O79">
        <v>1</v>
      </c>
      <c r="P79">
        <v>620</v>
      </c>
      <c r="Q79">
        <v>1</v>
      </c>
      <c r="R79">
        <v>12</v>
      </c>
      <c r="S79">
        <v>96</v>
      </c>
      <c r="T79">
        <v>1</v>
      </c>
      <c r="U79">
        <v>8</v>
      </c>
    </row>
    <row r="80" spans="1:31" x14ac:dyDescent="0.25">
      <c r="B80" t="s">
        <v>145</v>
      </c>
      <c r="C80">
        <v>1</v>
      </c>
      <c r="D80">
        <v>2</v>
      </c>
      <c r="E80">
        <v>3</v>
      </c>
      <c r="F80">
        <v>4</v>
      </c>
      <c r="G80">
        <v>5</v>
      </c>
      <c r="H80">
        <v>6</v>
      </c>
      <c r="I80">
        <v>7</v>
      </c>
      <c r="J80">
        <v>8</v>
      </c>
      <c r="K80">
        <v>9</v>
      </c>
      <c r="L80">
        <v>10</v>
      </c>
      <c r="M80">
        <v>11</v>
      </c>
      <c r="N80">
        <v>12</v>
      </c>
    </row>
    <row r="81" spans="1:31" x14ac:dyDescent="0.25">
      <c r="B81">
        <v>24.3</v>
      </c>
      <c r="C81">
        <v>2.7347000000000001</v>
      </c>
      <c r="D81">
        <v>2.1596000000000002</v>
      </c>
      <c r="E81">
        <v>1.5183</v>
      </c>
      <c r="F81">
        <v>1.3498000000000001</v>
      </c>
      <c r="G81">
        <v>1.5728</v>
      </c>
      <c r="H81">
        <v>1.4462999999999999</v>
      </c>
      <c r="I81">
        <v>1.349</v>
      </c>
      <c r="J81">
        <v>0.84509999999999996</v>
      </c>
      <c r="K81">
        <v>6.3299999999999995E-2</v>
      </c>
      <c r="L81">
        <v>6.8400000000000002E-2</v>
      </c>
      <c r="M81">
        <v>7.1499999999999994E-2</v>
      </c>
      <c r="N81">
        <v>8.0600000000000005E-2</v>
      </c>
    </row>
    <row r="82" spans="1:31" x14ac:dyDescent="0.25">
      <c r="C82">
        <v>2.8231999999999999</v>
      </c>
      <c r="D82">
        <v>2.2349000000000001</v>
      </c>
      <c r="E82">
        <v>1.5641</v>
      </c>
      <c r="F82">
        <v>1.3705000000000001</v>
      </c>
      <c r="G82">
        <v>1.5758000000000001</v>
      </c>
      <c r="H82">
        <v>1.5224</v>
      </c>
      <c r="I82">
        <v>1.1955</v>
      </c>
      <c r="J82">
        <v>1.0694999999999999</v>
      </c>
      <c r="K82">
        <v>6.1600000000000002E-2</v>
      </c>
      <c r="L82">
        <v>6.5000000000000002E-2</v>
      </c>
      <c r="M82">
        <v>6.6799999999999998E-2</v>
      </c>
      <c r="N82">
        <v>6.7900000000000002E-2</v>
      </c>
    </row>
    <row r="83" spans="1:31" x14ac:dyDescent="0.25">
      <c r="C83">
        <v>3.2004999999999999</v>
      </c>
      <c r="D83">
        <v>2.3612000000000002</v>
      </c>
      <c r="E83">
        <v>1.5795999999999999</v>
      </c>
      <c r="F83">
        <v>1.3702000000000001</v>
      </c>
      <c r="G83">
        <v>1.5783</v>
      </c>
      <c r="H83">
        <v>1.5234000000000001</v>
      </c>
      <c r="I83">
        <v>1.3848</v>
      </c>
      <c r="J83">
        <v>1.1305000000000001</v>
      </c>
      <c r="K83">
        <v>5.8400000000000001E-2</v>
      </c>
      <c r="L83">
        <v>7.0999999999999994E-2</v>
      </c>
      <c r="M83">
        <v>6.1199999999999997E-2</v>
      </c>
      <c r="N83">
        <v>6.5500000000000003E-2</v>
      </c>
    </row>
    <row r="84" spans="1:31" x14ac:dyDescent="0.25">
      <c r="C84">
        <v>2.7934999999999999</v>
      </c>
      <c r="D84">
        <v>2.0445000000000002</v>
      </c>
      <c r="E84">
        <v>1.5558000000000001</v>
      </c>
      <c r="F84">
        <v>1.3486</v>
      </c>
      <c r="G84">
        <v>1.5835999999999999</v>
      </c>
      <c r="H84">
        <v>1.5165999999999999</v>
      </c>
      <c r="I84">
        <v>1.3162</v>
      </c>
      <c r="J84">
        <v>1.0616000000000001</v>
      </c>
      <c r="K84">
        <v>5.7200000000000001E-2</v>
      </c>
      <c r="L84">
        <v>6.0499999999999998E-2</v>
      </c>
      <c r="M84">
        <v>6.1800000000000001E-2</v>
      </c>
      <c r="N84">
        <v>6.5799999999999997E-2</v>
      </c>
    </row>
    <row r="85" spans="1:31" x14ac:dyDescent="0.25">
      <c r="C85">
        <v>2.7008999999999999</v>
      </c>
      <c r="D85">
        <v>2.0053999999999998</v>
      </c>
      <c r="E85">
        <v>1.5363</v>
      </c>
      <c r="F85">
        <v>1.3532999999999999</v>
      </c>
      <c r="G85">
        <v>1.5564</v>
      </c>
      <c r="H85">
        <v>1.5386</v>
      </c>
      <c r="I85">
        <v>1.3587</v>
      </c>
      <c r="J85">
        <v>1.0636000000000001</v>
      </c>
      <c r="K85">
        <v>5.79E-2</v>
      </c>
      <c r="L85">
        <v>6.08E-2</v>
      </c>
      <c r="M85">
        <v>6.0400000000000002E-2</v>
      </c>
      <c r="N85">
        <v>6.3200000000000006E-2</v>
      </c>
    </row>
    <row r="86" spans="1:31" x14ac:dyDescent="0.25">
      <c r="C86">
        <v>3.07</v>
      </c>
      <c r="D86">
        <v>2.3020999999999998</v>
      </c>
      <c r="E86">
        <v>1.5528</v>
      </c>
      <c r="F86">
        <v>1.3798999999999999</v>
      </c>
      <c r="G86">
        <v>1.6008</v>
      </c>
      <c r="H86">
        <v>1.5303</v>
      </c>
      <c r="I86">
        <v>1.3603000000000001</v>
      </c>
      <c r="J86">
        <v>6.0299999999999999E-2</v>
      </c>
      <c r="K86">
        <v>5.8400000000000001E-2</v>
      </c>
      <c r="L86">
        <v>6.1100000000000002E-2</v>
      </c>
      <c r="M86">
        <v>6.1600000000000002E-2</v>
      </c>
      <c r="N86">
        <v>6.4699999999999994E-2</v>
      </c>
    </row>
    <row r="87" spans="1:31" x14ac:dyDescent="0.25">
      <c r="C87">
        <v>3.8370000000000002</v>
      </c>
      <c r="D87">
        <v>2.5546000000000002</v>
      </c>
      <c r="E87">
        <v>1.6560999999999999</v>
      </c>
      <c r="F87">
        <v>1.4129</v>
      </c>
      <c r="G87">
        <v>1.6065</v>
      </c>
      <c r="H87">
        <v>1.5527</v>
      </c>
      <c r="I87">
        <v>1.4240999999999999</v>
      </c>
      <c r="J87">
        <v>6.6600000000000006E-2</v>
      </c>
      <c r="K87">
        <v>6.0600000000000001E-2</v>
      </c>
      <c r="L87">
        <v>6.0199999999999997E-2</v>
      </c>
      <c r="M87">
        <v>6.3700000000000007E-2</v>
      </c>
      <c r="N87">
        <v>6.3600000000000004E-2</v>
      </c>
    </row>
    <row r="88" spans="1:31" x14ac:dyDescent="0.25">
      <c r="C88">
        <v>3.7768000000000002</v>
      </c>
      <c r="D88">
        <v>2.4262000000000001</v>
      </c>
      <c r="E88">
        <v>1.5851</v>
      </c>
      <c r="F88">
        <v>1.3858999999999999</v>
      </c>
      <c r="G88">
        <v>1.5602</v>
      </c>
      <c r="H88">
        <v>1.4202999999999999</v>
      </c>
      <c r="I88">
        <v>1.0698000000000001</v>
      </c>
      <c r="J88">
        <v>1.0512999999999999</v>
      </c>
      <c r="K88">
        <v>6.3100000000000003E-2</v>
      </c>
      <c r="L88">
        <v>6.2799999999999995E-2</v>
      </c>
      <c r="M88">
        <v>6.4000000000000001E-2</v>
      </c>
      <c r="N88">
        <v>6.3500000000000001E-2</v>
      </c>
    </row>
    <row r="90" spans="1:31" x14ac:dyDescent="0.25">
      <c r="A90" t="s">
        <v>146</v>
      </c>
      <c r="B90" t="s">
        <v>156</v>
      </c>
    </row>
    <row r="91" spans="1:31" x14ac:dyDescent="0.25">
      <c r="A91" t="s">
        <v>139</v>
      </c>
      <c r="B91" t="s">
        <v>147</v>
      </c>
      <c r="C91">
        <v>1.3</v>
      </c>
      <c r="D91">
        <v>-1</v>
      </c>
      <c r="E91">
        <v>-2</v>
      </c>
      <c r="F91">
        <v>-3</v>
      </c>
      <c r="G91">
        <v>-4</v>
      </c>
      <c r="H91">
        <v>-5</v>
      </c>
      <c r="I91">
        <v>-6</v>
      </c>
      <c r="J91">
        <v>-7</v>
      </c>
      <c r="K91">
        <v>-8</v>
      </c>
      <c r="L91">
        <v>-9</v>
      </c>
      <c r="M91">
        <v>-10</v>
      </c>
      <c r="N91">
        <v>-11</v>
      </c>
      <c r="P91">
        <v>1</v>
      </c>
      <c r="Q91">
        <v>620</v>
      </c>
      <c r="R91">
        <v>1</v>
      </c>
      <c r="S91">
        <v>12</v>
      </c>
      <c r="T91">
        <v>96</v>
      </c>
      <c r="U91">
        <v>571</v>
      </c>
      <c r="V91" t="s">
        <v>149</v>
      </c>
      <c r="W91">
        <v>610</v>
      </c>
      <c r="Z91">
        <v>6</v>
      </c>
      <c r="AD91">
        <v>1</v>
      </c>
      <c r="AE91">
        <v>8</v>
      </c>
    </row>
    <row r="92" spans="1:31" x14ac:dyDescent="0.25">
      <c r="B92" t="s">
        <v>145</v>
      </c>
      <c r="C92">
        <v>1</v>
      </c>
      <c r="D92">
        <v>2</v>
      </c>
      <c r="E92">
        <v>3</v>
      </c>
      <c r="F92">
        <v>4</v>
      </c>
      <c r="G92">
        <v>5</v>
      </c>
      <c r="H92">
        <v>6</v>
      </c>
      <c r="I92">
        <v>7</v>
      </c>
      <c r="J92">
        <v>8</v>
      </c>
      <c r="K92">
        <v>9</v>
      </c>
      <c r="L92">
        <v>10</v>
      </c>
      <c r="M92">
        <v>11</v>
      </c>
      <c r="N92">
        <v>12</v>
      </c>
    </row>
    <row r="93" spans="1:31" x14ac:dyDescent="0.25">
      <c r="B93">
        <v>24.2</v>
      </c>
      <c r="C93">
        <v>18.306999999999999</v>
      </c>
      <c r="D93" s="23">
        <v>372.92599999999999</v>
      </c>
      <c r="E93" s="23">
        <v>430.48500000000001</v>
      </c>
      <c r="F93" s="23">
        <v>358.19400000000002</v>
      </c>
      <c r="G93" s="23">
        <v>466.91899999999998</v>
      </c>
      <c r="H93" s="23">
        <v>477.92500000000001</v>
      </c>
      <c r="I93" s="23">
        <v>422.64100000000002</v>
      </c>
      <c r="J93" s="23">
        <v>274.654</v>
      </c>
      <c r="K93">
        <v>3.6589999999999998</v>
      </c>
      <c r="L93">
        <v>4.0439999999999996</v>
      </c>
      <c r="M93">
        <v>3.9430000000000001</v>
      </c>
      <c r="N93">
        <v>3.9630000000000001</v>
      </c>
    </row>
    <row r="94" spans="1:31" x14ac:dyDescent="0.25">
      <c r="C94">
        <v>13.332000000000001</v>
      </c>
      <c r="D94" s="23">
        <v>327.14800000000002</v>
      </c>
      <c r="E94" s="23">
        <v>400.815</v>
      </c>
      <c r="F94" s="23">
        <v>335.875</v>
      </c>
      <c r="G94" s="23">
        <v>429.072</v>
      </c>
      <c r="H94" s="23">
        <v>452.64299999999997</v>
      </c>
      <c r="I94" s="23">
        <v>354.16899999999998</v>
      </c>
      <c r="J94" s="23">
        <v>332.35399999999998</v>
      </c>
      <c r="K94">
        <v>3.4279999999999999</v>
      </c>
      <c r="L94">
        <v>4.0579999999999998</v>
      </c>
      <c r="M94">
        <v>3.3319999999999999</v>
      </c>
      <c r="N94">
        <v>3.8919999999999999</v>
      </c>
    </row>
    <row r="95" spans="1:31" x14ac:dyDescent="0.25">
      <c r="C95">
        <v>14.52</v>
      </c>
      <c r="D95" s="23">
        <v>295.48500000000001</v>
      </c>
      <c r="E95" s="23">
        <v>403.077</v>
      </c>
      <c r="F95" s="23">
        <v>315.91500000000002</v>
      </c>
      <c r="G95" s="23">
        <v>416.57900000000001</v>
      </c>
      <c r="H95" s="23">
        <v>436.54700000000003</v>
      </c>
      <c r="I95" s="23">
        <v>384.54700000000003</v>
      </c>
      <c r="J95" s="23">
        <v>338.19299999999998</v>
      </c>
      <c r="K95">
        <v>3.6549999999999998</v>
      </c>
      <c r="L95">
        <v>3.9049999999999998</v>
      </c>
      <c r="M95">
        <v>3.38</v>
      </c>
      <c r="N95">
        <v>4.3559999999999999</v>
      </c>
    </row>
    <row r="96" spans="1:31" x14ac:dyDescent="0.25">
      <c r="C96">
        <v>13.366</v>
      </c>
      <c r="D96" s="23">
        <v>379.73599999999999</v>
      </c>
      <c r="E96" s="23">
        <v>380.40699999999998</v>
      </c>
      <c r="F96" s="23">
        <v>309.589</v>
      </c>
      <c r="G96" s="23">
        <v>426.30700000000002</v>
      </c>
      <c r="H96" s="23">
        <v>430.21</v>
      </c>
      <c r="I96" s="23">
        <v>351.55599999999998</v>
      </c>
      <c r="J96" s="23">
        <v>317.43</v>
      </c>
      <c r="K96">
        <v>4.3860000000000001</v>
      </c>
      <c r="L96">
        <v>3.911</v>
      </c>
      <c r="M96">
        <v>3.8690000000000002</v>
      </c>
      <c r="N96">
        <v>4.3010000000000002</v>
      </c>
    </row>
    <row r="97" spans="1:21" x14ac:dyDescent="0.25">
      <c r="C97">
        <v>14.148</v>
      </c>
      <c r="D97" s="23">
        <v>442.60300000000001</v>
      </c>
      <c r="E97" s="23">
        <v>369.03800000000001</v>
      </c>
      <c r="F97" s="23">
        <v>312.447</v>
      </c>
      <c r="G97" s="23">
        <v>417.03800000000001</v>
      </c>
      <c r="H97" s="23">
        <v>424.05399999999997</v>
      </c>
      <c r="I97" s="23">
        <v>365.82499999999999</v>
      </c>
      <c r="J97" s="23">
        <v>315.08800000000002</v>
      </c>
      <c r="K97">
        <v>3.9609999999999999</v>
      </c>
      <c r="L97">
        <v>3.9</v>
      </c>
      <c r="M97">
        <v>3.69</v>
      </c>
      <c r="N97">
        <v>4.3940000000000001</v>
      </c>
    </row>
    <row r="98" spans="1:21" x14ac:dyDescent="0.25">
      <c r="C98">
        <v>20.367000000000001</v>
      </c>
      <c r="D98" s="23">
        <v>330.34800000000001</v>
      </c>
      <c r="E98" s="23">
        <v>392.01</v>
      </c>
      <c r="F98" s="23">
        <v>319.91000000000003</v>
      </c>
      <c r="G98" s="23">
        <v>420.93799999999999</v>
      </c>
      <c r="H98" s="23">
        <v>432.52100000000002</v>
      </c>
      <c r="I98" s="23">
        <v>372.47199999999998</v>
      </c>
      <c r="J98">
        <v>4</v>
      </c>
      <c r="K98">
        <v>3.8879999999999999</v>
      </c>
      <c r="L98">
        <v>4.3879999999999999</v>
      </c>
      <c r="M98">
        <v>3.4849999999999999</v>
      </c>
      <c r="N98">
        <v>4.8920000000000003</v>
      </c>
    </row>
    <row r="99" spans="1:21" x14ac:dyDescent="0.25">
      <c r="C99">
        <v>17.515999999999998</v>
      </c>
      <c r="D99" s="23">
        <v>117.41</v>
      </c>
      <c r="E99" s="23">
        <v>414.09699999999998</v>
      </c>
      <c r="F99" s="23">
        <v>338.62900000000002</v>
      </c>
      <c r="G99" s="23">
        <v>409.14</v>
      </c>
      <c r="H99" s="23">
        <v>440.17200000000003</v>
      </c>
      <c r="I99" s="23">
        <v>434.68200000000002</v>
      </c>
      <c r="J99">
        <v>3.8130000000000002</v>
      </c>
      <c r="K99">
        <v>3.3180000000000001</v>
      </c>
      <c r="L99">
        <v>3.7890000000000001</v>
      </c>
      <c r="M99">
        <v>3.5649999999999999</v>
      </c>
      <c r="N99">
        <v>4.1660000000000004</v>
      </c>
    </row>
    <row r="100" spans="1:21" x14ac:dyDescent="0.25">
      <c r="C100">
        <v>18.552</v>
      </c>
      <c r="D100" s="23">
        <v>110.30500000000001</v>
      </c>
      <c r="E100" s="23">
        <v>450.70100000000002</v>
      </c>
      <c r="F100" s="23">
        <v>375.726</v>
      </c>
      <c r="G100" s="23">
        <v>460.327</v>
      </c>
      <c r="H100" s="23">
        <v>507.41399999999999</v>
      </c>
      <c r="I100" s="23">
        <v>432.30200000000002</v>
      </c>
      <c r="J100" s="23">
        <v>380.91199999999998</v>
      </c>
      <c r="K100">
        <v>4.0590000000000002</v>
      </c>
      <c r="L100">
        <v>4.4340000000000002</v>
      </c>
      <c r="M100">
        <v>4.1790000000000003</v>
      </c>
      <c r="N100">
        <v>4.17</v>
      </c>
    </row>
    <row r="102" spans="1:21" x14ac:dyDescent="0.25">
      <c r="A102" t="s">
        <v>146</v>
      </c>
      <c r="B102" t="s">
        <v>157</v>
      </c>
    </row>
    <row r="103" spans="1:21" x14ac:dyDescent="0.25">
      <c r="A103" t="s">
        <v>139</v>
      </c>
      <c r="B103" t="s">
        <v>151</v>
      </c>
      <c r="C103">
        <v>1.3</v>
      </c>
      <c r="D103" t="s">
        <v>141</v>
      </c>
      <c r="E103" t="s">
        <v>142</v>
      </c>
      <c r="F103" t="s">
        <v>143</v>
      </c>
      <c r="G103" t="s">
        <v>144</v>
      </c>
      <c r="H103" t="b">
        <v>0</v>
      </c>
      <c r="I103">
        <v>1</v>
      </c>
      <c r="O103">
        <v>1</v>
      </c>
      <c r="P103">
        <v>620</v>
      </c>
      <c r="Q103">
        <v>1</v>
      </c>
      <c r="R103">
        <v>12</v>
      </c>
      <c r="S103">
        <v>96</v>
      </c>
      <c r="T103">
        <v>1</v>
      </c>
      <c r="U103">
        <v>8</v>
      </c>
    </row>
    <row r="104" spans="1:21" x14ac:dyDescent="0.25">
      <c r="B104" t="s">
        <v>145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6</v>
      </c>
      <c r="I104">
        <v>7</v>
      </c>
      <c r="J104">
        <v>8</v>
      </c>
      <c r="K104">
        <v>9</v>
      </c>
      <c r="L104">
        <v>10</v>
      </c>
      <c r="M104">
        <v>11</v>
      </c>
      <c r="N104">
        <v>12</v>
      </c>
    </row>
    <row r="105" spans="1:21" x14ac:dyDescent="0.25">
      <c r="B105">
        <v>24.3</v>
      </c>
      <c r="C105">
        <v>1.7597</v>
      </c>
      <c r="D105">
        <v>1.8492999999999999</v>
      </c>
      <c r="E105">
        <v>1.4498</v>
      </c>
      <c r="F105">
        <v>1.3613999999999999</v>
      </c>
      <c r="G105">
        <v>1.6002000000000001</v>
      </c>
      <c r="H105">
        <v>1.4525999999999999</v>
      </c>
      <c r="I105">
        <v>1.3239000000000001</v>
      </c>
      <c r="J105">
        <v>6.5699999999999995E-2</v>
      </c>
      <c r="K105">
        <v>6.5799999999999997E-2</v>
      </c>
      <c r="L105">
        <v>7.0699999999999999E-2</v>
      </c>
      <c r="M105">
        <v>8.3299999999999999E-2</v>
      </c>
      <c r="N105">
        <v>0.10349999999999999</v>
      </c>
    </row>
    <row r="106" spans="1:21" x14ac:dyDescent="0.25">
      <c r="C106">
        <v>2.5297000000000001</v>
      </c>
      <c r="D106">
        <v>2.2309999999999999</v>
      </c>
      <c r="E106">
        <v>1.4360999999999999</v>
      </c>
      <c r="F106">
        <v>1.3872</v>
      </c>
      <c r="G106">
        <v>1.6203000000000001</v>
      </c>
      <c r="H106">
        <v>1.5677000000000001</v>
      </c>
      <c r="I106">
        <v>1.3954</v>
      </c>
      <c r="J106">
        <v>6.2100000000000002E-2</v>
      </c>
      <c r="K106">
        <v>6.2799999999999995E-2</v>
      </c>
      <c r="L106">
        <v>6.7400000000000002E-2</v>
      </c>
      <c r="M106">
        <v>7.0699999999999999E-2</v>
      </c>
      <c r="N106">
        <v>8.6099999999999996E-2</v>
      </c>
    </row>
    <row r="107" spans="1:21" x14ac:dyDescent="0.25">
      <c r="C107">
        <v>2.66</v>
      </c>
      <c r="D107">
        <v>2.6177999999999999</v>
      </c>
      <c r="E107">
        <v>1.4769000000000001</v>
      </c>
      <c r="F107">
        <v>1.4066000000000001</v>
      </c>
      <c r="G107">
        <v>1.6278999999999999</v>
      </c>
      <c r="H107">
        <v>1.5578000000000001</v>
      </c>
      <c r="I107">
        <v>1.4076</v>
      </c>
      <c r="J107">
        <v>1.1128</v>
      </c>
      <c r="K107">
        <v>5.79E-2</v>
      </c>
      <c r="L107">
        <v>6.25E-2</v>
      </c>
      <c r="M107">
        <v>6.1899999999999997E-2</v>
      </c>
      <c r="N107">
        <v>7.3800000000000004E-2</v>
      </c>
    </row>
    <row r="108" spans="1:21" x14ac:dyDescent="0.25">
      <c r="C108">
        <v>1.9815</v>
      </c>
      <c r="D108">
        <v>1.9823</v>
      </c>
      <c r="E108">
        <v>1.4961</v>
      </c>
      <c r="F108">
        <v>1.4083000000000001</v>
      </c>
      <c r="G108">
        <v>1.6152</v>
      </c>
      <c r="H108">
        <v>1.5753999999999999</v>
      </c>
      <c r="I108">
        <v>1.4359999999999999</v>
      </c>
      <c r="J108">
        <v>6.0600000000000001E-2</v>
      </c>
      <c r="K108">
        <v>5.7099999999999998E-2</v>
      </c>
      <c r="L108">
        <v>6.2799999999999995E-2</v>
      </c>
      <c r="M108">
        <v>6.2799999999999995E-2</v>
      </c>
      <c r="N108">
        <v>7.51E-2</v>
      </c>
    </row>
    <row r="109" spans="1:21" x14ac:dyDescent="0.25">
      <c r="C109">
        <v>1.8024</v>
      </c>
      <c r="D109">
        <v>1.8991</v>
      </c>
      <c r="E109">
        <v>1.4924999999999999</v>
      </c>
      <c r="F109">
        <v>1.4044000000000001</v>
      </c>
      <c r="G109">
        <v>1.6327</v>
      </c>
      <c r="H109">
        <v>1.5831</v>
      </c>
      <c r="I109">
        <v>1.4218999999999999</v>
      </c>
      <c r="J109">
        <v>1.1336999999999999</v>
      </c>
      <c r="K109">
        <v>5.79E-2</v>
      </c>
      <c r="L109">
        <v>6.1899999999999997E-2</v>
      </c>
      <c r="M109">
        <v>6.1499999999999999E-2</v>
      </c>
      <c r="N109">
        <v>6.9900000000000004E-2</v>
      </c>
    </row>
    <row r="110" spans="1:21" x14ac:dyDescent="0.25">
      <c r="C110">
        <v>1.9979</v>
      </c>
      <c r="D110">
        <v>2.3155999999999999</v>
      </c>
      <c r="E110">
        <v>1.5349999999999999</v>
      </c>
      <c r="F110">
        <v>1.4404999999999999</v>
      </c>
      <c r="G110">
        <v>1.6335999999999999</v>
      </c>
      <c r="H110">
        <v>1.5924</v>
      </c>
      <c r="I110">
        <v>1.4184000000000001</v>
      </c>
      <c r="J110">
        <v>6.1100000000000002E-2</v>
      </c>
      <c r="K110">
        <v>5.8599999999999999E-2</v>
      </c>
      <c r="L110">
        <v>6.5600000000000006E-2</v>
      </c>
      <c r="M110">
        <v>6.2600000000000003E-2</v>
      </c>
      <c r="N110">
        <v>7.0499999999999993E-2</v>
      </c>
    </row>
    <row r="111" spans="1:21" x14ac:dyDescent="0.25">
      <c r="C111">
        <v>2.1947999999999999</v>
      </c>
      <c r="D111">
        <v>2.3359000000000001</v>
      </c>
      <c r="E111">
        <v>1.506</v>
      </c>
      <c r="F111">
        <v>1.4025000000000001</v>
      </c>
      <c r="G111">
        <v>1.6434</v>
      </c>
      <c r="H111">
        <v>1.5649999999999999</v>
      </c>
      <c r="I111">
        <v>1.3960999999999999</v>
      </c>
      <c r="J111">
        <v>6.1100000000000002E-2</v>
      </c>
      <c r="K111">
        <v>6.1400000000000003E-2</v>
      </c>
      <c r="L111">
        <v>6.1899999999999997E-2</v>
      </c>
      <c r="M111">
        <v>6.7500000000000004E-2</v>
      </c>
      <c r="N111">
        <v>7.5600000000000001E-2</v>
      </c>
    </row>
    <row r="112" spans="1:21" x14ac:dyDescent="0.25">
      <c r="C112">
        <v>4</v>
      </c>
      <c r="D112">
        <v>2.4876999999999998</v>
      </c>
      <c r="E112">
        <v>1.1533</v>
      </c>
      <c r="F112">
        <v>1.1449</v>
      </c>
      <c r="G112">
        <v>1.4097</v>
      </c>
      <c r="H112">
        <v>1.2595000000000001</v>
      </c>
      <c r="I112">
        <v>1.1516999999999999</v>
      </c>
      <c r="J112">
        <v>7.0699999999999999E-2</v>
      </c>
      <c r="K112">
        <v>0.98029999999999995</v>
      </c>
      <c r="L112">
        <v>7.3700000000000002E-2</v>
      </c>
      <c r="M112">
        <v>7.7700000000000005E-2</v>
      </c>
      <c r="N112">
        <v>8.4099999999999994E-2</v>
      </c>
    </row>
    <row r="114" spans="1:31" x14ac:dyDescent="0.25">
      <c r="A114" t="s">
        <v>146</v>
      </c>
      <c r="B114" t="s">
        <v>157</v>
      </c>
    </row>
    <row r="115" spans="1:31" x14ac:dyDescent="0.25">
      <c r="A115" t="s">
        <v>139</v>
      </c>
      <c r="B115" t="s">
        <v>152</v>
      </c>
      <c r="C115">
        <v>1.3</v>
      </c>
      <c r="D115">
        <v>-1</v>
      </c>
      <c r="E115">
        <v>-2</v>
      </c>
      <c r="F115">
        <v>-3</v>
      </c>
      <c r="G115">
        <v>-4</v>
      </c>
      <c r="H115">
        <v>-5</v>
      </c>
      <c r="I115">
        <v>-6</v>
      </c>
      <c r="J115">
        <v>-7</v>
      </c>
      <c r="K115">
        <v>-8</v>
      </c>
      <c r="L115">
        <v>-9</v>
      </c>
      <c r="M115">
        <v>-10</v>
      </c>
      <c r="N115">
        <v>-11</v>
      </c>
      <c r="P115">
        <v>1</v>
      </c>
      <c r="Q115">
        <v>620</v>
      </c>
      <c r="R115">
        <v>1</v>
      </c>
      <c r="S115">
        <v>12</v>
      </c>
      <c r="T115">
        <v>96</v>
      </c>
      <c r="U115">
        <v>571</v>
      </c>
      <c r="V115" t="s">
        <v>149</v>
      </c>
      <c r="W115">
        <v>610</v>
      </c>
      <c r="Z115">
        <v>6</v>
      </c>
      <c r="AD115">
        <v>1</v>
      </c>
      <c r="AE115">
        <v>8</v>
      </c>
    </row>
    <row r="116" spans="1:31" x14ac:dyDescent="0.25">
      <c r="B116" t="s">
        <v>145</v>
      </c>
      <c r="C116">
        <v>1</v>
      </c>
      <c r="D116">
        <v>2</v>
      </c>
      <c r="E116">
        <v>3</v>
      </c>
      <c r="F116">
        <v>4</v>
      </c>
      <c r="G116">
        <v>5</v>
      </c>
      <c r="H116">
        <v>6</v>
      </c>
      <c r="I116">
        <v>7</v>
      </c>
      <c r="J116">
        <v>8</v>
      </c>
      <c r="K116">
        <v>9</v>
      </c>
      <c r="L116">
        <v>10</v>
      </c>
      <c r="M116">
        <v>11</v>
      </c>
      <c r="N116">
        <v>12</v>
      </c>
    </row>
    <row r="117" spans="1:31" x14ac:dyDescent="0.25">
      <c r="B117">
        <v>24.4</v>
      </c>
      <c r="C117">
        <v>18.79</v>
      </c>
      <c r="D117" s="23">
        <v>550.5</v>
      </c>
      <c r="E117" s="23">
        <v>386.863</v>
      </c>
      <c r="F117" s="23">
        <v>351.46300000000002</v>
      </c>
      <c r="G117" s="23">
        <v>444.79500000000002</v>
      </c>
      <c r="H117" s="23">
        <v>439.10700000000003</v>
      </c>
      <c r="I117" s="23">
        <v>400.23899999999998</v>
      </c>
      <c r="J117">
        <v>3.9980000000000002</v>
      </c>
      <c r="K117">
        <v>3.859</v>
      </c>
      <c r="L117">
        <v>3.343</v>
      </c>
      <c r="M117">
        <v>4.032</v>
      </c>
      <c r="N117">
        <v>3.34</v>
      </c>
    </row>
    <row r="118" spans="1:31" x14ac:dyDescent="0.25">
      <c r="C118">
        <v>16.934999999999999</v>
      </c>
      <c r="D118" s="23">
        <v>183.167</v>
      </c>
      <c r="E118" s="23">
        <v>331.35700000000003</v>
      </c>
      <c r="F118" s="23">
        <v>323.75099999999998</v>
      </c>
      <c r="G118" s="23">
        <v>415.19200000000001</v>
      </c>
      <c r="H118" s="23">
        <v>427.96300000000002</v>
      </c>
      <c r="I118" s="23">
        <v>373.80900000000003</v>
      </c>
      <c r="J118">
        <v>3.9950000000000001</v>
      </c>
      <c r="K118">
        <v>3.5750000000000002</v>
      </c>
      <c r="L118">
        <v>3.7919999999999998</v>
      </c>
      <c r="M118">
        <v>3.33</v>
      </c>
      <c r="N118">
        <v>3.6669999999999998</v>
      </c>
    </row>
    <row r="119" spans="1:31" x14ac:dyDescent="0.25">
      <c r="C119">
        <v>17.798999999999999</v>
      </c>
      <c r="D119" s="23">
        <v>120.01900000000001</v>
      </c>
      <c r="E119" s="23">
        <v>338.58600000000001</v>
      </c>
      <c r="F119" s="23">
        <v>312.63200000000001</v>
      </c>
      <c r="G119" s="23">
        <v>403.416</v>
      </c>
      <c r="H119" s="23">
        <v>409.26499999999999</v>
      </c>
      <c r="I119" s="23">
        <v>361.36399999999998</v>
      </c>
      <c r="J119" s="23">
        <v>296.20299999999997</v>
      </c>
      <c r="K119">
        <v>3.6880000000000002</v>
      </c>
      <c r="L119">
        <v>3.613</v>
      </c>
      <c r="M119">
        <v>3.2370000000000001</v>
      </c>
      <c r="N119">
        <v>3.794</v>
      </c>
    </row>
    <row r="120" spans="1:31" x14ac:dyDescent="0.25">
      <c r="C120">
        <v>21.501999999999999</v>
      </c>
      <c r="D120" s="23">
        <v>342.32900000000001</v>
      </c>
      <c r="E120" s="23">
        <v>340.54199999999997</v>
      </c>
      <c r="F120" s="23">
        <v>310.41399999999999</v>
      </c>
      <c r="G120" s="23">
        <v>399.58699999999999</v>
      </c>
      <c r="H120" s="23">
        <v>404.46699999999998</v>
      </c>
      <c r="I120" s="23">
        <v>368.50299999999999</v>
      </c>
      <c r="J120">
        <v>3.7330000000000001</v>
      </c>
      <c r="K120">
        <v>3.6040000000000001</v>
      </c>
      <c r="L120">
        <v>3.6160000000000001</v>
      </c>
      <c r="M120">
        <v>3.5550000000000002</v>
      </c>
      <c r="N120">
        <v>3.766</v>
      </c>
    </row>
    <row r="121" spans="1:31" x14ac:dyDescent="0.25">
      <c r="C121">
        <v>16.748000000000001</v>
      </c>
      <c r="D121" s="23">
        <v>338.42399999999998</v>
      </c>
      <c r="E121" s="23">
        <v>337.29399999999998</v>
      </c>
      <c r="F121" s="23">
        <v>304.82900000000001</v>
      </c>
      <c r="G121" s="23">
        <v>390.78699999999998</v>
      </c>
      <c r="H121" s="23">
        <v>399.279</v>
      </c>
      <c r="I121" s="23">
        <v>361.2</v>
      </c>
      <c r="J121" s="23">
        <v>294.88799999999998</v>
      </c>
      <c r="K121">
        <v>4.0709999999999997</v>
      </c>
      <c r="L121">
        <v>3.6419999999999999</v>
      </c>
      <c r="M121">
        <v>3.67</v>
      </c>
      <c r="N121">
        <v>4.133</v>
      </c>
    </row>
    <row r="122" spans="1:31" x14ac:dyDescent="0.25">
      <c r="C122">
        <v>17.033000000000001</v>
      </c>
      <c r="D122" s="23">
        <v>247.78</v>
      </c>
      <c r="E122" s="23">
        <v>350.98599999999999</v>
      </c>
      <c r="F122" s="23">
        <v>310.28399999999999</v>
      </c>
      <c r="G122" s="23">
        <v>392.26799999999997</v>
      </c>
      <c r="H122" s="23">
        <v>405.24099999999999</v>
      </c>
      <c r="I122" s="23">
        <v>370.91</v>
      </c>
      <c r="J122">
        <v>4.0999999999999996</v>
      </c>
      <c r="K122">
        <v>3.7010000000000001</v>
      </c>
      <c r="L122">
        <v>3.726</v>
      </c>
      <c r="M122">
        <v>3.706</v>
      </c>
      <c r="N122">
        <v>3.8479999999999999</v>
      </c>
    </row>
    <row r="123" spans="1:31" x14ac:dyDescent="0.25">
      <c r="C123">
        <v>17.527000000000001</v>
      </c>
      <c r="D123" s="23">
        <v>254.69399999999999</v>
      </c>
      <c r="E123" s="23">
        <v>358.39699999999999</v>
      </c>
      <c r="F123" s="23">
        <v>335.548</v>
      </c>
      <c r="G123" s="23">
        <v>401.43700000000001</v>
      </c>
      <c r="H123" s="23">
        <v>413.06299999999999</v>
      </c>
      <c r="I123" s="23">
        <v>400.59100000000001</v>
      </c>
      <c r="J123">
        <v>3.5510000000000002</v>
      </c>
      <c r="K123">
        <v>3.702</v>
      </c>
      <c r="L123">
        <v>3.4830000000000001</v>
      </c>
      <c r="M123">
        <v>3.387</v>
      </c>
      <c r="N123">
        <v>3.8679999999999999</v>
      </c>
    </row>
    <row r="124" spans="1:31" x14ac:dyDescent="0.25">
      <c r="C124">
        <v>23.213000000000001</v>
      </c>
      <c r="D124" s="23">
        <v>87.528999999999996</v>
      </c>
      <c r="E124" s="23">
        <v>482.65300000000002</v>
      </c>
      <c r="F124" s="23">
        <v>396.43700000000001</v>
      </c>
      <c r="G124" s="23">
        <v>430.82100000000003</v>
      </c>
      <c r="H124" s="23">
        <v>430.66399999999999</v>
      </c>
      <c r="I124" s="23">
        <v>435.66699999999997</v>
      </c>
      <c r="J124">
        <v>3.5449999999999999</v>
      </c>
      <c r="K124">
        <v>380.488</v>
      </c>
      <c r="L124">
        <v>3.875</v>
      </c>
      <c r="M124">
        <v>3.3650000000000002</v>
      </c>
      <c r="N124">
        <v>3.2330000000000001</v>
      </c>
    </row>
    <row r="126" spans="1:31" x14ac:dyDescent="0.25">
      <c r="A126" t="s">
        <v>146</v>
      </c>
      <c r="B126" t="s">
        <v>158</v>
      </c>
    </row>
    <row r="127" spans="1:31" x14ac:dyDescent="0.25">
      <c r="A127" t="s">
        <v>139</v>
      </c>
      <c r="B127" t="s">
        <v>154</v>
      </c>
      <c r="C127">
        <v>1.3</v>
      </c>
      <c r="D127" t="s">
        <v>141</v>
      </c>
      <c r="E127" t="s">
        <v>142</v>
      </c>
      <c r="F127" t="s">
        <v>143</v>
      </c>
      <c r="G127" t="s">
        <v>144</v>
      </c>
      <c r="H127" t="b">
        <v>0</v>
      </c>
      <c r="I127">
        <v>1</v>
      </c>
      <c r="O127">
        <v>1</v>
      </c>
      <c r="P127">
        <v>620</v>
      </c>
      <c r="Q127">
        <v>1</v>
      </c>
      <c r="R127">
        <v>12</v>
      </c>
      <c r="S127">
        <v>96</v>
      </c>
      <c r="T127">
        <v>1</v>
      </c>
      <c r="U127">
        <v>8</v>
      </c>
    </row>
    <row r="128" spans="1:31" x14ac:dyDescent="0.25">
      <c r="B128" t="s">
        <v>145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6</v>
      </c>
      <c r="I128">
        <v>7</v>
      </c>
      <c r="J128">
        <v>8</v>
      </c>
      <c r="K128">
        <v>9</v>
      </c>
      <c r="L128">
        <v>10</v>
      </c>
      <c r="M128">
        <v>11</v>
      </c>
      <c r="N128">
        <v>12</v>
      </c>
    </row>
    <row r="129" spans="1:31" x14ac:dyDescent="0.25">
      <c r="B129">
        <v>24.4</v>
      </c>
      <c r="C129">
        <v>1.3306</v>
      </c>
      <c r="D129">
        <v>0.15079999999999999</v>
      </c>
      <c r="E129">
        <v>0.4733</v>
      </c>
      <c r="F129">
        <v>0.68500000000000005</v>
      </c>
      <c r="G129">
        <v>1.0867</v>
      </c>
      <c r="H129">
        <v>0.98980000000000001</v>
      </c>
      <c r="I129">
        <v>0.93600000000000005</v>
      </c>
      <c r="J129">
        <v>8.09E-2</v>
      </c>
      <c r="K129">
        <v>8.0399999999999999E-2</v>
      </c>
      <c r="L129">
        <v>8.6199999999999999E-2</v>
      </c>
      <c r="M129">
        <v>9.0899999999999995E-2</v>
      </c>
      <c r="N129">
        <v>9.9500000000000005E-2</v>
      </c>
    </row>
    <row r="130" spans="1:31" x14ac:dyDescent="0.25">
      <c r="C130">
        <v>2.0072999999999999</v>
      </c>
      <c r="D130">
        <v>1.6691</v>
      </c>
      <c r="E130">
        <v>1.3733</v>
      </c>
      <c r="F130">
        <v>1.2938000000000001</v>
      </c>
      <c r="G130">
        <v>1.5291999999999999</v>
      </c>
      <c r="H130">
        <v>1.4609000000000001</v>
      </c>
      <c r="I130">
        <v>1.1568000000000001</v>
      </c>
      <c r="J130">
        <v>1.1503000000000001</v>
      </c>
      <c r="K130">
        <v>6.6299999999999998E-2</v>
      </c>
      <c r="L130">
        <v>7.1499999999999994E-2</v>
      </c>
      <c r="M130">
        <v>7.3499999999999996E-2</v>
      </c>
      <c r="N130">
        <v>8.0199999999999994E-2</v>
      </c>
    </row>
    <row r="131" spans="1:31" x14ac:dyDescent="0.25">
      <c r="C131">
        <v>2.0619999999999998</v>
      </c>
      <c r="D131">
        <v>1.7091000000000001</v>
      </c>
      <c r="E131">
        <v>1.5014000000000001</v>
      </c>
      <c r="F131">
        <v>1.3724000000000001</v>
      </c>
      <c r="G131">
        <v>1.5544</v>
      </c>
      <c r="H131">
        <v>1.5474000000000001</v>
      </c>
      <c r="I131">
        <v>1.4456</v>
      </c>
      <c r="J131">
        <v>6.2700000000000006E-2</v>
      </c>
      <c r="K131">
        <v>5.8999999999999997E-2</v>
      </c>
      <c r="L131">
        <v>6.4699999999999994E-2</v>
      </c>
      <c r="M131">
        <v>6.2799999999999995E-2</v>
      </c>
      <c r="N131">
        <v>7.3899999999999993E-2</v>
      </c>
    </row>
    <row r="132" spans="1:31" x14ac:dyDescent="0.25">
      <c r="C132">
        <v>1.9426000000000001</v>
      </c>
      <c r="D132">
        <v>1.7431000000000001</v>
      </c>
      <c r="E132">
        <v>1.4716</v>
      </c>
      <c r="F132">
        <v>1.4033</v>
      </c>
      <c r="G132">
        <v>1.6102000000000001</v>
      </c>
      <c r="H132">
        <v>1.57</v>
      </c>
      <c r="I132">
        <v>1.4460999999999999</v>
      </c>
      <c r="J132">
        <v>1.244</v>
      </c>
      <c r="K132">
        <v>6.2600000000000003E-2</v>
      </c>
      <c r="L132">
        <v>6.3500000000000001E-2</v>
      </c>
      <c r="M132">
        <v>6.4699999999999994E-2</v>
      </c>
      <c r="N132">
        <v>7.6100000000000001E-2</v>
      </c>
    </row>
    <row r="133" spans="1:31" x14ac:dyDescent="0.25">
      <c r="C133">
        <v>2.2321</v>
      </c>
      <c r="D133">
        <v>1.8619000000000001</v>
      </c>
      <c r="E133">
        <v>1.4609000000000001</v>
      </c>
      <c r="F133">
        <v>1.4125000000000001</v>
      </c>
      <c r="G133">
        <v>1.6113</v>
      </c>
      <c r="H133">
        <v>1.5814999999999999</v>
      </c>
      <c r="I133">
        <v>1.4936</v>
      </c>
      <c r="J133">
        <v>6.2199999999999998E-2</v>
      </c>
      <c r="K133">
        <v>5.8599999999999999E-2</v>
      </c>
      <c r="L133">
        <v>6.4100000000000004E-2</v>
      </c>
      <c r="M133">
        <v>6.3700000000000007E-2</v>
      </c>
      <c r="N133">
        <v>7.4899999999999994E-2</v>
      </c>
    </row>
    <row r="134" spans="1:31" x14ac:dyDescent="0.25">
      <c r="C134">
        <v>1.9621</v>
      </c>
      <c r="D134">
        <v>1.7372000000000001</v>
      </c>
      <c r="E134">
        <v>1.4751000000000001</v>
      </c>
      <c r="F134">
        <v>1.4026000000000001</v>
      </c>
      <c r="G134">
        <v>1.6362000000000001</v>
      </c>
      <c r="H134">
        <v>1.5959000000000001</v>
      </c>
      <c r="I134">
        <v>1.3656999999999999</v>
      </c>
      <c r="J134">
        <v>1.2183999999999999</v>
      </c>
      <c r="K134">
        <v>5.9799999999999999E-2</v>
      </c>
      <c r="L134">
        <v>6.5600000000000006E-2</v>
      </c>
      <c r="M134">
        <v>6.4000000000000001E-2</v>
      </c>
      <c r="N134">
        <v>7.6300000000000007E-2</v>
      </c>
    </row>
    <row r="135" spans="1:31" x14ac:dyDescent="0.25">
      <c r="C135">
        <v>2.0243000000000002</v>
      </c>
      <c r="D135">
        <v>2.0280999999999998</v>
      </c>
      <c r="E135">
        <v>1.4917</v>
      </c>
      <c r="F135">
        <v>1.4317</v>
      </c>
      <c r="G135">
        <v>1.6241000000000001</v>
      </c>
      <c r="H135">
        <v>1.5499000000000001</v>
      </c>
      <c r="I135">
        <v>1.3549</v>
      </c>
      <c r="J135">
        <v>6.3399999999999998E-2</v>
      </c>
      <c r="K135">
        <v>6.6299999999999998E-2</v>
      </c>
      <c r="L135">
        <v>6.2899999999999998E-2</v>
      </c>
      <c r="M135">
        <v>6.9900000000000004E-2</v>
      </c>
      <c r="N135">
        <v>8.3299999999999999E-2</v>
      </c>
    </row>
    <row r="136" spans="1:31" x14ac:dyDescent="0.25">
      <c r="C136">
        <v>2.7172000000000001</v>
      </c>
      <c r="D136">
        <v>2.1882999999999999</v>
      </c>
      <c r="E136">
        <v>1.2842</v>
      </c>
      <c r="F136">
        <v>1.3110999999999999</v>
      </c>
      <c r="G136">
        <v>1.6012999999999999</v>
      </c>
      <c r="H136">
        <v>1.5032000000000001</v>
      </c>
      <c r="I136">
        <v>1.3928</v>
      </c>
      <c r="J136">
        <v>1.3048999999999999</v>
      </c>
      <c r="K136">
        <v>7.0800000000000002E-2</v>
      </c>
      <c r="L136">
        <v>7.5200000000000003E-2</v>
      </c>
      <c r="M136">
        <v>8.3799999999999999E-2</v>
      </c>
      <c r="N136">
        <v>9.0499999999999997E-2</v>
      </c>
    </row>
    <row r="138" spans="1:31" x14ac:dyDescent="0.25">
      <c r="A138" t="s">
        <v>146</v>
      </c>
      <c r="B138" t="s">
        <v>158</v>
      </c>
    </row>
    <row r="139" spans="1:31" x14ac:dyDescent="0.25">
      <c r="A139" t="s">
        <v>139</v>
      </c>
      <c r="B139" t="s">
        <v>155</v>
      </c>
      <c r="C139">
        <v>1.3</v>
      </c>
      <c r="D139">
        <v>-1</v>
      </c>
      <c r="E139">
        <v>-2</v>
      </c>
      <c r="F139">
        <v>-3</v>
      </c>
      <c r="G139">
        <v>-4</v>
      </c>
      <c r="H139">
        <v>-5</v>
      </c>
      <c r="I139">
        <v>-6</v>
      </c>
      <c r="J139">
        <v>-7</v>
      </c>
      <c r="K139">
        <v>-8</v>
      </c>
      <c r="L139">
        <v>-9</v>
      </c>
      <c r="M139">
        <v>-10</v>
      </c>
      <c r="N139">
        <v>-11</v>
      </c>
      <c r="P139">
        <v>1</v>
      </c>
      <c r="Q139">
        <v>620</v>
      </c>
      <c r="R139">
        <v>1</v>
      </c>
      <c r="S139">
        <v>12</v>
      </c>
      <c r="T139">
        <v>96</v>
      </c>
      <c r="U139">
        <v>571</v>
      </c>
      <c r="V139" t="s">
        <v>149</v>
      </c>
      <c r="W139">
        <v>610</v>
      </c>
      <c r="Z139">
        <v>6</v>
      </c>
      <c r="AD139">
        <v>1</v>
      </c>
      <c r="AE139">
        <v>8</v>
      </c>
    </row>
    <row r="140" spans="1:31" x14ac:dyDescent="0.25">
      <c r="B140" t="s">
        <v>145</v>
      </c>
      <c r="C140">
        <v>1</v>
      </c>
      <c r="D140">
        <v>2</v>
      </c>
      <c r="E140">
        <v>3</v>
      </c>
      <c r="F140">
        <v>4</v>
      </c>
      <c r="G140">
        <v>5</v>
      </c>
      <c r="H140">
        <v>6</v>
      </c>
      <c r="I140">
        <v>7</v>
      </c>
      <c r="J140">
        <v>8</v>
      </c>
      <c r="K140">
        <v>9</v>
      </c>
      <c r="L140">
        <v>10</v>
      </c>
      <c r="M140">
        <v>11</v>
      </c>
      <c r="N140">
        <v>12</v>
      </c>
    </row>
    <row r="141" spans="1:31" x14ac:dyDescent="0.25">
      <c r="B141">
        <v>24.4</v>
      </c>
      <c r="C141">
        <v>19.901</v>
      </c>
      <c r="D141" s="23">
        <v>222.46899999999999</v>
      </c>
      <c r="E141" s="23">
        <v>363.74599999999998</v>
      </c>
      <c r="F141" s="23">
        <v>333.99599999999998</v>
      </c>
      <c r="G141" s="23">
        <v>372.47399999999999</v>
      </c>
      <c r="H141" s="23">
        <v>416.90800000000002</v>
      </c>
      <c r="I141" s="23">
        <v>393.04500000000002</v>
      </c>
      <c r="J141">
        <v>3.86</v>
      </c>
      <c r="K141">
        <v>3.3769999999999998</v>
      </c>
      <c r="L141">
        <v>3.5030000000000001</v>
      </c>
      <c r="M141">
        <v>3.5819999999999999</v>
      </c>
      <c r="N141">
        <v>3.556</v>
      </c>
    </row>
    <row r="142" spans="1:31" x14ac:dyDescent="0.25">
      <c r="C142">
        <v>17.312999999999999</v>
      </c>
      <c r="D142" s="23">
        <v>336.37900000000002</v>
      </c>
      <c r="E142" s="23">
        <v>335.83699999999999</v>
      </c>
      <c r="F142" s="23">
        <v>303.90600000000001</v>
      </c>
      <c r="G142" s="23">
        <v>378.51499999999999</v>
      </c>
      <c r="H142" s="23">
        <v>418.697</v>
      </c>
      <c r="I142" s="23">
        <v>319.67500000000001</v>
      </c>
      <c r="J142" s="23">
        <v>311.36799999999999</v>
      </c>
      <c r="K142">
        <v>3.75</v>
      </c>
      <c r="L142">
        <v>3.863</v>
      </c>
      <c r="M142">
        <v>3.427</v>
      </c>
      <c r="N142">
        <v>3.8330000000000002</v>
      </c>
    </row>
    <row r="143" spans="1:31" x14ac:dyDescent="0.25">
      <c r="C143">
        <v>18.181999999999999</v>
      </c>
      <c r="D143" s="23">
        <v>314.44400000000002</v>
      </c>
      <c r="E143" s="23">
        <v>274.99099999999999</v>
      </c>
      <c r="F143" s="23">
        <v>289.99599999999998</v>
      </c>
      <c r="G143" s="23">
        <v>356.05900000000003</v>
      </c>
      <c r="H143" s="23">
        <v>393.54</v>
      </c>
      <c r="I143" s="23">
        <v>371.54599999999999</v>
      </c>
      <c r="J143">
        <v>3.6480000000000001</v>
      </c>
      <c r="K143">
        <v>3.8340000000000001</v>
      </c>
      <c r="L143">
        <v>3.6579999999999999</v>
      </c>
      <c r="M143">
        <v>3.9289999999999998</v>
      </c>
      <c r="N143">
        <v>3.6520000000000001</v>
      </c>
    </row>
    <row r="144" spans="1:31" x14ac:dyDescent="0.25">
      <c r="C144">
        <v>16.294</v>
      </c>
      <c r="D144" s="23">
        <v>410.91199999999998</v>
      </c>
      <c r="E144" s="23">
        <v>310.61900000000003</v>
      </c>
      <c r="F144" s="23">
        <v>296.142</v>
      </c>
      <c r="G144" s="23">
        <v>365.48500000000001</v>
      </c>
      <c r="H144" s="23">
        <v>382.37099999999998</v>
      </c>
      <c r="I144" s="23">
        <v>351.57400000000001</v>
      </c>
      <c r="J144" s="23">
        <v>289.315</v>
      </c>
      <c r="K144">
        <v>3.6469999999999998</v>
      </c>
      <c r="L144">
        <v>4.2380000000000004</v>
      </c>
      <c r="M144">
        <v>3.4279999999999999</v>
      </c>
      <c r="N144">
        <v>3.5179999999999998</v>
      </c>
    </row>
    <row r="145" spans="1:21" x14ac:dyDescent="0.25">
      <c r="C145">
        <v>18.158000000000001</v>
      </c>
      <c r="D145" s="23">
        <v>308.48599999999999</v>
      </c>
      <c r="E145" s="23">
        <v>292.90699999999998</v>
      </c>
      <c r="F145" s="23">
        <v>301.33699999999999</v>
      </c>
      <c r="G145" s="23">
        <v>356.15</v>
      </c>
      <c r="H145" s="23">
        <v>387.428</v>
      </c>
      <c r="I145" s="23">
        <v>369.98</v>
      </c>
      <c r="J145">
        <v>3.4239999999999999</v>
      </c>
      <c r="K145">
        <v>3.95</v>
      </c>
      <c r="L145">
        <v>3.69</v>
      </c>
      <c r="M145">
        <v>3.851</v>
      </c>
      <c r="N145">
        <v>3.6160000000000001</v>
      </c>
    </row>
    <row r="146" spans="1:21" x14ac:dyDescent="0.25">
      <c r="C146">
        <v>16.079999999999998</v>
      </c>
      <c r="D146" s="23">
        <v>395.09399999999999</v>
      </c>
      <c r="E146" s="23">
        <v>316.27800000000002</v>
      </c>
      <c r="F146" s="23">
        <v>299.81</v>
      </c>
      <c r="G146" s="23">
        <v>383.661</v>
      </c>
      <c r="H146" s="23">
        <v>393.44200000000001</v>
      </c>
      <c r="I146" s="23">
        <v>331.25200000000001</v>
      </c>
      <c r="J146" s="23">
        <v>289.36599999999999</v>
      </c>
      <c r="K146">
        <v>3.484</v>
      </c>
      <c r="L146">
        <v>4.1429999999999998</v>
      </c>
      <c r="M146">
        <v>3.8050000000000002</v>
      </c>
      <c r="N146">
        <v>4.032</v>
      </c>
    </row>
    <row r="147" spans="1:21" x14ac:dyDescent="0.25">
      <c r="C147">
        <v>17.933</v>
      </c>
      <c r="D147" s="23">
        <v>300.54500000000002</v>
      </c>
      <c r="E147" s="23">
        <v>334.536</v>
      </c>
      <c r="F147" s="23">
        <v>313.73599999999999</v>
      </c>
      <c r="G147" s="23">
        <v>377.99799999999999</v>
      </c>
      <c r="H147" s="23">
        <v>400.72699999999998</v>
      </c>
      <c r="I147" s="23">
        <v>343.43700000000001</v>
      </c>
      <c r="J147">
        <v>4.0439999999999996</v>
      </c>
      <c r="K147">
        <v>3.8039999999999998</v>
      </c>
      <c r="L147">
        <v>3.92</v>
      </c>
      <c r="M147">
        <v>3.3069999999999999</v>
      </c>
      <c r="N147">
        <v>3.113</v>
      </c>
    </row>
    <row r="148" spans="1:21" x14ac:dyDescent="0.25">
      <c r="C148">
        <v>20.271999999999998</v>
      </c>
      <c r="D148" s="23">
        <v>225.393</v>
      </c>
      <c r="E148" s="23">
        <v>389.67200000000003</v>
      </c>
      <c r="F148" s="23">
        <v>342.399</v>
      </c>
      <c r="G148" s="23">
        <v>416.66</v>
      </c>
      <c r="H148" s="23">
        <v>446.971</v>
      </c>
      <c r="I148" s="23">
        <v>422.524</v>
      </c>
      <c r="J148" s="23">
        <v>377.48200000000003</v>
      </c>
      <c r="K148">
        <v>3.6150000000000002</v>
      </c>
      <c r="L148">
        <v>3.4550000000000001</v>
      </c>
      <c r="M148">
        <v>3.3180000000000001</v>
      </c>
      <c r="N148">
        <v>3.3170000000000002</v>
      </c>
    </row>
    <row r="150" spans="1:21" x14ac:dyDescent="0.25">
      <c r="A150" t="s">
        <v>146</v>
      </c>
      <c r="B150" t="s">
        <v>159</v>
      </c>
    </row>
    <row r="151" spans="1:21" x14ac:dyDescent="0.25">
      <c r="A151" t="s">
        <v>139</v>
      </c>
      <c r="B151" t="s">
        <v>140</v>
      </c>
      <c r="C151">
        <v>1.3</v>
      </c>
      <c r="D151" t="s">
        <v>141</v>
      </c>
      <c r="E151" t="s">
        <v>142</v>
      </c>
      <c r="F151" t="s">
        <v>143</v>
      </c>
      <c r="G151" t="s">
        <v>144</v>
      </c>
      <c r="H151" t="b">
        <v>0</v>
      </c>
      <c r="I151">
        <v>1</v>
      </c>
      <c r="O151">
        <v>1</v>
      </c>
      <c r="P151">
        <v>620</v>
      </c>
      <c r="Q151">
        <v>1</v>
      </c>
      <c r="R151">
        <v>12</v>
      </c>
      <c r="S151">
        <v>96</v>
      </c>
      <c r="T151">
        <v>1</v>
      </c>
      <c r="U151">
        <v>8</v>
      </c>
    </row>
    <row r="152" spans="1:21" x14ac:dyDescent="0.25">
      <c r="B152" t="s">
        <v>145</v>
      </c>
      <c r="C152">
        <v>1</v>
      </c>
      <c r="D152">
        <v>2</v>
      </c>
      <c r="E152">
        <v>3</v>
      </c>
      <c r="F152">
        <v>4</v>
      </c>
      <c r="G152">
        <v>5</v>
      </c>
      <c r="H152">
        <v>6</v>
      </c>
      <c r="I152">
        <v>7</v>
      </c>
      <c r="J152">
        <v>8</v>
      </c>
      <c r="K152">
        <v>9</v>
      </c>
      <c r="L152">
        <v>10</v>
      </c>
      <c r="M152">
        <v>11</v>
      </c>
      <c r="N152">
        <v>12</v>
      </c>
    </row>
    <row r="153" spans="1:21" x14ac:dyDescent="0.25">
      <c r="B153">
        <v>24.5</v>
      </c>
      <c r="C153">
        <v>2.8517999999999999</v>
      </c>
      <c r="D153">
        <v>2.3717000000000001</v>
      </c>
      <c r="E153">
        <v>1.4862</v>
      </c>
      <c r="F153">
        <v>1.3748</v>
      </c>
      <c r="G153">
        <v>1.3004</v>
      </c>
      <c r="H153">
        <v>1.1698999999999999</v>
      </c>
      <c r="I153">
        <v>0.94669999999999999</v>
      </c>
      <c r="J153">
        <v>5.8700000000000002E-2</v>
      </c>
      <c r="K153">
        <v>5.8700000000000002E-2</v>
      </c>
      <c r="L153">
        <v>6.0299999999999999E-2</v>
      </c>
      <c r="M153">
        <v>6.5500000000000003E-2</v>
      </c>
      <c r="N153">
        <v>7.0199999999999999E-2</v>
      </c>
    </row>
    <row r="154" spans="1:21" x14ac:dyDescent="0.25">
      <c r="C154">
        <v>2.9885999999999999</v>
      </c>
      <c r="D154">
        <v>2.5045000000000002</v>
      </c>
      <c r="E154">
        <v>1.5168999999999999</v>
      </c>
      <c r="F154">
        <v>1.4176</v>
      </c>
      <c r="G154">
        <v>1.3525</v>
      </c>
      <c r="H154">
        <v>1.2781</v>
      </c>
      <c r="I154">
        <v>5.7200000000000001E-2</v>
      </c>
      <c r="J154">
        <v>5.7200000000000001E-2</v>
      </c>
      <c r="K154">
        <v>5.8599999999999999E-2</v>
      </c>
      <c r="L154">
        <v>5.8599999999999999E-2</v>
      </c>
      <c r="M154">
        <v>6.1699999999999998E-2</v>
      </c>
      <c r="N154">
        <v>6.5600000000000006E-2</v>
      </c>
    </row>
    <row r="155" spans="1:21" x14ac:dyDescent="0.25">
      <c r="C155">
        <v>3.3751000000000002</v>
      </c>
      <c r="D155">
        <v>2.2099000000000002</v>
      </c>
      <c r="E155">
        <v>1.6192</v>
      </c>
      <c r="F155">
        <v>1.3909</v>
      </c>
      <c r="G155">
        <v>1.2665</v>
      </c>
      <c r="H155">
        <v>1.3694999999999999</v>
      </c>
      <c r="I155">
        <v>0.98760000000000003</v>
      </c>
      <c r="J155">
        <v>5.7299999999999997E-2</v>
      </c>
      <c r="K155">
        <v>5.6399999999999999E-2</v>
      </c>
      <c r="L155">
        <v>5.7799999999999997E-2</v>
      </c>
      <c r="M155">
        <v>5.7500000000000002E-2</v>
      </c>
      <c r="N155">
        <v>6.1899999999999997E-2</v>
      </c>
    </row>
    <row r="156" spans="1:21" x14ac:dyDescent="0.25">
      <c r="C156">
        <v>3.4822000000000002</v>
      </c>
      <c r="D156">
        <v>2.4819</v>
      </c>
      <c r="E156">
        <v>1.5275000000000001</v>
      </c>
      <c r="F156">
        <v>1.3539000000000001</v>
      </c>
      <c r="G156">
        <v>1.3405</v>
      </c>
      <c r="H156">
        <v>1.2884</v>
      </c>
      <c r="I156">
        <v>1.0304</v>
      </c>
      <c r="J156">
        <v>5.7500000000000002E-2</v>
      </c>
      <c r="K156">
        <v>5.67E-2</v>
      </c>
      <c r="L156">
        <v>5.7500000000000002E-2</v>
      </c>
      <c r="M156">
        <v>5.74E-2</v>
      </c>
      <c r="N156">
        <v>6.2799999999999995E-2</v>
      </c>
    </row>
    <row r="157" spans="1:21" x14ac:dyDescent="0.25">
      <c r="C157">
        <v>3.7427999999999999</v>
      </c>
      <c r="D157">
        <v>2.5585</v>
      </c>
      <c r="E157">
        <v>1.5266</v>
      </c>
      <c r="F157">
        <v>1.3738999999999999</v>
      </c>
      <c r="G157">
        <v>1.3447</v>
      </c>
      <c r="H157">
        <v>0.83340000000000003</v>
      </c>
      <c r="I157">
        <v>1.0513999999999999</v>
      </c>
      <c r="J157">
        <v>5.6899999999999999E-2</v>
      </c>
      <c r="K157">
        <v>5.6899999999999999E-2</v>
      </c>
      <c r="L157">
        <v>5.7299999999999997E-2</v>
      </c>
      <c r="M157">
        <v>6.0400000000000002E-2</v>
      </c>
      <c r="N157">
        <v>5.91E-2</v>
      </c>
    </row>
    <row r="158" spans="1:21" x14ac:dyDescent="0.25">
      <c r="C158">
        <v>3.74</v>
      </c>
      <c r="D158">
        <v>2.9634</v>
      </c>
      <c r="E158">
        <v>1.5956999999999999</v>
      </c>
      <c r="F158">
        <v>1.3842000000000001</v>
      </c>
      <c r="G158">
        <v>1.3473999999999999</v>
      </c>
      <c r="H158">
        <v>0.75600000000000001</v>
      </c>
      <c r="I158">
        <v>1.0659000000000001</v>
      </c>
      <c r="J158">
        <v>5.8000000000000003E-2</v>
      </c>
      <c r="K158">
        <v>5.7299999999999997E-2</v>
      </c>
      <c r="L158">
        <v>5.6800000000000003E-2</v>
      </c>
      <c r="M158">
        <v>5.74E-2</v>
      </c>
      <c r="N158">
        <v>5.9499999999999997E-2</v>
      </c>
    </row>
    <row r="159" spans="1:21" x14ac:dyDescent="0.25">
      <c r="C159">
        <v>3.6385000000000001</v>
      </c>
      <c r="D159">
        <v>2.7970000000000002</v>
      </c>
      <c r="E159">
        <v>1.6819</v>
      </c>
      <c r="F159">
        <v>1.4417</v>
      </c>
      <c r="G159">
        <v>1.4194</v>
      </c>
      <c r="H159">
        <v>1.3268</v>
      </c>
      <c r="I159">
        <v>1.1301000000000001</v>
      </c>
      <c r="J159">
        <v>5.8400000000000001E-2</v>
      </c>
      <c r="K159">
        <v>5.8500000000000003E-2</v>
      </c>
      <c r="L159">
        <v>5.79E-2</v>
      </c>
      <c r="M159">
        <v>5.8700000000000002E-2</v>
      </c>
      <c r="N159">
        <v>5.8400000000000001E-2</v>
      </c>
    </row>
    <row r="160" spans="1:21" x14ac:dyDescent="0.25">
      <c r="C160">
        <v>1.784</v>
      </c>
      <c r="D160">
        <v>2.3685999999999998</v>
      </c>
      <c r="E160">
        <v>1.4782999999999999</v>
      </c>
      <c r="F160">
        <v>1.3646</v>
      </c>
      <c r="G160">
        <v>1.3835</v>
      </c>
      <c r="H160">
        <v>1.2005999999999999</v>
      </c>
      <c r="I160">
        <v>0.56689999999999996</v>
      </c>
      <c r="J160">
        <v>5.91E-2</v>
      </c>
      <c r="K160">
        <v>5.8299999999999998E-2</v>
      </c>
      <c r="L160">
        <v>5.8900000000000001E-2</v>
      </c>
      <c r="M160">
        <v>6.0600000000000001E-2</v>
      </c>
      <c r="N160">
        <v>6.13E-2</v>
      </c>
    </row>
    <row r="162" spans="1:31" x14ac:dyDescent="0.25">
      <c r="A162" t="s">
        <v>146</v>
      </c>
      <c r="B162" t="s">
        <v>159</v>
      </c>
    </row>
    <row r="163" spans="1:31" x14ac:dyDescent="0.25">
      <c r="A163" t="s">
        <v>139</v>
      </c>
      <c r="B163" t="s">
        <v>147</v>
      </c>
      <c r="C163">
        <v>1.3</v>
      </c>
      <c r="D163">
        <v>-1</v>
      </c>
      <c r="E163">
        <v>-2</v>
      </c>
      <c r="F163">
        <v>-3</v>
      </c>
      <c r="G163">
        <v>-4</v>
      </c>
      <c r="H163">
        <v>-5</v>
      </c>
      <c r="I163">
        <v>-6</v>
      </c>
      <c r="J163">
        <v>-7</v>
      </c>
      <c r="K163">
        <v>-8</v>
      </c>
      <c r="L163">
        <v>-9</v>
      </c>
      <c r="M163">
        <v>-10</v>
      </c>
      <c r="N163">
        <v>-11</v>
      </c>
      <c r="P163">
        <v>1</v>
      </c>
      <c r="Q163">
        <v>620</v>
      </c>
      <c r="R163">
        <v>1</v>
      </c>
      <c r="S163">
        <v>12</v>
      </c>
      <c r="T163">
        <v>96</v>
      </c>
      <c r="U163">
        <v>571</v>
      </c>
      <c r="V163" t="s">
        <v>149</v>
      </c>
      <c r="W163">
        <v>610</v>
      </c>
      <c r="Z163">
        <v>6</v>
      </c>
      <c r="AD163">
        <v>1</v>
      </c>
      <c r="AE163">
        <v>8</v>
      </c>
    </row>
    <row r="164" spans="1:31" x14ac:dyDescent="0.25">
      <c r="B164" t="s">
        <v>145</v>
      </c>
      <c r="C164">
        <v>1</v>
      </c>
      <c r="D164">
        <v>2</v>
      </c>
      <c r="E164">
        <v>3</v>
      </c>
      <c r="F164">
        <v>4</v>
      </c>
      <c r="G164">
        <v>5</v>
      </c>
      <c r="H164">
        <v>6</v>
      </c>
      <c r="I164">
        <v>7</v>
      </c>
      <c r="J164">
        <v>8</v>
      </c>
      <c r="K164">
        <v>9</v>
      </c>
      <c r="L164">
        <v>10</v>
      </c>
      <c r="M164">
        <v>11</v>
      </c>
      <c r="N164">
        <v>12</v>
      </c>
    </row>
    <row r="165" spans="1:31" x14ac:dyDescent="0.25">
      <c r="B165">
        <v>24.5</v>
      </c>
      <c r="C165">
        <v>24.588000000000001</v>
      </c>
      <c r="D165" s="23">
        <v>96.111999999999995</v>
      </c>
      <c r="E165" s="23">
        <v>385.44400000000002</v>
      </c>
      <c r="F165" s="23">
        <v>407.46199999999999</v>
      </c>
      <c r="G165" s="23">
        <v>374.99599999999998</v>
      </c>
      <c r="H165" s="23">
        <v>412.39800000000002</v>
      </c>
      <c r="I165" s="23">
        <v>321.04399999999998</v>
      </c>
      <c r="J165">
        <v>3.8210000000000002</v>
      </c>
      <c r="K165">
        <v>3.4969999999999999</v>
      </c>
      <c r="L165">
        <v>3.7890000000000001</v>
      </c>
      <c r="M165">
        <v>3.5430000000000001</v>
      </c>
      <c r="N165">
        <v>3.641</v>
      </c>
    </row>
    <row r="166" spans="1:31" x14ac:dyDescent="0.25">
      <c r="C166">
        <v>16.768999999999998</v>
      </c>
      <c r="D166" s="23">
        <v>61.356000000000002</v>
      </c>
      <c r="E166" s="23">
        <v>384.185</v>
      </c>
      <c r="F166" s="23">
        <v>368.55200000000002</v>
      </c>
      <c r="G166" s="23">
        <v>371.11900000000003</v>
      </c>
      <c r="H166" s="23">
        <v>366.04300000000001</v>
      </c>
      <c r="I166">
        <v>4.024</v>
      </c>
      <c r="J166">
        <v>3.649</v>
      </c>
      <c r="K166">
        <v>3.4169999999999998</v>
      </c>
      <c r="L166">
        <v>3.4940000000000002</v>
      </c>
      <c r="M166">
        <v>3.5569999999999999</v>
      </c>
      <c r="N166">
        <v>3.706</v>
      </c>
    </row>
    <row r="167" spans="1:31" x14ac:dyDescent="0.25">
      <c r="C167">
        <v>24.061</v>
      </c>
      <c r="D167" s="23">
        <v>59.850999999999999</v>
      </c>
      <c r="E167" s="23">
        <v>369.62099999999998</v>
      </c>
      <c r="F167" s="23">
        <v>353.82799999999997</v>
      </c>
      <c r="G167" s="23">
        <v>349.23200000000003</v>
      </c>
      <c r="H167" s="23">
        <v>389.49299999999999</v>
      </c>
      <c r="I167" s="23">
        <v>280.85700000000003</v>
      </c>
      <c r="J167">
        <v>3.5339999999999998</v>
      </c>
      <c r="K167">
        <v>4.0229999999999997</v>
      </c>
      <c r="L167">
        <v>3.6080000000000001</v>
      </c>
      <c r="M167">
        <v>3.28</v>
      </c>
      <c r="N167">
        <v>3.9470000000000001</v>
      </c>
    </row>
    <row r="168" spans="1:31" x14ac:dyDescent="0.25">
      <c r="C168">
        <v>22.998999999999999</v>
      </c>
      <c r="D168" s="23">
        <v>61.097999999999999</v>
      </c>
      <c r="E168" s="23">
        <v>331.16300000000001</v>
      </c>
      <c r="F168" s="23">
        <v>319.38900000000001</v>
      </c>
      <c r="G168" s="23">
        <v>367.85899999999998</v>
      </c>
      <c r="H168" s="23">
        <v>355.97</v>
      </c>
      <c r="I168" s="23">
        <v>283.12099999999998</v>
      </c>
      <c r="J168">
        <v>3.964</v>
      </c>
      <c r="K168">
        <v>3.6909999999999998</v>
      </c>
      <c r="L168">
        <v>4.1859999999999999</v>
      </c>
      <c r="M168">
        <v>3.1280000000000001</v>
      </c>
      <c r="N168">
        <v>4.258</v>
      </c>
    </row>
    <row r="169" spans="1:31" x14ac:dyDescent="0.25">
      <c r="C169">
        <v>23.414999999999999</v>
      </c>
      <c r="D169" s="23">
        <v>133.00200000000001</v>
      </c>
      <c r="E169" s="23">
        <v>346.27699999999999</v>
      </c>
      <c r="F169" s="23">
        <v>321.52300000000002</v>
      </c>
      <c r="G169" s="23">
        <v>358.31799999999998</v>
      </c>
      <c r="H169" s="23">
        <v>190.07400000000001</v>
      </c>
      <c r="I169" s="23">
        <v>290.02800000000002</v>
      </c>
      <c r="J169">
        <v>3.504</v>
      </c>
      <c r="K169">
        <v>3.9590000000000001</v>
      </c>
      <c r="L169">
        <v>4.2069999999999999</v>
      </c>
      <c r="M169">
        <v>3.4260000000000002</v>
      </c>
      <c r="N169">
        <v>4.0170000000000003</v>
      </c>
    </row>
    <row r="170" spans="1:31" x14ac:dyDescent="0.25">
      <c r="C170">
        <v>21.353999999999999</v>
      </c>
      <c r="D170" s="23">
        <v>36.956000000000003</v>
      </c>
      <c r="E170" s="23">
        <v>332.37</v>
      </c>
      <c r="F170" s="23">
        <v>320.83300000000003</v>
      </c>
      <c r="G170" s="23">
        <v>348.30799999999999</v>
      </c>
      <c r="H170" s="23">
        <v>120.172</v>
      </c>
      <c r="I170" s="23">
        <v>303.17200000000003</v>
      </c>
      <c r="J170">
        <v>3.69</v>
      </c>
      <c r="K170">
        <v>3.8069999999999999</v>
      </c>
      <c r="L170">
        <v>4.3070000000000004</v>
      </c>
      <c r="M170">
        <v>4.2290000000000001</v>
      </c>
      <c r="N170">
        <v>3.7989999999999999</v>
      </c>
    </row>
    <row r="171" spans="1:31" x14ac:dyDescent="0.25">
      <c r="C171">
        <v>18.222999999999999</v>
      </c>
      <c r="D171" s="23">
        <v>33.729999999999997</v>
      </c>
      <c r="E171" s="23">
        <v>387.14100000000002</v>
      </c>
      <c r="F171" s="23">
        <v>356.46800000000002</v>
      </c>
      <c r="G171" s="23">
        <v>390.99700000000001</v>
      </c>
      <c r="H171" s="23">
        <v>392.255</v>
      </c>
      <c r="I171" s="23">
        <v>333.92899999999997</v>
      </c>
      <c r="J171">
        <v>3.72</v>
      </c>
      <c r="K171">
        <v>3.7970000000000002</v>
      </c>
      <c r="L171">
        <v>3.6360000000000001</v>
      </c>
      <c r="M171">
        <v>3.27</v>
      </c>
      <c r="N171">
        <v>3.504</v>
      </c>
    </row>
    <row r="172" spans="1:31" x14ac:dyDescent="0.25">
      <c r="C172">
        <v>17.109000000000002</v>
      </c>
      <c r="D172" s="23">
        <v>46.384</v>
      </c>
      <c r="E172" s="23">
        <v>440.87099999999998</v>
      </c>
      <c r="F172" s="23">
        <v>439.38</v>
      </c>
      <c r="G172" s="23">
        <v>481.02699999999999</v>
      </c>
      <c r="H172" s="23">
        <v>439.91899999999998</v>
      </c>
      <c r="I172" s="23">
        <v>211.63399999999999</v>
      </c>
      <c r="J172">
        <v>3.0379999999999998</v>
      </c>
      <c r="K172">
        <v>3.835</v>
      </c>
      <c r="L172">
        <v>3.6320000000000001</v>
      </c>
      <c r="M172">
        <v>3.7090000000000001</v>
      </c>
      <c r="N172">
        <v>3.5720000000000001</v>
      </c>
    </row>
    <row r="174" spans="1:31" x14ac:dyDescent="0.25">
      <c r="A174" t="s">
        <v>146</v>
      </c>
      <c r="B174" t="s">
        <v>160</v>
      </c>
    </row>
    <row r="175" spans="1:31" x14ac:dyDescent="0.25">
      <c r="A175" t="s">
        <v>139</v>
      </c>
      <c r="B175" t="s">
        <v>151</v>
      </c>
      <c r="C175">
        <v>1.3</v>
      </c>
      <c r="D175" t="s">
        <v>141</v>
      </c>
      <c r="E175" t="s">
        <v>142</v>
      </c>
      <c r="F175" t="s">
        <v>143</v>
      </c>
      <c r="G175" t="s">
        <v>144</v>
      </c>
      <c r="H175" t="b">
        <v>0</v>
      </c>
      <c r="I175">
        <v>1</v>
      </c>
      <c r="O175">
        <v>1</v>
      </c>
      <c r="P175">
        <v>620</v>
      </c>
      <c r="Q175">
        <v>1</v>
      </c>
      <c r="R175">
        <v>12</v>
      </c>
      <c r="S175">
        <v>96</v>
      </c>
      <c r="T175">
        <v>1</v>
      </c>
      <c r="U175">
        <v>8</v>
      </c>
    </row>
    <row r="176" spans="1:31" x14ac:dyDescent="0.25">
      <c r="B176" t="s">
        <v>145</v>
      </c>
      <c r="C176">
        <v>1</v>
      </c>
      <c r="D176">
        <v>2</v>
      </c>
      <c r="E176">
        <v>3</v>
      </c>
      <c r="F176">
        <v>4</v>
      </c>
      <c r="G176">
        <v>5</v>
      </c>
      <c r="H176">
        <v>6</v>
      </c>
      <c r="I176">
        <v>7</v>
      </c>
      <c r="J176">
        <v>8</v>
      </c>
      <c r="K176">
        <v>9</v>
      </c>
      <c r="L176">
        <v>10</v>
      </c>
      <c r="M176">
        <v>11</v>
      </c>
      <c r="N176">
        <v>12</v>
      </c>
    </row>
    <row r="177" spans="1:31" x14ac:dyDescent="0.25">
      <c r="B177">
        <v>24.6</v>
      </c>
      <c r="C177">
        <v>2.1551999999999998</v>
      </c>
      <c r="D177">
        <v>1.2502</v>
      </c>
      <c r="E177">
        <v>1.4025000000000001</v>
      </c>
      <c r="F177">
        <v>1.1897</v>
      </c>
      <c r="G177">
        <v>1.2011000000000001</v>
      </c>
      <c r="H177">
        <v>1.103</v>
      </c>
      <c r="I177">
        <v>0.80469999999999997</v>
      </c>
      <c r="J177">
        <v>7.9399999999999998E-2</v>
      </c>
      <c r="K177">
        <v>7.8399999999999997E-2</v>
      </c>
      <c r="L177">
        <v>8.5199999999999998E-2</v>
      </c>
      <c r="M177">
        <v>8.48E-2</v>
      </c>
      <c r="N177">
        <v>9.4799999999999995E-2</v>
      </c>
    </row>
    <row r="178" spans="1:31" x14ac:dyDescent="0.25">
      <c r="C178">
        <v>2.7480000000000002</v>
      </c>
      <c r="D178">
        <v>2.2728999999999999</v>
      </c>
      <c r="E178">
        <v>1.6185</v>
      </c>
      <c r="F178">
        <v>1.325</v>
      </c>
      <c r="G178">
        <v>1.28</v>
      </c>
      <c r="H178">
        <v>1.2963</v>
      </c>
      <c r="I178">
        <v>1.1196999999999999</v>
      </c>
      <c r="J178">
        <v>6.5000000000000002E-2</v>
      </c>
      <c r="K178">
        <v>6.4399999999999999E-2</v>
      </c>
      <c r="L178">
        <v>6.6299999999999998E-2</v>
      </c>
      <c r="M178">
        <v>6.7799999999999999E-2</v>
      </c>
      <c r="N178">
        <v>7.17E-2</v>
      </c>
    </row>
    <row r="179" spans="1:31" x14ac:dyDescent="0.25">
      <c r="C179">
        <v>2.149</v>
      </c>
      <c r="D179">
        <v>2.4897</v>
      </c>
      <c r="E179">
        <v>1.7405999999999999</v>
      </c>
      <c r="F179">
        <v>1.3512</v>
      </c>
      <c r="G179">
        <v>1.4619</v>
      </c>
      <c r="H179">
        <v>1.4038999999999999</v>
      </c>
      <c r="I179">
        <v>1.3162</v>
      </c>
      <c r="J179">
        <v>6.2899999999999998E-2</v>
      </c>
      <c r="K179">
        <v>0.06</v>
      </c>
      <c r="L179">
        <v>6.3799999999999996E-2</v>
      </c>
      <c r="M179">
        <v>6.1699999999999998E-2</v>
      </c>
      <c r="N179">
        <v>6.4600000000000005E-2</v>
      </c>
    </row>
    <row r="180" spans="1:31" x14ac:dyDescent="0.25">
      <c r="C180">
        <v>2.1667000000000001</v>
      </c>
      <c r="D180">
        <v>2.3530000000000002</v>
      </c>
      <c r="E180">
        <v>1.6768000000000001</v>
      </c>
      <c r="F180">
        <v>1.4139999999999999</v>
      </c>
      <c r="G180">
        <v>1.4503999999999999</v>
      </c>
      <c r="H180">
        <v>1.3635999999999999</v>
      </c>
      <c r="I180">
        <v>0.67330000000000001</v>
      </c>
      <c r="J180">
        <v>6.0299999999999999E-2</v>
      </c>
      <c r="K180">
        <v>5.7500000000000002E-2</v>
      </c>
      <c r="L180">
        <v>6.1199999999999997E-2</v>
      </c>
      <c r="M180">
        <v>6.1899999999999997E-2</v>
      </c>
      <c r="N180">
        <v>6.5500000000000003E-2</v>
      </c>
    </row>
    <row r="181" spans="1:31" x14ac:dyDescent="0.25">
      <c r="C181">
        <v>2.0848</v>
      </c>
      <c r="D181">
        <v>2.3938999999999999</v>
      </c>
      <c r="E181">
        <v>1.7402</v>
      </c>
      <c r="F181">
        <v>1.4311</v>
      </c>
      <c r="G181">
        <v>1.3302</v>
      </c>
      <c r="H181">
        <v>1.4321999999999999</v>
      </c>
      <c r="I181">
        <v>1.3829</v>
      </c>
      <c r="J181">
        <v>6.0999999999999999E-2</v>
      </c>
      <c r="K181">
        <v>5.7799999999999997E-2</v>
      </c>
      <c r="L181">
        <v>6.0600000000000001E-2</v>
      </c>
      <c r="M181">
        <v>6.0699999999999997E-2</v>
      </c>
      <c r="N181">
        <v>6.3399999999999998E-2</v>
      </c>
    </row>
    <row r="182" spans="1:31" x14ac:dyDescent="0.25">
      <c r="C182">
        <v>2.2471000000000001</v>
      </c>
      <c r="D182">
        <v>2.3652000000000002</v>
      </c>
      <c r="E182">
        <v>1.7067000000000001</v>
      </c>
      <c r="F182">
        <v>1.8178000000000001</v>
      </c>
      <c r="G182">
        <v>1.4406000000000001</v>
      </c>
      <c r="H182">
        <v>1.4054</v>
      </c>
      <c r="I182">
        <v>1.2739</v>
      </c>
      <c r="J182">
        <v>6.2399999999999997E-2</v>
      </c>
      <c r="K182">
        <v>5.9900000000000002E-2</v>
      </c>
      <c r="L182">
        <v>6.2700000000000006E-2</v>
      </c>
      <c r="M182">
        <v>6.2799999999999995E-2</v>
      </c>
      <c r="N182">
        <v>6.5000000000000002E-2</v>
      </c>
    </row>
    <row r="183" spans="1:31" x14ac:dyDescent="0.25">
      <c r="C183">
        <v>1.7815000000000001</v>
      </c>
      <c r="D183">
        <v>2.4058000000000002</v>
      </c>
      <c r="E183">
        <v>1.7467999999999999</v>
      </c>
      <c r="F183">
        <v>1.4048</v>
      </c>
      <c r="G183">
        <v>1.3748</v>
      </c>
      <c r="H183">
        <v>1.3836999999999999</v>
      </c>
      <c r="I183">
        <v>1.2388999999999999</v>
      </c>
      <c r="J183">
        <v>6.1499999999999999E-2</v>
      </c>
      <c r="K183">
        <v>6.08E-2</v>
      </c>
      <c r="L183">
        <v>6.0999999999999999E-2</v>
      </c>
      <c r="M183">
        <v>6.7599999999999993E-2</v>
      </c>
      <c r="N183">
        <v>7.6999999999999999E-2</v>
      </c>
    </row>
    <row r="184" spans="1:31" x14ac:dyDescent="0.25">
      <c r="C184">
        <v>3.7526000000000002</v>
      </c>
      <c r="D184">
        <v>2.4921000000000002</v>
      </c>
      <c r="E184">
        <v>1.7955000000000001</v>
      </c>
      <c r="F184">
        <v>1.84</v>
      </c>
      <c r="G184">
        <v>1.4930000000000001</v>
      </c>
      <c r="H184">
        <v>1.4579</v>
      </c>
      <c r="I184">
        <v>1.3957999999999999</v>
      </c>
      <c r="J184">
        <v>1.1871</v>
      </c>
      <c r="K184">
        <v>6.2700000000000006E-2</v>
      </c>
      <c r="L184">
        <v>6.8400000000000002E-2</v>
      </c>
      <c r="M184">
        <v>7.6700000000000004E-2</v>
      </c>
      <c r="N184">
        <v>8.5099999999999995E-2</v>
      </c>
    </row>
    <row r="186" spans="1:31" x14ac:dyDescent="0.25">
      <c r="A186" t="s">
        <v>146</v>
      </c>
      <c r="B186" t="s">
        <v>160</v>
      </c>
    </row>
    <row r="187" spans="1:31" x14ac:dyDescent="0.25">
      <c r="A187" t="s">
        <v>139</v>
      </c>
      <c r="B187" t="s">
        <v>152</v>
      </c>
      <c r="C187">
        <v>1.3</v>
      </c>
      <c r="D187">
        <v>-1</v>
      </c>
      <c r="E187">
        <v>-2</v>
      </c>
      <c r="F187">
        <v>-3</v>
      </c>
      <c r="G187">
        <v>-4</v>
      </c>
      <c r="H187">
        <v>-5</v>
      </c>
      <c r="I187">
        <v>-6</v>
      </c>
      <c r="J187">
        <v>-7</v>
      </c>
      <c r="K187">
        <v>-8</v>
      </c>
      <c r="L187">
        <v>-9</v>
      </c>
      <c r="M187">
        <v>-10</v>
      </c>
      <c r="N187">
        <v>-11</v>
      </c>
      <c r="P187">
        <v>1</v>
      </c>
      <c r="Q187">
        <v>620</v>
      </c>
      <c r="R187">
        <v>1</v>
      </c>
      <c r="S187">
        <v>12</v>
      </c>
      <c r="T187">
        <v>96</v>
      </c>
      <c r="U187">
        <v>571</v>
      </c>
      <c r="V187" t="s">
        <v>149</v>
      </c>
      <c r="W187">
        <v>610</v>
      </c>
      <c r="Z187">
        <v>6</v>
      </c>
      <c r="AD187">
        <v>1</v>
      </c>
      <c r="AE187">
        <v>8</v>
      </c>
    </row>
    <row r="188" spans="1:31" x14ac:dyDescent="0.25">
      <c r="B188" t="s">
        <v>145</v>
      </c>
      <c r="C188">
        <v>1</v>
      </c>
      <c r="D188">
        <v>2</v>
      </c>
      <c r="E188">
        <v>3</v>
      </c>
      <c r="F188">
        <v>4</v>
      </c>
      <c r="G188">
        <v>5</v>
      </c>
      <c r="H188">
        <v>6</v>
      </c>
      <c r="I188">
        <v>7</v>
      </c>
      <c r="J188">
        <v>8</v>
      </c>
      <c r="K188">
        <v>9</v>
      </c>
      <c r="L188">
        <v>10</v>
      </c>
      <c r="M188">
        <v>11</v>
      </c>
      <c r="N188">
        <v>12</v>
      </c>
    </row>
    <row r="189" spans="1:31" x14ac:dyDescent="0.25">
      <c r="B189">
        <v>24.6</v>
      </c>
      <c r="C189">
        <v>20.645</v>
      </c>
      <c r="D189" s="23">
        <v>147.99700000000001</v>
      </c>
      <c r="E189" s="23">
        <v>149.24100000000001</v>
      </c>
      <c r="F189" s="23">
        <v>366.23899999999998</v>
      </c>
      <c r="G189" s="23">
        <v>410.80399999999997</v>
      </c>
      <c r="H189" s="23">
        <v>418.46300000000002</v>
      </c>
      <c r="I189" s="23">
        <v>311.09399999999999</v>
      </c>
      <c r="J189">
        <v>3.5830000000000002</v>
      </c>
      <c r="K189">
        <v>2.9769999999999999</v>
      </c>
      <c r="L189">
        <v>3.9060000000000001</v>
      </c>
      <c r="M189">
        <v>3.6829999999999998</v>
      </c>
      <c r="N189">
        <v>3.3650000000000002</v>
      </c>
    </row>
    <row r="190" spans="1:31" x14ac:dyDescent="0.25">
      <c r="C190">
        <v>20.338999999999999</v>
      </c>
      <c r="D190" s="23">
        <v>99.731999999999999</v>
      </c>
      <c r="E190" s="23">
        <v>221.125</v>
      </c>
      <c r="F190" s="23">
        <v>317.67099999999999</v>
      </c>
      <c r="G190" s="23">
        <v>323.50799999999998</v>
      </c>
      <c r="H190" s="23">
        <v>375.72500000000002</v>
      </c>
      <c r="I190" s="23">
        <v>305.49299999999999</v>
      </c>
      <c r="J190">
        <v>3.7690000000000001</v>
      </c>
      <c r="K190">
        <v>3.4620000000000002</v>
      </c>
      <c r="L190">
        <v>3.8570000000000002</v>
      </c>
      <c r="M190">
        <v>3.3260000000000001</v>
      </c>
      <c r="N190">
        <v>3.798</v>
      </c>
    </row>
    <row r="191" spans="1:31" x14ac:dyDescent="0.25">
      <c r="C191">
        <v>16.145</v>
      </c>
      <c r="D191" s="23">
        <v>89.906999999999996</v>
      </c>
      <c r="E191" s="23">
        <v>121.61499999999999</v>
      </c>
      <c r="F191" s="23">
        <v>298.72399999999999</v>
      </c>
      <c r="G191" s="23">
        <v>371.15699999999998</v>
      </c>
      <c r="H191" s="23">
        <v>393.91300000000001</v>
      </c>
      <c r="I191" s="23">
        <v>318.98500000000001</v>
      </c>
      <c r="J191">
        <v>3.4350000000000001</v>
      </c>
      <c r="K191">
        <v>3.6749999999999998</v>
      </c>
      <c r="L191">
        <v>3.7839999999999998</v>
      </c>
      <c r="M191">
        <v>3.2130000000000001</v>
      </c>
      <c r="N191">
        <v>4.3520000000000003</v>
      </c>
    </row>
    <row r="192" spans="1:31" x14ac:dyDescent="0.25">
      <c r="C192">
        <v>17.803000000000001</v>
      </c>
      <c r="D192" s="23">
        <v>96.150999999999996</v>
      </c>
      <c r="E192" s="23">
        <v>142.74299999999999</v>
      </c>
      <c r="F192" s="23">
        <v>302.20299999999997</v>
      </c>
      <c r="G192" s="23">
        <v>370.05700000000002</v>
      </c>
      <c r="H192" s="23">
        <v>352.726</v>
      </c>
      <c r="I192" s="23">
        <v>177.50700000000001</v>
      </c>
      <c r="J192">
        <v>3.23</v>
      </c>
      <c r="K192">
        <v>3.665</v>
      </c>
      <c r="L192">
        <v>3.101</v>
      </c>
      <c r="M192">
        <v>3.944</v>
      </c>
      <c r="N192">
        <v>3.9460000000000002</v>
      </c>
    </row>
    <row r="193" spans="1:21" x14ac:dyDescent="0.25">
      <c r="C193">
        <v>20.411999999999999</v>
      </c>
      <c r="D193" s="23">
        <v>59.71</v>
      </c>
      <c r="E193" s="23">
        <v>101.72799999999999</v>
      </c>
      <c r="F193" s="23">
        <v>323.12</v>
      </c>
      <c r="G193" s="23">
        <v>327.13900000000001</v>
      </c>
      <c r="H193" s="23">
        <v>382.09500000000003</v>
      </c>
      <c r="I193" s="23">
        <v>327.18599999999998</v>
      </c>
      <c r="J193">
        <v>3.7120000000000002</v>
      </c>
      <c r="K193">
        <v>3.52</v>
      </c>
      <c r="L193">
        <v>3.7029999999999998</v>
      </c>
      <c r="M193">
        <v>3.7450000000000001</v>
      </c>
      <c r="N193">
        <v>3.9910000000000001</v>
      </c>
    </row>
    <row r="194" spans="1:21" x14ac:dyDescent="0.25">
      <c r="C194">
        <v>17.010999999999999</v>
      </c>
      <c r="D194" s="23">
        <v>155.70699999999999</v>
      </c>
      <c r="E194" s="23">
        <v>93.033000000000001</v>
      </c>
      <c r="F194" s="23">
        <v>29.283999999999999</v>
      </c>
      <c r="G194" s="23">
        <v>363.024</v>
      </c>
      <c r="H194" s="23">
        <v>376.11500000000001</v>
      </c>
      <c r="I194" s="23">
        <v>307.08600000000001</v>
      </c>
      <c r="J194">
        <v>3.4340000000000002</v>
      </c>
      <c r="K194">
        <v>3.6160000000000001</v>
      </c>
      <c r="L194">
        <v>3.97</v>
      </c>
      <c r="M194">
        <v>3.44</v>
      </c>
      <c r="N194">
        <v>3.8839999999999999</v>
      </c>
    </row>
    <row r="195" spans="1:21" x14ac:dyDescent="0.25">
      <c r="C195">
        <v>21.088999999999999</v>
      </c>
      <c r="D195" s="23">
        <v>104.04900000000001</v>
      </c>
      <c r="E195" s="23">
        <v>90.852000000000004</v>
      </c>
      <c r="F195" s="23">
        <v>326.887</v>
      </c>
      <c r="G195" s="23">
        <v>369.697</v>
      </c>
      <c r="H195" s="23">
        <v>392.10300000000001</v>
      </c>
      <c r="I195" s="23">
        <v>308.988</v>
      </c>
      <c r="J195">
        <v>3.7280000000000002</v>
      </c>
      <c r="K195">
        <v>3.649</v>
      </c>
      <c r="L195">
        <v>3.6840000000000002</v>
      </c>
      <c r="M195">
        <v>4.0019999999999998</v>
      </c>
      <c r="N195">
        <v>3.194</v>
      </c>
    </row>
    <row r="196" spans="1:21" x14ac:dyDescent="0.25">
      <c r="C196">
        <v>19.279</v>
      </c>
      <c r="D196" s="23">
        <v>49.814</v>
      </c>
      <c r="E196" s="23">
        <v>129.273</v>
      </c>
      <c r="F196" s="23">
        <v>94.984999999999999</v>
      </c>
      <c r="G196" s="23">
        <v>398.42</v>
      </c>
      <c r="H196" s="23">
        <v>438.55</v>
      </c>
      <c r="I196" s="23">
        <v>379.827</v>
      </c>
      <c r="J196" s="23">
        <v>313.94299999999998</v>
      </c>
      <c r="K196">
        <v>4.0279999999999996</v>
      </c>
      <c r="L196">
        <v>3.5790000000000002</v>
      </c>
      <c r="M196">
        <v>3.2949999999999999</v>
      </c>
      <c r="N196">
        <v>3.0609999999999999</v>
      </c>
    </row>
    <row r="198" spans="1:21" x14ac:dyDescent="0.25">
      <c r="A198" t="s">
        <v>146</v>
      </c>
      <c r="B198" t="s">
        <v>161</v>
      </c>
    </row>
    <row r="199" spans="1:21" x14ac:dyDescent="0.25">
      <c r="A199" t="s">
        <v>139</v>
      </c>
      <c r="B199" t="s">
        <v>154</v>
      </c>
      <c r="C199">
        <v>1.3</v>
      </c>
      <c r="D199" t="s">
        <v>141</v>
      </c>
      <c r="E199" t="s">
        <v>142</v>
      </c>
      <c r="F199" t="s">
        <v>143</v>
      </c>
      <c r="G199" t="s">
        <v>144</v>
      </c>
      <c r="H199" t="b">
        <v>0</v>
      </c>
      <c r="I199">
        <v>1</v>
      </c>
      <c r="O199">
        <v>1</v>
      </c>
      <c r="P199">
        <v>620</v>
      </c>
      <c r="Q199">
        <v>1</v>
      </c>
      <c r="R199">
        <v>12</v>
      </c>
      <c r="S199">
        <v>96</v>
      </c>
      <c r="T199">
        <v>1</v>
      </c>
      <c r="U199">
        <v>8</v>
      </c>
    </row>
    <row r="200" spans="1:21" x14ac:dyDescent="0.25">
      <c r="B200" t="s">
        <v>145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7</v>
      </c>
      <c r="J200">
        <v>8</v>
      </c>
      <c r="K200">
        <v>9</v>
      </c>
      <c r="L200">
        <v>10</v>
      </c>
      <c r="M200">
        <v>11</v>
      </c>
      <c r="N200">
        <v>12</v>
      </c>
    </row>
    <row r="201" spans="1:21" x14ac:dyDescent="0.25">
      <c r="B201">
        <v>24.5</v>
      </c>
      <c r="C201">
        <v>2.1309</v>
      </c>
      <c r="D201">
        <v>2.1678000000000002</v>
      </c>
      <c r="E201">
        <v>1.2532000000000001</v>
      </c>
      <c r="F201">
        <v>1.3012999999999999</v>
      </c>
      <c r="G201">
        <v>1.391</v>
      </c>
      <c r="H201">
        <v>1.2303999999999999</v>
      </c>
      <c r="I201">
        <v>1.0923</v>
      </c>
      <c r="J201">
        <v>6.13E-2</v>
      </c>
      <c r="K201">
        <v>6.08E-2</v>
      </c>
      <c r="L201">
        <v>6.4699999999999994E-2</v>
      </c>
      <c r="M201">
        <v>6.5600000000000006E-2</v>
      </c>
      <c r="N201">
        <v>7.2700000000000001E-2</v>
      </c>
    </row>
    <row r="202" spans="1:21" x14ac:dyDescent="0.25">
      <c r="C202">
        <v>2.8451</v>
      </c>
      <c r="D202">
        <v>2.407</v>
      </c>
      <c r="E202">
        <v>1.4261999999999999</v>
      </c>
      <c r="F202">
        <v>1.3499000000000001</v>
      </c>
      <c r="G202">
        <v>1.3900999999999999</v>
      </c>
      <c r="H202">
        <v>1.3614999999999999</v>
      </c>
      <c r="I202">
        <v>1.1234999999999999</v>
      </c>
      <c r="J202">
        <v>5.8299999999999998E-2</v>
      </c>
      <c r="K202">
        <v>5.8700000000000002E-2</v>
      </c>
      <c r="L202">
        <v>5.9700000000000003E-2</v>
      </c>
      <c r="M202">
        <v>6.3E-2</v>
      </c>
      <c r="N202">
        <v>6.7100000000000007E-2</v>
      </c>
    </row>
    <row r="203" spans="1:21" x14ac:dyDescent="0.25">
      <c r="C203">
        <v>3.2023000000000001</v>
      </c>
      <c r="D203">
        <v>2.34</v>
      </c>
      <c r="E203">
        <v>1.4336</v>
      </c>
      <c r="F203">
        <v>1.6076999999999999</v>
      </c>
      <c r="G203">
        <v>1.4638</v>
      </c>
      <c r="H203">
        <v>1.4068000000000001</v>
      </c>
      <c r="I203">
        <v>5.79E-2</v>
      </c>
      <c r="J203">
        <v>0.06</v>
      </c>
      <c r="K203">
        <v>0.97230000000000005</v>
      </c>
      <c r="L203">
        <v>5.8700000000000002E-2</v>
      </c>
      <c r="M203">
        <v>5.8200000000000002E-2</v>
      </c>
      <c r="N203">
        <v>6.2600000000000003E-2</v>
      </c>
    </row>
    <row r="204" spans="1:21" x14ac:dyDescent="0.25">
      <c r="C204">
        <v>3.1147999999999998</v>
      </c>
      <c r="D204">
        <v>2.4030999999999998</v>
      </c>
      <c r="E204">
        <v>1.4061999999999999</v>
      </c>
      <c r="F204">
        <v>1.4665999999999999</v>
      </c>
      <c r="G204">
        <v>1.4824999999999999</v>
      </c>
      <c r="H204">
        <v>1.4476</v>
      </c>
      <c r="I204">
        <v>1.2101</v>
      </c>
      <c r="J204">
        <v>5.8799999999999998E-2</v>
      </c>
      <c r="K204">
        <v>5.7099999999999998E-2</v>
      </c>
      <c r="L204">
        <v>5.8900000000000001E-2</v>
      </c>
      <c r="M204">
        <v>5.8000000000000003E-2</v>
      </c>
      <c r="N204">
        <v>6.2199999999999998E-2</v>
      </c>
    </row>
    <row r="205" spans="1:21" x14ac:dyDescent="0.25">
      <c r="C205">
        <v>2.8624000000000001</v>
      </c>
      <c r="D205">
        <v>2.496</v>
      </c>
      <c r="E205">
        <v>1.48</v>
      </c>
      <c r="F205">
        <v>1.4197</v>
      </c>
      <c r="G205">
        <v>1.4673</v>
      </c>
      <c r="H205">
        <v>1.3975</v>
      </c>
      <c r="I205">
        <v>5.7099999999999998E-2</v>
      </c>
      <c r="J205">
        <v>5.8200000000000002E-2</v>
      </c>
      <c r="K205">
        <v>5.8000000000000003E-2</v>
      </c>
      <c r="L205">
        <v>5.8400000000000001E-2</v>
      </c>
      <c r="M205">
        <v>5.7599999999999998E-2</v>
      </c>
      <c r="N205">
        <v>5.8999999999999997E-2</v>
      </c>
    </row>
    <row r="206" spans="1:21" x14ac:dyDescent="0.25">
      <c r="C206">
        <v>3.1553</v>
      </c>
      <c r="D206">
        <v>2.5038</v>
      </c>
      <c r="E206">
        <v>1.4098999999999999</v>
      </c>
      <c r="F206">
        <v>1.4662999999999999</v>
      </c>
      <c r="G206">
        <v>1.4823999999999999</v>
      </c>
      <c r="H206">
        <v>1.3365</v>
      </c>
      <c r="I206">
        <v>1.1587000000000001</v>
      </c>
      <c r="J206">
        <v>6.0900000000000003E-2</v>
      </c>
      <c r="K206">
        <v>5.8299999999999998E-2</v>
      </c>
      <c r="L206">
        <v>5.8400000000000001E-2</v>
      </c>
      <c r="M206">
        <v>5.8799999999999998E-2</v>
      </c>
      <c r="N206">
        <v>6.08E-2</v>
      </c>
    </row>
    <row r="207" spans="1:21" x14ac:dyDescent="0.25">
      <c r="C207">
        <v>2.8315999999999999</v>
      </c>
      <c r="D207">
        <v>2.5617999999999999</v>
      </c>
      <c r="E207">
        <v>1.5130999999999999</v>
      </c>
      <c r="F207">
        <v>1.4890000000000001</v>
      </c>
      <c r="G207">
        <v>1.4807999999999999</v>
      </c>
      <c r="H207">
        <v>1.3511</v>
      </c>
      <c r="I207">
        <v>1.2089000000000001</v>
      </c>
      <c r="J207">
        <v>1.2176</v>
      </c>
      <c r="K207">
        <v>5.9499999999999997E-2</v>
      </c>
      <c r="L207">
        <v>5.9400000000000001E-2</v>
      </c>
      <c r="M207">
        <v>5.9200000000000003E-2</v>
      </c>
      <c r="N207">
        <v>5.9700000000000003E-2</v>
      </c>
    </row>
    <row r="208" spans="1:21" x14ac:dyDescent="0.25">
      <c r="C208">
        <v>2.3346</v>
      </c>
      <c r="D208">
        <v>2.3736000000000002</v>
      </c>
      <c r="E208">
        <v>1.4415</v>
      </c>
      <c r="F208">
        <v>1.2499</v>
      </c>
      <c r="G208">
        <v>1.3369</v>
      </c>
      <c r="H208">
        <v>1.1904999999999999</v>
      </c>
      <c r="I208">
        <v>0.77649999999999997</v>
      </c>
      <c r="J208">
        <v>0.97850000000000004</v>
      </c>
      <c r="K208">
        <v>6.0900000000000003E-2</v>
      </c>
      <c r="L208">
        <v>6.1499999999999999E-2</v>
      </c>
      <c r="M208">
        <v>6.2199999999999998E-2</v>
      </c>
      <c r="N208">
        <v>7.3999999999999996E-2</v>
      </c>
    </row>
    <row r="210" spans="1:31" x14ac:dyDescent="0.25">
      <c r="A210" t="s">
        <v>146</v>
      </c>
      <c r="B210" t="s">
        <v>161</v>
      </c>
    </row>
    <row r="211" spans="1:31" x14ac:dyDescent="0.25">
      <c r="A211" t="s">
        <v>139</v>
      </c>
      <c r="B211" t="s">
        <v>155</v>
      </c>
      <c r="C211">
        <v>1.3</v>
      </c>
      <c r="D211">
        <v>-1</v>
      </c>
      <c r="E211">
        <v>-2</v>
      </c>
      <c r="F211">
        <v>-3</v>
      </c>
      <c r="G211">
        <v>-4</v>
      </c>
      <c r="H211">
        <v>-5</v>
      </c>
      <c r="I211">
        <v>-6</v>
      </c>
      <c r="J211">
        <v>-7</v>
      </c>
      <c r="K211">
        <v>-8</v>
      </c>
      <c r="L211">
        <v>-9</v>
      </c>
      <c r="M211">
        <v>-10</v>
      </c>
      <c r="N211">
        <v>-11</v>
      </c>
      <c r="P211">
        <v>1</v>
      </c>
      <c r="Q211">
        <v>620</v>
      </c>
      <c r="R211">
        <v>1</v>
      </c>
      <c r="S211">
        <v>12</v>
      </c>
      <c r="T211">
        <v>96</v>
      </c>
      <c r="U211">
        <v>571</v>
      </c>
      <c r="V211" t="s">
        <v>149</v>
      </c>
      <c r="W211">
        <v>610</v>
      </c>
      <c r="Z211">
        <v>6</v>
      </c>
      <c r="AD211">
        <v>1</v>
      </c>
      <c r="AE211">
        <v>8</v>
      </c>
    </row>
    <row r="212" spans="1:31" x14ac:dyDescent="0.25">
      <c r="B212" t="s">
        <v>145</v>
      </c>
      <c r="C212">
        <v>1</v>
      </c>
      <c r="D212">
        <v>2</v>
      </c>
      <c r="E212">
        <v>3</v>
      </c>
      <c r="F212">
        <v>4</v>
      </c>
      <c r="G212">
        <v>5</v>
      </c>
      <c r="H212">
        <v>6</v>
      </c>
      <c r="I212">
        <v>7</v>
      </c>
      <c r="J212">
        <v>8</v>
      </c>
      <c r="K212">
        <v>9</v>
      </c>
      <c r="L212">
        <v>10</v>
      </c>
      <c r="M212">
        <v>11</v>
      </c>
      <c r="N212">
        <v>12</v>
      </c>
    </row>
    <row r="213" spans="1:31" x14ac:dyDescent="0.25">
      <c r="B213">
        <v>24.5</v>
      </c>
      <c r="C213">
        <v>19.34</v>
      </c>
      <c r="D213" s="23">
        <v>101.096</v>
      </c>
      <c r="E213" s="23">
        <v>409.09199999999998</v>
      </c>
      <c r="F213" s="23">
        <v>353.78100000000001</v>
      </c>
      <c r="G213" s="23">
        <v>435.35300000000001</v>
      </c>
      <c r="H213" s="23">
        <v>469.11700000000002</v>
      </c>
      <c r="I213" s="23">
        <v>397.59800000000001</v>
      </c>
      <c r="J213">
        <v>3.3140000000000001</v>
      </c>
      <c r="K213">
        <v>3.6720000000000002</v>
      </c>
      <c r="L213">
        <v>3.8650000000000002</v>
      </c>
      <c r="M213">
        <v>4.1180000000000003</v>
      </c>
      <c r="N213">
        <v>3.5169999999999999</v>
      </c>
    </row>
    <row r="214" spans="1:31" x14ac:dyDescent="0.25">
      <c r="C214">
        <v>23.283999999999999</v>
      </c>
      <c r="D214" s="23">
        <v>84.616</v>
      </c>
      <c r="E214" s="23">
        <v>325.40300000000002</v>
      </c>
      <c r="F214" s="23">
        <v>326.72399999999999</v>
      </c>
      <c r="G214" s="23">
        <v>384.334</v>
      </c>
      <c r="H214" s="23">
        <v>432.065</v>
      </c>
      <c r="I214" s="23">
        <v>347.85</v>
      </c>
      <c r="J214">
        <v>3.625</v>
      </c>
      <c r="K214">
        <v>3.7290000000000001</v>
      </c>
      <c r="L214">
        <v>3.8769999999999998</v>
      </c>
      <c r="M214">
        <v>4.008</v>
      </c>
      <c r="N214">
        <v>3.6949999999999998</v>
      </c>
    </row>
    <row r="215" spans="1:31" x14ac:dyDescent="0.25">
      <c r="C215">
        <v>24.329000000000001</v>
      </c>
      <c r="D215" s="23">
        <v>105.084</v>
      </c>
      <c r="E215" s="23">
        <v>301.09300000000002</v>
      </c>
      <c r="F215" s="23">
        <v>218.42699999999999</v>
      </c>
      <c r="G215" s="23">
        <v>385.12099999999998</v>
      </c>
      <c r="H215" s="23">
        <v>422.16899999999998</v>
      </c>
      <c r="I215">
        <v>3.7850000000000001</v>
      </c>
      <c r="J215">
        <v>4.024</v>
      </c>
      <c r="K215" s="9">
        <v>267.892</v>
      </c>
      <c r="L215">
        <v>3.7170000000000001</v>
      </c>
      <c r="M215">
        <v>3.629</v>
      </c>
      <c r="N215">
        <v>4.1500000000000004</v>
      </c>
    </row>
    <row r="216" spans="1:31" x14ac:dyDescent="0.25">
      <c r="C216">
        <v>24.285</v>
      </c>
      <c r="D216" s="23">
        <v>61.606000000000002</v>
      </c>
      <c r="E216" s="23">
        <v>305.36</v>
      </c>
      <c r="F216" s="23">
        <v>321.55200000000002</v>
      </c>
      <c r="G216" s="23">
        <v>383.93099999999998</v>
      </c>
      <c r="H216" s="23">
        <v>428.68200000000002</v>
      </c>
      <c r="I216" s="23">
        <v>333.98599999999999</v>
      </c>
      <c r="J216">
        <v>3.952</v>
      </c>
      <c r="K216">
        <v>4.21</v>
      </c>
      <c r="L216">
        <v>3.383</v>
      </c>
      <c r="M216">
        <v>4.1500000000000004</v>
      </c>
      <c r="N216">
        <v>4.2859999999999996</v>
      </c>
    </row>
    <row r="217" spans="1:31" x14ac:dyDescent="0.25">
      <c r="C217">
        <v>22.934000000000001</v>
      </c>
      <c r="D217" s="23">
        <v>120.256</v>
      </c>
      <c r="E217" s="23">
        <v>233.41900000000001</v>
      </c>
      <c r="F217" s="23">
        <v>312.60199999999998</v>
      </c>
      <c r="G217" s="23">
        <v>385.64699999999999</v>
      </c>
      <c r="H217" s="23">
        <v>420.21699999999998</v>
      </c>
      <c r="I217">
        <v>3.5</v>
      </c>
      <c r="J217">
        <v>3.6030000000000002</v>
      </c>
      <c r="K217">
        <v>3.7909999999999999</v>
      </c>
      <c r="L217">
        <v>4.0739999999999998</v>
      </c>
      <c r="M217">
        <v>3.359</v>
      </c>
      <c r="N217">
        <v>4.13</v>
      </c>
    </row>
    <row r="218" spans="1:31" x14ac:dyDescent="0.25">
      <c r="C218">
        <v>24.026</v>
      </c>
      <c r="D218" s="23">
        <v>109.59</v>
      </c>
      <c r="E218" s="23">
        <v>301.92500000000001</v>
      </c>
      <c r="F218" s="23">
        <v>321.12</v>
      </c>
      <c r="G218" s="23">
        <v>399.58800000000002</v>
      </c>
      <c r="H218" s="23">
        <v>426.44299999999998</v>
      </c>
      <c r="I218" s="23">
        <v>336.65600000000001</v>
      </c>
      <c r="J218">
        <v>3.774</v>
      </c>
      <c r="K218">
        <v>3.3620000000000001</v>
      </c>
      <c r="L218">
        <v>3.3650000000000002</v>
      </c>
      <c r="M218">
        <v>3.99</v>
      </c>
      <c r="N218">
        <v>3.6389999999999998</v>
      </c>
    </row>
    <row r="219" spans="1:31" x14ac:dyDescent="0.25">
      <c r="C219">
        <v>22.802</v>
      </c>
      <c r="D219" s="23">
        <v>82.078000000000003</v>
      </c>
      <c r="E219" s="23">
        <v>320.49700000000001</v>
      </c>
      <c r="F219" s="23">
        <v>345.35</v>
      </c>
      <c r="G219" s="23">
        <v>397.98599999999999</v>
      </c>
      <c r="H219" s="23">
        <v>438.05200000000002</v>
      </c>
      <c r="I219" s="23">
        <v>377.42899999999997</v>
      </c>
      <c r="J219" s="23">
        <v>369.52499999999998</v>
      </c>
      <c r="K219">
        <v>4.1029999999999998</v>
      </c>
      <c r="L219">
        <v>3.6309999999999998</v>
      </c>
      <c r="M219">
        <v>3.84</v>
      </c>
      <c r="N219">
        <v>4.657</v>
      </c>
    </row>
    <row r="220" spans="1:31" x14ac:dyDescent="0.25">
      <c r="C220">
        <v>17.343</v>
      </c>
      <c r="D220" s="23">
        <v>72.02</v>
      </c>
      <c r="E220" s="23">
        <v>392.73899999999998</v>
      </c>
      <c r="F220" s="23">
        <v>337.03300000000002</v>
      </c>
      <c r="G220" s="23">
        <v>417.149</v>
      </c>
      <c r="H220" s="23">
        <v>474.858</v>
      </c>
      <c r="I220" s="23">
        <v>330.73</v>
      </c>
      <c r="J220" s="23">
        <v>362.60300000000001</v>
      </c>
      <c r="K220">
        <v>3.5449999999999999</v>
      </c>
      <c r="L220">
        <v>3.3969999999999998</v>
      </c>
      <c r="M220">
        <v>3.5579999999999998</v>
      </c>
      <c r="N220">
        <v>3.9660000000000002</v>
      </c>
    </row>
    <row r="222" spans="1:31" x14ac:dyDescent="0.25">
      <c r="A222" t="s">
        <v>146</v>
      </c>
      <c r="B222" t="s">
        <v>162</v>
      </c>
    </row>
    <row r="223" spans="1:31" x14ac:dyDescent="0.25">
      <c r="A223" t="s">
        <v>139</v>
      </c>
      <c r="B223" t="s">
        <v>140</v>
      </c>
      <c r="C223">
        <v>1.3</v>
      </c>
      <c r="D223" t="s">
        <v>141</v>
      </c>
      <c r="E223" t="s">
        <v>142</v>
      </c>
      <c r="F223" t="s">
        <v>143</v>
      </c>
      <c r="G223" t="s">
        <v>144</v>
      </c>
      <c r="H223" t="b">
        <v>0</v>
      </c>
      <c r="I223">
        <v>1</v>
      </c>
      <c r="O223">
        <v>1</v>
      </c>
      <c r="P223">
        <v>620</v>
      </c>
      <c r="Q223">
        <v>1</v>
      </c>
      <c r="R223">
        <v>12</v>
      </c>
      <c r="S223">
        <v>96</v>
      </c>
      <c r="T223">
        <v>1</v>
      </c>
      <c r="U223">
        <v>8</v>
      </c>
    </row>
    <row r="224" spans="1:31" x14ac:dyDescent="0.25">
      <c r="B224" t="s">
        <v>145</v>
      </c>
      <c r="C224">
        <v>1</v>
      </c>
      <c r="D224">
        <v>2</v>
      </c>
      <c r="E224">
        <v>3</v>
      </c>
      <c r="F224">
        <v>4</v>
      </c>
      <c r="G224">
        <v>5</v>
      </c>
      <c r="H224">
        <v>6</v>
      </c>
      <c r="I224">
        <v>7</v>
      </c>
      <c r="J224">
        <v>8</v>
      </c>
      <c r="K224">
        <v>9</v>
      </c>
      <c r="L224">
        <v>10</v>
      </c>
      <c r="M224">
        <v>11</v>
      </c>
      <c r="N224">
        <v>12</v>
      </c>
    </row>
    <row r="225" spans="1:31" x14ac:dyDescent="0.25">
      <c r="B225">
        <v>24.6</v>
      </c>
      <c r="C225">
        <v>2.718</v>
      </c>
      <c r="D225">
        <v>2.2397999999999998</v>
      </c>
      <c r="E225">
        <v>1.6293</v>
      </c>
      <c r="F225">
        <v>1.0674999999999999</v>
      </c>
      <c r="G225">
        <v>0.8458</v>
      </c>
      <c r="H225">
        <v>1.0197000000000001</v>
      </c>
      <c r="I225">
        <v>5.8900000000000001E-2</v>
      </c>
      <c r="J225">
        <v>6.08E-2</v>
      </c>
      <c r="K225">
        <v>6.3799999999999996E-2</v>
      </c>
      <c r="L225">
        <v>6.0199999999999997E-2</v>
      </c>
      <c r="M225">
        <v>6.2300000000000001E-2</v>
      </c>
      <c r="N225">
        <v>6.4100000000000004E-2</v>
      </c>
    </row>
    <row r="226" spans="1:31" x14ac:dyDescent="0.25">
      <c r="C226">
        <v>3.2181999999999999</v>
      </c>
      <c r="D226">
        <v>2.2570000000000001</v>
      </c>
      <c r="E226">
        <v>1.6718</v>
      </c>
      <c r="F226">
        <v>1.0851999999999999</v>
      </c>
      <c r="G226">
        <v>1.1029</v>
      </c>
      <c r="H226">
        <v>0.92759999999999998</v>
      </c>
      <c r="I226">
        <v>5.79E-2</v>
      </c>
      <c r="J226">
        <v>5.79E-2</v>
      </c>
      <c r="K226">
        <v>5.8000000000000003E-2</v>
      </c>
      <c r="L226">
        <v>6.0199999999999997E-2</v>
      </c>
      <c r="M226">
        <v>6.1100000000000002E-2</v>
      </c>
      <c r="N226">
        <v>6.6600000000000006E-2</v>
      </c>
    </row>
    <row r="227" spans="1:31" x14ac:dyDescent="0.25">
      <c r="C227">
        <v>2.7174999999999998</v>
      </c>
      <c r="D227">
        <v>2.3826000000000001</v>
      </c>
      <c r="E227">
        <v>1.1444000000000001</v>
      </c>
      <c r="F227">
        <v>1.2203999999999999</v>
      </c>
      <c r="G227">
        <v>1.0694999999999999</v>
      </c>
      <c r="H227">
        <v>0.52280000000000004</v>
      </c>
      <c r="I227">
        <v>0.27260000000000001</v>
      </c>
      <c r="J227">
        <v>5.8599999999999999E-2</v>
      </c>
      <c r="K227">
        <v>5.7799999999999997E-2</v>
      </c>
      <c r="L227">
        <v>5.8299999999999998E-2</v>
      </c>
      <c r="M227">
        <v>5.7500000000000002E-2</v>
      </c>
      <c r="N227">
        <v>5.9700000000000003E-2</v>
      </c>
    </row>
    <row r="228" spans="1:31" x14ac:dyDescent="0.25">
      <c r="C228">
        <v>2.8371</v>
      </c>
      <c r="D228">
        <v>2.2746</v>
      </c>
      <c r="E228">
        <v>1.2192000000000001</v>
      </c>
      <c r="F228">
        <v>1.2226999999999999</v>
      </c>
      <c r="G228">
        <v>0.83730000000000004</v>
      </c>
      <c r="H228">
        <v>1.0374000000000001</v>
      </c>
      <c r="I228">
        <v>8.8400000000000006E-2</v>
      </c>
      <c r="J228">
        <v>5.8700000000000002E-2</v>
      </c>
      <c r="K228">
        <v>5.7700000000000001E-2</v>
      </c>
      <c r="L228">
        <v>5.8700000000000002E-2</v>
      </c>
      <c r="M228">
        <v>5.8099999999999999E-2</v>
      </c>
      <c r="N228">
        <v>0.06</v>
      </c>
    </row>
    <row r="229" spans="1:31" x14ac:dyDescent="0.25">
      <c r="C229">
        <v>3.2877000000000001</v>
      </c>
      <c r="D229">
        <v>2.4424000000000001</v>
      </c>
      <c r="E229">
        <v>1.1991000000000001</v>
      </c>
      <c r="F229">
        <v>1.3035000000000001</v>
      </c>
      <c r="G229">
        <v>1.1478999999999999</v>
      </c>
      <c r="H229">
        <v>1.2067000000000001</v>
      </c>
      <c r="I229">
        <v>6.0299999999999999E-2</v>
      </c>
      <c r="J229">
        <v>5.8400000000000001E-2</v>
      </c>
      <c r="K229">
        <v>5.7700000000000001E-2</v>
      </c>
      <c r="L229">
        <v>5.79E-2</v>
      </c>
      <c r="M229">
        <v>5.7599999999999998E-2</v>
      </c>
      <c r="N229">
        <v>5.8599999999999999E-2</v>
      </c>
    </row>
    <row r="230" spans="1:31" x14ac:dyDescent="0.25">
      <c r="C230">
        <v>3.4060999999999999</v>
      </c>
      <c r="D230">
        <v>2.3650000000000002</v>
      </c>
      <c r="E230">
        <v>1.0943000000000001</v>
      </c>
      <c r="F230">
        <v>1.2644</v>
      </c>
      <c r="G230">
        <v>0.88739999999999997</v>
      </c>
      <c r="H230">
        <v>1.1263000000000001</v>
      </c>
      <c r="I230">
        <v>5.8200000000000002E-2</v>
      </c>
      <c r="J230">
        <v>5.91E-2</v>
      </c>
      <c r="K230">
        <v>5.79E-2</v>
      </c>
      <c r="L230">
        <v>5.8000000000000003E-2</v>
      </c>
      <c r="M230">
        <v>6.0299999999999999E-2</v>
      </c>
      <c r="N230">
        <v>5.8799999999999998E-2</v>
      </c>
    </row>
    <row r="231" spans="1:31" x14ac:dyDescent="0.25">
      <c r="C231">
        <v>3.806</v>
      </c>
      <c r="D231">
        <v>2.5247999999999999</v>
      </c>
      <c r="E231">
        <v>1.7666999999999999</v>
      </c>
      <c r="F231">
        <v>1.0799000000000001</v>
      </c>
      <c r="G231">
        <v>1.2662</v>
      </c>
      <c r="H231">
        <v>5.7599999999999998E-2</v>
      </c>
      <c r="I231">
        <v>5.79E-2</v>
      </c>
      <c r="J231">
        <v>5.8999999999999997E-2</v>
      </c>
      <c r="K231">
        <v>5.8400000000000001E-2</v>
      </c>
      <c r="L231">
        <v>5.8200000000000002E-2</v>
      </c>
      <c r="M231">
        <v>5.91E-2</v>
      </c>
      <c r="N231">
        <v>5.8299999999999998E-2</v>
      </c>
    </row>
    <row r="232" spans="1:31" x14ac:dyDescent="0.25">
      <c r="C232">
        <v>3.7218</v>
      </c>
      <c r="D232">
        <v>2.9321000000000002</v>
      </c>
      <c r="E232">
        <v>1.6940999999999999</v>
      </c>
      <c r="F232">
        <v>1.1642999999999999</v>
      </c>
      <c r="G232">
        <v>1.2166999999999999</v>
      </c>
      <c r="H232">
        <v>1.0546</v>
      </c>
      <c r="I232">
        <v>5.8799999999999998E-2</v>
      </c>
      <c r="J232">
        <v>5.9799999999999999E-2</v>
      </c>
      <c r="K232">
        <v>5.8700000000000002E-2</v>
      </c>
      <c r="L232">
        <v>5.9200000000000003E-2</v>
      </c>
      <c r="M232">
        <v>5.96E-2</v>
      </c>
      <c r="N232">
        <v>5.8999999999999997E-2</v>
      </c>
    </row>
    <row r="234" spans="1:31" x14ac:dyDescent="0.25">
      <c r="A234" t="s">
        <v>146</v>
      </c>
      <c r="B234" t="s">
        <v>162</v>
      </c>
    </row>
    <row r="235" spans="1:31" x14ac:dyDescent="0.25">
      <c r="A235" t="s">
        <v>139</v>
      </c>
      <c r="B235" t="s">
        <v>147</v>
      </c>
      <c r="C235">
        <v>1.3</v>
      </c>
      <c r="D235">
        <v>-1</v>
      </c>
      <c r="E235">
        <v>-2</v>
      </c>
      <c r="F235">
        <v>-3</v>
      </c>
      <c r="G235">
        <v>-4</v>
      </c>
      <c r="H235">
        <v>-5</v>
      </c>
      <c r="I235">
        <v>-6</v>
      </c>
      <c r="J235">
        <v>-7</v>
      </c>
      <c r="K235">
        <v>-8</v>
      </c>
      <c r="L235">
        <v>-9</v>
      </c>
      <c r="M235">
        <v>-10</v>
      </c>
      <c r="N235">
        <v>-11</v>
      </c>
      <c r="P235">
        <v>1</v>
      </c>
      <c r="Q235">
        <v>620</v>
      </c>
      <c r="R235">
        <v>1</v>
      </c>
      <c r="S235">
        <v>12</v>
      </c>
      <c r="T235">
        <v>96</v>
      </c>
      <c r="U235">
        <v>571</v>
      </c>
      <c r="V235" t="s">
        <v>149</v>
      </c>
      <c r="W235">
        <v>610</v>
      </c>
      <c r="Z235">
        <v>6</v>
      </c>
      <c r="AD235">
        <v>1</v>
      </c>
      <c r="AE235">
        <v>8</v>
      </c>
    </row>
    <row r="236" spans="1:31" x14ac:dyDescent="0.25">
      <c r="B236" t="s">
        <v>145</v>
      </c>
      <c r="C236">
        <v>1</v>
      </c>
      <c r="D236">
        <v>2</v>
      </c>
      <c r="E236">
        <v>3</v>
      </c>
      <c r="F236">
        <v>4</v>
      </c>
      <c r="G236">
        <v>5</v>
      </c>
      <c r="H236">
        <v>6</v>
      </c>
      <c r="I236">
        <v>7</v>
      </c>
      <c r="J236">
        <v>8</v>
      </c>
      <c r="K236">
        <v>9</v>
      </c>
      <c r="L236">
        <v>10</v>
      </c>
      <c r="M236">
        <v>11</v>
      </c>
      <c r="N236">
        <v>12</v>
      </c>
    </row>
    <row r="237" spans="1:31" x14ac:dyDescent="0.25">
      <c r="B237">
        <v>24.6</v>
      </c>
      <c r="C237">
        <v>18.111000000000001</v>
      </c>
      <c r="D237" s="23">
        <v>158.745</v>
      </c>
      <c r="E237" s="23">
        <v>49.460999999999999</v>
      </c>
      <c r="F237" s="23">
        <v>303.05200000000002</v>
      </c>
      <c r="G237" s="23">
        <v>228.185</v>
      </c>
      <c r="H237" s="23">
        <v>386.08499999999998</v>
      </c>
      <c r="I237">
        <v>3.9830000000000001</v>
      </c>
      <c r="J237">
        <v>3.468</v>
      </c>
      <c r="K237">
        <v>3.492</v>
      </c>
      <c r="L237">
        <v>3.7229999999999999</v>
      </c>
      <c r="M237">
        <v>3.69</v>
      </c>
      <c r="N237">
        <v>4.4269999999999996</v>
      </c>
    </row>
    <row r="238" spans="1:31" x14ac:dyDescent="0.25">
      <c r="C238">
        <v>18.440000000000001</v>
      </c>
      <c r="D238" s="23">
        <v>44.055999999999997</v>
      </c>
      <c r="E238" s="23">
        <v>52.883000000000003</v>
      </c>
      <c r="F238" s="23">
        <v>271.35599999999999</v>
      </c>
      <c r="G238" s="23">
        <v>351.06</v>
      </c>
      <c r="H238" s="23">
        <v>298.50900000000001</v>
      </c>
      <c r="I238">
        <v>3.86</v>
      </c>
      <c r="J238">
        <v>3.9940000000000002</v>
      </c>
      <c r="K238">
        <v>4.2750000000000004</v>
      </c>
      <c r="L238">
        <v>3.7610000000000001</v>
      </c>
      <c r="M238">
        <v>3.798</v>
      </c>
      <c r="N238">
        <v>4.4349999999999996</v>
      </c>
    </row>
    <row r="239" spans="1:31" x14ac:dyDescent="0.25">
      <c r="C239">
        <v>13.914999999999999</v>
      </c>
      <c r="D239" s="23">
        <v>148.70400000000001</v>
      </c>
      <c r="E239" s="23">
        <v>221.81899999999999</v>
      </c>
      <c r="F239" s="23">
        <v>312.90100000000001</v>
      </c>
      <c r="G239" s="23">
        <v>347.39699999999999</v>
      </c>
      <c r="H239" s="23">
        <v>20.03</v>
      </c>
      <c r="I239">
        <v>4.0960000000000001</v>
      </c>
      <c r="J239">
        <v>3.7280000000000002</v>
      </c>
      <c r="K239">
        <v>4.6749999999999998</v>
      </c>
      <c r="L239">
        <v>3.605</v>
      </c>
      <c r="M239">
        <v>4.1639999999999997</v>
      </c>
      <c r="N239">
        <v>4.3520000000000003</v>
      </c>
    </row>
    <row r="240" spans="1:31" x14ac:dyDescent="0.25">
      <c r="C240">
        <v>13.843999999999999</v>
      </c>
      <c r="D240" s="23">
        <v>44.616999999999997</v>
      </c>
      <c r="E240" s="23">
        <v>231.54499999999999</v>
      </c>
      <c r="F240" s="23">
        <v>323.089</v>
      </c>
      <c r="G240" s="23">
        <v>194.06399999999999</v>
      </c>
      <c r="H240" s="23">
        <v>308.78100000000001</v>
      </c>
      <c r="I240">
        <v>4.415</v>
      </c>
      <c r="J240">
        <v>3.891</v>
      </c>
      <c r="K240">
        <v>4.4169999999999998</v>
      </c>
      <c r="L240">
        <v>4.1580000000000004</v>
      </c>
      <c r="M240">
        <v>3.4390000000000001</v>
      </c>
      <c r="N240">
        <v>4.2919999999999998</v>
      </c>
    </row>
    <row r="241" spans="1:21" x14ac:dyDescent="0.25">
      <c r="C241">
        <v>14.805</v>
      </c>
      <c r="D241" s="23">
        <v>99.757000000000005</v>
      </c>
      <c r="E241" s="23">
        <v>211.84399999999999</v>
      </c>
      <c r="F241" s="23">
        <v>341.392</v>
      </c>
      <c r="G241" s="23">
        <v>326.16000000000003</v>
      </c>
      <c r="H241" s="23">
        <v>351.27600000000001</v>
      </c>
      <c r="I241">
        <v>4.1520000000000001</v>
      </c>
      <c r="J241">
        <v>3.25</v>
      </c>
      <c r="K241">
        <v>3.915</v>
      </c>
      <c r="L241">
        <v>4.09</v>
      </c>
      <c r="M241">
        <v>4.2430000000000003</v>
      </c>
      <c r="N241">
        <v>4.0369999999999999</v>
      </c>
    </row>
    <row r="242" spans="1:21" x14ac:dyDescent="0.25">
      <c r="C242">
        <v>17.018999999999998</v>
      </c>
      <c r="D242" s="23">
        <v>93.608000000000004</v>
      </c>
      <c r="E242" s="23">
        <v>204.41300000000001</v>
      </c>
      <c r="F242" s="23">
        <v>339.01799999999997</v>
      </c>
      <c r="G242" s="23">
        <v>223.28700000000001</v>
      </c>
      <c r="H242" s="23">
        <v>337.22500000000002</v>
      </c>
      <c r="I242">
        <v>3.843</v>
      </c>
      <c r="J242">
        <v>4.1269999999999998</v>
      </c>
      <c r="K242">
        <v>4.851</v>
      </c>
      <c r="L242">
        <v>4.7690000000000001</v>
      </c>
      <c r="M242">
        <v>3.92</v>
      </c>
      <c r="N242">
        <v>3.802</v>
      </c>
    </row>
    <row r="243" spans="1:21" x14ac:dyDescent="0.25">
      <c r="C243">
        <v>24.279</v>
      </c>
      <c r="D243" s="23">
        <v>80.375</v>
      </c>
      <c r="E243" s="23">
        <v>38.316000000000003</v>
      </c>
      <c r="F243" s="23">
        <v>282.089</v>
      </c>
      <c r="G243" s="23">
        <v>410.63200000000001</v>
      </c>
      <c r="H243">
        <v>4.4480000000000004</v>
      </c>
      <c r="I243">
        <v>4.8949999999999996</v>
      </c>
      <c r="J243">
        <v>4.157</v>
      </c>
      <c r="K243">
        <v>3.9790000000000001</v>
      </c>
      <c r="L243">
        <v>4.6340000000000003</v>
      </c>
      <c r="M243">
        <v>3.9729999999999999</v>
      </c>
      <c r="N243">
        <v>4.4969999999999999</v>
      </c>
    </row>
    <row r="244" spans="1:21" x14ac:dyDescent="0.25">
      <c r="C244">
        <v>19.026</v>
      </c>
      <c r="D244" s="23">
        <v>19.579999999999998</v>
      </c>
      <c r="E244" s="23">
        <v>193.721</v>
      </c>
      <c r="F244" s="23">
        <v>302.43099999999998</v>
      </c>
      <c r="G244" s="23">
        <v>389.96</v>
      </c>
      <c r="H244" s="23">
        <v>383.303</v>
      </c>
      <c r="I244">
        <v>4.649</v>
      </c>
      <c r="J244">
        <v>3.8370000000000002</v>
      </c>
      <c r="K244">
        <v>3.8809999999999998</v>
      </c>
      <c r="L244">
        <v>3.8050000000000002</v>
      </c>
      <c r="M244">
        <v>4.085</v>
      </c>
      <c r="N244">
        <v>4.5659999999999998</v>
      </c>
    </row>
    <row r="246" spans="1:21" x14ac:dyDescent="0.25">
      <c r="A246" t="s">
        <v>146</v>
      </c>
      <c r="B246" t="s">
        <v>163</v>
      </c>
    </row>
    <row r="247" spans="1:21" x14ac:dyDescent="0.25">
      <c r="A247" t="s">
        <v>139</v>
      </c>
      <c r="B247" t="s">
        <v>151</v>
      </c>
      <c r="C247">
        <v>1.3</v>
      </c>
      <c r="D247" t="s">
        <v>141</v>
      </c>
      <c r="E247" t="s">
        <v>142</v>
      </c>
      <c r="F247" t="s">
        <v>143</v>
      </c>
      <c r="G247" t="s">
        <v>144</v>
      </c>
      <c r="H247" t="b">
        <v>0</v>
      </c>
      <c r="I247">
        <v>1</v>
      </c>
      <c r="O247">
        <v>1</v>
      </c>
      <c r="P247">
        <v>620</v>
      </c>
      <c r="Q247">
        <v>1</v>
      </c>
      <c r="R247">
        <v>12</v>
      </c>
      <c r="S247">
        <v>96</v>
      </c>
      <c r="T247">
        <v>1</v>
      </c>
      <c r="U247">
        <v>8</v>
      </c>
    </row>
    <row r="248" spans="1:21" x14ac:dyDescent="0.25">
      <c r="B248" t="s">
        <v>145</v>
      </c>
      <c r="C248">
        <v>1</v>
      </c>
      <c r="D248">
        <v>2</v>
      </c>
      <c r="E248">
        <v>3</v>
      </c>
      <c r="F248">
        <v>4</v>
      </c>
      <c r="G248">
        <v>5</v>
      </c>
      <c r="H248">
        <v>6</v>
      </c>
      <c r="I248">
        <v>7</v>
      </c>
      <c r="J248">
        <v>8</v>
      </c>
      <c r="K248">
        <v>9</v>
      </c>
      <c r="L248">
        <v>10</v>
      </c>
      <c r="M248">
        <v>11</v>
      </c>
      <c r="N248">
        <v>12</v>
      </c>
    </row>
    <row r="249" spans="1:21" x14ac:dyDescent="0.25">
      <c r="B249">
        <v>24.6</v>
      </c>
      <c r="C249">
        <v>2.2780999999999998</v>
      </c>
      <c r="D249">
        <v>0.47970000000000002</v>
      </c>
      <c r="E249">
        <v>0.60860000000000003</v>
      </c>
      <c r="F249">
        <v>0.79420000000000002</v>
      </c>
      <c r="G249">
        <v>0.88490000000000002</v>
      </c>
      <c r="H249">
        <v>7.4399999999999994E-2</v>
      </c>
      <c r="I249">
        <v>7.3400000000000007E-2</v>
      </c>
      <c r="J249">
        <v>7.8399999999999997E-2</v>
      </c>
      <c r="K249">
        <v>7.8E-2</v>
      </c>
      <c r="L249">
        <v>7.7399999999999997E-2</v>
      </c>
      <c r="M249">
        <v>8.5900000000000004E-2</v>
      </c>
      <c r="N249">
        <v>9.8299999999999998E-2</v>
      </c>
    </row>
    <row r="250" spans="1:21" x14ac:dyDescent="0.25">
      <c r="C250">
        <v>2.2589000000000001</v>
      </c>
      <c r="D250">
        <v>2.2141000000000002</v>
      </c>
      <c r="E250">
        <v>1.6638999999999999</v>
      </c>
      <c r="F250">
        <v>1.8218000000000001</v>
      </c>
      <c r="G250">
        <v>1.2586999999999999</v>
      </c>
      <c r="H250">
        <v>0.93969999999999998</v>
      </c>
      <c r="I250">
        <v>6.13E-2</v>
      </c>
      <c r="J250">
        <v>6.5500000000000003E-2</v>
      </c>
      <c r="K250">
        <v>6.4500000000000002E-2</v>
      </c>
      <c r="L250">
        <v>6.8599999999999994E-2</v>
      </c>
      <c r="M250">
        <v>7.1400000000000005E-2</v>
      </c>
      <c r="N250">
        <v>8.1799999999999998E-2</v>
      </c>
    </row>
    <row r="251" spans="1:21" x14ac:dyDescent="0.25">
      <c r="C251">
        <v>2.8936999999999999</v>
      </c>
      <c r="D251">
        <v>2.4196</v>
      </c>
      <c r="E251">
        <v>1.5855999999999999</v>
      </c>
      <c r="F251">
        <v>1.1445000000000001</v>
      </c>
      <c r="G251">
        <v>1.0099</v>
      </c>
      <c r="H251">
        <v>1.1684000000000001</v>
      </c>
      <c r="I251">
        <v>5.7500000000000002E-2</v>
      </c>
      <c r="J251">
        <v>5.9400000000000001E-2</v>
      </c>
      <c r="K251">
        <v>5.8900000000000001E-2</v>
      </c>
      <c r="L251">
        <v>6.4600000000000005E-2</v>
      </c>
      <c r="M251">
        <v>6.4600000000000005E-2</v>
      </c>
      <c r="N251">
        <v>8.0399999999999999E-2</v>
      </c>
    </row>
    <row r="252" spans="1:21" x14ac:dyDescent="0.25">
      <c r="C252">
        <v>2.4857</v>
      </c>
      <c r="D252">
        <v>2.4279999999999999</v>
      </c>
      <c r="E252">
        <v>1.3942000000000001</v>
      </c>
      <c r="F252">
        <v>1.2486999999999999</v>
      </c>
      <c r="G252">
        <v>1.1082000000000001</v>
      </c>
      <c r="H252">
        <v>0.96160000000000001</v>
      </c>
      <c r="I252">
        <v>1.2069000000000001</v>
      </c>
      <c r="J252">
        <v>6.1400000000000003E-2</v>
      </c>
      <c r="K252">
        <v>5.8000000000000003E-2</v>
      </c>
      <c r="L252">
        <v>6.2100000000000002E-2</v>
      </c>
      <c r="M252">
        <v>6.4799999999999996E-2</v>
      </c>
      <c r="N252">
        <v>8.3299999999999999E-2</v>
      </c>
    </row>
    <row r="253" spans="1:21" x14ac:dyDescent="0.25">
      <c r="C253">
        <v>2.2843</v>
      </c>
      <c r="D253">
        <v>2.5384000000000002</v>
      </c>
      <c r="E253">
        <v>1.4686999999999999</v>
      </c>
      <c r="F253">
        <v>1.1332</v>
      </c>
      <c r="G253">
        <v>0.7661</v>
      </c>
      <c r="H253">
        <v>0.1434</v>
      </c>
      <c r="I253">
        <v>5.9799999999999999E-2</v>
      </c>
      <c r="J253">
        <v>6.1100000000000002E-2</v>
      </c>
      <c r="K253">
        <v>5.8400000000000001E-2</v>
      </c>
      <c r="L253">
        <v>6.1600000000000002E-2</v>
      </c>
      <c r="M253">
        <v>6.2399999999999997E-2</v>
      </c>
      <c r="N253">
        <v>7.7700000000000005E-2</v>
      </c>
    </row>
    <row r="254" spans="1:21" x14ac:dyDescent="0.25">
      <c r="C254">
        <v>2.8048000000000002</v>
      </c>
      <c r="D254">
        <v>2.8292999999999999</v>
      </c>
      <c r="E254">
        <v>1.5283</v>
      </c>
      <c r="F254">
        <v>1.2442</v>
      </c>
      <c r="G254">
        <v>1.3683000000000001</v>
      </c>
      <c r="H254">
        <v>1.17</v>
      </c>
      <c r="I254">
        <v>6.2899999999999998E-2</v>
      </c>
      <c r="J254">
        <v>6.1699999999999998E-2</v>
      </c>
      <c r="K254">
        <v>5.9900000000000002E-2</v>
      </c>
      <c r="L254">
        <v>6.3799999999999996E-2</v>
      </c>
      <c r="M254">
        <v>6.5500000000000003E-2</v>
      </c>
      <c r="N254">
        <v>7.9500000000000001E-2</v>
      </c>
    </row>
    <row r="255" spans="1:21" x14ac:dyDescent="0.25">
      <c r="C255">
        <v>2.6730999999999998</v>
      </c>
      <c r="D255">
        <v>2.7363</v>
      </c>
      <c r="E255">
        <v>1.7419</v>
      </c>
      <c r="F255">
        <v>1.4738</v>
      </c>
      <c r="G255">
        <v>1.3956999999999999</v>
      </c>
      <c r="H255">
        <v>1.3502000000000001</v>
      </c>
      <c r="I255">
        <v>1.1839</v>
      </c>
      <c r="J255">
        <v>6.1699999999999998E-2</v>
      </c>
      <c r="K255">
        <v>6.1199999999999997E-2</v>
      </c>
      <c r="L255">
        <v>6.1899999999999997E-2</v>
      </c>
      <c r="M255">
        <v>6.83E-2</v>
      </c>
      <c r="N255">
        <v>8.5800000000000001E-2</v>
      </c>
    </row>
    <row r="256" spans="1:21" x14ac:dyDescent="0.25">
      <c r="C256">
        <v>1.8755999999999999</v>
      </c>
      <c r="D256">
        <v>2.4773999999999998</v>
      </c>
      <c r="E256">
        <v>1.5424</v>
      </c>
      <c r="F256">
        <v>1.1783999999999999</v>
      </c>
      <c r="G256">
        <v>1.4198</v>
      </c>
      <c r="H256">
        <v>1.0290999999999999</v>
      </c>
      <c r="I256">
        <v>6.25E-2</v>
      </c>
      <c r="J256">
        <v>6.4399999999999999E-2</v>
      </c>
      <c r="K256">
        <v>6.1899999999999997E-2</v>
      </c>
      <c r="L256">
        <v>6.6500000000000004E-2</v>
      </c>
      <c r="M256">
        <v>7.4899999999999994E-2</v>
      </c>
      <c r="N256">
        <v>8.8700000000000001E-2</v>
      </c>
    </row>
    <row r="258" spans="1:31" x14ac:dyDescent="0.25">
      <c r="A258" t="s">
        <v>146</v>
      </c>
      <c r="B258" t="s">
        <v>163</v>
      </c>
    </row>
    <row r="259" spans="1:31" x14ac:dyDescent="0.25">
      <c r="A259" t="s">
        <v>139</v>
      </c>
      <c r="B259" t="s">
        <v>152</v>
      </c>
      <c r="C259">
        <v>1.3</v>
      </c>
      <c r="D259">
        <v>-1</v>
      </c>
      <c r="E259">
        <v>-2</v>
      </c>
      <c r="F259">
        <v>-3</v>
      </c>
      <c r="G259">
        <v>-4</v>
      </c>
      <c r="H259">
        <v>-5</v>
      </c>
      <c r="I259">
        <v>-6</v>
      </c>
      <c r="J259">
        <v>-7</v>
      </c>
      <c r="K259">
        <v>-8</v>
      </c>
      <c r="L259">
        <v>-9</v>
      </c>
      <c r="M259">
        <v>-10</v>
      </c>
      <c r="N259">
        <v>-11</v>
      </c>
      <c r="P259">
        <v>1</v>
      </c>
      <c r="Q259">
        <v>620</v>
      </c>
      <c r="R259">
        <v>1</v>
      </c>
      <c r="S259">
        <v>12</v>
      </c>
      <c r="T259">
        <v>96</v>
      </c>
      <c r="U259">
        <v>571</v>
      </c>
      <c r="V259" t="s">
        <v>149</v>
      </c>
      <c r="W259">
        <v>610</v>
      </c>
      <c r="Z259">
        <v>6</v>
      </c>
      <c r="AD259">
        <v>1</v>
      </c>
      <c r="AE259">
        <v>8</v>
      </c>
    </row>
    <row r="260" spans="1:31" x14ac:dyDescent="0.25">
      <c r="B260" t="s">
        <v>145</v>
      </c>
      <c r="C260">
        <v>1</v>
      </c>
      <c r="D260">
        <v>2</v>
      </c>
      <c r="E260">
        <v>3</v>
      </c>
      <c r="F260">
        <v>4</v>
      </c>
      <c r="G260">
        <v>5</v>
      </c>
      <c r="H260">
        <v>6</v>
      </c>
      <c r="I260">
        <v>7</v>
      </c>
      <c r="J260">
        <v>8</v>
      </c>
      <c r="K260">
        <v>9</v>
      </c>
      <c r="L260">
        <v>10</v>
      </c>
      <c r="M260">
        <v>11</v>
      </c>
      <c r="N260">
        <v>12</v>
      </c>
    </row>
    <row r="261" spans="1:31" x14ac:dyDescent="0.25">
      <c r="B261">
        <v>24.6</v>
      </c>
      <c r="C261">
        <v>20.177</v>
      </c>
      <c r="D261" s="23">
        <v>59.616</v>
      </c>
      <c r="E261" s="23">
        <v>339.267</v>
      </c>
      <c r="F261" s="23">
        <v>262.13</v>
      </c>
      <c r="G261" s="23">
        <v>385.03199999999998</v>
      </c>
      <c r="H261">
        <v>2.9489999999999998</v>
      </c>
      <c r="I261">
        <v>4.0060000000000002</v>
      </c>
      <c r="J261">
        <v>3.5750000000000002</v>
      </c>
      <c r="K261">
        <v>3.5859999999999999</v>
      </c>
      <c r="L261">
        <v>4.0609999999999999</v>
      </c>
      <c r="M261">
        <v>4.5590000000000002</v>
      </c>
      <c r="N261">
        <v>3.6059999999999999</v>
      </c>
    </row>
    <row r="262" spans="1:31" x14ac:dyDescent="0.25">
      <c r="C262">
        <v>20.654</v>
      </c>
      <c r="D262" s="23">
        <v>62.183</v>
      </c>
      <c r="E262" s="23">
        <v>68.122</v>
      </c>
      <c r="F262" s="23">
        <v>7.4720000000000004</v>
      </c>
      <c r="G262" s="23">
        <v>414.09300000000002</v>
      </c>
      <c r="H262" s="23">
        <v>204.78899999999999</v>
      </c>
      <c r="I262">
        <v>3.327</v>
      </c>
      <c r="J262">
        <v>3.448</v>
      </c>
      <c r="K262">
        <v>3.2869999999999999</v>
      </c>
      <c r="L262">
        <v>3.7120000000000002</v>
      </c>
      <c r="M262">
        <v>3.5179999999999998</v>
      </c>
      <c r="N262">
        <v>3.7570000000000001</v>
      </c>
    </row>
    <row r="263" spans="1:31" x14ac:dyDescent="0.25">
      <c r="C263">
        <v>20.541</v>
      </c>
      <c r="D263" s="23">
        <v>33.890999999999998</v>
      </c>
      <c r="E263" s="23">
        <v>53.725000000000001</v>
      </c>
      <c r="F263" s="23">
        <v>268.13600000000002</v>
      </c>
      <c r="G263" s="23">
        <v>192.214</v>
      </c>
      <c r="H263" s="23">
        <v>317.80700000000002</v>
      </c>
      <c r="I263">
        <v>3.2839999999999998</v>
      </c>
      <c r="J263">
        <v>5.008</v>
      </c>
      <c r="K263">
        <v>3.8820000000000001</v>
      </c>
      <c r="L263">
        <v>3.597</v>
      </c>
      <c r="M263">
        <v>3.5190000000000001</v>
      </c>
      <c r="N263">
        <v>3.8130000000000002</v>
      </c>
    </row>
    <row r="264" spans="1:31" x14ac:dyDescent="0.25">
      <c r="C264">
        <v>18.207999999999998</v>
      </c>
      <c r="D264" s="23">
        <v>41.012999999999998</v>
      </c>
      <c r="E264" s="23">
        <v>299.59399999999999</v>
      </c>
      <c r="F264" s="23">
        <v>304.24799999999999</v>
      </c>
      <c r="G264" s="23">
        <v>295.38200000000001</v>
      </c>
      <c r="H264" s="23">
        <v>255.26499999999999</v>
      </c>
      <c r="I264" s="23">
        <v>295.31400000000002</v>
      </c>
      <c r="J264">
        <v>3.6429999999999998</v>
      </c>
      <c r="K264">
        <v>3.984</v>
      </c>
      <c r="L264">
        <v>3.2229999999999999</v>
      </c>
      <c r="M264">
        <v>3.4849999999999999</v>
      </c>
      <c r="N264">
        <v>3.488</v>
      </c>
    </row>
    <row r="265" spans="1:31" x14ac:dyDescent="0.25">
      <c r="C265">
        <v>18.792000000000002</v>
      </c>
      <c r="D265" s="23">
        <v>58.582000000000001</v>
      </c>
      <c r="E265" s="23">
        <v>326.12</v>
      </c>
      <c r="F265" s="23">
        <v>254.636</v>
      </c>
      <c r="G265" s="23">
        <v>168.69300000000001</v>
      </c>
      <c r="H265">
        <v>4.056</v>
      </c>
      <c r="I265">
        <v>3.4910000000000001</v>
      </c>
      <c r="J265">
        <v>4.0679999999999996</v>
      </c>
      <c r="K265">
        <v>3.9390000000000001</v>
      </c>
      <c r="L265">
        <v>3.9260000000000002</v>
      </c>
      <c r="M265">
        <v>3.8820000000000001</v>
      </c>
      <c r="N265">
        <v>3.3460000000000001</v>
      </c>
    </row>
    <row r="266" spans="1:31" x14ac:dyDescent="0.25">
      <c r="C266">
        <v>20.648</v>
      </c>
      <c r="D266" s="23">
        <v>26.617000000000001</v>
      </c>
      <c r="E266" s="23">
        <v>319.94099999999997</v>
      </c>
      <c r="F266" s="23">
        <v>274.59100000000001</v>
      </c>
      <c r="G266" s="23">
        <v>381.13299999999998</v>
      </c>
      <c r="H266" s="23">
        <v>309.22399999999999</v>
      </c>
      <c r="I266">
        <v>4.1260000000000003</v>
      </c>
      <c r="J266">
        <v>3.206</v>
      </c>
      <c r="K266">
        <v>4.0090000000000003</v>
      </c>
      <c r="L266">
        <v>3.5680000000000001</v>
      </c>
      <c r="M266">
        <v>3.8410000000000002</v>
      </c>
      <c r="N266">
        <v>3.625</v>
      </c>
    </row>
    <row r="267" spans="1:31" x14ac:dyDescent="0.25">
      <c r="C267">
        <v>21.013000000000002</v>
      </c>
      <c r="D267" s="23">
        <v>28.763999999999999</v>
      </c>
      <c r="E267" s="23">
        <v>46.104999999999997</v>
      </c>
      <c r="F267" s="23">
        <v>362.87799999999999</v>
      </c>
      <c r="G267" s="23">
        <v>411.608</v>
      </c>
      <c r="H267" s="23">
        <v>381.649</v>
      </c>
      <c r="I267" s="23">
        <v>323.40800000000002</v>
      </c>
      <c r="J267">
        <v>3.746</v>
      </c>
      <c r="K267">
        <v>3.8620000000000001</v>
      </c>
      <c r="L267">
        <v>3.9289999999999998</v>
      </c>
      <c r="M267">
        <v>3.3820000000000001</v>
      </c>
      <c r="N267">
        <v>3.266</v>
      </c>
    </row>
    <row r="268" spans="1:31" x14ac:dyDescent="0.25">
      <c r="C268">
        <v>18.324999999999999</v>
      </c>
      <c r="D268" s="23">
        <v>45.790999999999997</v>
      </c>
      <c r="E268" s="23">
        <v>359.16699999999997</v>
      </c>
      <c r="F268" s="23">
        <v>307.89600000000002</v>
      </c>
      <c r="G268" s="23">
        <v>455.18</v>
      </c>
      <c r="H268" s="23">
        <v>309.90499999999997</v>
      </c>
      <c r="I268">
        <v>3.2909999999999999</v>
      </c>
      <c r="J268">
        <v>3.9169999999999998</v>
      </c>
      <c r="K268">
        <v>4.1050000000000004</v>
      </c>
      <c r="L268">
        <v>4.1109999999999998</v>
      </c>
      <c r="M268">
        <v>3.4489999999999998</v>
      </c>
      <c r="N268">
        <v>3.2450000000000001</v>
      </c>
    </row>
    <row r="270" spans="1:31" x14ac:dyDescent="0.25">
      <c r="A270" t="s">
        <v>146</v>
      </c>
      <c r="B270" t="s">
        <v>164</v>
      </c>
    </row>
    <row r="271" spans="1:31" x14ac:dyDescent="0.25">
      <c r="A271" t="s">
        <v>139</v>
      </c>
      <c r="B271" t="s">
        <v>154</v>
      </c>
      <c r="C271">
        <v>1.3</v>
      </c>
      <c r="D271" t="s">
        <v>141</v>
      </c>
      <c r="E271" t="s">
        <v>142</v>
      </c>
      <c r="F271" t="s">
        <v>143</v>
      </c>
      <c r="G271" t="s">
        <v>144</v>
      </c>
      <c r="H271" t="b">
        <v>0</v>
      </c>
      <c r="I271">
        <v>1</v>
      </c>
      <c r="O271">
        <v>1</v>
      </c>
      <c r="P271">
        <v>620</v>
      </c>
      <c r="Q271">
        <v>1</v>
      </c>
      <c r="R271">
        <v>12</v>
      </c>
      <c r="S271">
        <v>96</v>
      </c>
      <c r="T271">
        <v>1</v>
      </c>
      <c r="U271">
        <v>8</v>
      </c>
    </row>
    <row r="272" spans="1:31" x14ac:dyDescent="0.25">
      <c r="B272" t="s">
        <v>145</v>
      </c>
      <c r="C272">
        <v>1</v>
      </c>
      <c r="D272">
        <v>2</v>
      </c>
      <c r="E272">
        <v>3</v>
      </c>
      <c r="F272">
        <v>4</v>
      </c>
      <c r="G272">
        <v>5</v>
      </c>
      <c r="H272">
        <v>6</v>
      </c>
      <c r="I272">
        <v>7</v>
      </c>
      <c r="J272">
        <v>8</v>
      </c>
      <c r="K272">
        <v>9</v>
      </c>
      <c r="L272">
        <v>10</v>
      </c>
      <c r="M272">
        <v>11</v>
      </c>
      <c r="N272">
        <v>12</v>
      </c>
    </row>
    <row r="273" spans="1:31" x14ac:dyDescent="0.25">
      <c r="B273">
        <v>24.7</v>
      </c>
      <c r="C273">
        <v>2.2852000000000001</v>
      </c>
      <c r="D273">
        <v>0.4551</v>
      </c>
      <c r="E273">
        <v>0.60489999999999999</v>
      </c>
      <c r="F273">
        <v>1.1745000000000001</v>
      </c>
      <c r="G273">
        <v>1.1039000000000001</v>
      </c>
      <c r="H273">
        <v>0.83050000000000002</v>
      </c>
      <c r="I273">
        <v>5.2999999999999999E-2</v>
      </c>
      <c r="J273">
        <v>5.2900000000000003E-2</v>
      </c>
      <c r="K273">
        <v>5.3400000000000003E-2</v>
      </c>
      <c r="L273">
        <v>5.3100000000000001E-2</v>
      </c>
      <c r="M273">
        <v>5.57E-2</v>
      </c>
      <c r="N273">
        <v>5.2900000000000003E-2</v>
      </c>
    </row>
    <row r="274" spans="1:31" x14ac:dyDescent="0.25">
      <c r="C274">
        <v>2.5785</v>
      </c>
      <c r="D274">
        <v>2.2879999999999998</v>
      </c>
      <c r="E274">
        <v>1.5085</v>
      </c>
      <c r="F274">
        <v>1.2561</v>
      </c>
      <c r="G274">
        <v>1.2461</v>
      </c>
      <c r="H274">
        <v>1.1721999999999999</v>
      </c>
      <c r="I274">
        <v>5.3699999999999998E-2</v>
      </c>
      <c r="J274">
        <v>5.4800000000000001E-2</v>
      </c>
      <c r="K274">
        <v>5.3999999999999999E-2</v>
      </c>
      <c r="L274">
        <v>5.9200000000000003E-2</v>
      </c>
      <c r="M274">
        <v>5.4800000000000001E-2</v>
      </c>
      <c r="N274">
        <v>5.4199999999999998E-2</v>
      </c>
    </row>
    <row r="275" spans="1:31" x14ac:dyDescent="0.25">
      <c r="C275">
        <v>2.5236999999999998</v>
      </c>
      <c r="D275">
        <v>2.1993999999999998</v>
      </c>
      <c r="E275">
        <v>1.4552</v>
      </c>
      <c r="F275">
        <v>1.3696999999999999</v>
      </c>
      <c r="G275">
        <v>1.1396999999999999</v>
      </c>
      <c r="H275">
        <v>1.1559999999999999</v>
      </c>
      <c r="I275">
        <v>0.70779999999999998</v>
      </c>
      <c r="J275">
        <v>5.3199999999999997E-2</v>
      </c>
      <c r="K275">
        <v>5.4899999999999997E-2</v>
      </c>
      <c r="L275">
        <v>5.5199999999999999E-2</v>
      </c>
      <c r="M275">
        <v>5.5100000000000003E-2</v>
      </c>
      <c r="N275">
        <v>5.4699999999999999E-2</v>
      </c>
    </row>
    <row r="276" spans="1:31" x14ac:dyDescent="0.25">
      <c r="C276">
        <v>2.4367999999999999</v>
      </c>
      <c r="D276">
        <v>2.2168000000000001</v>
      </c>
      <c r="E276">
        <v>1.464</v>
      </c>
      <c r="F276">
        <v>1.3063</v>
      </c>
      <c r="G276">
        <v>1.2289000000000001</v>
      </c>
      <c r="H276">
        <v>1.2732000000000001</v>
      </c>
      <c r="I276">
        <v>5.3400000000000003E-2</v>
      </c>
      <c r="J276">
        <v>5.5599999999999997E-2</v>
      </c>
      <c r="K276">
        <v>5.3400000000000003E-2</v>
      </c>
      <c r="L276">
        <v>5.6000000000000001E-2</v>
      </c>
      <c r="M276">
        <v>5.5300000000000002E-2</v>
      </c>
      <c r="N276">
        <v>5.5399999999999998E-2</v>
      </c>
    </row>
    <row r="277" spans="1:31" x14ac:dyDescent="0.25">
      <c r="C277">
        <v>2.2014</v>
      </c>
      <c r="D277">
        <v>2.2212999999999998</v>
      </c>
      <c r="E277">
        <v>1.3533999999999999</v>
      </c>
      <c r="F277">
        <v>1.2445999999999999</v>
      </c>
      <c r="G277">
        <v>1.1418999999999999</v>
      </c>
      <c r="H277">
        <v>1.1288</v>
      </c>
      <c r="I277">
        <v>0.84030000000000005</v>
      </c>
      <c r="J277">
        <v>5.4699999999999999E-2</v>
      </c>
      <c r="K277">
        <v>5.3999999999999999E-2</v>
      </c>
      <c r="L277">
        <v>5.45E-2</v>
      </c>
      <c r="M277">
        <v>5.5500000000000001E-2</v>
      </c>
      <c r="N277">
        <v>5.4399999999999997E-2</v>
      </c>
    </row>
    <row r="278" spans="1:31" x14ac:dyDescent="0.25">
      <c r="C278">
        <v>2.6164999999999998</v>
      </c>
      <c r="D278">
        <v>2.2549999999999999</v>
      </c>
      <c r="E278">
        <v>1.3648</v>
      </c>
      <c r="F278">
        <v>1.2149000000000001</v>
      </c>
      <c r="G278">
        <v>1.2219</v>
      </c>
      <c r="H278">
        <v>1.2561</v>
      </c>
      <c r="I278">
        <v>5.4199999999999998E-2</v>
      </c>
      <c r="J278">
        <v>5.4600000000000003E-2</v>
      </c>
      <c r="K278">
        <v>5.4100000000000002E-2</v>
      </c>
      <c r="L278">
        <v>5.3699999999999998E-2</v>
      </c>
      <c r="M278">
        <v>5.9499999999999997E-2</v>
      </c>
      <c r="N278">
        <v>5.4100000000000002E-2</v>
      </c>
    </row>
    <row r="279" spans="1:31" x14ac:dyDescent="0.25">
      <c r="C279">
        <v>1.9589000000000001</v>
      </c>
      <c r="D279">
        <v>2.3351999999999999</v>
      </c>
      <c r="E279">
        <v>1.4830000000000001</v>
      </c>
      <c r="F279">
        <v>1.3726</v>
      </c>
      <c r="G279">
        <v>1.1104000000000001</v>
      </c>
      <c r="H279">
        <v>0.99009999999999998</v>
      </c>
      <c r="I279">
        <v>1.0376000000000001</v>
      </c>
      <c r="J279">
        <v>5.4600000000000003E-2</v>
      </c>
      <c r="K279">
        <v>5.3699999999999998E-2</v>
      </c>
      <c r="L279">
        <v>5.5599999999999997E-2</v>
      </c>
      <c r="M279">
        <v>5.4399999999999997E-2</v>
      </c>
      <c r="N279">
        <v>5.3100000000000001E-2</v>
      </c>
    </row>
    <row r="280" spans="1:31" x14ac:dyDescent="0.25">
      <c r="C280">
        <v>2.6617999999999999</v>
      </c>
      <c r="D280">
        <v>0.1018</v>
      </c>
      <c r="E280">
        <v>5.16E-2</v>
      </c>
      <c r="F280">
        <v>0.66339999999999999</v>
      </c>
      <c r="G280">
        <v>0.84789999999999999</v>
      </c>
      <c r="H280">
        <v>0.6472</v>
      </c>
      <c r="I280">
        <v>0.55530000000000002</v>
      </c>
      <c r="J280">
        <v>5.4199999999999998E-2</v>
      </c>
      <c r="K280">
        <v>5.7500000000000002E-2</v>
      </c>
      <c r="L280">
        <v>5.3600000000000002E-2</v>
      </c>
      <c r="M280">
        <v>5.5599999999999997E-2</v>
      </c>
      <c r="N280">
        <v>5.3900000000000003E-2</v>
      </c>
    </row>
    <row r="282" spans="1:31" x14ac:dyDescent="0.25">
      <c r="A282" t="s">
        <v>146</v>
      </c>
      <c r="B282" t="s">
        <v>164</v>
      </c>
    </row>
    <row r="283" spans="1:31" x14ac:dyDescent="0.25">
      <c r="A283" t="s">
        <v>139</v>
      </c>
      <c r="B283" t="s">
        <v>155</v>
      </c>
      <c r="C283">
        <v>1.3</v>
      </c>
      <c r="D283">
        <v>-1</v>
      </c>
      <c r="E283">
        <v>-2</v>
      </c>
      <c r="F283">
        <v>-3</v>
      </c>
      <c r="G283">
        <v>-4</v>
      </c>
      <c r="H283">
        <v>-5</v>
      </c>
      <c r="I283">
        <v>-6</v>
      </c>
      <c r="J283">
        <v>-7</v>
      </c>
      <c r="K283">
        <v>-8</v>
      </c>
      <c r="L283">
        <v>-9</v>
      </c>
      <c r="M283">
        <v>-10</v>
      </c>
      <c r="N283">
        <v>-11</v>
      </c>
      <c r="P283">
        <v>1</v>
      </c>
      <c r="Q283">
        <v>620</v>
      </c>
      <c r="R283">
        <v>1</v>
      </c>
      <c r="S283">
        <v>12</v>
      </c>
      <c r="T283">
        <v>96</v>
      </c>
      <c r="U283">
        <v>571</v>
      </c>
      <c r="V283" t="s">
        <v>149</v>
      </c>
      <c r="W283">
        <v>610</v>
      </c>
      <c r="Z283">
        <v>6</v>
      </c>
      <c r="AD283">
        <v>1</v>
      </c>
      <c r="AE283">
        <v>8</v>
      </c>
    </row>
    <row r="284" spans="1:31" x14ac:dyDescent="0.25">
      <c r="B284" t="s">
        <v>145</v>
      </c>
      <c r="C284">
        <v>1</v>
      </c>
      <c r="D284">
        <v>2</v>
      </c>
      <c r="E284">
        <v>3</v>
      </c>
      <c r="F284">
        <v>4</v>
      </c>
      <c r="G284">
        <v>5</v>
      </c>
      <c r="H284">
        <v>6</v>
      </c>
      <c r="I284">
        <v>7</v>
      </c>
      <c r="J284">
        <v>8</v>
      </c>
      <c r="K284">
        <v>9</v>
      </c>
      <c r="L284">
        <v>10</v>
      </c>
      <c r="M284">
        <v>11</v>
      </c>
      <c r="N284">
        <v>12</v>
      </c>
    </row>
    <row r="285" spans="1:31" x14ac:dyDescent="0.25">
      <c r="B285">
        <v>24.7</v>
      </c>
      <c r="C285">
        <v>22.324999999999999</v>
      </c>
      <c r="D285" s="23">
        <v>98.123999999999995</v>
      </c>
      <c r="E285" s="23">
        <v>108.97199999999999</v>
      </c>
      <c r="F285" s="23">
        <v>35.232999999999997</v>
      </c>
      <c r="G285" s="23">
        <v>425.74799999999999</v>
      </c>
      <c r="H285" s="23">
        <v>376.20299999999997</v>
      </c>
      <c r="I285">
        <v>3.5379999999999998</v>
      </c>
      <c r="J285">
        <v>4.0430000000000001</v>
      </c>
      <c r="K285">
        <v>4.0510000000000002</v>
      </c>
      <c r="L285">
        <v>4.0640000000000001</v>
      </c>
      <c r="M285">
        <v>3.9390000000000001</v>
      </c>
      <c r="N285">
        <v>3.722</v>
      </c>
    </row>
    <row r="286" spans="1:31" x14ac:dyDescent="0.25">
      <c r="C286">
        <v>22.224</v>
      </c>
      <c r="D286" s="23">
        <v>209.34399999999999</v>
      </c>
      <c r="E286" s="23">
        <v>135.852</v>
      </c>
      <c r="F286" s="23">
        <v>385.16699999999997</v>
      </c>
      <c r="G286" s="23">
        <v>456.214</v>
      </c>
      <c r="H286" s="23">
        <v>418.70499999999998</v>
      </c>
      <c r="I286">
        <v>3.1749999999999998</v>
      </c>
      <c r="J286">
        <v>4.42</v>
      </c>
      <c r="K286">
        <v>4.4210000000000003</v>
      </c>
      <c r="L286">
        <v>4.1669999999999998</v>
      </c>
      <c r="M286">
        <v>4.351</v>
      </c>
      <c r="N286">
        <v>4.0659999999999998</v>
      </c>
    </row>
    <row r="287" spans="1:31" x14ac:dyDescent="0.25">
      <c r="C287">
        <v>17.704000000000001</v>
      </c>
      <c r="D287" s="23">
        <v>141.90799999999999</v>
      </c>
      <c r="E287" s="23">
        <v>40.194000000000003</v>
      </c>
      <c r="F287" s="23">
        <v>55.542000000000002</v>
      </c>
      <c r="G287" s="23">
        <v>316.60300000000001</v>
      </c>
      <c r="H287" s="23">
        <v>403.976</v>
      </c>
      <c r="I287" s="23">
        <v>351.93700000000001</v>
      </c>
      <c r="J287">
        <v>4.585</v>
      </c>
      <c r="K287">
        <v>4.1929999999999996</v>
      </c>
      <c r="L287">
        <v>4.125</v>
      </c>
      <c r="M287">
        <v>4.37</v>
      </c>
      <c r="N287">
        <v>4.2089999999999996</v>
      </c>
    </row>
    <row r="288" spans="1:31" x14ac:dyDescent="0.25">
      <c r="C288">
        <v>19.853000000000002</v>
      </c>
      <c r="D288" s="23">
        <v>148.899</v>
      </c>
      <c r="E288" s="23">
        <v>342.67599999999999</v>
      </c>
      <c r="F288" s="23">
        <v>328.90600000000001</v>
      </c>
      <c r="G288" s="23">
        <v>295.71499999999997</v>
      </c>
      <c r="H288" s="23">
        <v>426.04300000000001</v>
      </c>
      <c r="I288">
        <v>4.2750000000000004</v>
      </c>
      <c r="J288">
        <v>4.3659999999999997</v>
      </c>
      <c r="K288">
        <v>4.32</v>
      </c>
      <c r="L288">
        <v>4.0519999999999996</v>
      </c>
      <c r="M288">
        <v>4.077</v>
      </c>
      <c r="N288">
        <v>3.8479999999999999</v>
      </c>
    </row>
    <row r="289" spans="1:21" x14ac:dyDescent="0.25">
      <c r="C289">
        <v>17.318999999999999</v>
      </c>
      <c r="D289" s="23">
        <v>155.167</v>
      </c>
      <c r="E289" s="23">
        <v>259.52600000000001</v>
      </c>
      <c r="F289" s="23">
        <v>311.09199999999998</v>
      </c>
      <c r="G289" s="23">
        <v>356.71100000000001</v>
      </c>
      <c r="H289" s="23">
        <v>362.79399999999998</v>
      </c>
      <c r="I289" s="23">
        <v>311.32799999999997</v>
      </c>
      <c r="J289">
        <v>3.9470000000000001</v>
      </c>
      <c r="K289">
        <v>4.4390000000000001</v>
      </c>
      <c r="L289">
        <v>4.6760000000000002</v>
      </c>
      <c r="M289">
        <v>3.92</v>
      </c>
      <c r="N289">
        <v>4.5350000000000001</v>
      </c>
    </row>
    <row r="290" spans="1:21" x14ac:dyDescent="0.25">
      <c r="C290">
        <v>16.239000000000001</v>
      </c>
      <c r="D290" s="23">
        <v>172.726</v>
      </c>
      <c r="E290" s="23">
        <v>215.524</v>
      </c>
      <c r="F290" s="23">
        <v>292.858</v>
      </c>
      <c r="G290" s="23">
        <v>329.53199999999998</v>
      </c>
      <c r="H290" s="23">
        <v>389.14100000000002</v>
      </c>
      <c r="I290">
        <v>4.391</v>
      </c>
      <c r="J290">
        <v>4.5759999999999996</v>
      </c>
      <c r="K290">
        <v>4.2439999999999998</v>
      </c>
      <c r="L290">
        <v>4.3479999999999999</v>
      </c>
      <c r="M290">
        <v>3.8010000000000002</v>
      </c>
      <c r="N290">
        <v>4.157</v>
      </c>
    </row>
    <row r="291" spans="1:21" x14ac:dyDescent="0.25">
      <c r="C291">
        <v>20.231000000000002</v>
      </c>
      <c r="D291" s="23">
        <v>179.07400000000001</v>
      </c>
      <c r="E291" s="23">
        <v>145.79300000000001</v>
      </c>
      <c r="F291" s="23">
        <v>94.372</v>
      </c>
      <c r="G291" s="23">
        <v>271.46600000000001</v>
      </c>
      <c r="H291" s="23">
        <v>357.81599999999997</v>
      </c>
      <c r="I291" s="23">
        <v>357.95</v>
      </c>
      <c r="J291">
        <v>3.875</v>
      </c>
      <c r="K291">
        <v>4.6109999999999998</v>
      </c>
      <c r="L291">
        <v>4.6120000000000001</v>
      </c>
      <c r="M291">
        <v>4.2169999999999996</v>
      </c>
      <c r="N291">
        <v>4.17</v>
      </c>
    </row>
    <row r="292" spans="1:21" x14ac:dyDescent="0.25">
      <c r="C292">
        <v>20.629000000000001</v>
      </c>
      <c r="D292" s="23">
        <v>136.042</v>
      </c>
      <c r="E292" s="23">
        <v>59.804000000000002</v>
      </c>
      <c r="F292" s="23">
        <v>334.79</v>
      </c>
      <c r="G292" s="23">
        <v>429.26</v>
      </c>
      <c r="H292" s="23">
        <v>371.57299999999998</v>
      </c>
      <c r="I292" s="23">
        <v>313.00400000000002</v>
      </c>
      <c r="J292">
        <v>3.597</v>
      </c>
      <c r="K292">
        <v>3.93</v>
      </c>
      <c r="L292">
        <v>3.5710000000000002</v>
      </c>
      <c r="M292">
        <v>3.0419999999999998</v>
      </c>
      <c r="N292">
        <v>3.254</v>
      </c>
    </row>
    <row r="294" spans="1:21" x14ac:dyDescent="0.25">
      <c r="A294" t="s">
        <v>146</v>
      </c>
      <c r="B294" t="s">
        <v>165</v>
      </c>
    </row>
    <row r="295" spans="1:21" x14ac:dyDescent="0.25">
      <c r="A295" t="s">
        <v>139</v>
      </c>
      <c r="B295" t="s">
        <v>140</v>
      </c>
      <c r="C295">
        <v>1.3</v>
      </c>
      <c r="D295" t="s">
        <v>141</v>
      </c>
      <c r="E295" t="s">
        <v>142</v>
      </c>
      <c r="F295" t="s">
        <v>143</v>
      </c>
      <c r="G295" t="s">
        <v>144</v>
      </c>
      <c r="H295" t="b">
        <v>0</v>
      </c>
      <c r="I295">
        <v>1</v>
      </c>
      <c r="O295">
        <v>1</v>
      </c>
      <c r="P295">
        <v>620</v>
      </c>
      <c r="Q295">
        <v>1</v>
      </c>
      <c r="R295">
        <v>12</v>
      </c>
      <c r="S295">
        <v>96</v>
      </c>
      <c r="T295">
        <v>1</v>
      </c>
      <c r="U295">
        <v>8</v>
      </c>
    </row>
    <row r="296" spans="1:21" x14ac:dyDescent="0.25">
      <c r="B296" t="s">
        <v>145</v>
      </c>
      <c r="C296">
        <v>1</v>
      </c>
      <c r="D296">
        <v>2</v>
      </c>
      <c r="E296">
        <v>3</v>
      </c>
      <c r="F296">
        <v>4</v>
      </c>
      <c r="G296">
        <v>5</v>
      </c>
      <c r="H296">
        <v>6</v>
      </c>
      <c r="I296">
        <v>7</v>
      </c>
      <c r="J296">
        <v>8</v>
      </c>
      <c r="K296">
        <v>9</v>
      </c>
      <c r="L296">
        <v>10</v>
      </c>
      <c r="M296">
        <v>11</v>
      </c>
      <c r="N296">
        <v>12</v>
      </c>
    </row>
    <row r="297" spans="1:21" x14ac:dyDescent="0.25">
      <c r="B297">
        <v>24.8</v>
      </c>
      <c r="C297">
        <v>2.2557</v>
      </c>
      <c r="D297">
        <v>2.3079000000000001</v>
      </c>
      <c r="E297">
        <v>0.90669999999999995</v>
      </c>
      <c r="F297">
        <v>1.2666999999999999</v>
      </c>
      <c r="G297">
        <v>1.2201</v>
      </c>
      <c r="H297">
        <v>1.4397</v>
      </c>
      <c r="I297">
        <v>1.0126999999999999</v>
      </c>
      <c r="J297">
        <v>1.1121000000000001</v>
      </c>
      <c r="K297">
        <v>5.2200000000000003E-2</v>
      </c>
      <c r="L297">
        <v>0.1411</v>
      </c>
      <c r="M297">
        <v>5.04E-2</v>
      </c>
      <c r="N297">
        <v>4.99E-2</v>
      </c>
    </row>
    <row r="298" spans="1:21" x14ac:dyDescent="0.25">
      <c r="C298">
        <v>2.8043</v>
      </c>
      <c r="D298">
        <v>2.0832999999999999</v>
      </c>
      <c r="E298">
        <v>1.3533999999999999</v>
      </c>
      <c r="F298">
        <v>1.0051000000000001</v>
      </c>
      <c r="G298">
        <v>1.2095</v>
      </c>
      <c r="H298">
        <v>1.4845999999999999</v>
      </c>
      <c r="I298">
        <v>1.4007000000000001</v>
      </c>
      <c r="J298">
        <v>1.1636</v>
      </c>
      <c r="K298">
        <v>1.1342000000000001</v>
      </c>
      <c r="L298">
        <v>5.1900000000000002E-2</v>
      </c>
      <c r="M298">
        <v>5.3499999999999999E-2</v>
      </c>
      <c r="N298">
        <v>5.28E-2</v>
      </c>
    </row>
    <row r="299" spans="1:21" x14ac:dyDescent="0.25">
      <c r="C299">
        <v>2.8243999999999998</v>
      </c>
      <c r="D299">
        <v>2.0442999999999998</v>
      </c>
      <c r="E299">
        <v>1.1544000000000001</v>
      </c>
      <c r="F299">
        <v>1.2628999999999999</v>
      </c>
      <c r="G299">
        <v>1.2377</v>
      </c>
      <c r="H299">
        <v>1.4625999999999999</v>
      </c>
      <c r="I299">
        <v>1.3486</v>
      </c>
      <c r="J299">
        <v>1.1794</v>
      </c>
      <c r="K299">
        <v>1.1519999999999999</v>
      </c>
      <c r="L299">
        <v>5.1900000000000002E-2</v>
      </c>
      <c r="M299">
        <v>5.0999999999999997E-2</v>
      </c>
      <c r="N299">
        <v>5.1200000000000002E-2</v>
      </c>
    </row>
    <row r="300" spans="1:21" x14ac:dyDescent="0.25">
      <c r="C300">
        <v>2.8955000000000002</v>
      </c>
      <c r="D300">
        <v>1.8818999999999999</v>
      </c>
      <c r="E300">
        <v>1.0256000000000001</v>
      </c>
      <c r="F300">
        <v>1.2943</v>
      </c>
      <c r="G300">
        <v>1.2742</v>
      </c>
      <c r="H300">
        <v>1.4434</v>
      </c>
      <c r="I300">
        <v>1.2608999999999999</v>
      </c>
      <c r="J300">
        <v>1.2099</v>
      </c>
      <c r="K300">
        <v>0.92149999999999999</v>
      </c>
      <c r="L300">
        <v>5.2900000000000003E-2</v>
      </c>
      <c r="M300">
        <v>5.4399999999999997E-2</v>
      </c>
      <c r="N300">
        <v>5.5399999999999998E-2</v>
      </c>
    </row>
    <row r="301" spans="1:21" x14ac:dyDescent="0.25">
      <c r="C301">
        <v>2.7374999999999998</v>
      </c>
      <c r="D301">
        <v>1.8985000000000001</v>
      </c>
      <c r="E301">
        <v>1.3345</v>
      </c>
      <c r="F301">
        <v>1.2907</v>
      </c>
      <c r="G301">
        <v>1.2462</v>
      </c>
      <c r="H301">
        <v>1.4493</v>
      </c>
      <c r="I301">
        <v>1.2910999999999999</v>
      </c>
      <c r="J301">
        <v>1.2461</v>
      </c>
      <c r="K301">
        <v>0.96419999999999995</v>
      </c>
      <c r="L301">
        <v>5.1400000000000001E-2</v>
      </c>
      <c r="M301">
        <v>5.21E-2</v>
      </c>
      <c r="N301">
        <v>5.3600000000000002E-2</v>
      </c>
    </row>
    <row r="302" spans="1:21" x14ac:dyDescent="0.25">
      <c r="C302">
        <v>2.8405</v>
      </c>
      <c r="D302">
        <v>2.427</v>
      </c>
      <c r="E302">
        <v>1.3421000000000001</v>
      </c>
      <c r="F302">
        <v>1.3587</v>
      </c>
      <c r="G302">
        <v>1.2161999999999999</v>
      </c>
      <c r="H302">
        <v>1.3904000000000001</v>
      </c>
      <c r="I302">
        <v>1.2702</v>
      </c>
      <c r="J302">
        <v>1.2355</v>
      </c>
      <c r="K302">
        <v>0.94830000000000003</v>
      </c>
      <c r="L302">
        <v>5.28E-2</v>
      </c>
      <c r="M302">
        <v>1.3305</v>
      </c>
      <c r="N302">
        <v>0.89649999999999996</v>
      </c>
    </row>
    <row r="303" spans="1:21" x14ac:dyDescent="0.25">
      <c r="C303">
        <v>1.9745999999999999</v>
      </c>
      <c r="D303">
        <v>2.1541000000000001</v>
      </c>
      <c r="E303">
        <v>1.2945</v>
      </c>
      <c r="F303">
        <v>1.3103</v>
      </c>
      <c r="G303">
        <v>1.2524999999999999</v>
      </c>
      <c r="H303">
        <v>1.4867999999999999</v>
      </c>
      <c r="I303">
        <v>1.3211999999999999</v>
      </c>
      <c r="J303">
        <v>0.75019999999999998</v>
      </c>
      <c r="K303">
        <v>0.30470000000000003</v>
      </c>
      <c r="L303">
        <v>5.28E-2</v>
      </c>
      <c r="M303">
        <v>5.1799999999999999E-2</v>
      </c>
      <c r="N303">
        <v>5.1700000000000003E-2</v>
      </c>
    </row>
    <row r="304" spans="1:21" x14ac:dyDescent="0.25">
      <c r="C304">
        <v>1.9175</v>
      </c>
      <c r="D304">
        <v>2.1206999999999998</v>
      </c>
      <c r="E304">
        <v>1.2001999999999999</v>
      </c>
      <c r="F304">
        <v>1.3132999999999999</v>
      </c>
      <c r="G304">
        <v>1.252</v>
      </c>
      <c r="H304">
        <v>1.4722999999999999</v>
      </c>
      <c r="I304">
        <v>1.3355999999999999</v>
      </c>
      <c r="J304">
        <v>1.2425999999999999</v>
      </c>
      <c r="K304">
        <v>0.4602</v>
      </c>
      <c r="L304">
        <v>5.21E-2</v>
      </c>
      <c r="M304">
        <v>5.1999999999999998E-2</v>
      </c>
      <c r="N304">
        <v>5.7299999999999997E-2</v>
      </c>
    </row>
    <row r="306" spans="1:31" x14ac:dyDescent="0.25">
      <c r="A306" t="s">
        <v>146</v>
      </c>
      <c r="B306" t="s">
        <v>165</v>
      </c>
    </row>
    <row r="307" spans="1:31" x14ac:dyDescent="0.25">
      <c r="A307" t="s">
        <v>139</v>
      </c>
      <c r="B307" t="s">
        <v>147</v>
      </c>
      <c r="C307">
        <v>1.3</v>
      </c>
      <c r="D307">
        <v>-1</v>
      </c>
      <c r="E307">
        <v>-2</v>
      </c>
      <c r="F307">
        <v>-3</v>
      </c>
      <c r="G307">
        <v>-4</v>
      </c>
      <c r="H307">
        <v>-5</v>
      </c>
      <c r="I307">
        <v>-6</v>
      </c>
      <c r="J307">
        <v>-7</v>
      </c>
      <c r="K307">
        <v>-8</v>
      </c>
      <c r="L307">
        <v>-9</v>
      </c>
      <c r="M307">
        <v>-10</v>
      </c>
      <c r="N307">
        <v>-11</v>
      </c>
      <c r="P307">
        <v>1</v>
      </c>
      <c r="Q307">
        <v>620</v>
      </c>
      <c r="R307">
        <v>1</v>
      </c>
      <c r="S307">
        <v>12</v>
      </c>
      <c r="T307">
        <v>96</v>
      </c>
      <c r="U307">
        <v>571</v>
      </c>
      <c r="V307" t="s">
        <v>149</v>
      </c>
      <c r="W307">
        <v>610</v>
      </c>
      <c r="Z307">
        <v>6</v>
      </c>
      <c r="AD307">
        <v>1</v>
      </c>
      <c r="AE307">
        <v>8</v>
      </c>
    </row>
    <row r="308" spans="1:31" x14ac:dyDescent="0.25">
      <c r="B308" t="s">
        <v>145</v>
      </c>
      <c r="C308">
        <v>1</v>
      </c>
      <c r="D308">
        <v>2</v>
      </c>
      <c r="E308">
        <v>3</v>
      </c>
      <c r="F308">
        <v>4</v>
      </c>
      <c r="G308">
        <v>5</v>
      </c>
      <c r="H308">
        <v>6</v>
      </c>
      <c r="I308">
        <v>7</v>
      </c>
      <c r="J308">
        <v>8</v>
      </c>
      <c r="K308">
        <v>9</v>
      </c>
      <c r="L308">
        <v>10</v>
      </c>
      <c r="M308">
        <v>11</v>
      </c>
      <c r="N308">
        <v>12</v>
      </c>
    </row>
    <row r="309" spans="1:31" x14ac:dyDescent="0.25">
      <c r="B309">
        <v>24.8</v>
      </c>
      <c r="C309">
        <v>27.535</v>
      </c>
      <c r="D309" s="23">
        <v>743.23</v>
      </c>
      <c r="E309" s="23">
        <v>401.52</v>
      </c>
      <c r="F309" s="23">
        <v>446.93400000000003</v>
      </c>
      <c r="G309" s="23">
        <v>421.82400000000001</v>
      </c>
      <c r="H309" s="23">
        <v>601.452</v>
      </c>
      <c r="I309" s="23">
        <v>434.01600000000002</v>
      </c>
      <c r="J309" s="23">
        <v>419.142</v>
      </c>
      <c r="K309">
        <v>4.6470000000000002</v>
      </c>
      <c r="L309" s="9">
        <v>49.186</v>
      </c>
      <c r="M309">
        <v>4.3739999999999997</v>
      </c>
      <c r="N309">
        <v>4.4429999999999996</v>
      </c>
    </row>
    <row r="310" spans="1:31" x14ac:dyDescent="0.25">
      <c r="C310">
        <v>29.843</v>
      </c>
      <c r="D310" s="23">
        <v>605.59199999999998</v>
      </c>
      <c r="E310" s="23">
        <v>440.95499999999998</v>
      </c>
      <c r="F310" s="23">
        <v>324.92200000000003</v>
      </c>
      <c r="G310" s="23">
        <v>381.48599999999999</v>
      </c>
      <c r="H310" s="23">
        <v>491.97199999999998</v>
      </c>
      <c r="I310" s="23">
        <v>467.19</v>
      </c>
      <c r="J310" s="23">
        <v>411.83</v>
      </c>
      <c r="K310" s="23">
        <v>389.45499999999998</v>
      </c>
      <c r="L310">
        <v>4.4169999999999998</v>
      </c>
      <c r="M310">
        <v>3.7</v>
      </c>
      <c r="N310">
        <v>4.2009999999999996</v>
      </c>
    </row>
    <row r="311" spans="1:31" x14ac:dyDescent="0.25">
      <c r="C311">
        <v>29.867999999999999</v>
      </c>
      <c r="D311" s="23">
        <v>612.66300000000001</v>
      </c>
      <c r="E311" s="23">
        <v>388.17899999999997</v>
      </c>
      <c r="F311" s="23">
        <v>402.44099999999997</v>
      </c>
      <c r="G311" s="23">
        <v>382.577</v>
      </c>
      <c r="H311" s="23">
        <v>484.43900000000002</v>
      </c>
      <c r="I311" s="23">
        <v>462.30099999999999</v>
      </c>
      <c r="J311" s="23">
        <v>406.64800000000002</v>
      </c>
      <c r="K311" s="23">
        <v>413.745</v>
      </c>
      <c r="L311">
        <v>4.2679999999999998</v>
      </c>
      <c r="M311">
        <v>3.7389999999999999</v>
      </c>
      <c r="N311">
        <v>4.766</v>
      </c>
    </row>
    <row r="312" spans="1:31" x14ac:dyDescent="0.25">
      <c r="C312">
        <v>28.5</v>
      </c>
      <c r="D312" s="23">
        <v>567.226</v>
      </c>
      <c r="E312" s="23">
        <v>377.16</v>
      </c>
      <c r="F312" s="23">
        <v>393.298</v>
      </c>
      <c r="G312" s="23">
        <v>372.26299999999998</v>
      </c>
      <c r="H312" s="23">
        <v>464.267</v>
      </c>
      <c r="I312" s="23">
        <v>486.92500000000001</v>
      </c>
      <c r="J312" s="23">
        <v>449.63400000000001</v>
      </c>
      <c r="K312" s="23">
        <v>368.05200000000002</v>
      </c>
      <c r="L312">
        <v>4.0259999999999998</v>
      </c>
      <c r="M312">
        <v>4.6319999999999997</v>
      </c>
      <c r="N312">
        <v>4.3319999999999999</v>
      </c>
    </row>
    <row r="313" spans="1:31" x14ac:dyDescent="0.25">
      <c r="C313">
        <v>25.385000000000002</v>
      </c>
      <c r="D313" s="23">
        <v>596.548</v>
      </c>
      <c r="E313" s="23">
        <v>439.88499999999999</v>
      </c>
      <c r="F313" s="23">
        <v>420.93400000000003</v>
      </c>
      <c r="G313" s="23">
        <v>372.6</v>
      </c>
      <c r="H313" s="23">
        <v>463.46699999999998</v>
      </c>
      <c r="I313" s="23">
        <v>467.48899999999998</v>
      </c>
      <c r="J313" s="23">
        <v>430.22</v>
      </c>
      <c r="K313" s="23">
        <v>382.98700000000002</v>
      </c>
      <c r="L313">
        <v>4.3979999999999997</v>
      </c>
      <c r="M313">
        <v>4.3280000000000003</v>
      </c>
      <c r="N313">
        <v>4.3490000000000002</v>
      </c>
    </row>
    <row r="314" spans="1:31" x14ac:dyDescent="0.25">
      <c r="C314">
        <v>26.844000000000001</v>
      </c>
      <c r="D314" s="23">
        <v>629.04300000000001</v>
      </c>
      <c r="E314" s="23">
        <v>402.99799999999999</v>
      </c>
      <c r="F314" s="23">
        <v>434.113</v>
      </c>
      <c r="G314" s="23">
        <v>397.90100000000001</v>
      </c>
      <c r="H314" s="23">
        <v>417.14699999999999</v>
      </c>
      <c r="I314" s="23">
        <v>428.51400000000001</v>
      </c>
      <c r="J314" s="23">
        <v>415.09100000000001</v>
      </c>
      <c r="K314" s="23">
        <v>382.37400000000002</v>
      </c>
      <c r="L314">
        <v>3.9550000000000001</v>
      </c>
      <c r="M314" s="9">
        <v>456.79300000000001</v>
      </c>
      <c r="N314" s="9">
        <v>420.17500000000001</v>
      </c>
    </row>
    <row r="315" spans="1:31" x14ac:dyDescent="0.25">
      <c r="C315">
        <v>22.033999999999999</v>
      </c>
      <c r="D315" s="23">
        <v>635.40599999999995</v>
      </c>
      <c r="E315" s="23">
        <v>439.43599999999998</v>
      </c>
      <c r="F315" s="23">
        <v>392.17899999999997</v>
      </c>
      <c r="G315" s="23">
        <v>367.83499999999998</v>
      </c>
      <c r="H315" s="23">
        <v>466.65300000000002</v>
      </c>
      <c r="I315" s="23">
        <v>460.54599999999999</v>
      </c>
      <c r="J315" s="23">
        <v>298.33300000000003</v>
      </c>
      <c r="K315" s="23">
        <v>139.40600000000001</v>
      </c>
      <c r="L315">
        <v>3.9969999999999999</v>
      </c>
      <c r="M315">
        <v>3.6440000000000001</v>
      </c>
      <c r="N315">
        <v>4.952</v>
      </c>
    </row>
    <row r="316" spans="1:31" x14ac:dyDescent="0.25">
      <c r="C316">
        <v>22.59</v>
      </c>
      <c r="D316" s="23">
        <v>672.47900000000004</v>
      </c>
      <c r="E316" s="23">
        <v>398.29</v>
      </c>
      <c r="F316" s="23">
        <v>405.65899999999999</v>
      </c>
      <c r="G316" s="23">
        <v>410.89100000000002</v>
      </c>
      <c r="H316" s="23">
        <v>508.83600000000001</v>
      </c>
      <c r="I316" s="23">
        <v>515.93200000000002</v>
      </c>
      <c r="J316" s="23">
        <v>457.27600000000001</v>
      </c>
      <c r="K316" s="23">
        <v>259.38499999999999</v>
      </c>
      <c r="L316">
        <v>4.3540000000000001</v>
      </c>
      <c r="M316">
        <v>4.1040000000000001</v>
      </c>
      <c r="N316">
        <v>4.6159999999999997</v>
      </c>
    </row>
    <row r="318" spans="1:31" x14ac:dyDescent="0.25">
      <c r="A318" t="s">
        <v>146</v>
      </c>
      <c r="B318" t="s">
        <v>166</v>
      </c>
    </row>
    <row r="319" spans="1:31" x14ac:dyDescent="0.25">
      <c r="A319" t="s">
        <v>139</v>
      </c>
      <c r="B319" t="s">
        <v>151</v>
      </c>
      <c r="C319">
        <v>1.3</v>
      </c>
      <c r="D319" t="s">
        <v>141</v>
      </c>
      <c r="E319" t="s">
        <v>142</v>
      </c>
      <c r="F319" t="s">
        <v>143</v>
      </c>
      <c r="G319" t="s">
        <v>144</v>
      </c>
      <c r="H319" t="b">
        <v>0</v>
      </c>
      <c r="I319">
        <v>1</v>
      </c>
      <c r="O319">
        <v>1</v>
      </c>
      <c r="P319">
        <v>620</v>
      </c>
      <c r="Q319">
        <v>1</v>
      </c>
      <c r="R319">
        <v>12</v>
      </c>
      <c r="S319">
        <v>96</v>
      </c>
      <c r="T319">
        <v>1</v>
      </c>
      <c r="U319">
        <v>8</v>
      </c>
    </row>
    <row r="320" spans="1:31" x14ac:dyDescent="0.25">
      <c r="B320" t="s">
        <v>145</v>
      </c>
      <c r="C320">
        <v>1</v>
      </c>
      <c r="D320">
        <v>2</v>
      </c>
      <c r="E320">
        <v>3</v>
      </c>
      <c r="F320">
        <v>4</v>
      </c>
      <c r="G320">
        <v>5</v>
      </c>
      <c r="H320">
        <v>6</v>
      </c>
      <c r="I320">
        <v>7</v>
      </c>
      <c r="J320">
        <v>8</v>
      </c>
      <c r="K320">
        <v>9</v>
      </c>
      <c r="L320">
        <v>10</v>
      </c>
      <c r="M320">
        <v>11</v>
      </c>
      <c r="N320">
        <v>12</v>
      </c>
    </row>
    <row r="321" spans="1:31" x14ac:dyDescent="0.25">
      <c r="B321">
        <v>24.8</v>
      </c>
      <c r="C321">
        <v>2.3252999999999999</v>
      </c>
      <c r="D321">
        <v>1.3512</v>
      </c>
      <c r="E321">
        <v>0.94810000000000005</v>
      </c>
      <c r="F321">
        <v>0.84919999999999995</v>
      </c>
      <c r="G321">
        <v>0.89810000000000001</v>
      </c>
      <c r="H321">
        <v>1.129</v>
      </c>
      <c r="I321">
        <v>1.0626</v>
      </c>
      <c r="J321">
        <v>0.73729999999999996</v>
      </c>
      <c r="K321">
        <v>5.3199999999999997E-2</v>
      </c>
      <c r="L321">
        <v>0.6129</v>
      </c>
      <c r="M321">
        <v>5.7599999999999998E-2</v>
      </c>
      <c r="N321">
        <v>5.3600000000000002E-2</v>
      </c>
    </row>
    <row r="322" spans="1:31" x14ac:dyDescent="0.25">
      <c r="C322">
        <v>3.0238999999999998</v>
      </c>
      <c r="D322">
        <v>1.6695</v>
      </c>
      <c r="E322">
        <v>1.4710000000000001</v>
      </c>
      <c r="F322">
        <v>1.1951000000000001</v>
      </c>
      <c r="G322">
        <v>1.3951</v>
      </c>
      <c r="H322">
        <v>1.6312</v>
      </c>
      <c r="I322">
        <v>1.5570999999999999</v>
      </c>
      <c r="J322">
        <v>1.3972</v>
      </c>
      <c r="K322">
        <v>0.93910000000000005</v>
      </c>
      <c r="L322">
        <v>5.2999999999999999E-2</v>
      </c>
      <c r="M322">
        <v>5.5399999999999998E-2</v>
      </c>
      <c r="N322">
        <v>0.05</v>
      </c>
    </row>
    <row r="323" spans="1:31" x14ac:dyDescent="0.25">
      <c r="C323">
        <v>3.1939000000000002</v>
      </c>
      <c r="D323">
        <v>1.5066999999999999</v>
      </c>
      <c r="E323">
        <v>1.2431000000000001</v>
      </c>
      <c r="F323">
        <v>1.5125</v>
      </c>
      <c r="G323">
        <v>1.2927999999999999</v>
      </c>
      <c r="H323">
        <v>1.6281000000000001</v>
      </c>
      <c r="I323">
        <v>1.5309999999999999</v>
      </c>
      <c r="J323">
        <v>1.4166000000000001</v>
      </c>
      <c r="K323">
        <v>1.0609</v>
      </c>
      <c r="L323">
        <v>5.1700000000000003E-2</v>
      </c>
      <c r="M323">
        <v>5.3499999999999999E-2</v>
      </c>
      <c r="N323">
        <v>5.0099999999999999E-2</v>
      </c>
    </row>
    <row r="324" spans="1:31" x14ac:dyDescent="0.25">
      <c r="C324">
        <v>3.5270000000000001</v>
      </c>
      <c r="D324">
        <v>1.6535</v>
      </c>
      <c r="E324">
        <v>1.3352999999999999</v>
      </c>
      <c r="F324">
        <v>1.282</v>
      </c>
      <c r="G324">
        <v>1.4303999999999999</v>
      </c>
      <c r="H324">
        <v>1.6752</v>
      </c>
      <c r="I324">
        <v>1.5349999999999999</v>
      </c>
      <c r="J324">
        <v>1.2244999999999999</v>
      </c>
      <c r="K324">
        <v>1.218</v>
      </c>
      <c r="L324">
        <v>5.1799999999999999E-2</v>
      </c>
      <c r="M324">
        <v>6.2399999999999997E-2</v>
      </c>
      <c r="N324">
        <v>4.9599999999999998E-2</v>
      </c>
    </row>
    <row r="325" spans="1:31" x14ac:dyDescent="0.25">
      <c r="C325">
        <v>3.3422000000000001</v>
      </c>
      <c r="D325">
        <v>1.7563</v>
      </c>
      <c r="E325">
        <v>1.2496</v>
      </c>
      <c r="F325">
        <v>1.5064</v>
      </c>
      <c r="G325">
        <v>1.4733000000000001</v>
      </c>
      <c r="H325">
        <v>1.6621999999999999</v>
      </c>
      <c r="I325">
        <v>1.4661</v>
      </c>
      <c r="J325">
        <v>1.2786999999999999</v>
      </c>
      <c r="K325">
        <v>1.1064000000000001</v>
      </c>
      <c r="L325">
        <v>0.05</v>
      </c>
      <c r="M325">
        <v>5.04E-2</v>
      </c>
      <c r="N325">
        <v>5.1700000000000003E-2</v>
      </c>
    </row>
    <row r="326" spans="1:31" x14ac:dyDescent="0.25">
      <c r="C326">
        <v>3.4620000000000002</v>
      </c>
      <c r="D326">
        <v>1.5321</v>
      </c>
      <c r="E326">
        <v>1.4224000000000001</v>
      </c>
      <c r="F326">
        <v>1.2618</v>
      </c>
      <c r="G326">
        <v>1.4565999999999999</v>
      </c>
      <c r="H326">
        <v>1.5906</v>
      </c>
      <c r="I326">
        <v>1.5773999999999999</v>
      </c>
      <c r="J326">
        <v>1.3269</v>
      </c>
      <c r="K326">
        <v>1.1601999999999999</v>
      </c>
      <c r="L326">
        <v>4.9799999999999997E-2</v>
      </c>
      <c r="M326">
        <v>4.9599999999999998E-2</v>
      </c>
      <c r="N326">
        <v>5.2200000000000003E-2</v>
      </c>
    </row>
    <row r="327" spans="1:31" x14ac:dyDescent="0.25">
      <c r="C327">
        <v>3.5444</v>
      </c>
      <c r="D327">
        <v>2.4220999999999999</v>
      </c>
      <c r="E327">
        <v>1.534</v>
      </c>
      <c r="F327">
        <v>1.4822</v>
      </c>
      <c r="G327">
        <v>1.4350000000000001</v>
      </c>
      <c r="H327">
        <v>1.6158999999999999</v>
      </c>
      <c r="I327">
        <v>1.5536000000000001</v>
      </c>
      <c r="J327">
        <v>1.395</v>
      </c>
      <c r="K327">
        <v>1.1311</v>
      </c>
      <c r="L327">
        <v>5.0500000000000003E-2</v>
      </c>
      <c r="M327">
        <v>5.1400000000000001E-2</v>
      </c>
      <c r="N327">
        <v>5.1999999999999998E-2</v>
      </c>
    </row>
    <row r="328" spans="1:31" x14ac:dyDescent="0.25">
      <c r="C328">
        <v>3.161</v>
      </c>
      <c r="D328">
        <v>1.7999000000000001</v>
      </c>
      <c r="E328">
        <v>1.3133999999999999</v>
      </c>
      <c r="F328">
        <v>1.2245999999999999</v>
      </c>
      <c r="G328">
        <v>0.94799999999999995</v>
      </c>
      <c r="H328">
        <v>1.0122</v>
      </c>
      <c r="I328">
        <v>1.0489999999999999</v>
      </c>
      <c r="J328">
        <v>0.93930000000000002</v>
      </c>
      <c r="K328">
        <v>1.0395000000000001</v>
      </c>
      <c r="L328">
        <v>5.21E-2</v>
      </c>
      <c r="M328">
        <v>5.1999999999999998E-2</v>
      </c>
      <c r="N328">
        <v>5.45E-2</v>
      </c>
    </row>
    <row r="330" spans="1:31" x14ac:dyDescent="0.25">
      <c r="A330" t="s">
        <v>146</v>
      </c>
      <c r="B330" t="s">
        <v>166</v>
      </c>
    </row>
    <row r="331" spans="1:31" x14ac:dyDescent="0.25">
      <c r="A331" t="s">
        <v>139</v>
      </c>
      <c r="B331" t="s">
        <v>152</v>
      </c>
      <c r="C331">
        <v>1.3</v>
      </c>
      <c r="D331">
        <v>-1</v>
      </c>
      <c r="E331">
        <v>-2</v>
      </c>
      <c r="F331">
        <v>-3</v>
      </c>
      <c r="G331">
        <v>-4</v>
      </c>
      <c r="H331">
        <v>-5</v>
      </c>
      <c r="I331">
        <v>-6</v>
      </c>
      <c r="J331">
        <v>-7</v>
      </c>
      <c r="K331">
        <v>-8</v>
      </c>
      <c r="L331">
        <v>-9</v>
      </c>
      <c r="M331">
        <v>-10</v>
      </c>
      <c r="N331">
        <v>-11</v>
      </c>
      <c r="P331">
        <v>1</v>
      </c>
      <c r="Q331">
        <v>620</v>
      </c>
      <c r="R331">
        <v>1</v>
      </c>
      <c r="S331">
        <v>12</v>
      </c>
      <c r="T331">
        <v>96</v>
      </c>
      <c r="U331">
        <v>571</v>
      </c>
      <c r="V331" t="s">
        <v>149</v>
      </c>
      <c r="W331">
        <v>610</v>
      </c>
      <c r="Z331">
        <v>6</v>
      </c>
      <c r="AD331">
        <v>1</v>
      </c>
      <c r="AE331">
        <v>8</v>
      </c>
    </row>
    <row r="332" spans="1:31" x14ac:dyDescent="0.25">
      <c r="B332" t="s">
        <v>145</v>
      </c>
      <c r="C332">
        <v>1</v>
      </c>
      <c r="D332">
        <v>2</v>
      </c>
      <c r="E332">
        <v>3</v>
      </c>
      <c r="F332">
        <v>4</v>
      </c>
      <c r="G332">
        <v>5</v>
      </c>
      <c r="H332">
        <v>6</v>
      </c>
      <c r="I332">
        <v>7</v>
      </c>
      <c r="J332">
        <v>8</v>
      </c>
      <c r="K332">
        <v>9</v>
      </c>
      <c r="L332">
        <v>10</v>
      </c>
      <c r="M332">
        <v>11</v>
      </c>
      <c r="N332">
        <v>12</v>
      </c>
    </row>
    <row r="333" spans="1:31" x14ac:dyDescent="0.25">
      <c r="B333">
        <v>24.9</v>
      </c>
      <c r="C333">
        <v>19.007000000000001</v>
      </c>
      <c r="D333" s="23">
        <v>687.125</v>
      </c>
      <c r="E333" s="23">
        <v>501.07499999999999</v>
      </c>
      <c r="F333" s="23">
        <v>380.25599999999997</v>
      </c>
      <c r="G333" s="23">
        <v>509.09500000000003</v>
      </c>
      <c r="H333" s="23">
        <v>638.97900000000004</v>
      </c>
      <c r="I333" s="23">
        <v>621.97299999999996</v>
      </c>
      <c r="J333" s="23">
        <v>384.28100000000001</v>
      </c>
      <c r="K333">
        <v>4.4260000000000002</v>
      </c>
      <c r="L333" s="9">
        <v>304.27800000000002</v>
      </c>
      <c r="M333">
        <v>4.0309999999999997</v>
      </c>
      <c r="N333">
        <v>4.6360000000000001</v>
      </c>
    </row>
    <row r="334" spans="1:31" x14ac:dyDescent="0.25">
      <c r="C334">
        <v>21.869</v>
      </c>
      <c r="D334" s="23">
        <v>562.65499999999997</v>
      </c>
      <c r="E334" s="23">
        <v>447.18900000000002</v>
      </c>
      <c r="F334" s="23">
        <v>371.28699999999998</v>
      </c>
      <c r="G334" s="23">
        <v>440.93200000000002</v>
      </c>
      <c r="H334" s="23">
        <v>538.96500000000003</v>
      </c>
      <c r="I334" s="23">
        <v>540.08600000000001</v>
      </c>
      <c r="J334" s="23">
        <v>491.553</v>
      </c>
      <c r="K334" s="23">
        <v>376.94799999999998</v>
      </c>
      <c r="L334">
        <v>4.5880000000000001</v>
      </c>
      <c r="M334">
        <v>4.53</v>
      </c>
      <c r="N334">
        <v>4.8520000000000003</v>
      </c>
    </row>
    <row r="335" spans="1:31" x14ac:dyDescent="0.25">
      <c r="C335">
        <v>31.329000000000001</v>
      </c>
      <c r="D335" s="23">
        <v>610.88300000000004</v>
      </c>
      <c r="E335" s="23">
        <v>358.185</v>
      </c>
      <c r="F335" s="23">
        <v>412.67599999999999</v>
      </c>
      <c r="G335" s="23">
        <v>307.875</v>
      </c>
      <c r="H335" s="23">
        <v>474.38600000000002</v>
      </c>
      <c r="I335" s="23">
        <v>502.26799999999997</v>
      </c>
      <c r="J335" s="23">
        <v>454.95499999999998</v>
      </c>
      <c r="K335" s="23">
        <v>377.61700000000002</v>
      </c>
      <c r="L335">
        <v>4.4569999999999999</v>
      </c>
      <c r="M335">
        <v>4.9909999999999997</v>
      </c>
      <c r="N335">
        <v>4.96</v>
      </c>
    </row>
    <row r="336" spans="1:31" x14ac:dyDescent="0.25">
      <c r="C336">
        <v>30.856000000000002</v>
      </c>
      <c r="D336" s="23">
        <v>478.67899999999997</v>
      </c>
      <c r="E336" s="23">
        <v>380.72899999999998</v>
      </c>
      <c r="F336" s="23">
        <v>336.03</v>
      </c>
      <c r="G336" s="23">
        <v>398.64499999999998</v>
      </c>
      <c r="H336" s="23">
        <v>488.476</v>
      </c>
      <c r="I336" s="23">
        <v>453.19900000000001</v>
      </c>
      <c r="J336" s="23">
        <v>386.78199999999998</v>
      </c>
      <c r="K336" s="23">
        <v>394.84100000000001</v>
      </c>
      <c r="L336">
        <v>4.12</v>
      </c>
      <c r="M336">
        <v>4.2350000000000003</v>
      </c>
      <c r="N336">
        <v>4.8849999999999998</v>
      </c>
    </row>
    <row r="337" spans="1:21" x14ac:dyDescent="0.25">
      <c r="C337">
        <v>30.684999999999999</v>
      </c>
      <c r="D337" s="23">
        <v>452.51100000000002</v>
      </c>
      <c r="E337" s="23">
        <v>362.452</v>
      </c>
      <c r="F337" s="23">
        <v>378.63099999999997</v>
      </c>
      <c r="G337" s="23">
        <v>404.82100000000003</v>
      </c>
      <c r="H337" s="23">
        <v>465.61200000000002</v>
      </c>
      <c r="I337" s="23">
        <v>441.89499999999998</v>
      </c>
      <c r="J337" s="23">
        <v>406.31099999999998</v>
      </c>
      <c r="K337" s="23">
        <v>397.96199999999999</v>
      </c>
      <c r="L337">
        <v>4.1630000000000003</v>
      </c>
      <c r="M337">
        <v>4.101</v>
      </c>
      <c r="N337">
        <v>5.1539999999999999</v>
      </c>
    </row>
    <row r="338" spans="1:21" x14ac:dyDescent="0.25">
      <c r="C338">
        <v>30.457999999999998</v>
      </c>
      <c r="D338" s="23">
        <v>459.56599999999997</v>
      </c>
      <c r="E338" s="23">
        <v>391.59399999999999</v>
      </c>
      <c r="F338" s="23">
        <v>316.21800000000002</v>
      </c>
      <c r="G338" s="23">
        <v>399.04199999999997</v>
      </c>
      <c r="H338" s="23">
        <v>452.74799999999999</v>
      </c>
      <c r="I338" s="23">
        <v>507.815</v>
      </c>
      <c r="J338" s="23">
        <v>434.74</v>
      </c>
      <c r="K338" s="23">
        <v>408.48099999999999</v>
      </c>
      <c r="L338">
        <v>4.4829999999999997</v>
      </c>
      <c r="M338">
        <v>4.202</v>
      </c>
      <c r="N338">
        <v>4.0730000000000004</v>
      </c>
    </row>
    <row r="339" spans="1:21" x14ac:dyDescent="0.25">
      <c r="C339">
        <v>21.977</v>
      </c>
      <c r="D339" s="23">
        <v>526.49900000000002</v>
      </c>
      <c r="E339" s="23">
        <v>417.12099999999998</v>
      </c>
      <c r="F339" s="23">
        <v>401.27800000000002</v>
      </c>
      <c r="G339" s="23">
        <v>291.63499999999999</v>
      </c>
      <c r="H339" s="23">
        <v>524.23599999999999</v>
      </c>
      <c r="I339" s="23">
        <v>526.47400000000005</v>
      </c>
      <c r="J339" s="23">
        <v>522.52200000000005</v>
      </c>
      <c r="K339" s="23">
        <v>440.19600000000003</v>
      </c>
      <c r="L339">
        <v>4.1230000000000002</v>
      </c>
      <c r="M339">
        <v>4.9820000000000002</v>
      </c>
      <c r="N339">
        <v>5.0709999999999997</v>
      </c>
    </row>
    <row r="340" spans="1:21" x14ac:dyDescent="0.25">
      <c r="C340">
        <v>26.466999999999999</v>
      </c>
      <c r="D340" s="23">
        <v>542.96199999999999</v>
      </c>
      <c r="E340" s="23">
        <v>467.46300000000002</v>
      </c>
      <c r="F340" s="23">
        <v>491.27300000000002</v>
      </c>
      <c r="G340" s="23">
        <v>589.63800000000003</v>
      </c>
      <c r="H340" s="23">
        <v>591.92700000000002</v>
      </c>
      <c r="I340" s="23">
        <v>682.60799999999995</v>
      </c>
      <c r="J340" s="23">
        <v>514.625</v>
      </c>
      <c r="K340" s="23">
        <v>499.43099999999998</v>
      </c>
      <c r="L340">
        <v>4.4930000000000003</v>
      </c>
      <c r="M340">
        <v>3.7930000000000001</v>
      </c>
      <c r="N340">
        <v>4.3179999999999996</v>
      </c>
    </row>
    <row r="342" spans="1:21" x14ac:dyDescent="0.25">
      <c r="A342" t="s">
        <v>146</v>
      </c>
      <c r="B342" t="s">
        <v>167</v>
      </c>
    </row>
    <row r="343" spans="1:21" x14ac:dyDescent="0.25">
      <c r="A343" t="s">
        <v>139</v>
      </c>
      <c r="B343" t="s">
        <v>154</v>
      </c>
      <c r="C343">
        <v>1.3</v>
      </c>
      <c r="D343" t="s">
        <v>141</v>
      </c>
      <c r="E343" t="s">
        <v>142</v>
      </c>
      <c r="F343" t="s">
        <v>143</v>
      </c>
      <c r="G343" t="s">
        <v>144</v>
      </c>
      <c r="H343" t="b">
        <v>0</v>
      </c>
      <c r="I343">
        <v>1</v>
      </c>
      <c r="O343">
        <v>1</v>
      </c>
      <c r="P343">
        <v>620</v>
      </c>
      <c r="Q343">
        <v>1</v>
      </c>
      <c r="R343">
        <v>12</v>
      </c>
      <c r="S343">
        <v>96</v>
      </c>
      <c r="T343">
        <v>1</v>
      </c>
      <c r="U343">
        <v>8</v>
      </c>
    </row>
    <row r="344" spans="1:21" x14ac:dyDescent="0.25">
      <c r="B344" t="s">
        <v>145</v>
      </c>
      <c r="C344">
        <v>1</v>
      </c>
      <c r="D344">
        <v>2</v>
      </c>
      <c r="E344">
        <v>3</v>
      </c>
      <c r="F344">
        <v>4</v>
      </c>
      <c r="G344">
        <v>5</v>
      </c>
      <c r="H344">
        <v>6</v>
      </c>
      <c r="I344">
        <v>7</v>
      </c>
      <c r="J344">
        <v>8</v>
      </c>
      <c r="K344">
        <v>9</v>
      </c>
      <c r="L344">
        <v>10</v>
      </c>
      <c r="M344">
        <v>11</v>
      </c>
      <c r="N344">
        <v>12</v>
      </c>
    </row>
    <row r="345" spans="1:21" x14ac:dyDescent="0.25">
      <c r="B345">
        <v>24.9</v>
      </c>
      <c r="C345">
        <v>4</v>
      </c>
      <c r="D345">
        <v>0.17560000000000001</v>
      </c>
      <c r="E345">
        <v>0.45660000000000001</v>
      </c>
      <c r="F345">
        <v>0.87960000000000005</v>
      </c>
      <c r="G345">
        <v>0.64559999999999995</v>
      </c>
      <c r="H345">
        <v>0.13619999999999999</v>
      </c>
      <c r="I345">
        <v>5.9499999999999997E-2</v>
      </c>
      <c r="J345">
        <v>5.7500000000000002E-2</v>
      </c>
      <c r="K345">
        <v>5.33E-2</v>
      </c>
      <c r="L345">
        <v>5.1900000000000002E-2</v>
      </c>
      <c r="M345">
        <v>6.2799999999999995E-2</v>
      </c>
      <c r="N345">
        <v>5.0700000000000002E-2</v>
      </c>
    </row>
    <row r="346" spans="1:21" x14ac:dyDescent="0.25">
      <c r="C346">
        <v>4</v>
      </c>
      <c r="D346">
        <v>0.9365</v>
      </c>
      <c r="E346">
        <v>1.218</v>
      </c>
      <c r="F346">
        <v>1.0707</v>
      </c>
      <c r="G346">
        <v>1.0896999999999999</v>
      </c>
      <c r="H346">
        <v>1.2485999999999999</v>
      </c>
      <c r="I346">
        <v>0.96430000000000005</v>
      </c>
      <c r="J346">
        <v>0.67659999999999998</v>
      </c>
      <c r="K346">
        <v>8.1299999999999997E-2</v>
      </c>
      <c r="L346">
        <v>7.3800000000000004E-2</v>
      </c>
      <c r="M346">
        <v>4.6100000000000002E-2</v>
      </c>
      <c r="N346">
        <v>5.21E-2</v>
      </c>
    </row>
    <row r="347" spans="1:21" x14ac:dyDescent="0.25">
      <c r="C347">
        <v>3.1996000000000002</v>
      </c>
      <c r="D347">
        <v>1.8522000000000001</v>
      </c>
      <c r="E347">
        <v>1.4772000000000001</v>
      </c>
      <c r="F347">
        <v>1.3273999999999999</v>
      </c>
      <c r="G347">
        <v>1.2546999999999999</v>
      </c>
      <c r="H347">
        <v>1.5366</v>
      </c>
      <c r="I347">
        <v>1.325</v>
      </c>
      <c r="J347">
        <v>0.91100000000000003</v>
      </c>
      <c r="K347">
        <v>0.72989999999999999</v>
      </c>
      <c r="L347">
        <v>6.3500000000000001E-2</v>
      </c>
      <c r="M347">
        <v>6.3899999999999998E-2</v>
      </c>
      <c r="N347">
        <v>7.6100000000000001E-2</v>
      </c>
    </row>
    <row r="348" spans="1:21" x14ac:dyDescent="0.25">
      <c r="C348">
        <v>2.1880000000000002</v>
      </c>
      <c r="D348">
        <v>1.4898</v>
      </c>
      <c r="E348">
        <v>1.4069</v>
      </c>
      <c r="F348">
        <v>1.3594999999999999</v>
      </c>
      <c r="G348">
        <v>1.1726000000000001</v>
      </c>
      <c r="H348">
        <v>1.4766999999999999</v>
      </c>
      <c r="I348">
        <v>1.3348</v>
      </c>
      <c r="J348">
        <v>1.0447</v>
      </c>
      <c r="K348">
        <v>1.0139</v>
      </c>
      <c r="L348">
        <v>6.13E-2</v>
      </c>
      <c r="M348">
        <v>6.1800000000000001E-2</v>
      </c>
      <c r="N348">
        <v>7.2599999999999998E-2</v>
      </c>
    </row>
    <row r="349" spans="1:21" x14ac:dyDescent="0.25">
      <c r="C349">
        <v>2.2545000000000002</v>
      </c>
      <c r="D349">
        <v>1.5513999999999999</v>
      </c>
      <c r="E349">
        <v>1.4064000000000001</v>
      </c>
      <c r="F349">
        <v>1.3694999999999999</v>
      </c>
      <c r="G349">
        <v>1.2606999999999999</v>
      </c>
      <c r="H349">
        <v>1.2108000000000001</v>
      </c>
      <c r="I349">
        <v>1.4018999999999999</v>
      </c>
      <c r="J349">
        <v>0.92479999999999996</v>
      </c>
      <c r="K349">
        <v>0.752</v>
      </c>
      <c r="L349">
        <v>6.0699999999999997E-2</v>
      </c>
      <c r="M349">
        <v>6.2399999999999997E-2</v>
      </c>
      <c r="N349">
        <v>6.6500000000000004E-2</v>
      </c>
    </row>
    <row r="350" spans="1:21" x14ac:dyDescent="0.25">
      <c r="C350">
        <v>2.2429000000000001</v>
      </c>
      <c r="D350">
        <v>1.234</v>
      </c>
      <c r="E350">
        <v>1.2693000000000001</v>
      </c>
      <c r="F350">
        <v>1.2445999999999999</v>
      </c>
      <c r="G350">
        <v>1.2171000000000001</v>
      </c>
      <c r="H350">
        <v>1.3521000000000001</v>
      </c>
      <c r="I350">
        <v>1.2982</v>
      </c>
      <c r="J350">
        <v>0.91779999999999995</v>
      </c>
      <c r="K350">
        <v>0.97270000000000001</v>
      </c>
      <c r="L350">
        <v>6.2600000000000003E-2</v>
      </c>
      <c r="M350">
        <v>6.6799999999999998E-2</v>
      </c>
      <c r="N350">
        <v>4.7600000000000003E-2</v>
      </c>
    </row>
    <row r="351" spans="1:21" x14ac:dyDescent="0.25">
      <c r="C351">
        <v>2.5430000000000001</v>
      </c>
      <c r="D351">
        <v>0.25069999999999998</v>
      </c>
      <c r="E351">
        <v>0.77749999999999997</v>
      </c>
      <c r="F351">
        <v>0.85099999999999998</v>
      </c>
      <c r="G351">
        <v>0.98009999999999997</v>
      </c>
      <c r="H351">
        <v>1.1729000000000001</v>
      </c>
      <c r="I351">
        <v>1.0102</v>
      </c>
      <c r="J351">
        <v>0.8135</v>
      </c>
      <c r="K351">
        <v>0.75170000000000003</v>
      </c>
      <c r="L351">
        <v>6.6799999999999998E-2</v>
      </c>
      <c r="M351">
        <v>6.1199999999999997E-2</v>
      </c>
      <c r="N351">
        <v>5.3999999999999999E-2</v>
      </c>
    </row>
    <row r="352" spans="1:21" x14ac:dyDescent="0.25">
      <c r="C352">
        <v>4</v>
      </c>
      <c r="D352">
        <v>0.57469999999999999</v>
      </c>
      <c r="E352">
        <v>8.8400000000000006E-2</v>
      </c>
      <c r="F352">
        <v>0.1003</v>
      </c>
      <c r="G352">
        <v>5.2499999999999998E-2</v>
      </c>
      <c r="H352">
        <v>5.0099999999999999E-2</v>
      </c>
      <c r="I352">
        <v>4.3700000000000003E-2</v>
      </c>
      <c r="J352">
        <v>6.0100000000000001E-2</v>
      </c>
      <c r="K352">
        <v>0.1118</v>
      </c>
      <c r="L352">
        <v>4.5100000000000001E-2</v>
      </c>
      <c r="M352">
        <v>5.21E-2</v>
      </c>
      <c r="N352">
        <v>6.2399999999999997E-2</v>
      </c>
    </row>
    <row r="354" spans="1:31" x14ac:dyDescent="0.25">
      <c r="A354" t="s">
        <v>146</v>
      </c>
      <c r="B354" t="s">
        <v>167</v>
      </c>
    </row>
    <row r="355" spans="1:31" x14ac:dyDescent="0.25">
      <c r="A355" t="s">
        <v>139</v>
      </c>
      <c r="B355" t="s">
        <v>155</v>
      </c>
      <c r="C355">
        <v>1.3</v>
      </c>
      <c r="D355">
        <v>-1</v>
      </c>
      <c r="E355">
        <v>-2</v>
      </c>
      <c r="F355">
        <v>-3</v>
      </c>
      <c r="G355">
        <v>-4</v>
      </c>
      <c r="H355">
        <v>-5</v>
      </c>
      <c r="I355">
        <v>-6</v>
      </c>
      <c r="J355">
        <v>-7</v>
      </c>
      <c r="K355">
        <v>-8</v>
      </c>
      <c r="L355">
        <v>-9</v>
      </c>
      <c r="M355">
        <v>-10</v>
      </c>
      <c r="N355">
        <v>-11</v>
      </c>
      <c r="P355">
        <v>1</v>
      </c>
      <c r="Q355">
        <v>620</v>
      </c>
      <c r="R355">
        <v>1</v>
      </c>
      <c r="S355">
        <v>12</v>
      </c>
      <c r="T355">
        <v>96</v>
      </c>
      <c r="U355">
        <v>571</v>
      </c>
      <c r="V355" t="s">
        <v>149</v>
      </c>
      <c r="W355">
        <v>610</v>
      </c>
      <c r="Z355">
        <v>6</v>
      </c>
      <c r="AD355">
        <v>1</v>
      </c>
      <c r="AE355">
        <v>8</v>
      </c>
    </row>
    <row r="356" spans="1:31" x14ac:dyDescent="0.25">
      <c r="B356" t="s">
        <v>145</v>
      </c>
      <c r="C356">
        <v>1</v>
      </c>
      <c r="D356">
        <v>2</v>
      </c>
      <c r="E356">
        <v>3</v>
      </c>
      <c r="F356">
        <v>4</v>
      </c>
      <c r="G356">
        <v>5</v>
      </c>
      <c r="H356">
        <v>6</v>
      </c>
      <c r="I356">
        <v>7</v>
      </c>
      <c r="J356">
        <v>8</v>
      </c>
      <c r="K356">
        <v>9</v>
      </c>
      <c r="L356">
        <v>10</v>
      </c>
      <c r="M356">
        <v>11</v>
      </c>
      <c r="N356">
        <v>12</v>
      </c>
    </row>
    <row r="357" spans="1:31" x14ac:dyDescent="0.25">
      <c r="B357">
        <v>24.9</v>
      </c>
      <c r="C357">
        <v>21.584</v>
      </c>
      <c r="D357" s="23">
        <v>229.82900000000001</v>
      </c>
      <c r="E357" s="23">
        <v>388.61700000000002</v>
      </c>
      <c r="F357" s="23">
        <v>374.16500000000002</v>
      </c>
      <c r="G357" s="23">
        <v>296.23700000000002</v>
      </c>
      <c r="H357" s="23">
        <v>250.90700000000001</v>
      </c>
      <c r="I357" s="23">
        <v>74.213999999999999</v>
      </c>
      <c r="J357" s="23">
        <v>74.007000000000005</v>
      </c>
      <c r="K357">
        <v>5.923</v>
      </c>
      <c r="L357" s="9">
        <v>7.1840000000000002</v>
      </c>
      <c r="M357" s="9">
        <v>9.3770000000000007</v>
      </c>
      <c r="N357" s="9">
        <v>9.3149999999999995</v>
      </c>
    </row>
    <row r="358" spans="1:31" x14ac:dyDescent="0.25">
      <c r="C358">
        <v>19.07</v>
      </c>
      <c r="D358" s="23">
        <v>468.94799999999998</v>
      </c>
      <c r="E358" s="23">
        <v>390.25099999999998</v>
      </c>
      <c r="F358" s="23">
        <v>293.17500000000001</v>
      </c>
      <c r="G358" s="23">
        <v>293.13499999999999</v>
      </c>
      <c r="H358" s="23">
        <v>356.52800000000002</v>
      </c>
      <c r="I358" s="23">
        <v>304.61700000000002</v>
      </c>
      <c r="J358" s="23">
        <v>232.083</v>
      </c>
      <c r="K358" s="23">
        <v>13.28</v>
      </c>
      <c r="L358">
        <v>5.4660000000000002</v>
      </c>
      <c r="M358">
        <v>2.355</v>
      </c>
      <c r="N358">
        <v>8.4830000000000005</v>
      </c>
    </row>
    <row r="359" spans="1:31" x14ac:dyDescent="0.25">
      <c r="C359">
        <v>20.167000000000002</v>
      </c>
      <c r="D359" s="23">
        <v>447.51400000000001</v>
      </c>
      <c r="E359" s="23">
        <v>350.68799999999999</v>
      </c>
      <c r="F359" s="23">
        <v>293.87</v>
      </c>
      <c r="G359" s="23">
        <v>280.75400000000002</v>
      </c>
      <c r="H359" s="23">
        <v>369.46899999999999</v>
      </c>
      <c r="I359" s="23">
        <v>359.46</v>
      </c>
      <c r="J359" s="23">
        <v>230.816</v>
      </c>
      <c r="K359" s="23">
        <v>203.35499999999999</v>
      </c>
      <c r="L359">
        <v>3.02</v>
      </c>
      <c r="M359">
        <v>3.1779999999999999</v>
      </c>
      <c r="N359">
        <v>3.2549999999999999</v>
      </c>
    </row>
    <row r="360" spans="1:31" x14ac:dyDescent="0.25">
      <c r="C360">
        <v>17.018000000000001</v>
      </c>
      <c r="D360" s="23">
        <v>423.98500000000001</v>
      </c>
      <c r="E360" s="23">
        <v>300.15699999999998</v>
      </c>
      <c r="F360" s="23">
        <v>275.31700000000001</v>
      </c>
      <c r="G360" s="23">
        <v>231.14</v>
      </c>
      <c r="H360" s="23">
        <v>316.37700000000001</v>
      </c>
      <c r="I360" s="23">
        <v>315.68200000000002</v>
      </c>
      <c r="J360" s="23">
        <v>234.19</v>
      </c>
      <c r="K360" s="23">
        <v>278.673</v>
      </c>
      <c r="L360">
        <v>3.5070000000000001</v>
      </c>
      <c r="M360">
        <v>3.64</v>
      </c>
      <c r="N360">
        <v>3.3260000000000001</v>
      </c>
    </row>
    <row r="361" spans="1:31" x14ac:dyDescent="0.25">
      <c r="C361">
        <v>16.908999999999999</v>
      </c>
      <c r="D361" s="23">
        <v>454.36500000000001</v>
      </c>
      <c r="E361" s="23">
        <v>323.89</v>
      </c>
      <c r="F361" s="23">
        <v>292.23399999999998</v>
      </c>
      <c r="G361" s="23">
        <v>255.88200000000001</v>
      </c>
      <c r="H361" s="23">
        <v>259.279</v>
      </c>
      <c r="I361" s="23">
        <v>347.84699999999998</v>
      </c>
      <c r="J361" s="23">
        <v>245.55</v>
      </c>
      <c r="K361" s="23">
        <v>203.94399999999999</v>
      </c>
      <c r="L361">
        <v>3.6339999999999999</v>
      </c>
      <c r="M361">
        <v>3.069</v>
      </c>
      <c r="N361">
        <v>3.625</v>
      </c>
    </row>
    <row r="362" spans="1:31" x14ac:dyDescent="0.25">
      <c r="C362">
        <v>15.414999999999999</v>
      </c>
      <c r="D362" s="23">
        <v>432.86</v>
      </c>
      <c r="E362" s="23">
        <v>352.45</v>
      </c>
      <c r="F362" s="23">
        <v>314.822</v>
      </c>
      <c r="G362" s="23">
        <v>273.22800000000001</v>
      </c>
      <c r="H362" s="23">
        <v>325.68299999999999</v>
      </c>
      <c r="I362" s="23">
        <v>383.65199999999999</v>
      </c>
      <c r="J362" s="23">
        <v>269.75099999999998</v>
      </c>
      <c r="K362" s="23">
        <v>298.45499999999998</v>
      </c>
      <c r="L362">
        <v>3.4009999999999998</v>
      </c>
      <c r="M362">
        <v>3.282</v>
      </c>
      <c r="N362">
        <v>2.83</v>
      </c>
    </row>
    <row r="363" spans="1:31" x14ac:dyDescent="0.25">
      <c r="C363">
        <v>22.504000000000001</v>
      </c>
      <c r="D363" s="23">
        <v>493.62200000000001</v>
      </c>
      <c r="E363" s="23">
        <v>466.81099999999998</v>
      </c>
      <c r="F363" s="23">
        <v>336.56900000000002</v>
      </c>
      <c r="G363" s="23">
        <v>360.399</v>
      </c>
      <c r="H363" s="23">
        <v>418.62599999999998</v>
      </c>
      <c r="I363" s="23">
        <v>517.82000000000005</v>
      </c>
      <c r="J363" s="23">
        <v>398.69099999999997</v>
      </c>
      <c r="K363" s="23">
        <v>364.82900000000001</v>
      </c>
      <c r="L363">
        <v>2.8690000000000002</v>
      </c>
      <c r="M363">
        <v>2.4359999999999999</v>
      </c>
      <c r="N363">
        <v>9.6969999999999992</v>
      </c>
    </row>
    <row r="364" spans="1:31" x14ac:dyDescent="0.25">
      <c r="C364">
        <v>23.516999999999999</v>
      </c>
      <c r="D364" s="23">
        <v>104.015</v>
      </c>
      <c r="E364" s="23">
        <v>101.14700000000001</v>
      </c>
      <c r="F364" s="23">
        <v>91.075999999999993</v>
      </c>
      <c r="G364" s="23">
        <v>187.26499999999999</v>
      </c>
      <c r="H364" s="23">
        <v>202.815</v>
      </c>
      <c r="I364" s="23">
        <v>110.127</v>
      </c>
      <c r="J364" s="23">
        <v>177.72300000000001</v>
      </c>
      <c r="K364" s="23">
        <v>257.76900000000001</v>
      </c>
      <c r="L364">
        <v>2.4119999999999999</v>
      </c>
      <c r="M364">
        <v>7.3789999999999996</v>
      </c>
      <c r="N364">
        <v>8.8239999999999998</v>
      </c>
      <c r="Z364">
        <v>0.1</v>
      </c>
      <c r="AA364">
        <v>0.44</v>
      </c>
    </row>
    <row r="366" spans="1:31" x14ac:dyDescent="0.25">
      <c r="A366" t="s">
        <v>146</v>
      </c>
      <c r="B366" t="s">
        <v>168</v>
      </c>
    </row>
    <row r="367" spans="1:31" x14ac:dyDescent="0.25">
      <c r="A367" t="s">
        <v>139</v>
      </c>
      <c r="B367" t="s">
        <v>140</v>
      </c>
      <c r="C367">
        <v>1.3</v>
      </c>
      <c r="D367" t="s">
        <v>141</v>
      </c>
      <c r="E367" t="s">
        <v>142</v>
      </c>
      <c r="F367" t="s">
        <v>143</v>
      </c>
      <c r="G367" t="s">
        <v>144</v>
      </c>
      <c r="H367" t="b">
        <v>0</v>
      </c>
      <c r="I367">
        <v>1</v>
      </c>
      <c r="O367">
        <v>1</v>
      </c>
      <c r="P367">
        <v>620</v>
      </c>
      <c r="Q367">
        <v>1</v>
      </c>
      <c r="R367">
        <v>12</v>
      </c>
      <c r="S367">
        <v>96</v>
      </c>
      <c r="T367">
        <v>1</v>
      </c>
      <c r="U367">
        <v>8</v>
      </c>
    </row>
    <row r="368" spans="1:31" x14ac:dyDescent="0.25">
      <c r="B368" t="s">
        <v>145</v>
      </c>
      <c r="C368">
        <v>1</v>
      </c>
      <c r="D368">
        <v>2</v>
      </c>
      <c r="E368">
        <v>3</v>
      </c>
      <c r="F368">
        <v>4</v>
      </c>
      <c r="G368">
        <v>5</v>
      </c>
      <c r="H368">
        <v>6</v>
      </c>
      <c r="I368">
        <v>7</v>
      </c>
      <c r="J368">
        <v>8</v>
      </c>
      <c r="K368">
        <v>9</v>
      </c>
      <c r="L368">
        <v>10</v>
      </c>
      <c r="M368">
        <v>11</v>
      </c>
      <c r="N368">
        <v>12</v>
      </c>
    </row>
    <row r="369" spans="1:31" x14ac:dyDescent="0.25">
      <c r="B369">
        <v>24.9</v>
      </c>
      <c r="C369">
        <v>2.7130999999999998</v>
      </c>
      <c r="D369">
        <v>2.1051000000000002</v>
      </c>
      <c r="E369">
        <v>1.4983</v>
      </c>
      <c r="F369">
        <v>1.3632</v>
      </c>
      <c r="G369">
        <v>1.2582</v>
      </c>
      <c r="H369">
        <v>1.3804000000000001</v>
      </c>
      <c r="I369">
        <v>1.0105999999999999</v>
      </c>
      <c r="J369">
        <v>0.7984</v>
      </c>
      <c r="K369">
        <v>0.73570000000000002</v>
      </c>
      <c r="L369">
        <v>6.6299999999999998E-2</v>
      </c>
      <c r="M369">
        <v>6.8699999999999997E-2</v>
      </c>
      <c r="N369">
        <v>7.2999999999999995E-2</v>
      </c>
    </row>
    <row r="370" spans="1:31" x14ac:dyDescent="0.25">
      <c r="C370">
        <v>3.1553</v>
      </c>
      <c r="D370">
        <v>2.0367000000000002</v>
      </c>
      <c r="E370">
        <v>1.1411</v>
      </c>
      <c r="F370">
        <v>1.3473999999999999</v>
      </c>
      <c r="G370">
        <v>1.2921</v>
      </c>
      <c r="H370">
        <v>1.4148000000000001</v>
      </c>
      <c r="I370">
        <v>1.2094</v>
      </c>
      <c r="J370">
        <v>0.93630000000000002</v>
      </c>
      <c r="K370">
        <v>6.2E-2</v>
      </c>
      <c r="L370">
        <v>6.3799999999999996E-2</v>
      </c>
      <c r="M370">
        <v>6.3100000000000003E-2</v>
      </c>
      <c r="N370">
        <v>6.3899999999999998E-2</v>
      </c>
    </row>
    <row r="371" spans="1:31" x14ac:dyDescent="0.25">
      <c r="C371">
        <v>3.4619</v>
      </c>
      <c r="D371">
        <v>2.0876000000000001</v>
      </c>
      <c r="E371">
        <v>1.5306</v>
      </c>
      <c r="F371">
        <v>1.3501000000000001</v>
      </c>
      <c r="G371">
        <v>1.2633000000000001</v>
      </c>
      <c r="H371">
        <v>1.4895</v>
      </c>
      <c r="I371">
        <v>1.1689000000000001</v>
      </c>
      <c r="J371">
        <v>6.0600000000000001E-2</v>
      </c>
      <c r="K371">
        <v>5.9499999999999997E-2</v>
      </c>
      <c r="L371">
        <v>6.3299999999999995E-2</v>
      </c>
      <c r="M371">
        <v>0.06</v>
      </c>
      <c r="N371">
        <v>6.2799999999999995E-2</v>
      </c>
    </row>
    <row r="372" spans="1:31" x14ac:dyDescent="0.25">
      <c r="C372">
        <v>3.2578</v>
      </c>
      <c r="D372">
        <v>1.9073</v>
      </c>
      <c r="E372">
        <v>1.5298</v>
      </c>
      <c r="F372">
        <v>1.3449</v>
      </c>
      <c r="G372">
        <v>1.2487999999999999</v>
      </c>
      <c r="H372">
        <v>1.4732000000000001</v>
      </c>
      <c r="I372">
        <v>1.1540999999999999</v>
      </c>
      <c r="J372">
        <v>0.88370000000000004</v>
      </c>
      <c r="K372">
        <v>5.7700000000000001E-2</v>
      </c>
      <c r="L372">
        <v>6.0600000000000001E-2</v>
      </c>
      <c r="M372">
        <v>5.9900000000000002E-2</v>
      </c>
      <c r="N372">
        <v>6.2700000000000006E-2</v>
      </c>
    </row>
    <row r="373" spans="1:31" x14ac:dyDescent="0.25">
      <c r="C373">
        <v>3.2574000000000001</v>
      </c>
      <c r="D373">
        <v>2.0581999999999998</v>
      </c>
      <c r="E373">
        <v>1.5194000000000001</v>
      </c>
      <c r="F373">
        <v>1.3674999999999999</v>
      </c>
      <c r="G373">
        <v>1.2464999999999999</v>
      </c>
      <c r="H373">
        <v>1.4267000000000001</v>
      </c>
      <c r="I373">
        <v>1.1898</v>
      </c>
      <c r="J373">
        <v>0.87629999999999997</v>
      </c>
      <c r="K373">
        <v>0.82140000000000002</v>
      </c>
      <c r="L373">
        <v>6.0900000000000003E-2</v>
      </c>
      <c r="M373">
        <v>5.9400000000000001E-2</v>
      </c>
      <c r="N373">
        <v>6.0600000000000001E-2</v>
      </c>
    </row>
    <row r="374" spans="1:31" x14ac:dyDescent="0.25">
      <c r="C374">
        <v>3.4956</v>
      </c>
      <c r="D374">
        <v>2.0461999999999998</v>
      </c>
      <c r="E374">
        <v>1.5428999999999999</v>
      </c>
      <c r="F374">
        <v>1.3467</v>
      </c>
      <c r="G374">
        <v>1.2573000000000001</v>
      </c>
      <c r="H374">
        <v>1.4004000000000001</v>
      </c>
      <c r="I374">
        <v>1.1888000000000001</v>
      </c>
      <c r="J374">
        <v>6.25E-2</v>
      </c>
      <c r="K374">
        <v>0.06</v>
      </c>
      <c r="L374">
        <v>6.13E-2</v>
      </c>
      <c r="M374">
        <v>5.9900000000000002E-2</v>
      </c>
      <c r="N374">
        <v>6.0999999999999999E-2</v>
      </c>
    </row>
    <row r="375" spans="1:31" x14ac:dyDescent="0.25">
      <c r="C375">
        <v>3.4895</v>
      </c>
      <c r="D375">
        <v>2.0127999999999999</v>
      </c>
      <c r="E375">
        <v>1.5203</v>
      </c>
      <c r="F375">
        <v>1.3265</v>
      </c>
      <c r="G375">
        <v>1.2641</v>
      </c>
      <c r="H375">
        <v>1.5115000000000001</v>
      </c>
      <c r="I375">
        <v>1.1267</v>
      </c>
      <c r="J375">
        <v>0.86980000000000002</v>
      </c>
      <c r="K375">
        <v>6.1400000000000003E-2</v>
      </c>
      <c r="L375">
        <v>6.0199999999999997E-2</v>
      </c>
      <c r="M375">
        <v>6.0499999999999998E-2</v>
      </c>
      <c r="N375">
        <v>6.1800000000000001E-2</v>
      </c>
    </row>
    <row r="376" spans="1:31" x14ac:dyDescent="0.25">
      <c r="C376">
        <v>3.6110000000000002</v>
      </c>
      <c r="D376">
        <v>2.5577999999999999</v>
      </c>
      <c r="E376">
        <v>1.5307999999999999</v>
      </c>
      <c r="F376">
        <v>1.3405</v>
      </c>
      <c r="G376">
        <v>1.1974</v>
      </c>
      <c r="H376">
        <v>1.4641</v>
      </c>
      <c r="I376">
        <v>1.2014</v>
      </c>
      <c r="J376">
        <v>1.0833999999999999</v>
      </c>
      <c r="K376">
        <v>6.3700000000000007E-2</v>
      </c>
      <c r="L376">
        <v>6.4299999999999996E-2</v>
      </c>
      <c r="M376">
        <v>6.4000000000000001E-2</v>
      </c>
      <c r="N376">
        <v>6.3100000000000003E-2</v>
      </c>
    </row>
    <row r="378" spans="1:31" x14ac:dyDescent="0.25">
      <c r="A378" t="s">
        <v>146</v>
      </c>
      <c r="B378" t="s">
        <v>168</v>
      </c>
    </row>
    <row r="379" spans="1:31" x14ac:dyDescent="0.25">
      <c r="A379" t="s">
        <v>139</v>
      </c>
      <c r="B379" t="s">
        <v>147</v>
      </c>
      <c r="C379">
        <v>1.3</v>
      </c>
      <c r="D379">
        <v>-1</v>
      </c>
      <c r="E379">
        <v>-2</v>
      </c>
      <c r="F379">
        <v>-3</v>
      </c>
      <c r="G379">
        <v>-4</v>
      </c>
      <c r="H379">
        <v>-5</v>
      </c>
      <c r="I379">
        <v>-6</v>
      </c>
      <c r="J379">
        <v>-7</v>
      </c>
      <c r="K379">
        <v>-8</v>
      </c>
      <c r="L379">
        <v>-9</v>
      </c>
      <c r="M379">
        <v>-10</v>
      </c>
      <c r="N379">
        <v>-11</v>
      </c>
      <c r="P379">
        <v>1</v>
      </c>
      <c r="Q379">
        <v>620</v>
      </c>
      <c r="R379">
        <v>1</v>
      </c>
      <c r="S379">
        <v>12</v>
      </c>
      <c r="T379">
        <v>96</v>
      </c>
      <c r="U379">
        <v>571</v>
      </c>
      <c r="V379" t="s">
        <v>149</v>
      </c>
      <c r="W379">
        <v>610</v>
      </c>
      <c r="Z379">
        <v>6</v>
      </c>
      <c r="AD379">
        <v>1</v>
      </c>
      <c r="AE379">
        <v>8</v>
      </c>
    </row>
    <row r="380" spans="1:31" x14ac:dyDescent="0.25">
      <c r="B380" t="s">
        <v>145</v>
      </c>
      <c r="C380">
        <v>1</v>
      </c>
      <c r="D380">
        <v>2</v>
      </c>
      <c r="E380">
        <v>3</v>
      </c>
      <c r="F380">
        <v>4</v>
      </c>
      <c r="G380">
        <v>5</v>
      </c>
      <c r="H380">
        <v>6</v>
      </c>
      <c r="I380">
        <v>7</v>
      </c>
      <c r="J380">
        <v>8</v>
      </c>
      <c r="K380">
        <v>9</v>
      </c>
      <c r="L380">
        <v>10</v>
      </c>
      <c r="M380">
        <v>11</v>
      </c>
      <c r="N380">
        <v>12</v>
      </c>
    </row>
    <row r="381" spans="1:31" x14ac:dyDescent="0.25">
      <c r="B381">
        <v>24.9</v>
      </c>
      <c r="C381">
        <v>15.733000000000001</v>
      </c>
      <c r="D381" s="23">
        <v>338.02800000000002</v>
      </c>
      <c r="E381" s="23">
        <v>425.99299999999999</v>
      </c>
      <c r="F381" s="23">
        <v>364.995</v>
      </c>
      <c r="G381" s="23">
        <v>406.24799999999999</v>
      </c>
      <c r="H381" s="23">
        <v>423.81299999999999</v>
      </c>
      <c r="I381" s="23">
        <v>286.60399999999998</v>
      </c>
      <c r="J381" s="23">
        <v>267.18799999999999</v>
      </c>
      <c r="K381" s="23">
        <v>257.15800000000002</v>
      </c>
      <c r="L381">
        <v>3.4089999999999998</v>
      </c>
      <c r="M381">
        <v>3.66</v>
      </c>
      <c r="N381">
        <v>3.9569999999999999</v>
      </c>
    </row>
    <row r="382" spans="1:31" x14ac:dyDescent="0.25">
      <c r="C382">
        <v>21.462</v>
      </c>
      <c r="D382" s="23">
        <v>287.392</v>
      </c>
      <c r="E382" s="23">
        <v>295.35300000000001</v>
      </c>
      <c r="F382" s="23">
        <v>322.66000000000003</v>
      </c>
      <c r="G382" s="23">
        <v>371.37799999999999</v>
      </c>
      <c r="H382" s="23">
        <v>404.517</v>
      </c>
      <c r="I382" s="23">
        <v>295.68200000000002</v>
      </c>
      <c r="J382" s="23">
        <v>255.64099999999999</v>
      </c>
      <c r="K382">
        <v>3.5489999999999999</v>
      </c>
      <c r="L382">
        <v>3.6520000000000001</v>
      </c>
      <c r="M382">
        <v>3.6150000000000002</v>
      </c>
      <c r="N382">
        <v>3.722</v>
      </c>
    </row>
    <row r="383" spans="1:31" x14ac:dyDescent="0.25">
      <c r="C383">
        <v>19.033999999999999</v>
      </c>
      <c r="D383" s="23">
        <v>330.738</v>
      </c>
      <c r="E383" s="23">
        <v>358.84199999999998</v>
      </c>
      <c r="F383" s="23">
        <v>306.33100000000002</v>
      </c>
      <c r="G383" s="23">
        <v>340.798</v>
      </c>
      <c r="H383" s="23">
        <v>401.49799999999999</v>
      </c>
      <c r="I383" s="23">
        <v>286.36399999999998</v>
      </c>
      <c r="J383">
        <v>3.8149999999999999</v>
      </c>
      <c r="K383">
        <v>3.6429999999999998</v>
      </c>
      <c r="L383">
        <v>3.903</v>
      </c>
      <c r="M383">
        <v>3.7589999999999999</v>
      </c>
      <c r="N383">
        <v>3.762</v>
      </c>
    </row>
    <row r="384" spans="1:31" x14ac:dyDescent="0.25">
      <c r="C384">
        <v>25.131</v>
      </c>
      <c r="D384" s="23">
        <v>340.15300000000002</v>
      </c>
      <c r="E384" s="23">
        <v>354.37400000000002</v>
      </c>
      <c r="F384" s="23">
        <v>288.58699999999999</v>
      </c>
      <c r="G384" s="23">
        <v>333.21</v>
      </c>
      <c r="H384" s="23">
        <v>340.57</v>
      </c>
      <c r="I384" s="23">
        <v>259.99799999999999</v>
      </c>
      <c r="J384" s="23">
        <v>203.20599999999999</v>
      </c>
      <c r="K384">
        <v>4.2699999999999996</v>
      </c>
      <c r="L384">
        <v>3.786</v>
      </c>
      <c r="M384">
        <v>4.1020000000000003</v>
      </c>
      <c r="N384">
        <v>4.0819999999999999</v>
      </c>
    </row>
    <row r="385" spans="1:21" x14ac:dyDescent="0.25">
      <c r="C385">
        <v>24.274000000000001</v>
      </c>
      <c r="D385" s="23">
        <v>313.96199999999999</v>
      </c>
      <c r="E385" s="23">
        <v>378.59100000000001</v>
      </c>
      <c r="F385" s="23">
        <v>314.17599999999999</v>
      </c>
      <c r="G385" s="23">
        <v>319.04399999999998</v>
      </c>
      <c r="H385" s="23">
        <v>353.76</v>
      </c>
      <c r="I385" s="23">
        <v>271.08</v>
      </c>
      <c r="J385" s="23">
        <v>225.61600000000001</v>
      </c>
      <c r="K385" s="23">
        <v>250.934</v>
      </c>
      <c r="L385">
        <v>4.0309999999999997</v>
      </c>
      <c r="M385">
        <v>4.0330000000000004</v>
      </c>
      <c r="N385">
        <v>3.6589999999999998</v>
      </c>
    </row>
    <row r="386" spans="1:21" x14ac:dyDescent="0.25">
      <c r="C386">
        <v>27.204000000000001</v>
      </c>
      <c r="D386" s="23">
        <v>312.08499999999998</v>
      </c>
      <c r="E386" s="23">
        <v>365.64</v>
      </c>
      <c r="F386" s="23">
        <v>306.89800000000002</v>
      </c>
      <c r="G386" s="23">
        <v>331.62700000000001</v>
      </c>
      <c r="H386" s="23">
        <v>382.52100000000002</v>
      </c>
      <c r="I386" s="23">
        <v>311.78100000000001</v>
      </c>
      <c r="J386">
        <v>3.782</v>
      </c>
      <c r="K386">
        <v>4.3140000000000001</v>
      </c>
      <c r="L386">
        <v>3.714</v>
      </c>
      <c r="M386">
        <v>4.2679999999999998</v>
      </c>
      <c r="N386">
        <v>4.367</v>
      </c>
    </row>
    <row r="387" spans="1:21" x14ac:dyDescent="0.25">
      <c r="C387">
        <v>27.094000000000001</v>
      </c>
      <c r="D387" s="23">
        <v>298.84399999999999</v>
      </c>
      <c r="E387" s="23">
        <v>376.97899999999998</v>
      </c>
      <c r="F387" s="23">
        <v>319.31299999999999</v>
      </c>
      <c r="G387" s="23">
        <v>337.98500000000001</v>
      </c>
      <c r="H387" s="23">
        <v>403.39400000000001</v>
      </c>
      <c r="I387" s="23">
        <v>278.08199999999999</v>
      </c>
      <c r="J387" s="23">
        <v>248.09</v>
      </c>
      <c r="K387">
        <v>3.4740000000000002</v>
      </c>
      <c r="L387">
        <v>3.77</v>
      </c>
      <c r="M387">
        <v>4.1550000000000002</v>
      </c>
      <c r="N387">
        <v>4.0229999999999997</v>
      </c>
    </row>
    <row r="388" spans="1:21" x14ac:dyDescent="0.25">
      <c r="C388">
        <v>21.509</v>
      </c>
      <c r="D388" s="23">
        <v>463.70699999999999</v>
      </c>
      <c r="E388" s="23">
        <v>391.245</v>
      </c>
      <c r="F388" s="23">
        <v>358.95400000000001</v>
      </c>
      <c r="G388" s="23">
        <v>327.30399999999997</v>
      </c>
      <c r="H388" s="23">
        <v>423.98399999999998</v>
      </c>
      <c r="I388" s="23">
        <v>396.66800000000001</v>
      </c>
      <c r="J388" s="23">
        <v>352.24299999999999</v>
      </c>
      <c r="K388">
        <v>3.4820000000000002</v>
      </c>
      <c r="L388">
        <v>3.6040000000000001</v>
      </c>
      <c r="M388">
        <v>3.903</v>
      </c>
      <c r="N388">
        <v>4.319</v>
      </c>
    </row>
    <row r="390" spans="1:21" x14ac:dyDescent="0.25">
      <c r="A390" t="s">
        <v>146</v>
      </c>
      <c r="B390" t="s">
        <v>169</v>
      </c>
    </row>
    <row r="391" spans="1:21" x14ac:dyDescent="0.25">
      <c r="A391" t="s">
        <v>139</v>
      </c>
      <c r="B391" t="s">
        <v>151</v>
      </c>
      <c r="C391">
        <v>1.3</v>
      </c>
      <c r="D391" t="s">
        <v>141</v>
      </c>
      <c r="E391" t="s">
        <v>142</v>
      </c>
      <c r="F391" t="s">
        <v>143</v>
      </c>
      <c r="G391" t="s">
        <v>144</v>
      </c>
      <c r="H391" t="b">
        <v>0</v>
      </c>
      <c r="I391">
        <v>1</v>
      </c>
      <c r="O391">
        <v>1</v>
      </c>
      <c r="P391">
        <v>620</v>
      </c>
      <c r="Q391">
        <v>1</v>
      </c>
      <c r="R391">
        <v>12</v>
      </c>
      <c r="S391">
        <v>96</v>
      </c>
      <c r="T391">
        <v>1</v>
      </c>
      <c r="U391">
        <v>8</v>
      </c>
    </row>
    <row r="392" spans="1:21" x14ac:dyDescent="0.25">
      <c r="B392" t="s">
        <v>145</v>
      </c>
      <c r="C392">
        <v>1</v>
      </c>
      <c r="D392">
        <v>2</v>
      </c>
      <c r="E392">
        <v>3</v>
      </c>
      <c r="F392">
        <v>4</v>
      </c>
      <c r="G392">
        <v>5</v>
      </c>
      <c r="H392">
        <v>6</v>
      </c>
      <c r="I392">
        <v>7</v>
      </c>
      <c r="J392">
        <v>8</v>
      </c>
      <c r="K392">
        <v>9</v>
      </c>
      <c r="L392">
        <v>10</v>
      </c>
      <c r="M392">
        <v>11</v>
      </c>
      <c r="N392">
        <v>12</v>
      </c>
    </row>
    <row r="393" spans="1:21" x14ac:dyDescent="0.25">
      <c r="B393">
        <v>25</v>
      </c>
      <c r="C393">
        <v>1.7977000000000001</v>
      </c>
      <c r="D393">
        <v>1.2854000000000001</v>
      </c>
      <c r="E393">
        <v>1.0483</v>
      </c>
      <c r="F393">
        <v>1.0437000000000001</v>
      </c>
      <c r="G393">
        <v>0.82010000000000005</v>
      </c>
      <c r="H393">
        <v>1.1203000000000001</v>
      </c>
      <c r="I393">
        <v>0.85050000000000003</v>
      </c>
      <c r="J393">
        <v>0.71809999999999996</v>
      </c>
      <c r="K393">
        <v>5.2299999999999999E-2</v>
      </c>
      <c r="L393">
        <v>5.1999999999999998E-2</v>
      </c>
      <c r="M393">
        <v>5.2200000000000003E-2</v>
      </c>
      <c r="N393">
        <v>5.2400000000000002E-2</v>
      </c>
    </row>
    <row r="394" spans="1:21" x14ac:dyDescent="0.25">
      <c r="C394">
        <v>2.0602999999999998</v>
      </c>
      <c r="D394">
        <v>1.8230999999999999</v>
      </c>
      <c r="E394">
        <v>1.3996999999999999</v>
      </c>
      <c r="F394">
        <v>1.2522</v>
      </c>
      <c r="G394">
        <v>1.1256999999999999</v>
      </c>
      <c r="H394">
        <v>1.2206999999999999</v>
      </c>
      <c r="I394">
        <v>1.2341</v>
      </c>
      <c r="J394">
        <v>0.98299999999999998</v>
      </c>
      <c r="K394">
        <v>5.1900000000000002E-2</v>
      </c>
      <c r="L394">
        <v>5.1700000000000003E-2</v>
      </c>
      <c r="M394">
        <v>5.2299999999999999E-2</v>
      </c>
      <c r="N394">
        <v>5.2600000000000001E-2</v>
      </c>
    </row>
    <row r="395" spans="1:21" x14ac:dyDescent="0.25">
      <c r="C395">
        <v>2.0749</v>
      </c>
      <c r="D395">
        <v>2.2296999999999998</v>
      </c>
      <c r="E395">
        <v>1.4416</v>
      </c>
      <c r="F395">
        <v>1.2363</v>
      </c>
      <c r="G395">
        <v>1.1228</v>
      </c>
      <c r="H395">
        <v>1.4224000000000001</v>
      </c>
      <c r="I395">
        <v>0.94769999999999999</v>
      </c>
      <c r="J395">
        <v>0.88190000000000002</v>
      </c>
      <c r="K395">
        <v>5.1499999999999997E-2</v>
      </c>
      <c r="L395">
        <v>5.2299999999999999E-2</v>
      </c>
      <c r="M395">
        <v>0.98870000000000002</v>
      </c>
      <c r="N395">
        <v>5.2900000000000003E-2</v>
      </c>
    </row>
    <row r="396" spans="1:21" x14ac:dyDescent="0.25">
      <c r="C396">
        <v>1.7715000000000001</v>
      </c>
      <c r="D396">
        <v>2.363</v>
      </c>
      <c r="E396">
        <v>1.4349000000000001</v>
      </c>
      <c r="F396">
        <v>1.2433000000000001</v>
      </c>
      <c r="G396">
        <v>1.1620999999999999</v>
      </c>
      <c r="H396">
        <v>1.3298000000000001</v>
      </c>
      <c r="I396">
        <v>1.0927</v>
      </c>
      <c r="J396">
        <v>1.2427999999999999</v>
      </c>
      <c r="K396">
        <v>5.1900000000000002E-2</v>
      </c>
      <c r="L396">
        <v>5.28E-2</v>
      </c>
      <c r="M396">
        <v>5.1900000000000002E-2</v>
      </c>
      <c r="N396">
        <v>5.3100000000000001E-2</v>
      </c>
    </row>
    <row r="397" spans="1:21" x14ac:dyDescent="0.25">
      <c r="C397">
        <v>1.8969</v>
      </c>
      <c r="D397">
        <v>2.1896</v>
      </c>
      <c r="E397">
        <v>1.3949</v>
      </c>
      <c r="F397">
        <v>1.2102999999999999</v>
      </c>
      <c r="G397">
        <v>1.1537999999999999</v>
      </c>
      <c r="H397">
        <v>1.2947</v>
      </c>
      <c r="I397">
        <v>1.2059</v>
      </c>
      <c r="J397">
        <v>0.86140000000000005</v>
      </c>
      <c r="K397">
        <v>5.2900000000000003E-2</v>
      </c>
      <c r="L397">
        <v>5.6000000000000001E-2</v>
      </c>
      <c r="M397">
        <v>5.16E-2</v>
      </c>
      <c r="N397">
        <v>5.28E-2</v>
      </c>
    </row>
    <row r="398" spans="1:21" x14ac:dyDescent="0.25">
      <c r="C398">
        <v>2.3189000000000002</v>
      </c>
      <c r="D398">
        <v>2.1966000000000001</v>
      </c>
      <c r="E398">
        <v>1.4158999999999999</v>
      </c>
      <c r="F398">
        <v>1.2214</v>
      </c>
      <c r="G398">
        <v>1.1742999999999999</v>
      </c>
      <c r="H398">
        <v>1.3761000000000001</v>
      </c>
      <c r="I398">
        <v>1.2243999999999999</v>
      </c>
      <c r="J398">
        <v>0.76790000000000003</v>
      </c>
      <c r="K398">
        <v>5.2600000000000001E-2</v>
      </c>
      <c r="L398">
        <v>5.4800000000000001E-2</v>
      </c>
      <c r="M398">
        <v>5.1799999999999999E-2</v>
      </c>
      <c r="N398">
        <v>5.3800000000000001E-2</v>
      </c>
    </row>
    <row r="399" spans="1:21" x14ac:dyDescent="0.25">
      <c r="C399">
        <v>2.4510000000000001</v>
      </c>
      <c r="D399">
        <v>2.1406000000000001</v>
      </c>
      <c r="E399">
        <v>1.3857999999999999</v>
      </c>
      <c r="F399">
        <v>1.1974</v>
      </c>
      <c r="G399">
        <v>1.226</v>
      </c>
      <c r="H399">
        <v>1.3547</v>
      </c>
      <c r="I399">
        <v>1.1859</v>
      </c>
      <c r="J399">
        <v>0.68730000000000002</v>
      </c>
      <c r="K399">
        <v>5.2699999999999997E-2</v>
      </c>
      <c r="L399">
        <v>5.21E-2</v>
      </c>
      <c r="M399">
        <v>5.2400000000000002E-2</v>
      </c>
      <c r="N399">
        <v>5.2299999999999999E-2</v>
      </c>
    </row>
    <row r="400" spans="1:21" x14ac:dyDescent="0.25">
      <c r="C400">
        <v>2.3405</v>
      </c>
      <c r="D400">
        <v>1.8721000000000001</v>
      </c>
      <c r="E400">
        <v>1.0548999999999999</v>
      </c>
      <c r="F400">
        <v>0.97889999999999999</v>
      </c>
      <c r="G400">
        <v>1.0267999999999999</v>
      </c>
      <c r="H400">
        <v>1.2073</v>
      </c>
      <c r="I400">
        <v>1.1375</v>
      </c>
      <c r="J400">
        <v>0.87670000000000003</v>
      </c>
      <c r="K400">
        <v>5.2200000000000003E-2</v>
      </c>
      <c r="L400">
        <v>5.2299999999999999E-2</v>
      </c>
      <c r="M400">
        <v>5.3199999999999997E-2</v>
      </c>
      <c r="N400">
        <v>5.28E-2</v>
      </c>
    </row>
    <row r="402" spans="1:31" x14ac:dyDescent="0.25">
      <c r="A402" t="s">
        <v>146</v>
      </c>
      <c r="B402" t="s">
        <v>169</v>
      </c>
    </row>
    <row r="403" spans="1:31" x14ac:dyDescent="0.25">
      <c r="A403" t="s">
        <v>139</v>
      </c>
      <c r="B403" t="s">
        <v>152</v>
      </c>
      <c r="C403">
        <v>1.3</v>
      </c>
      <c r="D403">
        <v>-1</v>
      </c>
      <c r="E403">
        <v>-2</v>
      </c>
      <c r="F403">
        <v>-3</v>
      </c>
      <c r="G403">
        <v>-4</v>
      </c>
      <c r="H403">
        <v>-5</v>
      </c>
      <c r="I403">
        <v>-6</v>
      </c>
      <c r="J403">
        <v>-7</v>
      </c>
      <c r="K403">
        <v>-8</v>
      </c>
      <c r="L403">
        <v>-9</v>
      </c>
      <c r="M403">
        <v>-10</v>
      </c>
      <c r="N403">
        <v>-11</v>
      </c>
      <c r="P403">
        <v>1</v>
      </c>
      <c r="Q403">
        <v>620</v>
      </c>
      <c r="R403">
        <v>1</v>
      </c>
      <c r="S403">
        <v>12</v>
      </c>
      <c r="T403">
        <v>96</v>
      </c>
      <c r="U403">
        <v>571</v>
      </c>
      <c r="V403" t="s">
        <v>149</v>
      </c>
      <c r="W403">
        <v>610</v>
      </c>
      <c r="Z403">
        <v>6</v>
      </c>
      <c r="AD403">
        <v>1</v>
      </c>
      <c r="AE403">
        <v>8</v>
      </c>
    </row>
    <row r="404" spans="1:31" x14ac:dyDescent="0.25">
      <c r="B404" t="s">
        <v>145</v>
      </c>
      <c r="C404">
        <v>1</v>
      </c>
      <c r="D404">
        <v>2</v>
      </c>
      <c r="E404">
        <v>3</v>
      </c>
      <c r="F404">
        <v>4</v>
      </c>
      <c r="G404">
        <v>5</v>
      </c>
      <c r="H404">
        <v>6</v>
      </c>
      <c r="I404">
        <v>7</v>
      </c>
      <c r="J404">
        <v>8</v>
      </c>
      <c r="K404">
        <v>9</v>
      </c>
      <c r="L404">
        <v>10</v>
      </c>
      <c r="M404">
        <v>11</v>
      </c>
      <c r="N404">
        <v>12</v>
      </c>
    </row>
    <row r="405" spans="1:31" x14ac:dyDescent="0.25">
      <c r="B405">
        <v>24.9</v>
      </c>
      <c r="C405">
        <v>22.411999999999999</v>
      </c>
      <c r="D405" s="23">
        <v>513.58500000000004</v>
      </c>
      <c r="E405" s="23">
        <v>473.51799999999997</v>
      </c>
      <c r="F405" s="23">
        <v>427.70600000000002</v>
      </c>
      <c r="G405" s="23">
        <v>360.74900000000002</v>
      </c>
      <c r="H405" s="23">
        <v>462.72300000000001</v>
      </c>
      <c r="I405" s="23">
        <v>343.76799999999997</v>
      </c>
      <c r="J405" s="23">
        <v>325.16500000000002</v>
      </c>
      <c r="K405">
        <v>4.2969999999999997</v>
      </c>
      <c r="L405">
        <v>3.915</v>
      </c>
      <c r="M405">
        <v>3.6080000000000001</v>
      </c>
      <c r="N405">
        <v>3.6840000000000002</v>
      </c>
    </row>
    <row r="406" spans="1:31" x14ac:dyDescent="0.25">
      <c r="C406">
        <v>21.585000000000001</v>
      </c>
      <c r="D406" s="23">
        <v>380.416</v>
      </c>
      <c r="E406" s="23">
        <v>416.27300000000002</v>
      </c>
      <c r="F406" s="23">
        <v>365.512</v>
      </c>
      <c r="G406" s="23">
        <v>379.34699999999998</v>
      </c>
      <c r="H406" s="23">
        <v>390.26900000000001</v>
      </c>
      <c r="I406" s="23">
        <v>399.69900000000001</v>
      </c>
      <c r="J406" s="23">
        <v>316.49799999999999</v>
      </c>
      <c r="K406">
        <v>4.2240000000000002</v>
      </c>
      <c r="L406">
        <v>3.855</v>
      </c>
      <c r="M406">
        <v>4.4210000000000003</v>
      </c>
      <c r="N406">
        <v>3.7429999999999999</v>
      </c>
    </row>
    <row r="407" spans="1:31" x14ac:dyDescent="0.25">
      <c r="C407">
        <v>19.454000000000001</v>
      </c>
      <c r="D407" s="23">
        <v>507.108</v>
      </c>
      <c r="E407" s="23">
        <v>392.72699999999998</v>
      </c>
      <c r="F407" s="23">
        <v>346.86099999999999</v>
      </c>
      <c r="G407" s="23">
        <v>356.30900000000003</v>
      </c>
      <c r="H407" s="23">
        <v>486.61</v>
      </c>
      <c r="I407" s="23">
        <v>337.45400000000001</v>
      </c>
      <c r="J407" s="23">
        <v>292.49700000000001</v>
      </c>
      <c r="K407">
        <v>4.4619999999999997</v>
      </c>
      <c r="L407">
        <v>4.258</v>
      </c>
      <c r="M407" s="9">
        <v>350.42200000000003</v>
      </c>
      <c r="N407">
        <v>4.2309999999999999</v>
      </c>
    </row>
    <row r="408" spans="1:31" x14ac:dyDescent="0.25">
      <c r="C408">
        <v>20.236000000000001</v>
      </c>
      <c r="D408" s="23">
        <v>503.89400000000001</v>
      </c>
      <c r="E408" s="23">
        <v>383.76</v>
      </c>
      <c r="F408" s="23">
        <v>337.18799999999999</v>
      </c>
      <c r="G408" s="23">
        <v>387.83600000000001</v>
      </c>
      <c r="H408" s="23">
        <v>433.50900000000001</v>
      </c>
      <c r="I408" s="23">
        <v>339.93700000000001</v>
      </c>
      <c r="J408" s="23">
        <v>368.96300000000002</v>
      </c>
      <c r="K408">
        <v>3.8540000000000001</v>
      </c>
      <c r="L408">
        <v>4.5819999999999999</v>
      </c>
      <c r="M408">
        <v>3.6829999999999998</v>
      </c>
      <c r="N408">
        <v>3.5609999999999999</v>
      </c>
    </row>
    <row r="409" spans="1:31" x14ac:dyDescent="0.25">
      <c r="C409">
        <v>21.198</v>
      </c>
      <c r="D409" s="23">
        <v>501.76</v>
      </c>
      <c r="E409" s="23">
        <v>372.77199999999999</v>
      </c>
      <c r="F409" s="23">
        <v>334.99200000000002</v>
      </c>
      <c r="G409" s="23">
        <v>368.63400000000001</v>
      </c>
      <c r="H409" s="23">
        <v>387.18200000000002</v>
      </c>
      <c r="I409" s="23">
        <v>372.02699999999999</v>
      </c>
      <c r="J409" s="23">
        <v>297.75</v>
      </c>
      <c r="K409">
        <v>4.4269999999999996</v>
      </c>
      <c r="L409">
        <v>4.1420000000000003</v>
      </c>
      <c r="M409">
        <v>3.8969999999999998</v>
      </c>
      <c r="N409">
        <v>4.202</v>
      </c>
    </row>
    <row r="410" spans="1:31" x14ac:dyDescent="0.25">
      <c r="C410">
        <v>19.831</v>
      </c>
      <c r="D410" s="23">
        <v>489.73399999999998</v>
      </c>
      <c r="E410" s="23">
        <v>368.50299999999999</v>
      </c>
      <c r="F410" s="23">
        <v>336.70100000000002</v>
      </c>
      <c r="G410" s="23">
        <v>374.66800000000001</v>
      </c>
      <c r="H410" s="23">
        <v>441.83300000000003</v>
      </c>
      <c r="I410" s="23">
        <v>388.46800000000002</v>
      </c>
      <c r="J410" s="23">
        <v>277.27800000000002</v>
      </c>
      <c r="K410">
        <v>4.2380000000000004</v>
      </c>
      <c r="L410">
        <v>4.2750000000000004</v>
      </c>
      <c r="M410">
        <v>3.7480000000000002</v>
      </c>
      <c r="N410">
        <v>4.6420000000000003</v>
      </c>
    </row>
    <row r="411" spans="1:31" x14ac:dyDescent="0.25">
      <c r="C411">
        <v>22.21</v>
      </c>
      <c r="D411" s="23">
        <v>497.69099999999997</v>
      </c>
      <c r="E411" s="23">
        <v>398.97899999999998</v>
      </c>
      <c r="F411" s="23">
        <v>342.92399999999998</v>
      </c>
      <c r="G411" s="23">
        <v>386.673</v>
      </c>
      <c r="H411" s="23">
        <v>430.89600000000002</v>
      </c>
      <c r="I411" s="23">
        <v>390.05500000000001</v>
      </c>
      <c r="J411" s="23">
        <v>262.721</v>
      </c>
      <c r="K411">
        <v>4.0199999999999996</v>
      </c>
      <c r="L411">
        <v>3.601</v>
      </c>
      <c r="M411">
        <v>3.6219999999999999</v>
      </c>
      <c r="N411">
        <v>4.0739999999999998</v>
      </c>
    </row>
    <row r="412" spans="1:31" x14ac:dyDescent="0.25">
      <c r="C412">
        <v>25.853000000000002</v>
      </c>
      <c r="D412" s="23">
        <v>758.96199999999999</v>
      </c>
      <c r="E412" s="23">
        <v>465.892</v>
      </c>
      <c r="F412" s="23">
        <v>388.43700000000001</v>
      </c>
      <c r="G412" s="23">
        <v>399.66500000000002</v>
      </c>
      <c r="H412" s="23">
        <v>483.59100000000001</v>
      </c>
      <c r="I412" s="23">
        <v>479.32799999999997</v>
      </c>
      <c r="J412" s="23">
        <v>369.779</v>
      </c>
      <c r="K412">
        <v>4.5620000000000003</v>
      </c>
      <c r="L412">
        <v>3.7869999999999999</v>
      </c>
      <c r="M412">
        <v>3.5670000000000002</v>
      </c>
      <c r="N412">
        <v>3.2210000000000001</v>
      </c>
    </row>
    <row r="414" spans="1:31" x14ac:dyDescent="0.25">
      <c r="A414" t="s">
        <v>146</v>
      </c>
      <c r="B414" t="s">
        <v>170</v>
      </c>
    </row>
    <row r="415" spans="1:31" x14ac:dyDescent="0.25">
      <c r="A415" t="s">
        <v>139</v>
      </c>
      <c r="B415" t="s">
        <v>154</v>
      </c>
      <c r="C415">
        <v>1.3</v>
      </c>
      <c r="D415" t="s">
        <v>141</v>
      </c>
      <c r="E415" t="s">
        <v>142</v>
      </c>
      <c r="F415" t="s">
        <v>143</v>
      </c>
      <c r="G415" t="s">
        <v>144</v>
      </c>
      <c r="H415" t="b">
        <v>0</v>
      </c>
      <c r="I415">
        <v>1</v>
      </c>
      <c r="O415">
        <v>1</v>
      </c>
      <c r="P415">
        <v>620</v>
      </c>
      <c r="Q415">
        <v>1</v>
      </c>
      <c r="R415">
        <v>12</v>
      </c>
      <c r="S415">
        <v>96</v>
      </c>
      <c r="T415">
        <v>1</v>
      </c>
      <c r="U415">
        <v>8</v>
      </c>
    </row>
    <row r="416" spans="1:31" x14ac:dyDescent="0.25">
      <c r="B416" t="s">
        <v>145</v>
      </c>
      <c r="C416">
        <v>1</v>
      </c>
      <c r="D416">
        <v>2</v>
      </c>
      <c r="E416">
        <v>3</v>
      </c>
      <c r="F416">
        <v>4</v>
      </c>
      <c r="G416">
        <v>5</v>
      </c>
      <c r="H416">
        <v>6</v>
      </c>
      <c r="I416">
        <v>7</v>
      </c>
      <c r="J416">
        <v>8</v>
      </c>
      <c r="K416">
        <v>9</v>
      </c>
      <c r="L416">
        <v>10</v>
      </c>
      <c r="M416">
        <v>11</v>
      </c>
      <c r="N416">
        <v>12</v>
      </c>
    </row>
    <row r="417" spans="1:31" x14ac:dyDescent="0.25">
      <c r="B417">
        <v>25</v>
      </c>
      <c r="C417">
        <v>1.9198</v>
      </c>
      <c r="D417">
        <v>2.0668000000000002</v>
      </c>
      <c r="E417">
        <v>1.181</v>
      </c>
      <c r="F417">
        <v>0.98419999999999996</v>
      </c>
      <c r="G417">
        <v>0.68840000000000001</v>
      </c>
      <c r="H417">
        <v>0.92449999999999999</v>
      </c>
      <c r="I417">
        <v>0.94550000000000001</v>
      </c>
      <c r="J417">
        <v>1.0927</v>
      </c>
      <c r="K417">
        <v>5.3199999999999997E-2</v>
      </c>
      <c r="L417">
        <v>5.6599999999999998E-2</v>
      </c>
      <c r="M417">
        <v>5.5300000000000002E-2</v>
      </c>
      <c r="N417">
        <v>5.3499999999999999E-2</v>
      </c>
    </row>
    <row r="418" spans="1:31" x14ac:dyDescent="0.25">
      <c r="C418">
        <v>1.7504</v>
      </c>
      <c r="D418">
        <v>2.1579999999999999</v>
      </c>
      <c r="E418">
        <v>1.4423999999999999</v>
      </c>
      <c r="F418">
        <v>1.3210999999999999</v>
      </c>
      <c r="G418">
        <v>1.1937</v>
      </c>
      <c r="H418">
        <v>1.3607</v>
      </c>
      <c r="I418">
        <v>1.2009000000000001</v>
      </c>
      <c r="J418">
        <v>5.2400000000000002E-2</v>
      </c>
      <c r="K418">
        <v>0.67810000000000004</v>
      </c>
      <c r="L418">
        <v>5.1700000000000003E-2</v>
      </c>
      <c r="M418">
        <v>5.2200000000000003E-2</v>
      </c>
      <c r="N418">
        <v>5.4399999999999997E-2</v>
      </c>
    </row>
    <row r="419" spans="1:31" x14ac:dyDescent="0.25">
      <c r="C419">
        <v>1.9071</v>
      </c>
      <c r="D419">
        <v>2.1042000000000001</v>
      </c>
      <c r="E419">
        <v>1.4501999999999999</v>
      </c>
      <c r="F419">
        <v>1.2950999999999999</v>
      </c>
      <c r="G419">
        <v>1.1822999999999999</v>
      </c>
      <c r="H419">
        <v>1.3712</v>
      </c>
      <c r="I419">
        <v>1.2493000000000001</v>
      </c>
      <c r="J419">
        <v>1.306</v>
      </c>
      <c r="K419">
        <v>5.1299999999999998E-2</v>
      </c>
      <c r="L419">
        <v>5.33E-2</v>
      </c>
      <c r="M419">
        <v>5.1999999999999998E-2</v>
      </c>
      <c r="N419">
        <v>5.2200000000000003E-2</v>
      </c>
    </row>
    <row r="420" spans="1:31" x14ac:dyDescent="0.25">
      <c r="C420">
        <v>2.0548999999999999</v>
      </c>
      <c r="D420">
        <v>2.1585000000000001</v>
      </c>
      <c r="E420">
        <v>1.4027000000000001</v>
      </c>
      <c r="F420">
        <v>1.3091999999999999</v>
      </c>
      <c r="G420">
        <v>1.1707000000000001</v>
      </c>
      <c r="H420">
        <v>1.4824999999999999</v>
      </c>
      <c r="I420">
        <v>1.3317000000000001</v>
      </c>
      <c r="J420">
        <v>1.0342</v>
      </c>
      <c r="K420">
        <v>5.16E-2</v>
      </c>
      <c r="L420">
        <v>5.28E-2</v>
      </c>
      <c r="M420">
        <v>5.3100000000000001E-2</v>
      </c>
      <c r="N420">
        <v>5.3600000000000002E-2</v>
      </c>
    </row>
    <row r="421" spans="1:31" x14ac:dyDescent="0.25">
      <c r="C421">
        <v>2.0085999999999999</v>
      </c>
      <c r="D421">
        <v>2.355</v>
      </c>
      <c r="E421">
        <v>1.4327000000000001</v>
      </c>
      <c r="F421">
        <v>1.359</v>
      </c>
      <c r="G421">
        <v>1.2039</v>
      </c>
      <c r="H421">
        <v>1.4448000000000001</v>
      </c>
      <c r="I421">
        <v>1.3221000000000001</v>
      </c>
      <c r="J421">
        <v>1.2664</v>
      </c>
      <c r="K421">
        <v>1.1319999999999999</v>
      </c>
      <c r="L421">
        <v>5.1999999999999998E-2</v>
      </c>
      <c r="M421">
        <v>5.2499999999999998E-2</v>
      </c>
      <c r="N421">
        <v>5.3100000000000001E-2</v>
      </c>
    </row>
    <row r="422" spans="1:31" x14ac:dyDescent="0.25">
      <c r="C422">
        <v>2.0327999999999999</v>
      </c>
      <c r="D422">
        <v>2.5838000000000001</v>
      </c>
      <c r="E422">
        <v>1.4198999999999999</v>
      </c>
      <c r="F422">
        <v>1.3369</v>
      </c>
      <c r="G422">
        <v>1.2062999999999999</v>
      </c>
      <c r="H422">
        <v>1.3258000000000001</v>
      </c>
      <c r="I422">
        <v>1.4059999999999999</v>
      </c>
      <c r="J422">
        <v>1.2330000000000001</v>
      </c>
      <c r="K422">
        <v>1.2694000000000001</v>
      </c>
      <c r="L422">
        <v>5.2200000000000003E-2</v>
      </c>
      <c r="M422">
        <v>5.3600000000000002E-2</v>
      </c>
      <c r="N422">
        <v>5.28E-2</v>
      </c>
    </row>
    <row r="423" spans="1:31" x14ac:dyDescent="0.25">
      <c r="C423">
        <v>2.4763999999999999</v>
      </c>
      <c r="D423">
        <v>2.5659000000000001</v>
      </c>
      <c r="E423">
        <v>1.4258999999999999</v>
      </c>
      <c r="F423">
        <v>1.1335</v>
      </c>
      <c r="G423">
        <v>1.2285999999999999</v>
      </c>
      <c r="H423">
        <v>1.5314000000000001</v>
      </c>
      <c r="I423">
        <v>1.1537999999999999</v>
      </c>
      <c r="J423">
        <v>1.3340000000000001</v>
      </c>
      <c r="K423">
        <v>5.2999999999999999E-2</v>
      </c>
      <c r="L423">
        <v>5.33E-2</v>
      </c>
      <c r="M423">
        <v>5.3999999999999999E-2</v>
      </c>
      <c r="N423">
        <v>5.2400000000000002E-2</v>
      </c>
    </row>
    <row r="424" spans="1:31" x14ac:dyDescent="0.25">
      <c r="C424">
        <v>2.9864000000000002</v>
      </c>
      <c r="D424">
        <v>2.1335999999999999</v>
      </c>
      <c r="E424">
        <v>1.1563000000000001</v>
      </c>
      <c r="F424">
        <v>0.36320000000000002</v>
      </c>
      <c r="G424">
        <v>4.9399999999999999E-2</v>
      </c>
      <c r="H424">
        <v>6.1100000000000002E-2</v>
      </c>
      <c r="I424">
        <v>5.3900000000000003E-2</v>
      </c>
      <c r="J424">
        <v>0.53310000000000002</v>
      </c>
      <c r="K424">
        <v>0.3337</v>
      </c>
      <c r="L424">
        <v>5.3800000000000001E-2</v>
      </c>
      <c r="M424">
        <v>5.7500000000000002E-2</v>
      </c>
      <c r="N424">
        <v>5.3800000000000001E-2</v>
      </c>
    </row>
    <row r="426" spans="1:31" x14ac:dyDescent="0.25">
      <c r="A426" t="s">
        <v>146</v>
      </c>
      <c r="B426" t="s">
        <v>170</v>
      </c>
    </row>
    <row r="427" spans="1:31" x14ac:dyDescent="0.25">
      <c r="A427" t="s">
        <v>139</v>
      </c>
      <c r="B427" t="s">
        <v>155</v>
      </c>
      <c r="C427">
        <v>1.3</v>
      </c>
      <c r="D427">
        <v>-1</v>
      </c>
      <c r="E427">
        <v>-2</v>
      </c>
      <c r="F427">
        <v>-3</v>
      </c>
      <c r="G427">
        <v>-4</v>
      </c>
      <c r="H427">
        <v>-5</v>
      </c>
      <c r="I427">
        <v>-6</v>
      </c>
      <c r="J427">
        <v>-7</v>
      </c>
      <c r="K427">
        <v>-8</v>
      </c>
      <c r="L427">
        <v>-9</v>
      </c>
      <c r="M427">
        <v>-10</v>
      </c>
      <c r="N427">
        <v>-11</v>
      </c>
      <c r="P427">
        <v>1</v>
      </c>
      <c r="Q427">
        <v>620</v>
      </c>
      <c r="R427">
        <v>1</v>
      </c>
      <c r="S427">
        <v>12</v>
      </c>
      <c r="T427">
        <v>96</v>
      </c>
      <c r="U427">
        <v>571</v>
      </c>
      <c r="V427" t="s">
        <v>149</v>
      </c>
      <c r="W427">
        <v>610</v>
      </c>
      <c r="Z427">
        <v>6</v>
      </c>
      <c r="AD427">
        <v>1</v>
      </c>
      <c r="AE427">
        <v>8</v>
      </c>
    </row>
    <row r="428" spans="1:31" x14ac:dyDescent="0.25">
      <c r="B428" t="s">
        <v>145</v>
      </c>
      <c r="C428">
        <v>1</v>
      </c>
      <c r="D428">
        <v>2</v>
      </c>
      <c r="E428">
        <v>3</v>
      </c>
      <c r="F428">
        <v>4</v>
      </c>
      <c r="G428">
        <v>5</v>
      </c>
      <c r="H428">
        <v>6</v>
      </c>
      <c r="I428">
        <v>7</v>
      </c>
      <c r="J428">
        <v>8</v>
      </c>
      <c r="K428">
        <v>9</v>
      </c>
      <c r="L428">
        <v>10</v>
      </c>
      <c r="M428">
        <v>11</v>
      </c>
      <c r="N428">
        <v>12</v>
      </c>
    </row>
    <row r="429" spans="1:31" x14ac:dyDescent="0.25">
      <c r="B429">
        <v>24.9</v>
      </c>
      <c r="C429">
        <v>20.940999999999999</v>
      </c>
      <c r="D429" s="23">
        <v>593.95899999999995</v>
      </c>
      <c r="E429" s="23">
        <v>478.93799999999999</v>
      </c>
      <c r="F429" s="23">
        <v>476.68900000000002</v>
      </c>
      <c r="G429" s="23">
        <v>421.67700000000002</v>
      </c>
      <c r="H429" s="23">
        <v>473.73700000000002</v>
      </c>
      <c r="I429" s="23">
        <v>465.63200000000001</v>
      </c>
      <c r="J429" s="23">
        <v>448.97300000000001</v>
      </c>
      <c r="K429">
        <v>4.0010000000000003</v>
      </c>
      <c r="L429">
        <v>3.6930000000000001</v>
      </c>
      <c r="M429">
        <v>3.4750000000000001</v>
      </c>
      <c r="N429">
        <v>4.1369999999999996</v>
      </c>
    </row>
    <row r="430" spans="1:31" x14ac:dyDescent="0.25">
      <c r="C430">
        <v>18.57</v>
      </c>
      <c r="D430" s="23">
        <v>515.43100000000004</v>
      </c>
      <c r="E430" s="23">
        <v>416.56400000000002</v>
      </c>
      <c r="F430" s="23">
        <v>397.185</v>
      </c>
      <c r="G430" s="23">
        <v>368.28699999999998</v>
      </c>
      <c r="H430" s="23">
        <v>402.56799999999998</v>
      </c>
      <c r="I430" s="23">
        <v>374.47699999999998</v>
      </c>
      <c r="J430">
        <v>5.5170000000000003</v>
      </c>
      <c r="K430" s="9">
        <v>263.97899999999998</v>
      </c>
      <c r="L430">
        <v>4.0919999999999996</v>
      </c>
      <c r="M430">
        <v>4.3680000000000003</v>
      </c>
      <c r="N430">
        <v>4.0289999999999999</v>
      </c>
    </row>
    <row r="431" spans="1:31" x14ac:dyDescent="0.25">
      <c r="C431">
        <v>18.097999999999999</v>
      </c>
      <c r="D431" s="23">
        <v>524.68299999999999</v>
      </c>
      <c r="E431" s="23">
        <v>402.46600000000001</v>
      </c>
      <c r="F431" s="23">
        <v>388.65600000000001</v>
      </c>
      <c r="G431" s="23">
        <v>363.78500000000003</v>
      </c>
      <c r="H431" s="23">
        <v>485.08300000000003</v>
      </c>
      <c r="I431" s="23">
        <v>414.15499999999997</v>
      </c>
      <c r="J431" s="23">
        <v>369.75299999999999</v>
      </c>
      <c r="K431">
        <v>4.2679999999999998</v>
      </c>
      <c r="L431">
        <v>4.6909999999999998</v>
      </c>
      <c r="M431">
        <v>3.9630000000000001</v>
      </c>
      <c r="N431">
        <v>4.351</v>
      </c>
    </row>
    <row r="432" spans="1:31" x14ac:dyDescent="0.25">
      <c r="C432">
        <v>25.707000000000001</v>
      </c>
      <c r="D432" s="23">
        <v>502.44099999999997</v>
      </c>
      <c r="E432" s="23">
        <v>443.45400000000001</v>
      </c>
      <c r="F432" s="23">
        <v>365.68400000000003</v>
      </c>
      <c r="G432" s="23">
        <v>343.16399999999999</v>
      </c>
      <c r="H432" s="23">
        <v>447.11200000000002</v>
      </c>
      <c r="I432" s="23">
        <v>412.52199999999999</v>
      </c>
      <c r="J432" s="23">
        <v>305.65600000000001</v>
      </c>
      <c r="K432">
        <v>4.3490000000000002</v>
      </c>
      <c r="L432">
        <v>5.1429999999999998</v>
      </c>
      <c r="M432">
        <v>4.5940000000000003</v>
      </c>
      <c r="N432">
        <v>3.36</v>
      </c>
    </row>
    <row r="433" spans="1:21" x14ac:dyDescent="0.25">
      <c r="C433">
        <v>19.957999999999998</v>
      </c>
      <c r="D433" s="23">
        <v>519.81899999999996</v>
      </c>
      <c r="E433" s="23">
        <v>372.62200000000001</v>
      </c>
      <c r="F433" s="23">
        <v>362.61700000000002</v>
      </c>
      <c r="G433" s="23">
        <v>333.99</v>
      </c>
      <c r="H433" s="23">
        <v>407.25900000000001</v>
      </c>
      <c r="I433" s="23">
        <v>419.45600000000002</v>
      </c>
      <c r="J433" s="23">
        <v>354.053</v>
      </c>
      <c r="K433" s="23">
        <v>352.839</v>
      </c>
      <c r="L433">
        <v>4.0049999999999999</v>
      </c>
      <c r="M433">
        <v>4.0839999999999996</v>
      </c>
      <c r="N433">
        <v>4.2629999999999999</v>
      </c>
    </row>
    <row r="434" spans="1:21" x14ac:dyDescent="0.25">
      <c r="C434">
        <v>19.754999999999999</v>
      </c>
      <c r="D434" s="23">
        <v>573.91600000000005</v>
      </c>
      <c r="E434" s="23">
        <v>417.22500000000002</v>
      </c>
      <c r="F434" s="23">
        <v>357.49099999999999</v>
      </c>
      <c r="G434" s="23">
        <v>327.505</v>
      </c>
      <c r="H434" s="23">
        <v>319.30900000000003</v>
      </c>
      <c r="I434" s="23">
        <v>426.452</v>
      </c>
      <c r="J434" s="23">
        <v>364.44499999999999</v>
      </c>
      <c r="K434" s="23">
        <v>379.58</v>
      </c>
      <c r="L434">
        <v>3.839</v>
      </c>
      <c r="M434">
        <v>4.0540000000000003</v>
      </c>
      <c r="N434">
        <v>4.2380000000000004</v>
      </c>
    </row>
    <row r="435" spans="1:21" x14ac:dyDescent="0.25">
      <c r="C435">
        <v>21.466999999999999</v>
      </c>
      <c r="D435" s="23">
        <v>604.54700000000003</v>
      </c>
      <c r="E435" s="23">
        <v>410.91300000000001</v>
      </c>
      <c r="F435" s="23">
        <v>421.88</v>
      </c>
      <c r="G435" s="23">
        <v>413.59100000000001</v>
      </c>
      <c r="H435" s="23">
        <v>493.11700000000002</v>
      </c>
      <c r="I435" s="23">
        <v>411.214</v>
      </c>
      <c r="J435" s="23">
        <v>386.601</v>
      </c>
      <c r="K435">
        <v>3.9809999999999999</v>
      </c>
      <c r="L435">
        <v>4.4400000000000004</v>
      </c>
      <c r="M435">
        <v>3.55</v>
      </c>
      <c r="N435">
        <v>4.3090000000000002</v>
      </c>
    </row>
    <row r="436" spans="1:21" x14ac:dyDescent="0.25">
      <c r="C436">
        <v>22.184000000000001</v>
      </c>
      <c r="D436" s="23">
        <v>542.24900000000002</v>
      </c>
      <c r="E436" s="23">
        <v>461.44400000000002</v>
      </c>
      <c r="F436" s="23">
        <v>323.23</v>
      </c>
      <c r="G436" s="23">
        <v>167.29900000000001</v>
      </c>
      <c r="H436" s="23">
        <v>138.066</v>
      </c>
      <c r="I436" s="23">
        <v>116.58</v>
      </c>
      <c r="J436" s="23">
        <v>307.798</v>
      </c>
      <c r="K436" s="23">
        <v>151.89099999999999</v>
      </c>
      <c r="L436">
        <v>3.2749999999999999</v>
      </c>
      <c r="M436">
        <v>3.5550000000000002</v>
      </c>
      <c r="N436">
        <v>4.2770000000000001</v>
      </c>
    </row>
    <row r="438" spans="1:21" x14ac:dyDescent="0.25">
      <c r="A438" t="s">
        <v>146</v>
      </c>
      <c r="B438" t="s">
        <v>171</v>
      </c>
    </row>
    <row r="439" spans="1:21" x14ac:dyDescent="0.25">
      <c r="A439" t="s">
        <v>139</v>
      </c>
      <c r="B439" t="s">
        <v>140</v>
      </c>
      <c r="C439">
        <v>1.3</v>
      </c>
      <c r="D439" t="s">
        <v>141</v>
      </c>
      <c r="E439" t="s">
        <v>142</v>
      </c>
      <c r="F439" t="s">
        <v>143</v>
      </c>
      <c r="G439" t="s">
        <v>144</v>
      </c>
      <c r="H439" t="b">
        <v>0</v>
      </c>
      <c r="I439">
        <v>1</v>
      </c>
      <c r="O439">
        <v>1</v>
      </c>
      <c r="P439">
        <v>620</v>
      </c>
      <c r="Q439">
        <v>1</v>
      </c>
      <c r="R439">
        <v>12</v>
      </c>
      <c r="S439">
        <v>96</v>
      </c>
      <c r="T439">
        <v>1</v>
      </c>
      <c r="U439">
        <v>8</v>
      </c>
    </row>
    <row r="440" spans="1:21" x14ac:dyDescent="0.25">
      <c r="B440" t="s">
        <v>145</v>
      </c>
      <c r="C440">
        <v>1</v>
      </c>
      <c r="D440">
        <v>2</v>
      </c>
      <c r="E440">
        <v>3</v>
      </c>
      <c r="F440">
        <v>4</v>
      </c>
      <c r="G440">
        <v>5</v>
      </c>
      <c r="H440">
        <v>6</v>
      </c>
      <c r="I440">
        <v>7</v>
      </c>
      <c r="J440">
        <v>8</v>
      </c>
      <c r="K440">
        <v>9</v>
      </c>
      <c r="L440">
        <v>10</v>
      </c>
      <c r="M440">
        <v>11</v>
      </c>
      <c r="N440">
        <v>12</v>
      </c>
    </row>
    <row r="441" spans="1:21" x14ac:dyDescent="0.25">
      <c r="B441">
        <v>24.6</v>
      </c>
      <c r="C441">
        <v>2.4914999999999998</v>
      </c>
      <c r="D441">
        <v>2.0516999999999999</v>
      </c>
      <c r="E441">
        <v>1.3295999999999999</v>
      </c>
      <c r="F441">
        <v>1.18</v>
      </c>
      <c r="G441">
        <v>1.2683</v>
      </c>
      <c r="H441">
        <v>1.0583</v>
      </c>
      <c r="I441">
        <v>0.81489999999999996</v>
      </c>
      <c r="J441">
        <v>0.75390000000000001</v>
      </c>
      <c r="K441">
        <v>0.73070000000000002</v>
      </c>
      <c r="L441">
        <v>5.1400000000000001E-2</v>
      </c>
      <c r="M441">
        <v>5.21E-2</v>
      </c>
      <c r="N441">
        <v>5.28E-2</v>
      </c>
    </row>
    <row r="442" spans="1:21" x14ac:dyDescent="0.25">
      <c r="C442">
        <v>2.5226000000000002</v>
      </c>
      <c r="D442">
        <v>2.1404000000000001</v>
      </c>
      <c r="E442">
        <v>1.3965000000000001</v>
      </c>
      <c r="F442">
        <v>1.1677999999999999</v>
      </c>
      <c r="G442">
        <v>1.3506</v>
      </c>
      <c r="H442">
        <v>1.3792</v>
      </c>
      <c r="I442">
        <v>0.90339999999999998</v>
      </c>
      <c r="J442">
        <v>5.1499999999999997E-2</v>
      </c>
      <c r="K442">
        <v>5.16E-2</v>
      </c>
      <c r="L442">
        <v>5.1700000000000003E-2</v>
      </c>
      <c r="M442">
        <v>5.2699999999999997E-2</v>
      </c>
      <c r="N442">
        <v>5.3499999999999999E-2</v>
      </c>
    </row>
    <row r="443" spans="1:21" x14ac:dyDescent="0.25">
      <c r="C443">
        <v>2.7610000000000001</v>
      </c>
      <c r="D443">
        <v>2.085</v>
      </c>
      <c r="E443">
        <v>1.3845000000000001</v>
      </c>
      <c r="F443">
        <v>1.1583000000000001</v>
      </c>
      <c r="G443">
        <v>1.4023000000000001</v>
      </c>
      <c r="H443">
        <v>1.3161</v>
      </c>
      <c r="I443">
        <v>0.80579999999999996</v>
      </c>
      <c r="J443">
        <v>5.2699999999999997E-2</v>
      </c>
      <c r="K443">
        <v>5.1999999999999998E-2</v>
      </c>
      <c r="L443">
        <v>5.4600000000000003E-2</v>
      </c>
      <c r="M443">
        <v>5.8900000000000001E-2</v>
      </c>
      <c r="N443">
        <v>5.3600000000000002E-2</v>
      </c>
    </row>
    <row r="444" spans="1:21" x14ac:dyDescent="0.25">
      <c r="C444">
        <v>2.7342</v>
      </c>
      <c r="D444">
        <v>2.2654000000000001</v>
      </c>
      <c r="E444">
        <v>1.4654</v>
      </c>
      <c r="F444">
        <v>1.2427999999999999</v>
      </c>
      <c r="G444">
        <v>1.3839999999999999</v>
      </c>
      <c r="H444">
        <v>1.5687</v>
      </c>
      <c r="I444">
        <v>1.0066999999999999</v>
      </c>
      <c r="J444">
        <v>0.88729999999999998</v>
      </c>
      <c r="K444">
        <v>5.2499999999999998E-2</v>
      </c>
      <c r="L444">
        <v>5.3600000000000002E-2</v>
      </c>
      <c r="M444">
        <v>5.2499999999999998E-2</v>
      </c>
      <c r="N444">
        <v>5.3400000000000003E-2</v>
      </c>
    </row>
    <row r="445" spans="1:21" x14ac:dyDescent="0.25">
      <c r="C445">
        <v>2.56</v>
      </c>
      <c r="D445">
        <v>2.0644999999999998</v>
      </c>
      <c r="E445">
        <v>1.4165000000000001</v>
      </c>
      <c r="F445">
        <v>1.276</v>
      </c>
      <c r="G445">
        <v>1.3882000000000001</v>
      </c>
      <c r="H445">
        <v>1.3695999999999999</v>
      </c>
      <c r="I445">
        <v>1.0664</v>
      </c>
      <c r="J445">
        <v>5.2999999999999999E-2</v>
      </c>
      <c r="K445">
        <v>5.2499999999999998E-2</v>
      </c>
      <c r="L445">
        <v>5.6099999999999997E-2</v>
      </c>
      <c r="M445">
        <v>5.2200000000000003E-2</v>
      </c>
      <c r="N445">
        <v>5.2999999999999999E-2</v>
      </c>
    </row>
    <row r="446" spans="1:21" x14ac:dyDescent="0.25">
      <c r="C446">
        <v>3.0087999999999999</v>
      </c>
      <c r="D446">
        <v>2.0916000000000001</v>
      </c>
      <c r="E446">
        <v>1.4006000000000001</v>
      </c>
      <c r="F446">
        <v>1.2162999999999999</v>
      </c>
      <c r="G446">
        <v>1.7490000000000001</v>
      </c>
      <c r="H446">
        <v>1.4347000000000001</v>
      </c>
      <c r="I446">
        <v>1.0530999999999999</v>
      </c>
      <c r="J446">
        <v>5.4600000000000003E-2</v>
      </c>
      <c r="K446">
        <v>5.2499999999999998E-2</v>
      </c>
      <c r="L446">
        <v>5.3600000000000002E-2</v>
      </c>
      <c r="M446">
        <v>5.3100000000000001E-2</v>
      </c>
      <c r="N446">
        <v>5.3900000000000003E-2</v>
      </c>
    </row>
    <row r="447" spans="1:21" x14ac:dyDescent="0.25">
      <c r="C447">
        <v>1.9823999999999999</v>
      </c>
      <c r="D447">
        <v>2.2871000000000001</v>
      </c>
      <c r="E447">
        <v>1.4414</v>
      </c>
      <c r="F447">
        <v>1.2504</v>
      </c>
      <c r="G447">
        <v>1.3781000000000001</v>
      </c>
      <c r="H447">
        <v>1.4870000000000001</v>
      </c>
      <c r="I447">
        <v>1.077</v>
      </c>
      <c r="J447">
        <v>5.3900000000000003E-2</v>
      </c>
      <c r="K447">
        <v>5.2200000000000003E-2</v>
      </c>
      <c r="L447">
        <v>5.3999999999999999E-2</v>
      </c>
      <c r="M447">
        <v>5.2200000000000003E-2</v>
      </c>
      <c r="N447">
        <v>5.3999999999999999E-2</v>
      </c>
    </row>
    <row r="448" spans="1:21" x14ac:dyDescent="0.25">
      <c r="C448">
        <v>4</v>
      </c>
      <c r="D448">
        <v>2.4407999999999999</v>
      </c>
      <c r="E448">
        <v>1.4247000000000001</v>
      </c>
      <c r="F448">
        <v>1.2535000000000001</v>
      </c>
      <c r="G448">
        <v>1.4411</v>
      </c>
      <c r="H448">
        <v>1.4579</v>
      </c>
      <c r="I448">
        <v>0.75090000000000001</v>
      </c>
      <c r="J448">
        <v>0.86229999999999996</v>
      </c>
      <c r="K448">
        <v>5.2200000000000003E-2</v>
      </c>
      <c r="L448">
        <v>6.0100000000000001E-2</v>
      </c>
      <c r="M448">
        <v>5.3199999999999997E-2</v>
      </c>
      <c r="N448">
        <v>5.3100000000000001E-2</v>
      </c>
    </row>
    <row r="450" spans="1:31" x14ac:dyDescent="0.25">
      <c r="A450" t="s">
        <v>146</v>
      </c>
      <c r="B450" t="s">
        <v>171</v>
      </c>
    </row>
    <row r="451" spans="1:31" x14ac:dyDescent="0.25">
      <c r="A451" t="s">
        <v>139</v>
      </c>
      <c r="B451" t="s">
        <v>147</v>
      </c>
      <c r="C451">
        <v>1.3</v>
      </c>
      <c r="D451">
        <v>-1</v>
      </c>
      <c r="E451">
        <v>-2</v>
      </c>
      <c r="F451">
        <v>-3</v>
      </c>
      <c r="G451">
        <v>-4</v>
      </c>
      <c r="H451">
        <v>-5</v>
      </c>
      <c r="I451">
        <v>-6</v>
      </c>
      <c r="J451">
        <v>-7</v>
      </c>
      <c r="K451">
        <v>-8</v>
      </c>
      <c r="L451">
        <v>-9</v>
      </c>
      <c r="M451">
        <v>-10</v>
      </c>
      <c r="N451">
        <v>-11</v>
      </c>
      <c r="P451">
        <v>1</v>
      </c>
      <c r="Q451">
        <v>620</v>
      </c>
      <c r="R451">
        <v>1</v>
      </c>
      <c r="S451">
        <v>12</v>
      </c>
      <c r="T451">
        <v>96</v>
      </c>
      <c r="U451">
        <v>571</v>
      </c>
      <c r="V451" t="s">
        <v>149</v>
      </c>
      <c r="W451">
        <v>610</v>
      </c>
      <c r="Z451">
        <v>6</v>
      </c>
      <c r="AD451">
        <v>1</v>
      </c>
      <c r="AE451">
        <v>8</v>
      </c>
    </row>
    <row r="452" spans="1:31" x14ac:dyDescent="0.25">
      <c r="B452" t="s">
        <v>145</v>
      </c>
      <c r="C452">
        <v>1</v>
      </c>
      <c r="D452">
        <v>2</v>
      </c>
      <c r="E452">
        <v>3</v>
      </c>
      <c r="F452">
        <v>4</v>
      </c>
      <c r="G452">
        <v>5</v>
      </c>
      <c r="H452">
        <v>6</v>
      </c>
      <c r="I452">
        <v>7</v>
      </c>
      <c r="J452">
        <v>8</v>
      </c>
      <c r="K452">
        <v>9</v>
      </c>
      <c r="L452">
        <v>10</v>
      </c>
      <c r="M452">
        <v>11</v>
      </c>
      <c r="N452">
        <v>12</v>
      </c>
    </row>
    <row r="453" spans="1:31" x14ac:dyDescent="0.25">
      <c r="B453">
        <v>24.7</v>
      </c>
      <c r="C453">
        <v>28.45</v>
      </c>
      <c r="D453" s="23">
        <v>187.14699999999999</v>
      </c>
      <c r="E453" s="23">
        <v>433.05799999999999</v>
      </c>
      <c r="F453" s="23">
        <v>425.69</v>
      </c>
      <c r="G453" s="23">
        <v>422.66199999999998</v>
      </c>
      <c r="H453" s="23">
        <v>458.10300000000001</v>
      </c>
      <c r="I453" s="23">
        <v>435.93200000000002</v>
      </c>
      <c r="J453" s="23">
        <v>351.25299999999999</v>
      </c>
      <c r="K453" s="23">
        <v>352.81099999999998</v>
      </c>
      <c r="L453">
        <v>4.6500000000000004</v>
      </c>
      <c r="M453">
        <v>4.2850000000000001</v>
      </c>
      <c r="N453">
        <v>4.42</v>
      </c>
    </row>
    <row r="454" spans="1:31" x14ac:dyDescent="0.25">
      <c r="C454">
        <v>21.079000000000001</v>
      </c>
      <c r="D454" s="23">
        <v>258.43299999999999</v>
      </c>
      <c r="E454" s="23">
        <v>432.11900000000003</v>
      </c>
      <c r="F454" s="23">
        <v>368.5</v>
      </c>
      <c r="G454" s="23">
        <v>457.05099999999999</v>
      </c>
      <c r="H454" s="23">
        <v>464.72899999999998</v>
      </c>
      <c r="I454" s="23">
        <v>380.43599999999998</v>
      </c>
      <c r="J454">
        <v>3.9470000000000001</v>
      </c>
      <c r="K454">
        <v>4.1260000000000003</v>
      </c>
      <c r="L454">
        <v>4.8250000000000002</v>
      </c>
      <c r="M454">
        <v>4.3</v>
      </c>
      <c r="N454">
        <v>5.0010000000000003</v>
      </c>
    </row>
    <row r="455" spans="1:31" x14ac:dyDescent="0.25">
      <c r="C455">
        <v>30.628</v>
      </c>
      <c r="D455" s="23">
        <v>203.32400000000001</v>
      </c>
      <c r="E455" s="23">
        <v>412.38400000000001</v>
      </c>
      <c r="F455" s="23">
        <v>377.69299999999998</v>
      </c>
      <c r="G455" s="23">
        <v>476.57299999999998</v>
      </c>
      <c r="H455" s="23">
        <v>406.34300000000002</v>
      </c>
      <c r="I455" s="23">
        <v>322.00099999999998</v>
      </c>
      <c r="J455">
        <v>4.5529999999999999</v>
      </c>
      <c r="K455">
        <v>3.8980000000000001</v>
      </c>
      <c r="L455">
        <v>4.3179999999999996</v>
      </c>
      <c r="M455">
        <v>4.1820000000000004</v>
      </c>
      <c r="N455">
        <v>4.6100000000000003</v>
      </c>
    </row>
    <row r="456" spans="1:31" x14ac:dyDescent="0.25">
      <c r="C456">
        <v>25.15</v>
      </c>
      <c r="D456" s="23">
        <v>301.23099999999999</v>
      </c>
      <c r="E456" s="23">
        <v>418.16899999999998</v>
      </c>
      <c r="F456" s="23">
        <v>393.03899999999999</v>
      </c>
      <c r="G456" s="23">
        <v>472.64</v>
      </c>
      <c r="H456" s="23">
        <v>160.52799999999999</v>
      </c>
      <c r="I456" s="23">
        <v>362.30599999999998</v>
      </c>
      <c r="J456" s="23">
        <v>356.82600000000002</v>
      </c>
      <c r="K456">
        <v>3.8679999999999999</v>
      </c>
      <c r="L456">
        <v>4.6500000000000004</v>
      </c>
      <c r="M456">
        <v>4.085</v>
      </c>
      <c r="N456">
        <v>4.0199999999999996</v>
      </c>
    </row>
    <row r="457" spans="1:31" x14ac:dyDescent="0.25">
      <c r="C457">
        <v>26.96</v>
      </c>
      <c r="D457" s="23">
        <v>185.21899999999999</v>
      </c>
      <c r="E457" s="23">
        <v>384.60899999999998</v>
      </c>
      <c r="F457" s="23">
        <v>406.66800000000001</v>
      </c>
      <c r="G457" s="23">
        <v>470.43400000000003</v>
      </c>
      <c r="H457" s="23">
        <v>417.64499999999998</v>
      </c>
      <c r="I457" s="23">
        <v>208.45400000000001</v>
      </c>
      <c r="J457">
        <v>4.3</v>
      </c>
      <c r="K457">
        <v>3.93</v>
      </c>
      <c r="L457">
        <v>5.0250000000000004</v>
      </c>
      <c r="M457">
        <v>4.125</v>
      </c>
      <c r="N457">
        <v>4.29</v>
      </c>
    </row>
    <row r="458" spans="1:31" x14ac:dyDescent="0.25">
      <c r="C458">
        <v>24.148</v>
      </c>
      <c r="D458" s="23">
        <v>203.05199999999999</v>
      </c>
      <c r="E458" s="23">
        <v>401.887</v>
      </c>
      <c r="F458" s="23">
        <v>387.13600000000002</v>
      </c>
      <c r="G458" s="23">
        <v>215.471</v>
      </c>
      <c r="H458" s="23">
        <v>503.44600000000003</v>
      </c>
      <c r="I458" s="23">
        <v>363.03899999999999</v>
      </c>
      <c r="J458">
        <v>3.891</v>
      </c>
      <c r="K458">
        <v>4.4589999999999996</v>
      </c>
      <c r="L458">
        <v>4.173</v>
      </c>
      <c r="M458">
        <v>4.6360000000000001</v>
      </c>
      <c r="N458">
        <v>4.3440000000000003</v>
      </c>
    </row>
    <row r="459" spans="1:31" x14ac:dyDescent="0.25">
      <c r="C459">
        <v>20.530999999999999</v>
      </c>
      <c r="D459" s="23">
        <v>233.059</v>
      </c>
      <c r="E459" s="23">
        <v>412.86700000000002</v>
      </c>
      <c r="F459" s="23">
        <v>408.51499999999999</v>
      </c>
      <c r="G459" s="23">
        <v>472.90699999999998</v>
      </c>
      <c r="H459" s="23">
        <v>507.72500000000002</v>
      </c>
      <c r="I459" s="23">
        <v>414.35599999999999</v>
      </c>
      <c r="J459">
        <v>4.1210000000000004</v>
      </c>
      <c r="K459">
        <v>4.3339999999999996</v>
      </c>
      <c r="L459">
        <v>4.3120000000000003</v>
      </c>
      <c r="M459">
        <v>4.2910000000000004</v>
      </c>
      <c r="N459">
        <v>4.4770000000000003</v>
      </c>
    </row>
    <row r="460" spans="1:31" x14ac:dyDescent="0.25">
      <c r="C460">
        <v>26.466000000000001</v>
      </c>
      <c r="D460" s="23">
        <v>186.386</v>
      </c>
      <c r="E460" s="23">
        <v>449.71600000000001</v>
      </c>
      <c r="F460" s="23">
        <v>465.90300000000002</v>
      </c>
      <c r="G460" s="23">
        <v>506.78399999999999</v>
      </c>
      <c r="H460" s="23">
        <v>562.66700000000003</v>
      </c>
      <c r="I460" s="23">
        <v>351.85199999999998</v>
      </c>
      <c r="J460" s="23">
        <v>387.11799999999999</v>
      </c>
      <c r="K460">
        <v>3.9809999999999999</v>
      </c>
      <c r="L460">
        <v>5.181</v>
      </c>
      <c r="M460">
        <v>4.359</v>
      </c>
      <c r="N460">
        <v>4.6449999999999996</v>
      </c>
    </row>
    <row r="462" spans="1:31" x14ac:dyDescent="0.25">
      <c r="A462" t="s">
        <v>146</v>
      </c>
      <c r="B462" t="s">
        <v>172</v>
      </c>
    </row>
    <row r="463" spans="1:31" x14ac:dyDescent="0.25">
      <c r="A463" t="s">
        <v>139</v>
      </c>
      <c r="B463" t="s">
        <v>151</v>
      </c>
      <c r="C463">
        <v>1.3</v>
      </c>
      <c r="D463" t="s">
        <v>141</v>
      </c>
      <c r="E463" t="s">
        <v>142</v>
      </c>
      <c r="F463" t="s">
        <v>143</v>
      </c>
      <c r="G463" t="s">
        <v>144</v>
      </c>
      <c r="H463" t="b">
        <v>0</v>
      </c>
      <c r="I463">
        <v>1</v>
      </c>
      <c r="O463">
        <v>1</v>
      </c>
      <c r="P463">
        <v>620</v>
      </c>
      <c r="Q463">
        <v>1</v>
      </c>
      <c r="R463">
        <v>12</v>
      </c>
      <c r="S463">
        <v>96</v>
      </c>
      <c r="T463">
        <v>1</v>
      </c>
      <c r="U463">
        <v>8</v>
      </c>
    </row>
    <row r="464" spans="1:31" x14ac:dyDescent="0.25">
      <c r="B464" t="s">
        <v>145</v>
      </c>
      <c r="C464">
        <v>1</v>
      </c>
      <c r="D464">
        <v>2</v>
      </c>
      <c r="E464">
        <v>3</v>
      </c>
      <c r="F464">
        <v>4</v>
      </c>
      <c r="G464">
        <v>5</v>
      </c>
      <c r="H464">
        <v>6</v>
      </c>
      <c r="I464">
        <v>7</v>
      </c>
      <c r="J464">
        <v>8</v>
      </c>
      <c r="K464">
        <v>9</v>
      </c>
      <c r="L464">
        <v>10</v>
      </c>
      <c r="M464">
        <v>11</v>
      </c>
      <c r="N464">
        <v>12</v>
      </c>
    </row>
    <row r="465" spans="1:31" x14ac:dyDescent="0.25">
      <c r="B465">
        <v>24.7</v>
      </c>
      <c r="C465">
        <v>1.7177</v>
      </c>
      <c r="D465">
        <v>2.1960999999999999</v>
      </c>
      <c r="E465">
        <v>0.80700000000000005</v>
      </c>
      <c r="F465">
        <v>0.63819999999999999</v>
      </c>
      <c r="G465">
        <v>0.80349999999999999</v>
      </c>
      <c r="H465">
        <v>0.26989999999999997</v>
      </c>
      <c r="I465">
        <v>0.46260000000000001</v>
      </c>
      <c r="J465">
        <v>5.1700000000000003E-2</v>
      </c>
      <c r="K465">
        <v>5.1400000000000001E-2</v>
      </c>
      <c r="L465">
        <v>5.0700000000000002E-2</v>
      </c>
      <c r="M465">
        <v>5.4899999999999997E-2</v>
      </c>
      <c r="N465">
        <v>5.2699999999999997E-2</v>
      </c>
    </row>
    <row r="466" spans="1:31" x14ac:dyDescent="0.25">
      <c r="C466">
        <v>2.1316000000000002</v>
      </c>
      <c r="D466">
        <v>2.0773999999999999</v>
      </c>
      <c r="E466">
        <v>1.2708999999999999</v>
      </c>
      <c r="F466">
        <v>1.1297999999999999</v>
      </c>
      <c r="G466">
        <v>1.3108</v>
      </c>
      <c r="H466">
        <v>1.1389</v>
      </c>
      <c r="I466">
        <v>1.2059</v>
      </c>
      <c r="J466">
        <v>5.1799999999999999E-2</v>
      </c>
      <c r="K466">
        <v>5.16E-2</v>
      </c>
      <c r="L466">
        <v>5.9799999999999999E-2</v>
      </c>
      <c r="M466">
        <v>5.1900000000000002E-2</v>
      </c>
      <c r="N466">
        <v>5.0799999999999998E-2</v>
      </c>
    </row>
    <row r="467" spans="1:31" x14ac:dyDescent="0.25">
      <c r="C467">
        <v>2.6734</v>
      </c>
      <c r="D467">
        <v>2.0445000000000002</v>
      </c>
      <c r="E467">
        <v>1.2742</v>
      </c>
      <c r="F467">
        <v>1.0697000000000001</v>
      </c>
      <c r="G467">
        <v>1.2267999999999999</v>
      </c>
      <c r="H467">
        <v>1.2258</v>
      </c>
      <c r="I467">
        <v>0.89019999999999999</v>
      </c>
      <c r="J467">
        <v>5.1700000000000003E-2</v>
      </c>
      <c r="K467">
        <v>5.1400000000000001E-2</v>
      </c>
      <c r="L467">
        <v>5.1700000000000003E-2</v>
      </c>
      <c r="M467">
        <v>5.1400000000000001E-2</v>
      </c>
      <c r="N467">
        <v>5.1900000000000002E-2</v>
      </c>
    </row>
    <row r="468" spans="1:31" x14ac:dyDescent="0.25">
      <c r="C468">
        <v>2.6562000000000001</v>
      </c>
      <c r="D468">
        <v>2.0634999999999999</v>
      </c>
      <c r="E468">
        <v>1.3916999999999999</v>
      </c>
      <c r="F468">
        <v>1.1518999999999999</v>
      </c>
      <c r="G468">
        <v>1.3329</v>
      </c>
      <c r="H468">
        <v>1.2388999999999999</v>
      </c>
      <c r="I468">
        <v>0.77280000000000004</v>
      </c>
      <c r="J468">
        <v>5.1799999999999999E-2</v>
      </c>
      <c r="K468">
        <v>5.1799999999999999E-2</v>
      </c>
      <c r="L468">
        <v>5.2499999999999998E-2</v>
      </c>
      <c r="M468">
        <v>5.21E-2</v>
      </c>
      <c r="N468">
        <v>5.2600000000000001E-2</v>
      </c>
    </row>
    <row r="469" spans="1:31" x14ac:dyDescent="0.25">
      <c r="C469">
        <v>3.0676999999999999</v>
      </c>
      <c r="D469">
        <v>2.1526999999999998</v>
      </c>
      <c r="E469">
        <v>1.3076000000000001</v>
      </c>
      <c r="F469">
        <v>1.1859999999999999</v>
      </c>
      <c r="G469">
        <v>1.3425</v>
      </c>
      <c r="H469">
        <v>1.2103999999999999</v>
      </c>
      <c r="I469">
        <v>5.2600000000000001E-2</v>
      </c>
      <c r="J469">
        <v>5.3800000000000001E-2</v>
      </c>
      <c r="K469">
        <v>5.16E-2</v>
      </c>
      <c r="L469">
        <v>5.1400000000000001E-2</v>
      </c>
      <c r="M469">
        <v>5.1700000000000003E-2</v>
      </c>
      <c r="N469">
        <v>5.2299999999999999E-2</v>
      </c>
    </row>
    <row r="470" spans="1:31" x14ac:dyDescent="0.25">
      <c r="C470">
        <v>2.7254</v>
      </c>
      <c r="D470">
        <v>2.0945999999999998</v>
      </c>
      <c r="E470">
        <v>1.3669</v>
      </c>
      <c r="F470">
        <v>1.1727000000000001</v>
      </c>
      <c r="G470">
        <v>1.2634000000000001</v>
      </c>
      <c r="H470">
        <v>1.022</v>
      </c>
      <c r="I470">
        <v>1.1276999999999999</v>
      </c>
      <c r="J470">
        <v>0.91039999999999999</v>
      </c>
      <c r="K470">
        <v>5.1900000000000002E-2</v>
      </c>
      <c r="L470">
        <v>5.2200000000000003E-2</v>
      </c>
      <c r="M470">
        <v>5.1999999999999998E-2</v>
      </c>
      <c r="N470">
        <v>5.28E-2</v>
      </c>
    </row>
    <row r="471" spans="1:31" x14ac:dyDescent="0.25">
      <c r="C471">
        <v>2.7917000000000001</v>
      </c>
      <c r="D471">
        <v>2.3412000000000002</v>
      </c>
      <c r="E471">
        <v>1.31</v>
      </c>
      <c r="F471">
        <v>1.2005999999999999</v>
      </c>
      <c r="G471">
        <v>1.3222</v>
      </c>
      <c r="H471">
        <v>1.1947000000000001</v>
      </c>
      <c r="I471">
        <v>1.0808</v>
      </c>
      <c r="J471">
        <v>0.38950000000000001</v>
      </c>
      <c r="K471">
        <v>5.3199999999999997E-2</v>
      </c>
      <c r="L471">
        <v>0.6694</v>
      </c>
      <c r="M471">
        <v>0.87409999999999999</v>
      </c>
      <c r="N471">
        <v>5.2499999999999998E-2</v>
      </c>
    </row>
    <row r="472" spans="1:31" x14ac:dyDescent="0.25">
      <c r="C472">
        <v>3.8250999999999999</v>
      </c>
      <c r="D472">
        <v>2.0289999999999999</v>
      </c>
      <c r="E472">
        <v>1.2806999999999999</v>
      </c>
      <c r="F472">
        <v>0.86429999999999996</v>
      </c>
      <c r="G472">
        <v>0.96699999999999997</v>
      </c>
      <c r="H472">
        <v>0.311</v>
      </c>
      <c r="I472">
        <v>8.8300000000000003E-2</v>
      </c>
      <c r="J472">
        <v>5.2699999999999997E-2</v>
      </c>
      <c r="K472">
        <v>5.3100000000000001E-2</v>
      </c>
      <c r="L472">
        <v>5.2499999999999998E-2</v>
      </c>
      <c r="M472">
        <v>5.2299999999999999E-2</v>
      </c>
      <c r="N472">
        <v>5.3600000000000002E-2</v>
      </c>
    </row>
    <row r="474" spans="1:31" x14ac:dyDescent="0.25">
      <c r="A474" t="s">
        <v>146</v>
      </c>
      <c r="B474" t="s">
        <v>172</v>
      </c>
    </row>
    <row r="475" spans="1:31" x14ac:dyDescent="0.25">
      <c r="A475" t="s">
        <v>139</v>
      </c>
      <c r="B475" t="s">
        <v>152</v>
      </c>
      <c r="C475">
        <v>1.3</v>
      </c>
      <c r="D475">
        <v>-1</v>
      </c>
      <c r="E475">
        <v>-2</v>
      </c>
      <c r="F475">
        <v>-3</v>
      </c>
      <c r="G475">
        <v>-4</v>
      </c>
      <c r="H475">
        <v>-5</v>
      </c>
      <c r="I475">
        <v>-6</v>
      </c>
      <c r="J475">
        <v>-7</v>
      </c>
      <c r="K475">
        <v>-8</v>
      </c>
      <c r="L475">
        <v>-9</v>
      </c>
      <c r="M475">
        <v>-10</v>
      </c>
      <c r="N475">
        <v>-11</v>
      </c>
      <c r="P475">
        <v>1</v>
      </c>
      <c r="Q475">
        <v>620</v>
      </c>
      <c r="R475">
        <v>1</v>
      </c>
      <c r="S475">
        <v>12</v>
      </c>
      <c r="T475">
        <v>96</v>
      </c>
      <c r="U475">
        <v>571</v>
      </c>
      <c r="V475" t="s">
        <v>149</v>
      </c>
      <c r="W475">
        <v>610</v>
      </c>
      <c r="Z475">
        <v>6</v>
      </c>
      <c r="AD475">
        <v>1</v>
      </c>
      <c r="AE475">
        <v>8</v>
      </c>
    </row>
    <row r="476" spans="1:31" x14ac:dyDescent="0.25">
      <c r="B476" t="s">
        <v>145</v>
      </c>
      <c r="C476">
        <v>1</v>
      </c>
      <c r="D476">
        <v>2</v>
      </c>
      <c r="E476">
        <v>3</v>
      </c>
      <c r="F476">
        <v>4</v>
      </c>
      <c r="G476">
        <v>5</v>
      </c>
      <c r="H476">
        <v>6</v>
      </c>
      <c r="I476">
        <v>7</v>
      </c>
      <c r="J476">
        <v>8</v>
      </c>
      <c r="K476">
        <v>9</v>
      </c>
      <c r="L476">
        <v>10</v>
      </c>
      <c r="M476">
        <v>11</v>
      </c>
      <c r="N476">
        <v>12</v>
      </c>
    </row>
    <row r="477" spans="1:31" x14ac:dyDescent="0.25">
      <c r="B477">
        <v>24.7</v>
      </c>
      <c r="C477">
        <v>19.564</v>
      </c>
      <c r="D477" s="23">
        <v>282.108</v>
      </c>
      <c r="E477" s="23">
        <v>235.107</v>
      </c>
      <c r="F477" s="23">
        <v>398.58</v>
      </c>
      <c r="G477" s="23">
        <v>25.739000000000001</v>
      </c>
      <c r="H477" s="23">
        <v>87.343999999999994</v>
      </c>
      <c r="I477" s="23">
        <v>249.23599999999999</v>
      </c>
      <c r="J477">
        <v>3.5630000000000002</v>
      </c>
      <c r="K477">
        <v>3.5539999999999998</v>
      </c>
      <c r="L477">
        <v>4.0869999999999997</v>
      </c>
      <c r="M477">
        <v>4.1550000000000002</v>
      </c>
      <c r="N477">
        <v>4.5140000000000002</v>
      </c>
    </row>
    <row r="478" spans="1:31" x14ac:dyDescent="0.25">
      <c r="C478">
        <v>21.337</v>
      </c>
      <c r="D478" s="23">
        <v>265.46699999999998</v>
      </c>
      <c r="E478" s="23">
        <v>234.756</v>
      </c>
      <c r="F478" s="23">
        <v>375.90899999999999</v>
      </c>
      <c r="G478" s="23">
        <v>437.04</v>
      </c>
      <c r="H478" s="23">
        <v>417.67399999999998</v>
      </c>
      <c r="I478" s="23">
        <v>420.39600000000002</v>
      </c>
      <c r="J478">
        <v>3.8050000000000002</v>
      </c>
      <c r="K478">
        <v>3.9929999999999999</v>
      </c>
      <c r="L478">
        <v>4.1900000000000004</v>
      </c>
      <c r="M478">
        <v>3.8570000000000002</v>
      </c>
      <c r="N478">
        <v>4.468</v>
      </c>
    </row>
    <row r="479" spans="1:31" x14ac:dyDescent="0.25">
      <c r="C479">
        <v>26.488</v>
      </c>
      <c r="D479" s="23">
        <v>243.94</v>
      </c>
      <c r="E479" s="23">
        <v>241.54300000000001</v>
      </c>
      <c r="F479" s="23">
        <v>308.37200000000001</v>
      </c>
      <c r="G479" s="23">
        <v>305.17899999999997</v>
      </c>
      <c r="H479" s="23">
        <v>401.79300000000001</v>
      </c>
      <c r="I479" s="23">
        <v>307.49099999999999</v>
      </c>
      <c r="J479">
        <v>3.8260000000000001</v>
      </c>
      <c r="K479">
        <v>3.8740000000000001</v>
      </c>
      <c r="L479">
        <v>3.9750000000000001</v>
      </c>
      <c r="M479">
        <v>3.9470000000000001</v>
      </c>
      <c r="N479">
        <v>4.5940000000000003</v>
      </c>
    </row>
    <row r="480" spans="1:31" x14ac:dyDescent="0.25">
      <c r="C480">
        <v>26.027999999999999</v>
      </c>
      <c r="D480" s="23">
        <v>248.035</v>
      </c>
      <c r="E480" s="23">
        <v>388.762</v>
      </c>
      <c r="F480" s="23">
        <v>341.05599999999998</v>
      </c>
      <c r="G480" s="23">
        <v>390.36500000000001</v>
      </c>
      <c r="H480" s="23">
        <v>395.63600000000002</v>
      </c>
      <c r="I480" s="23">
        <v>275.089</v>
      </c>
      <c r="J480">
        <v>4.5490000000000004</v>
      </c>
      <c r="K480">
        <v>4.0350000000000001</v>
      </c>
      <c r="L480">
        <v>4.1710000000000003</v>
      </c>
      <c r="M480">
        <v>3.407</v>
      </c>
      <c r="N480">
        <v>5.3070000000000004</v>
      </c>
    </row>
    <row r="481" spans="1:21" x14ac:dyDescent="0.25">
      <c r="C481">
        <v>22.95</v>
      </c>
      <c r="D481" s="23">
        <v>266.839</v>
      </c>
      <c r="E481" s="23">
        <v>216.32400000000001</v>
      </c>
      <c r="F481" s="23">
        <v>359.44600000000003</v>
      </c>
      <c r="G481" s="23">
        <v>429.68400000000003</v>
      </c>
      <c r="H481" s="23">
        <v>386.428</v>
      </c>
      <c r="I481">
        <v>5.21</v>
      </c>
      <c r="J481">
        <v>4.1040000000000001</v>
      </c>
      <c r="K481">
        <v>4.218</v>
      </c>
      <c r="L481">
        <v>4.4429999999999996</v>
      </c>
      <c r="M481">
        <v>4.0949999999999998</v>
      </c>
      <c r="N481">
        <v>4.7569999999999997</v>
      </c>
    </row>
    <row r="482" spans="1:21" x14ac:dyDescent="0.25">
      <c r="C482">
        <v>22.9</v>
      </c>
      <c r="D482" s="23">
        <v>251.00800000000001</v>
      </c>
      <c r="E482" s="23">
        <v>269.37099999999998</v>
      </c>
      <c r="F482" s="23">
        <v>360.16800000000001</v>
      </c>
      <c r="G482" s="23">
        <v>362.25900000000001</v>
      </c>
      <c r="H482" s="23">
        <v>280.125</v>
      </c>
      <c r="I482" s="23">
        <v>363.76</v>
      </c>
      <c r="J482" s="23">
        <v>333.33499999999998</v>
      </c>
      <c r="K482">
        <v>4.2910000000000004</v>
      </c>
      <c r="L482">
        <v>4.1470000000000002</v>
      </c>
      <c r="M482">
        <v>4.2089999999999996</v>
      </c>
      <c r="N482">
        <v>4.5739999999999998</v>
      </c>
    </row>
    <row r="483" spans="1:21" x14ac:dyDescent="0.25">
      <c r="C483">
        <v>21.628</v>
      </c>
      <c r="D483" s="23">
        <v>276.34699999999998</v>
      </c>
      <c r="E483" s="23">
        <v>355.077</v>
      </c>
      <c r="F483" s="23">
        <v>367.39</v>
      </c>
      <c r="G483" s="23">
        <v>451.08</v>
      </c>
      <c r="H483" s="23">
        <v>434.2</v>
      </c>
      <c r="I483" s="23">
        <v>388.63299999999998</v>
      </c>
      <c r="J483" s="23">
        <v>133.32300000000001</v>
      </c>
      <c r="K483">
        <v>4.282</v>
      </c>
      <c r="L483" s="9">
        <v>275.142</v>
      </c>
      <c r="M483" s="9">
        <v>344.50299999999999</v>
      </c>
      <c r="N483">
        <v>5.085</v>
      </c>
    </row>
    <row r="484" spans="1:21" x14ac:dyDescent="0.25">
      <c r="C484">
        <v>25.085000000000001</v>
      </c>
      <c r="D484" s="23">
        <v>231.93600000000001</v>
      </c>
      <c r="E484" s="23">
        <v>301.22800000000001</v>
      </c>
      <c r="F484" s="23">
        <v>423.98700000000002</v>
      </c>
      <c r="G484" s="23">
        <v>465.77100000000002</v>
      </c>
      <c r="H484" s="23">
        <v>47.654000000000003</v>
      </c>
      <c r="I484" s="23">
        <v>39.119999999999997</v>
      </c>
      <c r="J484">
        <v>4.0570000000000004</v>
      </c>
      <c r="K484">
        <v>3.714</v>
      </c>
      <c r="L484">
        <v>4.2370000000000001</v>
      </c>
      <c r="M484">
        <v>4.3449999999999998</v>
      </c>
      <c r="N484">
        <v>3.7330000000000001</v>
      </c>
    </row>
    <row r="486" spans="1:21" x14ac:dyDescent="0.25">
      <c r="A486" t="s">
        <v>146</v>
      </c>
      <c r="B486" t="s">
        <v>173</v>
      </c>
    </row>
    <row r="487" spans="1:21" x14ac:dyDescent="0.25">
      <c r="A487" t="s">
        <v>139</v>
      </c>
      <c r="B487" t="s">
        <v>154</v>
      </c>
      <c r="C487">
        <v>1.3</v>
      </c>
      <c r="D487" t="s">
        <v>141</v>
      </c>
      <c r="E487" t="s">
        <v>142</v>
      </c>
      <c r="F487" t="s">
        <v>143</v>
      </c>
      <c r="G487" t="s">
        <v>144</v>
      </c>
      <c r="H487" t="b">
        <v>0</v>
      </c>
      <c r="I487">
        <v>1</v>
      </c>
      <c r="O487">
        <v>1</v>
      </c>
      <c r="P487">
        <v>620</v>
      </c>
      <c r="Q487">
        <v>1</v>
      </c>
      <c r="R487">
        <v>12</v>
      </c>
      <c r="S487">
        <v>96</v>
      </c>
      <c r="T487">
        <v>1</v>
      </c>
      <c r="U487">
        <v>8</v>
      </c>
    </row>
    <row r="488" spans="1:21" x14ac:dyDescent="0.25">
      <c r="B488" t="s">
        <v>145</v>
      </c>
      <c r="C488">
        <v>1</v>
      </c>
      <c r="D488">
        <v>2</v>
      </c>
      <c r="E488">
        <v>3</v>
      </c>
      <c r="F488">
        <v>4</v>
      </c>
      <c r="G488">
        <v>5</v>
      </c>
      <c r="H488">
        <v>6</v>
      </c>
      <c r="I488">
        <v>7</v>
      </c>
      <c r="J488">
        <v>8</v>
      </c>
      <c r="K488">
        <v>9</v>
      </c>
      <c r="L488">
        <v>10</v>
      </c>
      <c r="M488">
        <v>11</v>
      </c>
      <c r="N488">
        <v>12</v>
      </c>
    </row>
    <row r="489" spans="1:21" x14ac:dyDescent="0.25">
      <c r="B489">
        <v>24.7</v>
      </c>
      <c r="C489">
        <v>2.5070999999999999</v>
      </c>
      <c r="D489">
        <v>2.0512999999999999</v>
      </c>
      <c r="E489">
        <v>1.2867</v>
      </c>
      <c r="F489">
        <v>0.98319999999999996</v>
      </c>
      <c r="G489">
        <v>1.2014</v>
      </c>
      <c r="H489">
        <v>0.73060000000000003</v>
      </c>
      <c r="I489">
        <v>0.37</v>
      </c>
      <c r="J489">
        <v>5.16E-2</v>
      </c>
      <c r="K489">
        <v>5.2699999999999997E-2</v>
      </c>
      <c r="L489">
        <v>5.5199999999999999E-2</v>
      </c>
      <c r="M489">
        <v>6.3100000000000003E-2</v>
      </c>
      <c r="N489">
        <v>5.5199999999999999E-2</v>
      </c>
    </row>
    <row r="490" spans="1:21" x14ac:dyDescent="0.25">
      <c r="C490">
        <v>2.6071</v>
      </c>
      <c r="D490">
        <v>2.1173999999999999</v>
      </c>
      <c r="E490">
        <v>1.4086000000000001</v>
      </c>
      <c r="F490">
        <v>1.1968000000000001</v>
      </c>
      <c r="G490">
        <v>1.3435999999999999</v>
      </c>
      <c r="H490">
        <v>1.1880999999999999</v>
      </c>
      <c r="I490">
        <v>0.81169999999999998</v>
      </c>
      <c r="J490">
        <v>5.1499999999999997E-2</v>
      </c>
      <c r="K490">
        <v>5.2499999999999998E-2</v>
      </c>
      <c r="L490">
        <v>5.1900000000000002E-2</v>
      </c>
      <c r="M490">
        <v>5.7099999999999998E-2</v>
      </c>
      <c r="N490">
        <v>5.3199999999999997E-2</v>
      </c>
    </row>
    <row r="491" spans="1:21" x14ac:dyDescent="0.25">
      <c r="C491">
        <v>2.7222</v>
      </c>
      <c r="D491">
        <v>1.8956</v>
      </c>
      <c r="E491">
        <v>1.2155</v>
      </c>
      <c r="F491">
        <v>1.5404</v>
      </c>
      <c r="G491">
        <v>1.2815000000000001</v>
      </c>
      <c r="H491">
        <v>1.2363999999999999</v>
      </c>
      <c r="I491">
        <v>5.2600000000000001E-2</v>
      </c>
      <c r="J491">
        <v>5.1799999999999999E-2</v>
      </c>
      <c r="K491">
        <v>5.2600000000000001E-2</v>
      </c>
      <c r="L491">
        <v>5.2400000000000002E-2</v>
      </c>
      <c r="M491">
        <v>5.4199999999999998E-2</v>
      </c>
      <c r="N491">
        <v>5.3100000000000001E-2</v>
      </c>
    </row>
    <row r="492" spans="1:21" x14ac:dyDescent="0.25">
      <c r="C492">
        <v>2.7772999999999999</v>
      </c>
      <c r="D492">
        <v>1.8606</v>
      </c>
      <c r="E492">
        <v>1.1944999999999999</v>
      </c>
      <c r="F492">
        <v>1.1768000000000001</v>
      </c>
      <c r="G492">
        <v>1.3492</v>
      </c>
      <c r="H492">
        <v>1.2770999999999999</v>
      </c>
      <c r="I492">
        <v>5.1900000000000002E-2</v>
      </c>
      <c r="J492">
        <v>1.0747</v>
      </c>
      <c r="K492">
        <v>5.16E-2</v>
      </c>
      <c r="L492">
        <v>5.2499999999999998E-2</v>
      </c>
      <c r="M492">
        <v>5.3199999999999997E-2</v>
      </c>
      <c r="N492">
        <v>5.28E-2</v>
      </c>
    </row>
    <row r="493" spans="1:21" x14ac:dyDescent="0.25">
      <c r="C493">
        <v>2.6854</v>
      </c>
      <c r="D493">
        <v>2.0427</v>
      </c>
      <c r="E493">
        <v>1.4232</v>
      </c>
      <c r="F493">
        <v>1.1920999999999999</v>
      </c>
      <c r="G493">
        <v>1.3695999999999999</v>
      </c>
      <c r="H493">
        <v>1.2492000000000001</v>
      </c>
      <c r="I493">
        <v>1.4298</v>
      </c>
      <c r="J493">
        <v>5.1799999999999999E-2</v>
      </c>
      <c r="K493">
        <v>5.2299999999999999E-2</v>
      </c>
      <c r="L493">
        <v>5.2900000000000003E-2</v>
      </c>
      <c r="M493">
        <v>5.1900000000000002E-2</v>
      </c>
      <c r="N493">
        <v>5.3600000000000002E-2</v>
      </c>
    </row>
    <row r="494" spans="1:21" x14ac:dyDescent="0.25">
      <c r="C494">
        <v>3.1141000000000001</v>
      </c>
      <c r="D494">
        <v>2.2513000000000001</v>
      </c>
      <c r="E494">
        <v>1.4009</v>
      </c>
      <c r="F494">
        <v>1.1855</v>
      </c>
      <c r="G494">
        <v>1.3966000000000001</v>
      </c>
      <c r="H494">
        <v>1.3163</v>
      </c>
      <c r="I494">
        <v>1.2037</v>
      </c>
      <c r="J494">
        <v>5.21E-2</v>
      </c>
      <c r="K494">
        <v>5.1799999999999999E-2</v>
      </c>
      <c r="L494">
        <v>5.28E-2</v>
      </c>
      <c r="M494">
        <v>5.2499999999999998E-2</v>
      </c>
      <c r="N494">
        <v>5.2999999999999999E-2</v>
      </c>
    </row>
    <row r="495" spans="1:21" x14ac:dyDescent="0.25">
      <c r="C495">
        <v>3.7694000000000001</v>
      </c>
      <c r="D495">
        <v>2.6949000000000001</v>
      </c>
      <c r="E495">
        <v>1.4602999999999999</v>
      </c>
      <c r="F495">
        <v>1.1881999999999999</v>
      </c>
      <c r="G495">
        <v>1.3601000000000001</v>
      </c>
      <c r="H495">
        <v>1.0013000000000001</v>
      </c>
      <c r="I495">
        <v>1.1349</v>
      </c>
      <c r="J495">
        <v>5.21E-2</v>
      </c>
      <c r="K495">
        <v>5.2200000000000003E-2</v>
      </c>
      <c r="L495">
        <v>5.2600000000000001E-2</v>
      </c>
      <c r="M495">
        <v>5.2900000000000003E-2</v>
      </c>
      <c r="N495">
        <v>5.2299999999999999E-2</v>
      </c>
    </row>
    <row r="496" spans="1:21" x14ac:dyDescent="0.25">
      <c r="C496">
        <v>2.8033000000000001</v>
      </c>
      <c r="D496">
        <v>2.3357999999999999</v>
      </c>
      <c r="E496">
        <v>1.4097</v>
      </c>
      <c r="F496">
        <v>0.94540000000000002</v>
      </c>
      <c r="G496">
        <v>1.1333</v>
      </c>
      <c r="H496">
        <v>0.77200000000000002</v>
      </c>
      <c r="I496">
        <v>0.81230000000000002</v>
      </c>
      <c r="J496">
        <v>0.49299999999999999</v>
      </c>
      <c r="K496">
        <v>0.80779999999999996</v>
      </c>
      <c r="L496">
        <v>5.3100000000000001E-2</v>
      </c>
      <c r="M496">
        <v>5.5500000000000001E-2</v>
      </c>
      <c r="N496">
        <v>5.3800000000000001E-2</v>
      </c>
    </row>
    <row r="498" spans="1:31" x14ac:dyDescent="0.25">
      <c r="A498" t="s">
        <v>146</v>
      </c>
      <c r="B498" t="s">
        <v>173</v>
      </c>
    </row>
    <row r="499" spans="1:31" x14ac:dyDescent="0.25">
      <c r="A499" t="s">
        <v>139</v>
      </c>
      <c r="B499" t="s">
        <v>155</v>
      </c>
      <c r="C499">
        <v>1.3</v>
      </c>
      <c r="D499">
        <v>-1</v>
      </c>
      <c r="E499">
        <v>-2</v>
      </c>
      <c r="F499">
        <v>-3</v>
      </c>
      <c r="G499">
        <v>-4</v>
      </c>
      <c r="H499">
        <v>-5</v>
      </c>
      <c r="I499">
        <v>-6</v>
      </c>
      <c r="J499">
        <v>-7</v>
      </c>
      <c r="K499">
        <v>-8</v>
      </c>
      <c r="L499">
        <v>-9</v>
      </c>
      <c r="M499">
        <v>-10</v>
      </c>
      <c r="N499">
        <v>-11</v>
      </c>
      <c r="P499">
        <v>1</v>
      </c>
      <c r="Q499">
        <v>620</v>
      </c>
      <c r="R499">
        <v>1</v>
      </c>
      <c r="S499">
        <v>12</v>
      </c>
      <c r="T499">
        <v>96</v>
      </c>
      <c r="U499">
        <v>571</v>
      </c>
      <c r="V499" t="s">
        <v>149</v>
      </c>
      <c r="W499">
        <v>610</v>
      </c>
      <c r="Z499">
        <v>6</v>
      </c>
      <c r="AD499">
        <v>1</v>
      </c>
      <c r="AE499">
        <v>8</v>
      </c>
    </row>
    <row r="500" spans="1:31" x14ac:dyDescent="0.25">
      <c r="B500" t="s">
        <v>145</v>
      </c>
      <c r="C500">
        <v>1</v>
      </c>
      <c r="D500">
        <v>2</v>
      </c>
      <c r="E500">
        <v>3</v>
      </c>
      <c r="F500">
        <v>4</v>
      </c>
      <c r="G500">
        <v>5</v>
      </c>
      <c r="H500">
        <v>6</v>
      </c>
      <c r="I500">
        <v>7</v>
      </c>
      <c r="J500">
        <v>8</v>
      </c>
      <c r="K500">
        <v>9</v>
      </c>
      <c r="L500">
        <v>10</v>
      </c>
      <c r="M500">
        <v>11</v>
      </c>
      <c r="N500">
        <v>12</v>
      </c>
    </row>
    <row r="501" spans="1:31" x14ac:dyDescent="0.25">
      <c r="B501">
        <v>24.8</v>
      </c>
      <c r="C501">
        <v>20.65</v>
      </c>
      <c r="D501" s="23">
        <v>380.84500000000003</v>
      </c>
      <c r="E501" s="23">
        <v>274.64400000000001</v>
      </c>
      <c r="F501" s="23">
        <v>450.43900000000002</v>
      </c>
      <c r="G501" s="23">
        <v>502.37700000000001</v>
      </c>
      <c r="H501" s="23">
        <v>362.928</v>
      </c>
      <c r="I501" s="23">
        <v>146.15100000000001</v>
      </c>
      <c r="J501">
        <v>3.5409999999999999</v>
      </c>
      <c r="K501">
        <v>4.1950000000000003</v>
      </c>
      <c r="L501">
        <v>3.3109999999999999</v>
      </c>
      <c r="M501">
        <v>3.903</v>
      </c>
      <c r="N501">
        <v>3.968</v>
      </c>
    </row>
    <row r="502" spans="1:31" x14ac:dyDescent="0.25">
      <c r="C502">
        <v>28.890999999999998</v>
      </c>
      <c r="D502" s="23">
        <v>317.89100000000002</v>
      </c>
      <c r="E502" s="23">
        <v>302.70600000000002</v>
      </c>
      <c r="F502" s="23">
        <v>392.56799999999998</v>
      </c>
      <c r="G502" s="23">
        <v>428.8</v>
      </c>
      <c r="H502" s="23">
        <v>405.04500000000002</v>
      </c>
      <c r="I502" s="23">
        <v>309.88900000000001</v>
      </c>
      <c r="J502">
        <v>4.1749999999999998</v>
      </c>
      <c r="K502">
        <v>4.0430000000000001</v>
      </c>
      <c r="L502">
        <v>4.0919999999999996</v>
      </c>
      <c r="M502">
        <v>3.9039999999999999</v>
      </c>
      <c r="N502">
        <v>4.7770000000000001</v>
      </c>
    </row>
    <row r="503" spans="1:31" x14ac:dyDescent="0.25">
      <c r="C503">
        <v>29.597999999999999</v>
      </c>
      <c r="D503" s="23">
        <v>297.08600000000001</v>
      </c>
      <c r="E503" s="23">
        <v>380.13099999999997</v>
      </c>
      <c r="F503" s="23">
        <v>12.16</v>
      </c>
      <c r="G503" s="23">
        <v>331.76600000000002</v>
      </c>
      <c r="H503" s="23">
        <v>397.16699999999997</v>
      </c>
      <c r="I503">
        <v>5.1130000000000004</v>
      </c>
      <c r="J503">
        <v>4.1120000000000001</v>
      </c>
      <c r="K503">
        <v>3.7069999999999999</v>
      </c>
      <c r="L503">
        <v>4.24</v>
      </c>
      <c r="M503">
        <v>3.907</v>
      </c>
      <c r="N503">
        <v>4.74</v>
      </c>
    </row>
    <row r="504" spans="1:31" x14ac:dyDescent="0.25">
      <c r="C504">
        <v>29.503</v>
      </c>
      <c r="D504" s="23">
        <v>304.14100000000002</v>
      </c>
      <c r="E504" s="23">
        <v>379.41399999999999</v>
      </c>
      <c r="F504" s="23">
        <v>360.67</v>
      </c>
      <c r="G504" s="23">
        <v>384.24900000000002</v>
      </c>
      <c r="H504" s="23">
        <v>399.03699999999998</v>
      </c>
      <c r="I504">
        <v>4.6050000000000004</v>
      </c>
      <c r="J504" s="9">
        <v>362.49299999999999</v>
      </c>
      <c r="K504">
        <v>4.343</v>
      </c>
      <c r="L504">
        <v>4.4240000000000004</v>
      </c>
      <c r="M504">
        <v>3.92</v>
      </c>
      <c r="N504">
        <v>4.8769999999999998</v>
      </c>
    </row>
    <row r="505" spans="1:31" x14ac:dyDescent="0.25">
      <c r="C505">
        <v>26.972999999999999</v>
      </c>
      <c r="D505" s="23">
        <v>344.08300000000003</v>
      </c>
      <c r="E505" s="23">
        <v>211.547</v>
      </c>
      <c r="F505" s="23">
        <v>372.14</v>
      </c>
      <c r="G505" s="23">
        <v>406.07100000000003</v>
      </c>
      <c r="H505" s="23">
        <v>397.08199999999999</v>
      </c>
      <c r="I505" s="23">
        <v>424.05200000000002</v>
      </c>
      <c r="J505">
        <v>4.33</v>
      </c>
      <c r="K505">
        <v>3.8849999999999998</v>
      </c>
      <c r="L505">
        <v>4.5049999999999999</v>
      </c>
      <c r="M505">
        <v>3.8149999999999999</v>
      </c>
      <c r="N505">
        <v>4.1210000000000004</v>
      </c>
    </row>
    <row r="506" spans="1:31" x14ac:dyDescent="0.25">
      <c r="C506">
        <v>23.864000000000001</v>
      </c>
      <c r="D506" s="23">
        <v>291.88400000000001</v>
      </c>
      <c r="E506" s="23">
        <v>333.31099999999998</v>
      </c>
      <c r="F506" s="23">
        <v>361.05900000000003</v>
      </c>
      <c r="G506" s="23">
        <v>448.23599999999999</v>
      </c>
      <c r="H506" s="23">
        <v>451.46</v>
      </c>
      <c r="I506" s="23">
        <v>378.42500000000001</v>
      </c>
      <c r="J506">
        <v>4.0549999999999997</v>
      </c>
      <c r="K506">
        <v>4.2450000000000001</v>
      </c>
      <c r="L506">
        <v>3.2679999999999998</v>
      </c>
      <c r="M506">
        <v>4.3929999999999998</v>
      </c>
      <c r="N506">
        <v>4.0960000000000001</v>
      </c>
    </row>
    <row r="507" spans="1:31" x14ac:dyDescent="0.25">
      <c r="C507">
        <v>25.54</v>
      </c>
      <c r="D507" s="23">
        <v>120.59</v>
      </c>
      <c r="E507" s="23">
        <v>323.226</v>
      </c>
      <c r="F507" s="23">
        <v>373.803</v>
      </c>
      <c r="G507" s="23">
        <v>412.54300000000001</v>
      </c>
      <c r="H507" s="23">
        <v>340.66300000000001</v>
      </c>
      <c r="I507" s="23">
        <v>394.93799999999999</v>
      </c>
      <c r="J507">
        <v>4.0289999999999999</v>
      </c>
      <c r="K507">
        <v>4.1310000000000002</v>
      </c>
      <c r="L507">
        <v>4.3550000000000004</v>
      </c>
      <c r="M507">
        <v>3.9510000000000001</v>
      </c>
      <c r="N507">
        <v>4.3819999999999997</v>
      </c>
    </row>
    <row r="508" spans="1:31" x14ac:dyDescent="0.25">
      <c r="C508">
        <v>20.033999999999999</v>
      </c>
      <c r="D508" s="23">
        <v>370.76900000000001</v>
      </c>
      <c r="E508" s="23">
        <v>376.64499999999998</v>
      </c>
      <c r="F508" s="23">
        <v>368.952</v>
      </c>
      <c r="G508" s="23">
        <v>467.06400000000002</v>
      </c>
      <c r="H508" s="23">
        <v>417.59199999999998</v>
      </c>
      <c r="I508" s="23">
        <v>407.89699999999999</v>
      </c>
      <c r="J508" s="23">
        <v>250.05199999999999</v>
      </c>
      <c r="K508" s="23">
        <v>380.35899999999998</v>
      </c>
      <c r="L508">
        <v>4.5010000000000003</v>
      </c>
      <c r="M508">
        <v>3.883</v>
      </c>
      <c r="N508">
        <v>4.1509999999999998</v>
      </c>
    </row>
    <row r="510" spans="1:31" x14ac:dyDescent="0.25">
      <c r="A510" t="s">
        <v>146</v>
      </c>
      <c r="B510" t="s">
        <v>174</v>
      </c>
    </row>
    <row r="511" spans="1:31" x14ac:dyDescent="0.25">
      <c r="A511" t="s">
        <v>139</v>
      </c>
      <c r="B511" t="s">
        <v>140</v>
      </c>
      <c r="C511">
        <v>1.3</v>
      </c>
      <c r="D511" t="s">
        <v>141</v>
      </c>
      <c r="E511" t="s">
        <v>142</v>
      </c>
      <c r="F511" t="s">
        <v>143</v>
      </c>
      <c r="G511" t="s">
        <v>144</v>
      </c>
      <c r="H511" t="b">
        <v>0</v>
      </c>
      <c r="I511">
        <v>1</v>
      </c>
      <c r="O511">
        <v>1</v>
      </c>
      <c r="P511">
        <v>620</v>
      </c>
      <c r="Q511">
        <v>1</v>
      </c>
      <c r="R511">
        <v>12</v>
      </c>
      <c r="S511">
        <v>96</v>
      </c>
      <c r="T511">
        <v>1</v>
      </c>
      <c r="U511">
        <v>8</v>
      </c>
    </row>
    <row r="512" spans="1:31" x14ac:dyDescent="0.25">
      <c r="B512" t="s">
        <v>145</v>
      </c>
      <c r="C512">
        <v>1</v>
      </c>
      <c r="D512">
        <v>2</v>
      </c>
      <c r="E512">
        <v>3</v>
      </c>
      <c r="F512">
        <v>4</v>
      </c>
      <c r="G512">
        <v>5</v>
      </c>
      <c r="H512">
        <v>6</v>
      </c>
      <c r="I512">
        <v>7</v>
      </c>
      <c r="J512">
        <v>8</v>
      </c>
      <c r="K512">
        <v>9</v>
      </c>
      <c r="L512">
        <v>10</v>
      </c>
      <c r="M512">
        <v>11</v>
      </c>
      <c r="N512">
        <v>12</v>
      </c>
    </row>
    <row r="513" spans="1:31" x14ac:dyDescent="0.25">
      <c r="B513">
        <v>24.8</v>
      </c>
      <c r="C513">
        <v>2.7496</v>
      </c>
      <c r="D513">
        <v>2.1217000000000001</v>
      </c>
      <c r="E513">
        <v>1.5295000000000001</v>
      </c>
      <c r="F513">
        <v>1.3421000000000001</v>
      </c>
      <c r="G513">
        <v>1.2108000000000001</v>
      </c>
      <c r="H513">
        <v>0.94489999999999996</v>
      </c>
      <c r="I513">
        <v>0.5323</v>
      </c>
      <c r="J513">
        <v>5.2499999999999998E-2</v>
      </c>
      <c r="K513">
        <v>5.4100000000000002E-2</v>
      </c>
      <c r="L513">
        <v>5.8400000000000001E-2</v>
      </c>
      <c r="M513">
        <v>5.3800000000000001E-2</v>
      </c>
      <c r="N513">
        <v>5.3600000000000002E-2</v>
      </c>
    </row>
    <row r="514" spans="1:31" x14ac:dyDescent="0.25">
      <c r="C514">
        <v>2.8487</v>
      </c>
      <c r="D514">
        <v>2.0558999999999998</v>
      </c>
      <c r="E514">
        <v>1.5512999999999999</v>
      </c>
      <c r="F514">
        <v>1.323</v>
      </c>
      <c r="G514">
        <v>1.2693000000000001</v>
      </c>
      <c r="H514">
        <v>1.0294000000000001</v>
      </c>
      <c r="I514">
        <v>5.2600000000000001E-2</v>
      </c>
      <c r="J514">
        <v>5.3400000000000003E-2</v>
      </c>
      <c r="K514">
        <v>5.2499999999999998E-2</v>
      </c>
      <c r="L514">
        <v>5.4399999999999997E-2</v>
      </c>
      <c r="M514">
        <v>5.3900000000000003E-2</v>
      </c>
      <c r="N514">
        <v>5.4100000000000002E-2</v>
      </c>
    </row>
    <row r="515" spans="1:31" x14ac:dyDescent="0.25">
      <c r="C515">
        <v>3.0966</v>
      </c>
      <c r="D515">
        <v>2.1541000000000001</v>
      </c>
      <c r="E515">
        <v>1.5084</v>
      </c>
      <c r="F515">
        <v>1.3460000000000001</v>
      </c>
      <c r="G515">
        <v>1.2950999999999999</v>
      </c>
      <c r="H515">
        <v>0.71889999999999998</v>
      </c>
      <c r="I515">
        <v>0.4592</v>
      </c>
      <c r="J515">
        <v>5.3100000000000001E-2</v>
      </c>
      <c r="K515">
        <v>5.4199999999999998E-2</v>
      </c>
      <c r="L515">
        <v>5.3400000000000003E-2</v>
      </c>
      <c r="M515">
        <v>5.3600000000000002E-2</v>
      </c>
      <c r="N515">
        <v>5.45E-2</v>
      </c>
    </row>
    <row r="516" spans="1:31" x14ac:dyDescent="0.25">
      <c r="C516">
        <v>2.8405999999999998</v>
      </c>
      <c r="D516">
        <v>2.2143000000000002</v>
      </c>
      <c r="E516">
        <v>1.4787999999999999</v>
      </c>
      <c r="F516">
        <v>1.4157</v>
      </c>
      <c r="G516">
        <v>1.2659</v>
      </c>
      <c r="H516">
        <v>0.7994</v>
      </c>
      <c r="I516">
        <v>5.6300000000000003E-2</v>
      </c>
      <c r="J516">
        <v>5.5500000000000001E-2</v>
      </c>
      <c r="K516">
        <v>5.5100000000000003E-2</v>
      </c>
      <c r="L516">
        <v>5.4300000000000001E-2</v>
      </c>
      <c r="M516">
        <v>5.4300000000000001E-2</v>
      </c>
      <c r="N516">
        <v>5.5399999999999998E-2</v>
      </c>
    </row>
    <row r="517" spans="1:31" x14ac:dyDescent="0.25">
      <c r="C517">
        <v>3.3443000000000001</v>
      </c>
      <c r="D517">
        <v>2.2101999999999999</v>
      </c>
      <c r="E517">
        <v>1.4701</v>
      </c>
      <c r="F517">
        <v>1.3957999999999999</v>
      </c>
      <c r="G517">
        <v>1.2947</v>
      </c>
      <c r="H517">
        <v>1.1669</v>
      </c>
      <c r="I517">
        <v>0.79800000000000004</v>
      </c>
      <c r="J517">
        <v>5.6000000000000001E-2</v>
      </c>
      <c r="K517">
        <v>5.8000000000000003E-2</v>
      </c>
      <c r="L517">
        <v>5.6599999999999998E-2</v>
      </c>
      <c r="M517">
        <v>5.6399999999999999E-2</v>
      </c>
      <c r="N517">
        <v>5.5399999999999998E-2</v>
      </c>
    </row>
    <row r="518" spans="1:31" x14ac:dyDescent="0.25">
      <c r="C518">
        <v>3.0059999999999998</v>
      </c>
      <c r="D518">
        <v>2.5272999999999999</v>
      </c>
      <c r="E518">
        <v>1.5656000000000001</v>
      </c>
      <c r="F518">
        <v>1.3649</v>
      </c>
      <c r="G518">
        <v>0.9022</v>
      </c>
      <c r="H518">
        <v>1.1952</v>
      </c>
      <c r="I518">
        <v>1.0853999999999999</v>
      </c>
      <c r="J518">
        <v>5.5399999999999998E-2</v>
      </c>
      <c r="K518">
        <v>5.7799999999999997E-2</v>
      </c>
      <c r="L518">
        <v>5.8200000000000002E-2</v>
      </c>
      <c r="M518">
        <v>5.6399999999999999E-2</v>
      </c>
      <c r="N518">
        <v>5.5599999999999997E-2</v>
      </c>
    </row>
    <row r="519" spans="1:31" x14ac:dyDescent="0.25">
      <c r="C519">
        <v>1.9398</v>
      </c>
      <c r="D519">
        <v>2.3151999999999999</v>
      </c>
      <c r="E519">
        <v>1.5527</v>
      </c>
      <c r="F519">
        <v>1.3942000000000001</v>
      </c>
      <c r="G519">
        <v>1.1897</v>
      </c>
      <c r="H519">
        <v>1.1641999999999999</v>
      </c>
      <c r="I519">
        <v>5.5899999999999998E-2</v>
      </c>
      <c r="J519">
        <v>5.5100000000000003E-2</v>
      </c>
      <c r="K519">
        <v>5.79E-2</v>
      </c>
      <c r="L519">
        <v>5.5399999999999998E-2</v>
      </c>
      <c r="M519">
        <v>5.5800000000000002E-2</v>
      </c>
      <c r="N519">
        <v>5.4699999999999999E-2</v>
      </c>
    </row>
    <row r="520" spans="1:31" x14ac:dyDescent="0.25">
      <c r="C520">
        <v>2.8666</v>
      </c>
      <c r="D520">
        <v>2.5987</v>
      </c>
      <c r="E520">
        <v>1.5962000000000001</v>
      </c>
      <c r="F520">
        <v>1.3001</v>
      </c>
      <c r="G520">
        <v>1.1901999999999999</v>
      </c>
      <c r="H520">
        <v>0.91069999999999995</v>
      </c>
      <c r="I520">
        <v>5.6899999999999999E-2</v>
      </c>
      <c r="J520">
        <v>0.3019</v>
      </c>
      <c r="K520">
        <v>0.89839999999999998</v>
      </c>
      <c r="L520">
        <v>5.6599999999999998E-2</v>
      </c>
      <c r="M520">
        <v>5.8599999999999999E-2</v>
      </c>
      <c r="N520">
        <v>5.6899999999999999E-2</v>
      </c>
    </row>
    <row r="521" spans="1:31" x14ac:dyDescent="0.25">
      <c r="B521" t="s">
        <v>174</v>
      </c>
    </row>
    <row r="522" spans="1:31" x14ac:dyDescent="0.25">
      <c r="A522" t="s">
        <v>146</v>
      </c>
    </row>
    <row r="523" spans="1:31" x14ac:dyDescent="0.25">
      <c r="A523" t="s">
        <v>139</v>
      </c>
      <c r="B523" t="s">
        <v>147</v>
      </c>
      <c r="C523">
        <v>1.3</v>
      </c>
      <c r="D523">
        <v>-1</v>
      </c>
      <c r="E523">
        <v>-2</v>
      </c>
      <c r="F523">
        <v>-3</v>
      </c>
      <c r="G523">
        <v>-4</v>
      </c>
      <c r="H523">
        <v>-5</v>
      </c>
      <c r="I523">
        <v>-6</v>
      </c>
      <c r="J523">
        <v>-7</v>
      </c>
      <c r="K523">
        <v>-8</v>
      </c>
      <c r="L523">
        <v>-9</v>
      </c>
      <c r="M523">
        <v>-10</v>
      </c>
      <c r="N523">
        <v>-11</v>
      </c>
      <c r="P523">
        <v>1</v>
      </c>
      <c r="Q523">
        <v>620</v>
      </c>
      <c r="R523">
        <v>1</v>
      </c>
      <c r="S523">
        <v>12</v>
      </c>
      <c r="T523">
        <v>96</v>
      </c>
      <c r="U523">
        <v>571</v>
      </c>
      <c r="V523" t="s">
        <v>149</v>
      </c>
      <c r="W523">
        <v>610</v>
      </c>
      <c r="Z523">
        <v>6</v>
      </c>
      <c r="AD523">
        <v>1</v>
      </c>
      <c r="AE523">
        <v>8</v>
      </c>
    </row>
    <row r="524" spans="1:31" x14ac:dyDescent="0.25">
      <c r="B524" t="s">
        <v>145</v>
      </c>
      <c r="C524">
        <v>1</v>
      </c>
      <c r="D524">
        <v>2</v>
      </c>
      <c r="E524">
        <v>3</v>
      </c>
      <c r="F524">
        <v>4</v>
      </c>
      <c r="G524">
        <v>5</v>
      </c>
      <c r="H524">
        <v>6</v>
      </c>
      <c r="I524">
        <v>7</v>
      </c>
      <c r="J524">
        <v>8</v>
      </c>
      <c r="K524">
        <v>9</v>
      </c>
      <c r="L524">
        <v>10</v>
      </c>
      <c r="M524">
        <v>11</v>
      </c>
      <c r="N524">
        <v>12</v>
      </c>
    </row>
    <row r="525" spans="1:31" x14ac:dyDescent="0.25">
      <c r="B525">
        <v>24.7</v>
      </c>
      <c r="C525">
        <v>28.63</v>
      </c>
      <c r="D525" s="23">
        <v>81.492000000000004</v>
      </c>
      <c r="E525" s="23">
        <v>48.253999999999998</v>
      </c>
      <c r="F525" s="23">
        <v>446.03899999999999</v>
      </c>
      <c r="G525" s="23">
        <v>452.12200000000001</v>
      </c>
      <c r="H525" s="23">
        <v>396.87599999999998</v>
      </c>
      <c r="I525" s="23">
        <v>260.97500000000002</v>
      </c>
      <c r="J525">
        <v>4.4279999999999999</v>
      </c>
      <c r="K525">
        <v>4.2210000000000001</v>
      </c>
      <c r="L525">
        <v>4.024</v>
      </c>
      <c r="M525">
        <v>4.1210000000000004</v>
      </c>
      <c r="N525">
        <v>5.069</v>
      </c>
    </row>
    <row r="526" spans="1:31" x14ac:dyDescent="0.25">
      <c r="C526">
        <v>29.562000000000001</v>
      </c>
      <c r="D526" s="23">
        <v>77.900999999999996</v>
      </c>
      <c r="E526" s="23">
        <v>155.434</v>
      </c>
      <c r="F526" s="23">
        <v>397.75400000000002</v>
      </c>
      <c r="G526" s="23">
        <v>411.69400000000002</v>
      </c>
      <c r="H526" s="23">
        <v>377.11500000000001</v>
      </c>
      <c r="I526">
        <v>4.0049999999999999</v>
      </c>
      <c r="J526">
        <v>4.9939999999999998</v>
      </c>
      <c r="K526">
        <v>3.5230000000000001</v>
      </c>
      <c r="L526">
        <v>3.7970000000000002</v>
      </c>
      <c r="M526">
        <v>4.5720000000000001</v>
      </c>
      <c r="N526">
        <v>4.5519999999999996</v>
      </c>
    </row>
    <row r="527" spans="1:31" x14ac:dyDescent="0.25">
      <c r="C527">
        <v>28.041</v>
      </c>
      <c r="D527" s="23">
        <v>87.421999999999997</v>
      </c>
      <c r="E527" s="23">
        <v>420.75099999999998</v>
      </c>
      <c r="F527" s="23">
        <v>375.38200000000001</v>
      </c>
      <c r="G527" s="23">
        <v>392.93299999999999</v>
      </c>
      <c r="H527" s="23">
        <v>154.63900000000001</v>
      </c>
      <c r="I527">
        <v>5.1130000000000004</v>
      </c>
      <c r="J527">
        <v>3.9660000000000002</v>
      </c>
      <c r="K527">
        <v>4.0060000000000002</v>
      </c>
      <c r="L527">
        <v>4.1070000000000002</v>
      </c>
      <c r="M527">
        <v>4.157</v>
      </c>
      <c r="N527">
        <v>4.1360000000000001</v>
      </c>
    </row>
    <row r="528" spans="1:31" x14ac:dyDescent="0.25">
      <c r="C528">
        <v>26.286000000000001</v>
      </c>
      <c r="D528" s="23">
        <v>89.436999999999998</v>
      </c>
      <c r="E528" s="23">
        <v>411.911</v>
      </c>
      <c r="F528" s="23">
        <v>420.13600000000002</v>
      </c>
      <c r="G528" s="23">
        <v>340.35599999999999</v>
      </c>
      <c r="H528" s="23">
        <v>298.601</v>
      </c>
      <c r="I528">
        <v>4.1609999999999996</v>
      </c>
      <c r="J528">
        <v>4.4640000000000004</v>
      </c>
      <c r="K528">
        <v>4.0350000000000001</v>
      </c>
      <c r="L528">
        <v>4.4560000000000004</v>
      </c>
      <c r="M528">
        <v>3.8109999999999999</v>
      </c>
      <c r="N528">
        <v>4.8840000000000003</v>
      </c>
    </row>
    <row r="529" spans="1:21" x14ac:dyDescent="0.25">
      <c r="C529">
        <v>20.331</v>
      </c>
      <c r="D529" s="23">
        <v>85.182000000000002</v>
      </c>
      <c r="E529" s="23">
        <v>322.79199999999997</v>
      </c>
      <c r="F529" s="23">
        <v>396.55200000000002</v>
      </c>
      <c r="G529" s="23">
        <v>311.08300000000003</v>
      </c>
      <c r="H529" s="23">
        <v>346.19900000000001</v>
      </c>
      <c r="I529" s="23">
        <v>293.78399999999999</v>
      </c>
      <c r="J529">
        <v>3.9159999999999999</v>
      </c>
      <c r="K529">
        <v>4.4870000000000001</v>
      </c>
      <c r="L529">
        <v>3.5059999999999998</v>
      </c>
      <c r="M529">
        <v>3.9910000000000001</v>
      </c>
      <c r="N529">
        <v>4.601</v>
      </c>
    </row>
    <row r="530" spans="1:21" x14ac:dyDescent="0.25">
      <c r="C530">
        <v>21.408999999999999</v>
      </c>
      <c r="D530" s="23">
        <v>60.04</v>
      </c>
      <c r="E530" s="23">
        <v>255.97499999999999</v>
      </c>
      <c r="F530" s="23">
        <v>361.45400000000001</v>
      </c>
      <c r="G530" s="23">
        <v>189.17400000000001</v>
      </c>
      <c r="H530" s="23">
        <v>375.33800000000002</v>
      </c>
      <c r="I530" s="23">
        <v>376.78699999999998</v>
      </c>
      <c r="J530">
        <v>4.3940000000000001</v>
      </c>
      <c r="K530">
        <v>4.0090000000000003</v>
      </c>
      <c r="L530">
        <v>4.5090000000000003</v>
      </c>
      <c r="M530">
        <v>4.3330000000000002</v>
      </c>
      <c r="N530">
        <v>4.1609999999999996</v>
      </c>
    </row>
    <row r="531" spans="1:21" x14ac:dyDescent="0.25">
      <c r="C531">
        <v>19.736999999999998</v>
      </c>
      <c r="D531" s="23">
        <v>97.001000000000005</v>
      </c>
      <c r="E531" s="23">
        <v>330.827</v>
      </c>
      <c r="F531" s="23">
        <v>402.43200000000002</v>
      </c>
      <c r="G531" s="23">
        <v>307.19400000000002</v>
      </c>
      <c r="H531" s="23">
        <v>391.25700000000001</v>
      </c>
      <c r="I531">
        <v>3.8079999999999998</v>
      </c>
      <c r="J531">
        <v>4.3339999999999996</v>
      </c>
      <c r="K531">
        <v>4.5359999999999996</v>
      </c>
      <c r="L531">
        <v>3.7679999999999998</v>
      </c>
      <c r="M531">
        <v>4.5549999999999997</v>
      </c>
      <c r="N531">
        <v>4.9400000000000004</v>
      </c>
    </row>
    <row r="532" spans="1:21" x14ac:dyDescent="0.25">
      <c r="C532">
        <v>24.506</v>
      </c>
      <c r="D532" s="23">
        <v>126.005</v>
      </c>
      <c r="E532" s="23">
        <v>102.09099999999999</v>
      </c>
      <c r="F532" s="23">
        <v>377.59300000000002</v>
      </c>
      <c r="G532" s="23">
        <v>387.041</v>
      </c>
      <c r="H532" s="23">
        <v>379.83800000000002</v>
      </c>
      <c r="I532">
        <v>3.544</v>
      </c>
      <c r="J532" s="9">
        <v>98.685000000000002</v>
      </c>
      <c r="K532" s="9">
        <v>397.577</v>
      </c>
      <c r="L532">
        <v>3.6549999999999998</v>
      </c>
      <c r="M532">
        <v>4.2830000000000004</v>
      </c>
      <c r="N532">
        <v>3.9750000000000001</v>
      </c>
    </row>
    <row r="534" spans="1:21" x14ac:dyDescent="0.25">
      <c r="A534" t="s">
        <v>146</v>
      </c>
      <c r="B534" t="s">
        <v>175</v>
      </c>
    </row>
    <row r="535" spans="1:21" x14ac:dyDescent="0.25">
      <c r="A535" t="s">
        <v>139</v>
      </c>
      <c r="B535" t="s">
        <v>151</v>
      </c>
      <c r="C535">
        <v>1.3</v>
      </c>
      <c r="D535" t="s">
        <v>141</v>
      </c>
      <c r="E535" t="s">
        <v>142</v>
      </c>
      <c r="F535" t="s">
        <v>143</v>
      </c>
      <c r="G535" t="s">
        <v>144</v>
      </c>
      <c r="H535" t="b">
        <v>0</v>
      </c>
      <c r="I535">
        <v>1</v>
      </c>
      <c r="O535">
        <v>1</v>
      </c>
      <c r="P535">
        <v>620</v>
      </c>
      <c r="Q535">
        <v>1</v>
      </c>
      <c r="R535">
        <v>12</v>
      </c>
      <c r="S535">
        <v>96</v>
      </c>
      <c r="T535">
        <v>1</v>
      </c>
      <c r="U535">
        <v>8</v>
      </c>
    </row>
    <row r="536" spans="1:21" x14ac:dyDescent="0.25">
      <c r="B536" t="s">
        <v>145</v>
      </c>
      <c r="C536">
        <v>1</v>
      </c>
      <c r="D536">
        <v>2</v>
      </c>
      <c r="E536">
        <v>3</v>
      </c>
      <c r="F536">
        <v>4</v>
      </c>
      <c r="G536">
        <v>5</v>
      </c>
      <c r="H536">
        <v>6</v>
      </c>
      <c r="I536">
        <v>7</v>
      </c>
      <c r="J536">
        <v>8</v>
      </c>
      <c r="K536">
        <v>9</v>
      </c>
      <c r="L536">
        <v>10</v>
      </c>
      <c r="M536">
        <v>11</v>
      </c>
      <c r="N536">
        <v>12</v>
      </c>
    </row>
    <row r="537" spans="1:21" x14ac:dyDescent="0.25">
      <c r="B537">
        <v>24.8</v>
      </c>
      <c r="C537">
        <v>2.907</v>
      </c>
      <c r="D537">
        <v>2.0672999999999999</v>
      </c>
      <c r="E537">
        <v>1.1731</v>
      </c>
      <c r="F537">
        <v>1.1899</v>
      </c>
      <c r="G537">
        <v>0.87509999999999999</v>
      </c>
      <c r="H537">
        <v>0.6139</v>
      </c>
      <c r="I537">
        <v>0.56259999999999999</v>
      </c>
      <c r="J537">
        <v>5.16E-2</v>
      </c>
      <c r="K537">
        <v>5.16E-2</v>
      </c>
      <c r="L537">
        <v>5.3100000000000001E-2</v>
      </c>
      <c r="M537">
        <v>5.0900000000000001E-2</v>
      </c>
      <c r="N537">
        <v>5.1299999999999998E-2</v>
      </c>
    </row>
    <row r="538" spans="1:21" x14ac:dyDescent="0.25">
      <c r="C538">
        <v>2.8515999999999999</v>
      </c>
      <c r="D538">
        <v>2.3378000000000001</v>
      </c>
      <c r="E538">
        <v>1.6209</v>
      </c>
      <c r="F538">
        <v>1.3115000000000001</v>
      </c>
      <c r="G538">
        <v>1.2269000000000001</v>
      </c>
      <c r="H538">
        <v>0.92649999999999999</v>
      </c>
      <c r="I538">
        <v>5.1700000000000003E-2</v>
      </c>
      <c r="J538">
        <v>5.1999999999999998E-2</v>
      </c>
      <c r="K538">
        <v>5.28E-2</v>
      </c>
      <c r="L538">
        <v>5.2299999999999999E-2</v>
      </c>
      <c r="M538">
        <v>5.3600000000000002E-2</v>
      </c>
      <c r="N538">
        <v>5.1400000000000001E-2</v>
      </c>
    </row>
    <row r="539" spans="1:21" x14ac:dyDescent="0.25">
      <c r="C539">
        <v>2.7311000000000001</v>
      </c>
      <c r="D539">
        <v>2.1286999999999998</v>
      </c>
      <c r="E539">
        <v>1.546</v>
      </c>
      <c r="F539">
        <v>1.369</v>
      </c>
      <c r="G539">
        <v>1.1037999999999999</v>
      </c>
      <c r="H539">
        <v>1.0855999999999999</v>
      </c>
      <c r="I539">
        <v>1.0960000000000001</v>
      </c>
      <c r="J539">
        <v>5.3600000000000002E-2</v>
      </c>
      <c r="K539">
        <v>5.16E-2</v>
      </c>
      <c r="L539">
        <v>5.2200000000000003E-2</v>
      </c>
      <c r="M539">
        <v>5.1499999999999997E-2</v>
      </c>
      <c r="N539">
        <v>5.1799999999999999E-2</v>
      </c>
    </row>
    <row r="540" spans="1:21" x14ac:dyDescent="0.25">
      <c r="C540">
        <v>3.4279999999999999</v>
      </c>
      <c r="D540">
        <v>2.0221</v>
      </c>
      <c r="E540">
        <v>1.5982000000000001</v>
      </c>
      <c r="F540">
        <v>1.3391</v>
      </c>
      <c r="G540">
        <v>1.2765</v>
      </c>
      <c r="H540">
        <v>0.83889999999999998</v>
      </c>
      <c r="I540">
        <v>5.1700000000000003E-2</v>
      </c>
      <c r="J540">
        <v>5.21E-2</v>
      </c>
      <c r="K540">
        <v>5.1700000000000003E-2</v>
      </c>
      <c r="L540">
        <v>5.2299999999999999E-2</v>
      </c>
      <c r="M540">
        <v>5.1700000000000003E-2</v>
      </c>
      <c r="N540">
        <v>5.2600000000000001E-2</v>
      </c>
    </row>
    <row r="541" spans="1:21" x14ac:dyDescent="0.25">
      <c r="C541">
        <v>3.319</v>
      </c>
      <c r="D541">
        <v>2.2517999999999998</v>
      </c>
      <c r="E541">
        <v>1.6882999999999999</v>
      </c>
      <c r="F541">
        <v>1.3026</v>
      </c>
      <c r="G541">
        <v>1.0946</v>
      </c>
      <c r="H541">
        <v>1.0119</v>
      </c>
      <c r="I541">
        <v>0.98429999999999995</v>
      </c>
      <c r="J541">
        <v>5.2600000000000001E-2</v>
      </c>
      <c r="K541">
        <v>5.1999999999999998E-2</v>
      </c>
      <c r="L541">
        <v>5.2299999999999999E-2</v>
      </c>
      <c r="M541">
        <v>5.1499999999999997E-2</v>
      </c>
      <c r="N541">
        <v>5.2400000000000002E-2</v>
      </c>
    </row>
    <row r="542" spans="1:21" x14ac:dyDescent="0.25">
      <c r="C542">
        <v>3.1892999999999998</v>
      </c>
      <c r="D542">
        <v>2.2599999999999998</v>
      </c>
      <c r="E542">
        <v>1.4852000000000001</v>
      </c>
      <c r="F542">
        <v>1.2252000000000001</v>
      </c>
      <c r="G542">
        <v>1.0662</v>
      </c>
      <c r="H542">
        <v>1.1357999999999999</v>
      </c>
      <c r="I542">
        <v>0.90080000000000005</v>
      </c>
      <c r="J542">
        <v>5.2299999999999999E-2</v>
      </c>
      <c r="K542">
        <v>5.2200000000000003E-2</v>
      </c>
      <c r="L542">
        <v>5.2499999999999998E-2</v>
      </c>
      <c r="M542">
        <v>5.2200000000000003E-2</v>
      </c>
      <c r="N542">
        <v>5.1999999999999998E-2</v>
      </c>
    </row>
    <row r="543" spans="1:21" x14ac:dyDescent="0.25">
      <c r="C543">
        <v>2.6114000000000002</v>
      </c>
      <c r="D543">
        <v>2.3826000000000001</v>
      </c>
      <c r="E543">
        <v>1.5569999999999999</v>
      </c>
      <c r="F543">
        <v>1.1742999999999999</v>
      </c>
      <c r="G543">
        <v>0.93869999999999998</v>
      </c>
      <c r="H543">
        <v>0.98270000000000002</v>
      </c>
      <c r="I543">
        <v>5.1799999999999999E-2</v>
      </c>
      <c r="J543">
        <v>5.3100000000000001E-2</v>
      </c>
      <c r="K543">
        <v>5.2900000000000003E-2</v>
      </c>
      <c r="L543">
        <v>5.45E-2</v>
      </c>
      <c r="M543">
        <v>5.1999999999999998E-2</v>
      </c>
      <c r="N543">
        <v>5.2299999999999999E-2</v>
      </c>
    </row>
    <row r="544" spans="1:21" x14ac:dyDescent="0.25">
      <c r="C544">
        <v>1.2159</v>
      </c>
      <c r="D544">
        <v>1.3168</v>
      </c>
      <c r="E544">
        <v>0.84209999999999996</v>
      </c>
      <c r="F544">
        <v>0.91690000000000005</v>
      </c>
      <c r="G544">
        <v>0.50670000000000004</v>
      </c>
      <c r="H544">
        <v>0.19800000000000001</v>
      </c>
      <c r="I544">
        <v>5.0799999999999998E-2</v>
      </c>
      <c r="J544">
        <v>5.6899999999999999E-2</v>
      </c>
      <c r="K544">
        <v>5.4800000000000001E-2</v>
      </c>
      <c r="L544">
        <v>5.8799999999999998E-2</v>
      </c>
      <c r="M544">
        <v>5.1799999999999999E-2</v>
      </c>
      <c r="N544">
        <v>5.2699999999999997E-2</v>
      </c>
    </row>
    <row r="546" spans="1:31" x14ac:dyDescent="0.25">
      <c r="A546" t="s">
        <v>146</v>
      </c>
      <c r="B546" t="s">
        <v>175</v>
      </c>
    </row>
    <row r="547" spans="1:31" x14ac:dyDescent="0.25">
      <c r="A547" t="s">
        <v>139</v>
      </c>
      <c r="B547" t="s">
        <v>152</v>
      </c>
      <c r="C547">
        <v>1.3</v>
      </c>
      <c r="D547">
        <v>-1</v>
      </c>
      <c r="E547">
        <v>-2</v>
      </c>
      <c r="F547">
        <v>-3</v>
      </c>
      <c r="G547">
        <v>-4</v>
      </c>
      <c r="H547">
        <v>-5</v>
      </c>
      <c r="I547">
        <v>-6</v>
      </c>
      <c r="J547">
        <v>-7</v>
      </c>
      <c r="K547">
        <v>-8</v>
      </c>
      <c r="L547">
        <v>-9</v>
      </c>
      <c r="M547">
        <v>-10</v>
      </c>
      <c r="N547">
        <v>-11</v>
      </c>
      <c r="P547">
        <v>1</v>
      </c>
      <c r="Q547">
        <v>620</v>
      </c>
      <c r="R547">
        <v>1</v>
      </c>
      <c r="S547">
        <v>12</v>
      </c>
      <c r="T547">
        <v>96</v>
      </c>
      <c r="U547">
        <v>571</v>
      </c>
      <c r="V547" t="s">
        <v>149</v>
      </c>
      <c r="W547">
        <v>610</v>
      </c>
      <c r="Z547">
        <v>6</v>
      </c>
      <c r="AD547">
        <v>1</v>
      </c>
      <c r="AE547">
        <v>8</v>
      </c>
    </row>
    <row r="548" spans="1:31" x14ac:dyDescent="0.25">
      <c r="B548" t="s">
        <v>145</v>
      </c>
      <c r="C548">
        <v>1</v>
      </c>
      <c r="D548">
        <v>2</v>
      </c>
      <c r="E548">
        <v>3</v>
      </c>
      <c r="F548">
        <v>4</v>
      </c>
      <c r="G548">
        <v>5</v>
      </c>
      <c r="H548">
        <v>6</v>
      </c>
      <c r="I548">
        <v>7</v>
      </c>
      <c r="J548">
        <v>8</v>
      </c>
      <c r="K548">
        <v>9</v>
      </c>
      <c r="L548">
        <v>10</v>
      </c>
      <c r="M548">
        <v>11</v>
      </c>
      <c r="N548">
        <v>12</v>
      </c>
    </row>
    <row r="549" spans="1:31" x14ac:dyDescent="0.25">
      <c r="B549">
        <v>24.8</v>
      </c>
      <c r="C549">
        <v>27.148</v>
      </c>
      <c r="D549" s="23">
        <v>155.29499999999999</v>
      </c>
      <c r="E549" s="23">
        <v>408.32100000000003</v>
      </c>
      <c r="F549" s="23">
        <v>412.92899999999997</v>
      </c>
      <c r="G549" s="23">
        <v>404.07100000000003</v>
      </c>
      <c r="H549" s="23">
        <v>352.601</v>
      </c>
      <c r="I549" s="23">
        <v>338.22199999999998</v>
      </c>
      <c r="J549">
        <v>3.7949999999999999</v>
      </c>
      <c r="K549">
        <v>3.8260000000000001</v>
      </c>
      <c r="L549">
        <v>4.8949999999999996</v>
      </c>
      <c r="M549">
        <v>4.1230000000000002</v>
      </c>
      <c r="N549">
        <v>5.1050000000000004</v>
      </c>
    </row>
    <row r="550" spans="1:31" x14ac:dyDescent="0.25">
      <c r="C550">
        <v>24.81</v>
      </c>
      <c r="D550" s="23">
        <v>70.367000000000004</v>
      </c>
      <c r="E550" s="23">
        <v>88.545000000000002</v>
      </c>
      <c r="F550" s="23">
        <v>379.48899999999998</v>
      </c>
      <c r="G550" s="23">
        <v>435.66800000000001</v>
      </c>
      <c r="H550" s="23">
        <v>334.92899999999997</v>
      </c>
      <c r="I550">
        <v>4.0380000000000003</v>
      </c>
      <c r="J550">
        <v>3.8170000000000002</v>
      </c>
      <c r="K550">
        <v>4.5140000000000002</v>
      </c>
      <c r="L550">
        <v>5.1959999999999997</v>
      </c>
      <c r="M550">
        <v>4.1779999999999999</v>
      </c>
      <c r="N550">
        <v>4.8819999999999997</v>
      </c>
    </row>
    <row r="551" spans="1:31" x14ac:dyDescent="0.25">
      <c r="C551">
        <v>22.170999999999999</v>
      </c>
      <c r="D551" s="23">
        <v>133.756</v>
      </c>
      <c r="E551" s="23">
        <v>380.64499999999998</v>
      </c>
      <c r="F551" s="23">
        <v>381.46699999999998</v>
      </c>
      <c r="G551" s="23">
        <v>276.16800000000001</v>
      </c>
      <c r="H551" s="23">
        <v>324.26499999999999</v>
      </c>
      <c r="I551" s="23">
        <v>371.21300000000002</v>
      </c>
      <c r="J551">
        <v>4.4720000000000004</v>
      </c>
      <c r="K551">
        <v>3.9020000000000001</v>
      </c>
      <c r="L551">
        <v>4.6059999999999999</v>
      </c>
      <c r="M551">
        <v>4.8490000000000002</v>
      </c>
      <c r="N551">
        <v>4.7060000000000004</v>
      </c>
    </row>
    <row r="552" spans="1:31" x14ac:dyDescent="0.25">
      <c r="C552">
        <v>22.42</v>
      </c>
      <c r="D552" s="23">
        <v>144.542</v>
      </c>
      <c r="E552" s="23">
        <v>167.14699999999999</v>
      </c>
      <c r="F552" s="23">
        <v>399.53100000000001</v>
      </c>
      <c r="G552" s="23">
        <v>454.63499999999999</v>
      </c>
      <c r="H552" s="23">
        <v>261.51600000000002</v>
      </c>
      <c r="I552">
        <v>4.4080000000000004</v>
      </c>
      <c r="J552">
        <v>4.5129999999999999</v>
      </c>
      <c r="K552">
        <v>4.1779999999999999</v>
      </c>
      <c r="L552">
        <v>5.4240000000000004</v>
      </c>
      <c r="M552">
        <v>4.5910000000000002</v>
      </c>
      <c r="N552">
        <v>5.1210000000000004</v>
      </c>
    </row>
    <row r="553" spans="1:31" x14ac:dyDescent="0.25">
      <c r="C553">
        <v>24.027999999999999</v>
      </c>
      <c r="D553" s="23">
        <v>87.382000000000005</v>
      </c>
      <c r="E553" s="23">
        <v>38.116</v>
      </c>
      <c r="F553" s="23">
        <v>400.125</v>
      </c>
      <c r="G553" s="23">
        <v>272.58699999999999</v>
      </c>
      <c r="H553" s="23">
        <v>343.51100000000002</v>
      </c>
      <c r="I553" s="23">
        <v>348.16300000000001</v>
      </c>
      <c r="J553">
        <v>4.9290000000000003</v>
      </c>
      <c r="K553">
        <v>3.8919999999999999</v>
      </c>
      <c r="L553">
        <v>5.2489999999999997</v>
      </c>
      <c r="M553">
        <v>4.1360000000000001</v>
      </c>
      <c r="N553">
        <v>4.6589999999999998</v>
      </c>
    </row>
    <row r="554" spans="1:31" x14ac:dyDescent="0.25">
      <c r="C554">
        <v>23.771000000000001</v>
      </c>
      <c r="D554" s="23">
        <v>96.564999999999998</v>
      </c>
      <c r="E554" s="23">
        <v>414.81799999999998</v>
      </c>
      <c r="F554" s="23">
        <v>355.80099999999999</v>
      </c>
      <c r="G554" s="23">
        <v>251.202</v>
      </c>
      <c r="H554" s="23">
        <v>340.06</v>
      </c>
      <c r="I554" s="23">
        <v>335.80799999999999</v>
      </c>
      <c r="J554">
        <v>4.4029999999999996</v>
      </c>
      <c r="K554">
        <v>4.0119999999999996</v>
      </c>
      <c r="L554">
        <v>4.99</v>
      </c>
      <c r="M554">
        <v>4.4050000000000002</v>
      </c>
      <c r="N554">
        <v>4.7030000000000003</v>
      </c>
    </row>
    <row r="555" spans="1:31" x14ac:dyDescent="0.25">
      <c r="C555">
        <v>20.754999999999999</v>
      </c>
      <c r="D555" s="23">
        <v>32.912999999999997</v>
      </c>
      <c r="E555" s="23">
        <v>91.51</v>
      </c>
      <c r="F555" s="23">
        <v>359.26600000000002</v>
      </c>
      <c r="G555" s="23">
        <v>246.13300000000001</v>
      </c>
      <c r="H555" s="23">
        <v>379.202</v>
      </c>
      <c r="I555">
        <v>4.2629999999999999</v>
      </c>
      <c r="J555">
        <v>4.6660000000000004</v>
      </c>
      <c r="K555">
        <v>4.4400000000000004</v>
      </c>
      <c r="L555">
        <v>5.0609999999999999</v>
      </c>
      <c r="M555">
        <v>4.4169999999999998</v>
      </c>
      <c r="N555">
        <v>4.6520000000000001</v>
      </c>
    </row>
    <row r="556" spans="1:31" x14ac:dyDescent="0.25">
      <c r="C556">
        <v>18.577000000000002</v>
      </c>
      <c r="D556" s="23">
        <v>217.952</v>
      </c>
      <c r="E556" s="23">
        <v>373.14800000000002</v>
      </c>
      <c r="F556" s="23">
        <v>364.62</v>
      </c>
      <c r="G556" s="23">
        <v>281.08300000000003</v>
      </c>
      <c r="H556" s="23">
        <v>143.83000000000001</v>
      </c>
      <c r="I556">
        <v>2.794</v>
      </c>
      <c r="J556">
        <v>3.84</v>
      </c>
      <c r="K556">
        <v>3.7320000000000002</v>
      </c>
      <c r="L556">
        <v>4.9249999999999998</v>
      </c>
      <c r="M556">
        <v>4.3789999999999996</v>
      </c>
      <c r="N556">
        <v>4</v>
      </c>
    </row>
    <row r="558" spans="1:31" x14ac:dyDescent="0.25">
      <c r="A558" t="s">
        <v>146</v>
      </c>
      <c r="B558" t="s">
        <v>176</v>
      </c>
    </row>
    <row r="559" spans="1:31" x14ac:dyDescent="0.25">
      <c r="A559" t="s">
        <v>139</v>
      </c>
      <c r="B559" t="s">
        <v>154</v>
      </c>
      <c r="C559">
        <v>1.3</v>
      </c>
      <c r="D559" t="s">
        <v>141</v>
      </c>
      <c r="E559" t="s">
        <v>142</v>
      </c>
      <c r="F559" t="s">
        <v>143</v>
      </c>
      <c r="G559" t="s">
        <v>144</v>
      </c>
      <c r="H559" t="b">
        <v>0</v>
      </c>
      <c r="I559">
        <v>1</v>
      </c>
      <c r="O559">
        <v>1</v>
      </c>
      <c r="P559">
        <v>620</v>
      </c>
      <c r="Q559">
        <v>1</v>
      </c>
      <c r="R559">
        <v>12</v>
      </c>
      <c r="S559">
        <v>96</v>
      </c>
      <c r="T559">
        <v>1</v>
      </c>
      <c r="U559">
        <v>8</v>
      </c>
    </row>
    <row r="560" spans="1:31" x14ac:dyDescent="0.25">
      <c r="B560" t="s">
        <v>145</v>
      </c>
      <c r="C560">
        <v>1</v>
      </c>
      <c r="D560">
        <v>2</v>
      </c>
      <c r="E560">
        <v>3</v>
      </c>
      <c r="F560">
        <v>4</v>
      </c>
      <c r="G560">
        <v>5</v>
      </c>
      <c r="H560">
        <v>6</v>
      </c>
      <c r="I560">
        <v>7</v>
      </c>
      <c r="J560">
        <v>8</v>
      </c>
      <c r="K560">
        <v>9</v>
      </c>
      <c r="L560">
        <v>10</v>
      </c>
      <c r="M560">
        <v>11</v>
      </c>
      <c r="N560">
        <v>12</v>
      </c>
    </row>
    <row r="561" spans="1:31" x14ac:dyDescent="0.25">
      <c r="B561">
        <v>24.8</v>
      </c>
      <c r="C561">
        <v>1.6977</v>
      </c>
      <c r="D561">
        <v>1.8002</v>
      </c>
      <c r="E561">
        <v>0.96589999999999998</v>
      </c>
      <c r="F561">
        <v>1.1383000000000001</v>
      </c>
      <c r="G561">
        <v>0.60970000000000002</v>
      </c>
      <c r="H561">
        <v>0.49990000000000001</v>
      </c>
      <c r="I561">
        <v>0.56630000000000003</v>
      </c>
      <c r="J561">
        <v>5.1400000000000001E-2</v>
      </c>
      <c r="K561">
        <v>5.2900000000000003E-2</v>
      </c>
      <c r="L561">
        <v>5.2600000000000001E-2</v>
      </c>
      <c r="M561">
        <v>5.2999999999999999E-2</v>
      </c>
      <c r="N561">
        <v>5.21E-2</v>
      </c>
    </row>
    <row r="562" spans="1:31" x14ac:dyDescent="0.25">
      <c r="C562">
        <v>2.2115999999999998</v>
      </c>
      <c r="D562">
        <v>1.772</v>
      </c>
      <c r="E562">
        <v>1.2677</v>
      </c>
      <c r="F562">
        <v>1.3233999999999999</v>
      </c>
      <c r="G562">
        <v>1.1766000000000001</v>
      </c>
      <c r="H562">
        <v>1.1880999999999999</v>
      </c>
      <c r="I562">
        <v>5.2200000000000003E-2</v>
      </c>
      <c r="J562">
        <v>5.2699999999999997E-2</v>
      </c>
      <c r="K562">
        <v>5.2400000000000002E-2</v>
      </c>
      <c r="L562">
        <v>5.3600000000000002E-2</v>
      </c>
      <c r="M562">
        <v>5.4300000000000001E-2</v>
      </c>
      <c r="N562">
        <v>5.3199999999999997E-2</v>
      </c>
    </row>
    <row r="563" spans="1:31" x14ac:dyDescent="0.25">
      <c r="C563">
        <v>2.5802</v>
      </c>
      <c r="D563">
        <v>2.0466000000000002</v>
      </c>
      <c r="E563">
        <v>1.2803</v>
      </c>
      <c r="F563">
        <v>1.4078999999999999</v>
      </c>
      <c r="G563">
        <v>1.2669999999999999</v>
      </c>
      <c r="H563">
        <v>1.1847000000000001</v>
      </c>
      <c r="I563">
        <v>5.1299999999999998E-2</v>
      </c>
      <c r="J563">
        <v>5.1999999999999998E-2</v>
      </c>
      <c r="K563">
        <v>5.1900000000000002E-2</v>
      </c>
      <c r="L563">
        <v>5.2900000000000003E-2</v>
      </c>
      <c r="M563">
        <v>5.2600000000000001E-2</v>
      </c>
      <c r="N563">
        <v>5.3699999999999998E-2</v>
      </c>
    </row>
    <row r="564" spans="1:31" x14ac:dyDescent="0.25">
      <c r="C564">
        <v>2.7522000000000002</v>
      </c>
      <c r="D564">
        <v>1.6758</v>
      </c>
      <c r="E564">
        <v>1.4806999999999999</v>
      </c>
      <c r="F564">
        <v>1.3823000000000001</v>
      </c>
      <c r="G564">
        <v>1.3545</v>
      </c>
      <c r="H564">
        <v>1.0142</v>
      </c>
      <c r="I564">
        <v>5.1799999999999999E-2</v>
      </c>
      <c r="J564">
        <v>5.1900000000000002E-2</v>
      </c>
      <c r="K564">
        <v>5.3800000000000001E-2</v>
      </c>
      <c r="L564">
        <v>5.28E-2</v>
      </c>
      <c r="M564">
        <v>5.3600000000000002E-2</v>
      </c>
      <c r="N564">
        <v>5.8200000000000002E-2</v>
      </c>
    </row>
    <row r="565" spans="1:31" x14ac:dyDescent="0.25">
      <c r="C565">
        <v>2.8153000000000001</v>
      </c>
      <c r="D565">
        <v>1.9359</v>
      </c>
      <c r="E565">
        <v>1.4388000000000001</v>
      </c>
      <c r="F565">
        <v>1.2882</v>
      </c>
      <c r="G565">
        <v>1.3815</v>
      </c>
      <c r="H565">
        <v>1.2498</v>
      </c>
      <c r="I565">
        <v>1.0765</v>
      </c>
      <c r="J565">
        <v>5.4600000000000003E-2</v>
      </c>
      <c r="K565">
        <v>5.3100000000000001E-2</v>
      </c>
      <c r="L565">
        <v>5.2299999999999999E-2</v>
      </c>
      <c r="M565">
        <v>5.21E-2</v>
      </c>
      <c r="N565">
        <v>5.3499999999999999E-2</v>
      </c>
    </row>
    <row r="566" spans="1:31" x14ac:dyDescent="0.25">
      <c r="C566">
        <v>3.2206999999999999</v>
      </c>
      <c r="D566">
        <v>2.4910999999999999</v>
      </c>
      <c r="E566">
        <v>1.4691000000000001</v>
      </c>
      <c r="F566">
        <v>1.4402999999999999</v>
      </c>
      <c r="G566">
        <v>1.2337</v>
      </c>
      <c r="H566">
        <v>1.0914999999999999</v>
      </c>
      <c r="I566">
        <v>1.0304</v>
      </c>
      <c r="J566">
        <v>5.2699999999999997E-2</v>
      </c>
      <c r="K566">
        <v>5.2200000000000003E-2</v>
      </c>
      <c r="L566">
        <v>5.2299999999999999E-2</v>
      </c>
      <c r="M566">
        <v>5.0900000000000001E-2</v>
      </c>
      <c r="N566">
        <v>5.33E-2</v>
      </c>
    </row>
    <row r="567" spans="1:31" x14ac:dyDescent="0.25">
      <c r="C567">
        <v>3.5175000000000001</v>
      </c>
      <c r="D567">
        <v>2.5030000000000001</v>
      </c>
      <c r="E567">
        <v>1.4846999999999999</v>
      </c>
      <c r="F567">
        <v>1.1763999999999999</v>
      </c>
      <c r="G567">
        <v>1.2511000000000001</v>
      </c>
      <c r="H567">
        <v>0.49419999999999997</v>
      </c>
      <c r="I567">
        <v>0.97660000000000002</v>
      </c>
      <c r="J567">
        <v>5.3199999999999997E-2</v>
      </c>
      <c r="K567">
        <v>5.2499999999999998E-2</v>
      </c>
      <c r="L567">
        <v>5.2200000000000003E-2</v>
      </c>
      <c r="M567">
        <v>5.3499999999999999E-2</v>
      </c>
      <c r="N567">
        <v>5.2400000000000002E-2</v>
      </c>
    </row>
    <row r="568" spans="1:31" x14ac:dyDescent="0.25">
      <c r="C568">
        <v>3.2038000000000002</v>
      </c>
      <c r="D568">
        <v>2.4028</v>
      </c>
      <c r="E568">
        <v>1.3833</v>
      </c>
      <c r="F568">
        <v>1.0476000000000001</v>
      </c>
      <c r="G568">
        <v>0.68810000000000004</v>
      </c>
      <c r="H568">
        <v>0.19139999999999999</v>
      </c>
      <c r="I568">
        <v>0.15709999999999999</v>
      </c>
      <c r="J568">
        <v>5.2499999999999998E-2</v>
      </c>
      <c r="K568">
        <v>5.2499999999999998E-2</v>
      </c>
      <c r="L568">
        <v>5.3699999999999998E-2</v>
      </c>
      <c r="M568">
        <v>8.3699999999999997E-2</v>
      </c>
      <c r="N568">
        <v>5.3199999999999997E-2</v>
      </c>
    </row>
    <row r="570" spans="1:31" x14ac:dyDescent="0.25">
      <c r="A570" t="s">
        <v>146</v>
      </c>
      <c r="B570" t="s">
        <v>176</v>
      </c>
    </row>
    <row r="571" spans="1:31" x14ac:dyDescent="0.25">
      <c r="A571" t="s">
        <v>139</v>
      </c>
      <c r="B571" t="s">
        <v>155</v>
      </c>
      <c r="C571">
        <v>1.3</v>
      </c>
      <c r="D571">
        <v>-1</v>
      </c>
      <c r="E571">
        <v>-2</v>
      </c>
      <c r="F571">
        <v>-3</v>
      </c>
      <c r="G571">
        <v>-4</v>
      </c>
      <c r="H571">
        <v>-5</v>
      </c>
      <c r="I571">
        <v>-6</v>
      </c>
      <c r="J571">
        <v>-7</v>
      </c>
      <c r="K571">
        <v>-8</v>
      </c>
      <c r="L571">
        <v>-9</v>
      </c>
      <c r="M571">
        <v>-10</v>
      </c>
      <c r="N571">
        <v>-11</v>
      </c>
      <c r="P571">
        <v>1</v>
      </c>
      <c r="Q571">
        <v>620</v>
      </c>
      <c r="R571">
        <v>1</v>
      </c>
      <c r="S571">
        <v>12</v>
      </c>
      <c r="T571">
        <v>96</v>
      </c>
      <c r="U571">
        <v>571</v>
      </c>
      <c r="V571" t="s">
        <v>149</v>
      </c>
      <c r="W571">
        <v>610</v>
      </c>
      <c r="Z571">
        <v>6</v>
      </c>
      <c r="AD571">
        <v>1</v>
      </c>
      <c r="AE571">
        <v>8</v>
      </c>
    </row>
    <row r="572" spans="1:31" x14ac:dyDescent="0.25">
      <c r="B572" t="s">
        <v>145</v>
      </c>
      <c r="C572">
        <v>1</v>
      </c>
      <c r="D572">
        <v>2</v>
      </c>
      <c r="E572">
        <v>3</v>
      </c>
      <c r="F572">
        <v>4</v>
      </c>
      <c r="G572">
        <v>5</v>
      </c>
      <c r="H572">
        <v>6</v>
      </c>
      <c r="I572">
        <v>7</v>
      </c>
      <c r="J572">
        <v>8</v>
      </c>
      <c r="K572">
        <v>9</v>
      </c>
      <c r="L572">
        <v>10</v>
      </c>
      <c r="M572">
        <v>11</v>
      </c>
      <c r="N572">
        <v>12</v>
      </c>
    </row>
    <row r="573" spans="1:31" x14ac:dyDescent="0.25">
      <c r="B573">
        <v>24.9</v>
      </c>
      <c r="C573">
        <v>19.111000000000001</v>
      </c>
      <c r="D573" s="23">
        <v>335</v>
      </c>
      <c r="E573" s="23">
        <v>436.71</v>
      </c>
      <c r="F573" s="23">
        <v>400.24</v>
      </c>
      <c r="G573" s="23">
        <v>160.69499999999999</v>
      </c>
      <c r="H573" s="23">
        <v>238.60400000000001</v>
      </c>
      <c r="I573" s="23">
        <v>334.76100000000002</v>
      </c>
      <c r="J573">
        <v>3.74</v>
      </c>
      <c r="K573">
        <v>3.5179999999999998</v>
      </c>
      <c r="L573">
        <v>4.1790000000000003</v>
      </c>
      <c r="M573">
        <v>4.0179999999999998</v>
      </c>
      <c r="N573">
        <v>4.24</v>
      </c>
    </row>
    <row r="574" spans="1:31" x14ac:dyDescent="0.25">
      <c r="C574">
        <v>24.777000000000001</v>
      </c>
      <c r="D574" s="23">
        <v>280.14400000000001</v>
      </c>
      <c r="E574" s="23">
        <v>264.77</v>
      </c>
      <c r="F574" s="23">
        <v>354.56799999999998</v>
      </c>
      <c r="G574" s="23">
        <v>250.374</v>
      </c>
      <c r="H574" s="23">
        <v>409.51</v>
      </c>
      <c r="I574">
        <v>3.794</v>
      </c>
      <c r="J574">
        <v>4.2910000000000004</v>
      </c>
      <c r="K574">
        <v>4.069</v>
      </c>
      <c r="L574">
        <v>3.9940000000000002</v>
      </c>
      <c r="M574">
        <v>4.17</v>
      </c>
      <c r="N574">
        <v>4.1280000000000001</v>
      </c>
    </row>
    <row r="575" spans="1:31" x14ac:dyDescent="0.25">
      <c r="C575">
        <v>27.614000000000001</v>
      </c>
      <c r="D575" s="23">
        <v>292.86900000000003</v>
      </c>
      <c r="E575" s="23">
        <v>369.39699999999999</v>
      </c>
      <c r="F575" s="23">
        <v>392.60500000000002</v>
      </c>
      <c r="G575" s="23">
        <v>371.06400000000002</v>
      </c>
      <c r="H575" s="23">
        <v>377.56400000000002</v>
      </c>
      <c r="I575">
        <v>3.9239999999999999</v>
      </c>
      <c r="J575">
        <v>3.7210000000000001</v>
      </c>
      <c r="K575">
        <v>4.2679999999999998</v>
      </c>
      <c r="L575">
        <v>4.12</v>
      </c>
      <c r="M575">
        <v>4.1390000000000002</v>
      </c>
      <c r="N575">
        <v>4.6980000000000004</v>
      </c>
    </row>
    <row r="576" spans="1:31" x14ac:dyDescent="0.25">
      <c r="C576">
        <v>28.998000000000001</v>
      </c>
      <c r="D576" s="23">
        <v>271.17399999999998</v>
      </c>
      <c r="E576" s="23">
        <v>61.509</v>
      </c>
      <c r="F576" s="23">
        <v>410.63200000000001</v>
      </c>
      <c r="G576" s="23">
        <v>362.05799999999999</v>
      </c>
      <c r="H576" s="23">
        <v>243.14</v>
      </c>
      <c r="I576">
        <v>3.9220000000000002</v>
      </c>
      <c r="J576">
        <v>4.4649999999999999</v>
      </c>
      <c r="K576">
        <v>4.0199999999999996</v>
      </c>
      <c r="L576">
        <v>4.3049999999999997</v>
      </c>
      <c r="M576">
        <v>4.1040000000000001</v>
      </c>
      <c r="N576">
        <v>4.7610000000000001</v>
      </c>
    </row>
    <row r="577" spans="1:14" x14ac:dyDescent="0.25">
      <c r="C577">
        <v>27.506</v>
      </c>
      <c r="D577" s="23">
        <v>276.589</v>
      </c>
      <c r="E577" s="23">
        <v>217.791</v>
      </c>
      <c r="F577" s="23">
        <v>353.28199999999998</v>
      </c>
      <c r="G577" s="23">
        <v>359.32900000000001</v>
      </c>
      <c r="H577" s="23">
        <v>402.16500000000002</v>
      </c>
      <c r="I577" s="23">
        <v>376.20499999999998</v>
      </c>
      <c r="J577">
        <v>4.0380000000000003</v>
      </c>
      <c r="K577">
        <v>4.3460000000000001</v>
      </c>
      <c r="L577">
        <v>4.5940000000000003</v>
      </c>
      <c r="M577">
        <v>4.399</v>
      </c>
      <c r="N577">
        <v>4.4720000000000004</v>
      </c>
    </row>
    <row r="578" spans="1:14" x14ac:dyDescent="0.25">
      <c r="C578">
        <v>24.597000000000001</v>
      </c>
      <c r="D578" s="23">
        <v>161.78800000000001</v>
      </c>
      <c r="E578" s="23">
        <v>320.42599999999999</v>
      </c>
      <c r="F578" s="23">
        <v>402.28399999999999</v>
      </c>
      <c r="G578" s="23">
        <v>370.54899999999998</v>
      </c>
      <c r="H578" s="23">
        <v>350.75700000000001</v>
      </c>
      <c r="I578" s="23">
        <v>346.40300000000002</v>
      </c>
      <c r="J578">
        <v>4.0629999999999997</v>
      </c>
      <c r="K578">
        <v>3.8919999999999999</v>
      </c>
      <c r="L578">
        <v>4.4710000000000001</v>
      </c>
      <c r="M578">
        <v>4.5750000000000002</v>
      </c>
      <c r="N578">
        <v>4.5999999999999996</v>
      </c>
    </row>
    <row r="579" spans="1:14" x14ac:dyDescent="0.25">
      <c r="C579">
        <v>20.79</v>
      </c>
      <c r="D579" s="23">
        <v>54.643000000000001</v>
      </c>
      <c r="E579" s="23">
        <v>228.31800000000001</v>
      </c>
      <c r="F579" s="23">
        <v>128.23599999999999</v>
      </c>
      <c r="G579" s="23">
        <v>392.649</v>
      </c>
      <c r="H579" s="23">
        <v>86.888999999999996</v>
      </c>
      <c r="I579" s="23">
        <v>377.86099999999999</v>
      </c>
      <c r="J579">
        <v>4.024</v>
      </c>
      <c r="K579">
        <v>4.2009999999999996</v>
      </c>
      <c r="L579">
        <v>4.2850000000000001</v>
      </c>
      <c r="M579">
        <v>3.63</v>
      </c>
      <c r="N579">
        <v>3.891</v>
      </c>
    </row>
    <row r="580" spans="1:14" x14ac:dyDescent="0.25">
      <c r="C580">
        <v>22.013999999999999</v>
      </c>
      <c r="D580" s="23">
        <v>74.462999999999994</v>
      </c>
      <c r="E580" s="23">
        <v>137.18</v>
      </c>
      <c r="F580" s="23">
        <v>451.565</v>
      </c>
      <c r="G580" s="23">
        <v>287.48599999999999</v>
      </c>
      <c r="H580" s="23">
        <v>60.899000000000001</v>
      </c>
      <c r="I580" s="23">
        <v>97.682000000000002</v>
      </c>
      <c r="J580">
        <v>3.3069999999999999</v>
      </c>
      <c r="K580">
        <v>3.335</v>
      </c>
      <c r="L580">
        <v>3.4</v>
      </c>
      <c r="M580">
        <v>4.3689999999999998</v>
      </c>
      <c r="N580">
        <v>4.4160000000000004</v>
      </c>
    </row>
    <row r="582" spans="1:14" x14ac:dyDescent="0.25">
      <c r="A582" t="s">
        <v>146</v>
      </c>
    </row>
    <row r="583" spans="1:14" x14ac:dyDescent="0.25">
      <c r="A583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C26A-D702-4A79-AB0D-C1F4E0471C44}">
  <dimension ref="A2:X43"/>
  <sheetViews>
    <sheetView tabSelected="1" workbookViewId="0">
      <selection activeCell="W40" sqref="W40"/>
    </sheetView>
  </sheetViews>
  <sheetFormatPr defaultRowHeight="15" x14ac:dyDescent="0.25"/>
  <cols>
    <col min="1" max="1" width="14.85546875" customWidth="1"/>
    <col min="2" max="2" width="19" customWidth="1"/>
    <col min="13" max="13" width="12" bestFit="1" customWidth="1"/>
    <col min="23" max="24" width="12" bestFit="1" customWidth="1"/>
  </cols>
  <sheetData>
    <row r="2" spans="1:2" x14ac:dyDescent="0.25">
      <c r="B2" t="s">
        <v>207</v>
      </c>
    </row>
    <row r="3" spans="1:2" x14ac:dyDescent="0.25">
      <c r="A3" t="s">
        <v>212</v>
      </c>
      <c r="B3" t="s">
        <v>208</v>
      </c>
    </row>
    <row r="5" spans="1:2" x14ac:dyDescent="0.25">
      <c r="A5" t="s">
        <v>213</v>
      </c>
      <c r="B5" t="s">
        <v>214</v>
      </c>
    </row>
    <row r="6" spans="1:2" x14ac:dyDescent="0.25">
      <c r="B6" t="s">
        <v>215</v>
      </c>
    </row>
    <row r="8" spans="1:2" x14ac:dyDescent="0.25">
      <c r="B8" t="s">
        <v>206</v>
      </c>
    </row>
    <row r="9" spans="1:2" x14ac:dyDescent="0.25">
      <c r="B9" t="s">
        <v>209</v>
      </c>
    </row>
    <row r="11" spans="1:2" x14ac:dyDescent="0.25">
      <c r="A11" t="s">
        <v>210</v>
      </c>
      <c r="B11" t="s">
        <v>216</v>
      </c>
    </row>
    <row r="12" spans="1:2" x14ac:dyDescent="0.25">
      <c r="A12" t="s">
        <v>211</v>
      </c>
      <c r="B12" t="s">
        <v>217</v>
      </c>
    </row>
    <row r="15" spans="1:2" x14ac:dyDescent="0.25">
      <c r="B15" t="s">
        <v>195</v>
      </c>
    </row>
    <row r="16" spans="1:2" x14ac:dyDescent="0.25">
      <c r="B16" t="s">
        <v>196</v>
      </c>
    </row>
    <row r="17" spans="1:24" x14ac:dyDescent="0.25">
      <c r="B17" t="s">
        <v>197</v>
      </c>
    </row>
    <row r="18" spans="1:24" x14ac:dyDescent="0.25">
      <c r="B18" t="s">
        <v>202</v>
      </c>
      <c r="C18" t="s">
        <v>198</v>
      </c>
    </row>
    <row r="19" spans="1:24" x14ac:dyDescent="0.25">
      <c r="B19" t="s">
        <v>203</v>
      </c>
      <c r="C19" t="s">
        <v>199</v>
      </c>
    </row>
    <row r="20" spans="1:24" x14ac:dyDescent="0.25">
      <c r="B20" t="s">
        <v>204</v>
      </c>
      <c r="C20" t="s">
        <v>200</v>
      </c>
    </row>
    <row r="21" spans="1:24" x14ac:dyDescent="0.25">
      <c r="B21" t="s">
        <v>205</v>
      </c>
      <c r="C21" t="s">
        <v>201</v>
      </c>
    </row>
    <row r="23" spans="1:24" x14ac:dyDescent="0.25">
      <c r="B23" t="s">
        <v>218</v>
      </c>
    </row>
    <row r="24" spans="1:24" x14ac:dyDescent="0.25">
      <c r="B24" t="s">
        <v>219</v>
      </c>
    </row>
    <row r="25" spans="1:24" x14ac:dyDescent="0.25">
      <c r="B25" t="s">
        <v>220</v>
      </c>
    </row>
    <row r="29" spans="1:24" x14ac:dyDescent="0.25">
      <c r="F29" s="68" t="s">
        <v>210</v>
      </c>
      <c r="G29" s="68"/>
      <c r="H29" s="68"/>
      <c r="I29" s="68"/>
      <c r="J29" s="68"/>
      <c r="K29" s="68"/>
      <c r="P29" s="68" t="s">
        <v>211</v>
      </c>
      <c r="Q29" s="68"/>
      <c r="R29" s="68"/>
      <c r="S29" s="68"/>
      <c r="T29" s="68"/>
      <c r="U29" s="68"/>
    </row>
    <row r="30" spans="1:24" x14ac:dyDescent="0.25">
      <c r="G30" t="s">
        <v>180</v>
      </c>
      <c r="M30" t="s">
        <v>18</v>
      </c>
      <c r="N30" t="s">
        <v>182</v>
      </c>
      <c r="P30" t="s">
        <v>181</v>
      </c>
      <c r="W30" t="s">
        <v>18</v>
      </c>
      <c r="X30" t="s">
        <v>182</v>
      </c>
    </row>
    <row r="31" spans="1:24" x14ac:dyDescent="0.25">
      <c r="A31" t="s">
        <v>33</v>
      </c>
      <c r="B31" t="s">
        <v>35</v>
      </c>
      <c r="C31" t="s">
        <v>34</v>
      </c>
      <c r="E31" t="s">
        <v>0</v>
      </c>
      <c r="F31" t="s">
        <v>1</v>
      </c>
      <c r="G31" t="s">
        <v>2</v>
      </c>
      <c r="H31" t="s">
        <v>3</v>
      </c>
      <c r="I31" t="s">
        <v>4</v>
      </c>
      <c r="J31" t="s">
        <v>5</v>
      </c>
      <c r="K31" t="s">
        <v>178</v>
      </c>
      <c r="L31">
        <v>1E-4</v>
      </c>
      <c r="M31" t="s">
        <v>19</v>
      </c>
      <c r="N31" t="s">
        <v>183</v>
      </c>
      <c r="O31" t="s">
        <v>0</v>
      </c>
      <c r="P31" t="s">
        <v>1</v>
      </c>
      <c r="Q31" t="s">
        <v>2</v>
      </c>
      <c r="R31" t="s">
        <v>3</v>
      </c>
      <c r="S31" t="s">
        <v>4</v>
      </c>
      <c r="T31" t="s">
        <v>5</v>
      </c>
      <c r="U31" t="s">
        <v>178</v>
      </c>
      <c r="V31">
        <v>1E-4</v>
      </c>
      <c r="W31" t="s">
        <v>19</v>
      </c>
      <c r="X31" t="s">
        <v>183</v>
      </c>
    </row>
    <row r="32" spans="1:24" s="27" customFormat="1" x14ac:dyDescent="0.25">
      <c r="A32" s="27" t="s">
        <v>36</v>
      </c>
      <c r="B32" s="27" t="s">
        <v>37</v>
      </c>
      <c r="C32" s="27" t="s">
        <v>21</v>
      </c>
      <c r="D32" s="27">
        <v>0</v>
      </c>
      <c r="E32" s="27" t="s">
        <v>6</v>
      </c>
      <c r="F32" s="27">
        <v>0</v>
      </c>
      <c r="G32" s="28">
        <v>135111444.96570599</v>
      </c>
      <c r="H32" s="28">
        <v>122835162.313867</v>
      </c>
      <c r="I32" s="28">
        <v>297510496.55282599</v>
      </c>
      <c r="J32" s="28">
        <v>61359524.360444099</v>
      </c>
      <c r="K32" s="27">
        <v>1</v>
      </c>
      <c r="L32" s="27" t="b">
        <f t="shared" ref="L32:L43" si="0">IF(K32&lt;$L$31,TRUE,FALSE)</f>
        <v>0</v>
      </c>
      <c r="M32" s="27">
        <f>LOG10(((10*G32)/0.448))</f>
        <v>9.4794141246236414</v>
      </c>
      <c r="N32" s="27">
        <f>LOG10(((10*H32)/0.448))</f>
        <v>9.4380446900463788</v>
      </c>
      <c r="O32" s="27" t="s">
        <v>6</v>
      </c>
      <c r="P32" s="27">
        <v>0</v>
      </c>
      <c r="Q32" s="28">
        <v>135348786.35899299</v>
      </c>
      <c r="R32" s="28">
        <v>122996765.78883401</v>
      </c>
      <c r="S32" s="28">
        <v>298085151.88131201</v>
      </c>
      <c r="T32" s="28">
        <v>61456579.951176599</v>
      </c>
      <c r="U32" s="27">
        <v>1</v>
      </c>
      <c r="V32" s="27" t="b">
        <f t="shared" ref="V32:V43" si="1">IF(U32&lt;$V$31,TRUE,FALSE)</f>
        <v>0</v>
      </c>
      <c r="W32" s="27">
        <f>LOG10(((10*Q32)/0.448))</f>
        <v>9.4801763519084883</v>
      </c>
      <c r="X32" s="27">
        <f>LOG10(((10*R32)/0.448))</f>
        <v>9.4386156777784116</v>
      </c>
    </row>
    <row r="33" spans="1:24" s="27" customFormat="1" x14ac:dyDescent="0.25">
      <c r="A33" s="27" t="s">
        <v>36</v>
      </c>
      <c r="B33" s="27" t="s">
        <v>38</v>
      </c>
      <c r="C33" s="27" t="s">
        <v>22</v>
      </c>
      <c r="D33" s="27">
        <v>1</v>
      </c>
      <c r="E33" s="27" t="s">
        <v>7</v>
      </c>
      <c r="F33" s="27">
        <v>1</v>
      </c>
      <c r="G33" s="28">
        <v>101374316.914203</v>
      </c>
      <c r="H33" s="28">
        <v>92964178.607006401</v>
      </c>
      <c r="I33" s="28">
        <v>231653162.127422</v>
      </c>
      <c r="J33" s="28">
        <v>44362667.167774498</v>
      </c>
      <c r="K33" s="27">
        <v>0.85352653867078898</v>
      </c>
      <c r="L33" s="27" t="b">
        <f t="shared" si="0"/>
        <v>0</v>
      </c>
      <c r="M33" s="27">
        <f>LOG10(((10*G33)/0.448))</f>
        <v>9.3546499268448233</v>
      </c>
      <c r="N33" s="27">
        <f>LOG10(((10*H33)/0.448))</f>
        <v>9.3170376224033102</v>
      </c>
      <c r="O33" s="27" t="s">
        <v>7</v>
      </c>
      <c r="P33" s="27">
        <v>1</v>
      </c>
      <c r="Q33" s="28">
        <v>101520717.990228</v>
      </c>
      <c r="R33" s="28">
        <v>93074037.806498393</v>
      </c>
      <c r="S33" s="28">
        <v>232013285.15146399</v>
      </c>
      <c r="T33" s="28">
        <v>44421836.338049099</v>
      </c>
      <c r="U33" s="27">
        <v>0.85482279936732897</v>
      </c>
      <c r="V33" s="27" t="b">
        <f t="shared" si="1"/>
        <v>0</v>
      </c>
      <c r="W33" s="27">
        <f>LOG10(((10*Q33)/0.448))</f>
        <v>9.3552766665827072</v>
      </c>
      <c r="X33" s="27">
        <f>LOG10(((10*R33)/0.448))</f>
        <v>9.3175505412066748</v>
      </c>
    </row>
    <row r="34" spans="1:24" s="27" customFormat="1" x14ac:dyDescent="0.25">
      <c r="A34" s="27" t="s">
        <v>36</v>
      </c>
      <c r="B34" s="27" t="s">
        <v>39</v>
      </c>
      <c r="C34" s="27" t="s">
        <v>23</v>
      </c>
      <c r="D34" s="27">
        <v>2</v>
      </c>
      <c r="E34" s="27" t="s">
        <v>8</v>
      </c>
      <c r="F34" s="27">
        <v>2</v>
      </c>
      <c r="G34" s="28">
        <v>61423452.674223602</v>
      </c>
      <c r="H34" s="28">
        <v>52931599.878094301</v>
      </c>
      <c r="I34" s="28">
        <v>154290844.62534401</v>
      </c>
      <c r="J34" s="28">
        <v>24452782.9735067</v>
      </c>
      <c r="K34" s="27">
        <v>1</v>
      </c>
      <c r="L34" s="27" t="b">
        <f t="shared" si="0"/>
        <v>0</v>
      </c>
      <c r="M34" s="27">
        <f>LOG10(((10*G34)/0.448))</f>
        <v>9.1370562109258842</v>
      </c>
      <c r="N34" s="27">
        <f t="shared" ref="N34:N43" si="2">LOG10(((10*H34)/0.448))</f>
        <v>9.0724370069103237</v>
      </c>
      <c r="O34" s="27" t="s">
        <v>8</v>
      </c>
      <c r="P34" s="27">
        <v>2</v>
      </c>
      <c r="Q34" s="28">
        <v>62168440.998784401</v>
      </c>
      <c r="R34" s="28">
        <v>53532326.080304302</v>
      </c>
      <c r="S34" s="28">
        <v>156725034.12048799</v>
      </c>
      <c r="T34" s="28">
        <v>24660483.106024001</v>
      </c>
      <c r="U34" s="27">
        <v>1</v>
      </c>
      <c r="V34" s="27" t="b">
        <f t="shared" si="1"/>
        <v>0</v>
      </c>
      <c r="W34" s="27">
        <f>LOG10(((10*Q34)/0.448))</f>
        <v>9.1422919626813428</v>
      </c>
      <c r="X34" s="27">
        <f t="shared" ref="X34:X43" si="3">LOG10(((10*R34)/0.448))</f>
        <v>9.0773381007077738</v>
      </c>
    </row>
    <row r="35" spans="1:24" s="4" customFormat="1" x14ac:dyDescent="0.25">
      <c r="A35" s="4" t="s">
        <v>36</v>
      </c>
      <c r="B35" s="4" t="s">
        <v>40</v>
      </c>
      <c r="C35" s="4" t="s">
        <v>24</v>
      </c>
      <c r="D35" s="4">
        <v>3</v>
      </c>
      <c r="E35" s="4" t="s">
        <v>9</v>
      </c>
      <c r="F35" s="4">
        <v>3</v>
      </c>
      <c r="G35" s="24">
        <v>11241960.3807982</v>
      </c>
      <c r="H35" s="24">
        <v>10296152.4647283</v>
      </c>
      <c r="I35" s="24">
        <v>26090711.5503137</v>
      </c>
      <c r="J35" s="24">
        <v>4843933.5569564998</v>
      </c>
      <c r="K35" s="4">
        <v>1</v>
      </c>
      <c r="L35" s="4" t="b">
        <f t="shared" si="0"/>
        <v>0</v>
      </c>
      <c r="M35" s="4">
        <f>LOG10(((10*G35)/0.448))</f>
        <v>8.3995640364098474</v>
      </c>
      <c r="N35" s="4">
        <f t="shared" si="2"/>
        <v>8.3613969509490733</v>
      </c>
      <c r="O35" s="4" t="s">
        <v>9</v>
      </c>
      <c r="P35" s="4">
        <v>3</v>
      </c>
      <c r="Q35" s="24">
        <v>11453391.028255301</v>
      </c>
      <c r="R35" s="24">
        <v>10450513.279939201</v>
      </c>
      <c r="S35" s="24">
        <v>26629601.596313398</v>
      </c>
      <c r="T35" s="24">
        <v>4926103.2153136302</v>
      </c>
      <c r="U35" s="4">
        <v>1</v>
      </c>
      <c r="V35" s="4" t="b">
        <f t="shared" si="1"/>
        <v>0</v>
      </c>
      <c r="W35" s="4">
        <f>LOG10(((10*Q35)/0.448))</f>
        <v>8.4076560741471429</v>
      </c>
      <c r="X35" s="4">
        <f t="shared" si="3"/>
        <v>8.36785960747007</v>
      </c>
    </row>
    <row r="36" spans="1:24" s="4" customFormat="1" x14ac:dyDescent="0.25">
      <c r="A36" s="4" t="s">
        <v>36</v>
      </c>
      <c r="B36" s="4" t="s">
        <v>40</v>
      </c>
      <c r="C36" s="4" t="s">
        <v>25</v>
      </c>
      <c r="D36" s="4">
        <v>4</v>
      </c>
      <c r="E36" s="4" t="s">
        <v>10</v>
      </c>
      <c r="F36" s="4">
        <v>4</v>
      </c>
      <c r="G36" s="24">
        <v>4418720.1196670504</v>
      </c>
      <c r="H36" s="24">
        <v>3597253.9343585102</v>
      </c>
      <c r="I36" s="24">
        <v>10714910.635878799</v>
      </c>
      <c r="J36" s="24">
        <v>1822235.21590285</v>
      </c>
      <c r="K36" s="4">
        <v>0.32524581102130001</v>
      </c>
      <c r="L36" s="4" t="b">
        <f t="shared" si="0"/>
        <v>0</v>
      </c>
      <c r="M36" s="4">
        <f t="shared" ref="M36:M43" si="4">LOG10(((10*G36)/0.448))</f>
        <v>7.9940184803603485</v>
      </c>
      <c r="N36" s="4">
        <f t="shared" si="2"/>
        <v>7.9046930822574248</v>
      </c>
      <c r="O36" s="4" t="s">
        <v>10</v>
      </c>
      <c r="P36" s="4">
        <v>4</v>
      </c>
      <c r="Q36" s="24">
        <v>4422233.7589137899</v>
      </c>
      <c r="R36" s="24">
        <v>3598986.3024232001</v>
      </c>
      <c r="S36" s="24">
        <v>10727238.4639694</v>
      </c>
      <c r="T36" s="24">
        <v>1823036.88728109</v>
      </c>
      <c r="U36" s="4">
        <v>0.32519023591828999</v>
      </c>
      <c r="V36" s="4" t="b">
        <f t="shared" si="1"/>
        <v>0</v>
      </c>
      <c r="W36" s="4">
        <f>LOG10(((10*Q36)/0.448))</f>
        <v>7.9943636816220121</v>
      </c>
      <c r="X36" s="4">
        <f t="shared" si="3"/>
        <v>7.9049021797530337</v>
      </c>
    </row>
    <row r="37" spans="1:24" s="4" customFormat="1" x14ac:dyDescent="0.25">
      <c r="A37" s="4" t="s">
        <v>36</v>
      </c>
      <c r="B37" s="4" t="s">
        <v>40</v>
      </c>
      <c r="C37" s="4" t="s">
        <v>26</v>
      </c>
      <c r="D37" s="4">
        <v>5</v>
      </c>
      <c r="E37" s="4" t="s">
        <v>11</v>
      </c>
      <c r="F37" s="4">
        <v>5</v>
      </c>
      <c r="G37" s="24">
        <v>6141678.8339188397</v>
      </c>
      <c r="H37" s="24">
        <v>5292622.9793606699</v>
      </c>
      <c r="I37" s="24">
        <v>15426906.664854201</v>
      </c>
      <c r="J37" s="24">
        <v>2445092.8315357901</v>
      </c>
      <c r="K37" s="4">
        <v>1</v>
      </c>
      <c r="L37" s="4" t="b">
        <f t="shared" si="0"/>
        <v>0</v>
      </c>
      <c r="M37" s="4">
        <f t="shared" si="4"/>
        <v>8.1370090881929702</v>
      </c>
      <c r="N37" s="4">
        <f t="shared" si="2"/>
        <v>8.0723929440749238</v>
      </c>
      <c r="O37" s="4" t="s">
        <v>11</v>
      </c>
      <c r="P37" s="4">
        <v>5</v>
      </c>
      <c r="Q37" s="24">
        <v>6216844.0998784304</v>
      </c>
      <c r="R37" s="24">
        <v>5353232.6080304198</v>
      </c>
      <c r="S37" s="24">
        <v>15672503.4120488</v>
      </c>
      <c r="T37" s="24">
        <v>2466048.3106023902</v>
      </c>
      <c r="U37" s="4">
        <v>1</v>
      </c>
      <c r="V37" s="4" t="b">
        <f t="shared" si="1"/>
        <v>0</v>
      </c>
      <c r="W37" s="4">
        <f>LOG10(((10*Q37)/0.448))</f>
        <v>8.1422919626813428</v>
      </c>
      <c r="X37" s="4">
        <f t="shared" si="3"/>
        <v>8.077338100707772</v>
      </c>
    </row>
    <row r="38" spans="1:24" s="25" customFormat="1" x14ac:dyDescent="0.25">
      <c r="A38" s="25" t="s">
        <v>36</v>
      </c>
      <c r="B38" s="25" t="s">
        <v>41</v>
      </c>
      <c r="C38" s="25" t="s">
        <v>27</v>
      </c>
      <c r="D38" s="25">
        <v>6</v>
      </c>
      <c r="E38" s="25" t="s">
        <v>12</v>
      </c>
      <c r="F38" s="25">
        <v>6</v>
      </c>
      <c r="G38" s="26">
        <v>1548823.2575951</v>
      </c>
      <c r="H38" s="26">
        <v>1396605.63543139</v>
      </c>
      <c r="I38" s="26">
        <v>3506306.3111662902</v>
      </c>
      <c r="J38" s="26">
        <v>684153.99864753301</v>
      </c>
      <c r="K38" s="25">
        <v>0.74617703987218897</v>
      </c>
      <c r="L38" s="25" t="b">
        <f t="shared" si="0"/>
        <v>0</v>
      </c>
      <c r="M38" s="25">
        <f t="shared" si="4"/>
        <v>7.5387238475114851</v>
      </c>
      <c r="N38" s="25">
        <f t="shared" si="2"/>
        <v>7.4937957761283185</v>
      </c>
      <c r="O38" s="25" t="s">
        <v>12</v>
      </c>
      <c r="P38" s="25">
        <v>6</v>
      </c>
      <c r="Q38" s="26">
        <v>1586969.5888235201</v>
      </c>
      <c r="R38" s="26">
        <v>1421572.4973051201</v>
      </c>
      <c r="S38" s="26">
        <v>3606815.1851407099</v>
      </c>
      <c r="T38" s="26">
        <v>698253.81855611899</v>
      </c>
      <c r="U38" s="25">
        <v>0.72681714706246203</v>
      </c>
      <c r="V38" s="25" t="b">
        <f t="shared" si="1"/>
        <v>0</v>
      </c>
      <c r="W38" s="25">
        <f t="shared" ref="W38:W43" si="5">LOG10(((10*Q38)/0.448))</f>
        <v>7.5492905904298739</v>
      </c>
      <c r="X38" s="25">
        <f t="shared" si="3"/>
        <v>7.5014909987280793</v>
      </c>
    </row>
    <row r="39" spans="1:24" s="25" customFormat="1" x14ac:dyDescent="0.25">
      <c r="A39" s="25" t="s">
        <v>36</v>
      </c>
      <c r="B39" s="25" t="s">
        <v>41</v>
      </c>
      <c r="C39" s="25" t="s">
        <v>28</v>
      </c>
      <c r="D39" s="25">
        <v>7</v>
      </c>
      <c r="E39" s="25" t="s">
        <v>13</v>
      </c>
      <c r="F39" s="25">
        <v>7</v>
      </c>
      <c r="G39" s="26">
        <v>2858638.3155997498</v>
      </c>
      <c r="H39" s="26">
        <v>2415156.50596837</v>
      </c>
      <c r="I39" s="26">
        <v>6745227.2956896704</v>
      </c>
      <c r="J39" s="26">
        <v>1211495.5747505999</v>
      </c>
      <c r="K39" s="25">
        <v>0.86341675025784803</v>
      </c>
      <c r="L39" s="25" t="b">
        <f t="shared" si="0"/>
        <v>0</v>
      </c>
      <c r="M39" s="25">
        <f t="shared" si="4"/>
        <v>7.8048811964575062</v>
      </c>
      <c r="N39" s="25">
        <f t="shared" si="2"/>
        <v>7.7316672649718416</v>
      </c>
      <c r="O39" s="25" t="s">
        <v>13</v>
      </c>
      <c r="P39" s="25">
        <v>7</v>
      </c>
      <c r="Q39" s="26">
        <v>2872662.3448765702</v>
      </c>
      <c r="R39" s="26">
        <v>2421646.2981564798</v>
      </c>
      <c r="S39" s="26">
        <v>6792344.9965406703</v>
      </c>
      <c r="T39" s="26">
        <v>1214924.88262516</v>
      </c>
      <c r="U39" s="25">
        <v>0.85857066536401405</v>
      </c>
      <c r="V39" s="25" t="b">
        <f t="shared" si="1"/>
        <v>0</v>
      </c>
      <c r="W39" s="25">
        <f t="shared" si="5"/>
        <v>7.8070065676586999</v>
      </c>
      <c r="X39" s="25">
        <f t="shared" si="3"/>
        <v>7.7328326970729657</v>
      </c>
    </row>
    <row r="40" spans="1:24" s="25" customFormat="1" x14ac:dyDescent="0.25">
      <c r="A40" s="25" t="s">
        <v>36</v>
      </c>
      <c r="B40" s="25" t="s">
        <v>41</v>
      </c>
      <c r="C40" s="25" t="s">
        <v>29</v>
      </c>
      <c r="D40" s="25">
        <v>8</v>
      </c>
      <c r="E40" s="25" t="s">
        <v>14</v>
      </c>
      <c r="F40" s="25">
        <v>8</v>
      </c>
      <c r="G40" s="26">
        <v>1832173.4701837599</v>
      </c>
      <c r="H40" s="26">
        <v>1630670.71700305</v>
      </c>
      <c r="I40" s="26">
        <v>3736463.4422922502</v>
      </c>
      <c r="J40" s="26">
        <v>898405.58503788197</v>
      </c>
      <c r="K40" s="25">
        <v>6.9436513287885804E-2</v>
      </c>
      <c r="L40" s="25" t="b">
        <f t="shared" si="0"/>
        <v>0</v>
      </c>
      <c r="M40" s="25">
        <f t="shared" si="4"/>
        <v>7.6116885762818365</v>
      </c>
      <c r="N40" s="25">
        <f t="shared" si="2"/>
        <v>7.5610882583687777</v>
      </c>
      <c r="O40" s="25" t="s">
        <v>14</v>
      </c>
      <c r="P40" s="25">
        <v>8</v>
      </c>
      <c r="Q40" s="26">
        <v>1832564.0985208401</v>
      </c>
      <c r="R40" s="26">
        <v>1630889.46567329</v>
      </c>
      <c r="S40" s="26">
        <v>3737351.5122676501</v>
      </c>
      <c r="T40" s="26">
        <v>898575.14450115396</v>
      </c>
      <c r="U40" s="25">
        <v>6.9435360541327401E-2</v>
      </c>
      <c r="V40" s="25" t="b">
        <f t="shared" si="1"/>
        <v>0</v>
      </c>
      <c r="W40" s="25">
        <f t="shared" si="5"/>
        <v>7.6117811601183218</v>
      </c>
      <c r="X40" s="25">
        <f t="shared" si="3"/>
        <v>7.5611465135198284</v>
      </c>
    </row>
    <row r="41" spans="1:24" s="29" customFormat="1" x14ac:dyDescent="0.25">
      <c r="A41" s="29" t="s">
        <v>36</v>
      </c>
      <c r="B41" s="29" t="s">
        <v>42</v>
      </c>
      <c r="C41" s="29" t="s">
        <v>30</v>
      </c>
      <c r="D41" s="29">
        <v>9</v>
      </c>
      <c r="E41" s="29" t="s">
        <v>15</v>
      </c>
      <c r="F41" s="29">
        <v>9</v>
      </c>
      <c r="G41" s="30">
        <v>154881.992295787</v>
      </c>
      <c r="H41" s="30">
        <v>139660.34165598301</v>
      </c>
      <c r="I41" s="30">
        <v>350629.75731173903</v>
      </c>
      <c r="J41" s="30">
        <v>68415.275763900703</v>
      </c>
      <c r="K41" s="29">
        <v>0.74617877402682298</v>
      </c>
      <c r="L41" s="29" t="b">
        <f t="shared" si="0"/>
        <v>0</v>
      </c>
      <c r="M41" s="29">
        <f t="shared" si="4"/>
        <v>6.5387229124686383</v>
      </c>
      <c r="N41" s="29">
        <f t="shared" si="2"/>
        <v>6.4937950861379479</v>
      </c>
      <c r="O41" s="29" t="s">
        <v>15</v>
      </c>
      <c r="P41" s="29">
        <v>9</v>
      </c>
      <c r="Q41" s="30">
        <v>158696.95888235199</v>
      </c>
      <c r="R41" s="30">
        <v>142157.24973051201</v>
      </c>
      <c r="S41" s="30">
        <v>360681.518514072</v>
      </c>
      <c r="T41" s="30">
        <v>69825.381855612199</v>
      </c>
      <c r="U41" s="29">
        <v>0.72681714706245903</v>
      </c>
      <c r="V41" s="29" t="b">
        <f t="shared" si="1"/>
        <v>0</v>
      </c>
      <c r="W41" s="29">
        <f t="shared" si="5"/>
        <v>6.5492905904298739</v>
      </c>
      <c r="X41" s="29">
        <f t="shared" si="3"/>
        <v>6.5014909987280793</v>
      </c>
    </row>
    <row r="42" spans="1:24" s="29" customFormat="1" x14ac:dyDescent="0.25">
      <c r="A42" s="29" t="s">
        <v>36</v>
      </c>
      <c r="B42" s="29" t="s">
        <v>42</v>
      </c>
      <c r="C42" s="29" t="s">
        <v>31</v>
      </c>
      <c r="D42" s="29">
        <v>10</v>
      </c>
      <c r="E42" s="29" t="s">
        <v>16</v>
      </c>
      <c r="F42" s="29">
        <v>10</v>
      </c>
      <c r="G42" s="30">
        <v>159317.48056025899</v>
      </c>
      <c r="H42" s="30">
        <v>143378.20410822899</v>
      </c>
      <c r="I42" s="30">
        <v>336468.27850478102</v>
      </c>
      <c r="J42" s="30">
        <v>75436.708996352099</v>
      </c>
      <c r="K42" s="29">
        <v>0.539809970649337</v>
      </c>
      <c r="L42" s="29" t="b">
        <f t="shared" si="0"/>
        <v>0</v>
      </c>
      <c r="M42" s="29">
        <f t="shared" si="4"/>
        <v>6.550985415879313</v>
      </c>
      <c r="N42" s="29">
        <f t="shared" si="2"/>
        <v>6.5052051223059477</v>
      </c>
      <c r="O42" s="29" t="s">
        <v>16</v>
      </c>
      <c r="P42" s="29">
        <v>10</v>
      </c>
      <c r="Q42" s="30">
        <v>159646.48743182901</v>
      </c>
      <c r="R42" s="30">
        <v>143583.21537386699</v>
      </c>
      <c r="S42" s="30">
        <v>337238.65995365102</v>
      </c>
      <c r="T42" s="30">
        <v>75575.561096180798</v>
      </c>
      <c r="U42" s="29">
        <v>0.53878749530849601</v>
      </c>
      <c r="V42" s="29" t="b">
        <f t="shared" si="1"/>
        <v>0</v>
      </c>
      <c r="W42" s="29">
        <f t="shared" si="5"/>
        <v>6.5518813535640978</v>
      </c>
      <c r="X42" s="29">
        <f t="shared" si="3"/>
        <v>6.5058256606117801</v>
      </c>
    </row>
    <row r="43" spans="1:24" s="29" customFormat="1" x14ac:dyDescent="0.25">
      <c r="A43" s="29" t="s">
        <v>36</v>
      </c>
      <c r="B43" s="29" t="s">
        <v>42</v>
      </c>
      <c r="C43" s="29" t="s">
        <v>32</v>
      </c>
      <c r="D43" s="29">
        <v>11</v>
      </c>
      <c r="E43" s="29" t="s">
        <v>17</v>
      </c>
      <c r="F43" s="29">
        <v>11</v>
      </c>
      <c r="G43" s="30">
        <v>614161.22008154297</v>
      </c>
      <c r="H43" s="30">
        <v>529256.92869633704</v>
      </c>
      <c r="I43" s="30">
        <v>1542668.89183743</v>
      </c>
      <c r="J43" s="30">
        <v>244507.428812403</v>
      </c>
      <c r="K43" s="29">
        <v>1</v>
      </c>
      <c r="L43" s="29" t="b">
        <f t="shared" si="0"/>
        <v>0</v>
      </c>
      <c r="M43" s="29">
        <f t="shared" si="4"/>
        <v>7.1370043763630466</v>
      </c>
      <c r="N43" s="29">
        <f t="shared" si="2"/>
        <v>7.0723885382386795</v>
      </c>
      <c r="O43" s="29" t="s">
        <v>17</v>
      </c>
      <c r="P43" s="29">
        <v>11</v>
      </c>
      <c r="Q43" s="30">
        <v>621684.40998784895</v>
      </c>
      <c r="R43" s="30">
        <v>535323.26080304896</v>
      </c>
      <c r="S43" s="30">
        <v>1567250.3412049001</v>
      </c>
      <c r="T43" s="30">
        <v>246604.83106024101</v>
      </c>
      <c r="U43" s="29">
        <v>1</v>
      </c>
      <c r="V43" s="29" t="b">
        <f t="shared" si="1"/>
        <v>0</v>
      </c>
      <c r="W43" s="29">
        <f t="shared" si="5"/>
        <v>7.1422919626813464</v>
      </c>
      <c r="X43" s="29">
        <f t="shared" si="3"/>
        <v>7.0773381007077782</v>
      </c>
    </row>
  </sheetData>
  <mergeCells count="2">
    <mergeCell ref="F29:K29"/>
    <mergeCell ref="P29:U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BF8E-B234-4EE1-910E-92BD2C789F48}">
  <dimension ref="A1:H13"/>
  <sheetViews>
    <sheetView workbookViewId="0">
      <selection activeCell="K23" sqref="K23"/>
    </sheetView>
  </sheetViews>
  <sheetFormatPr defaultRowHeight="15" x14ac:dyDescent="0.25"/>
  <cols>
    <col min="4" max="4" width="15.42578125" customWidth="1"/>
    <col min="5" max="5" width="16.85546875" customWidth="1"/>
    <col min="6" max="6" width="20" customWidth="1"/>
    <col min="7" max="7" width="11" bestFit="1" customWidth="1"/>
  </cols>
  <sheetData>
    <row r="1" spans="1:8" x14ac:dyDescent="0.25">
      <c r="B1" t="s">
        <v>0</v>
      </c>
      <c r="C1" t="s">
        <v>1</v>
      </c>
      <c r="D1" s="3" t="s">
        <v>185</v>
      </c>
      <c r="E1" s="3" t="s">
        <v>18</v>
      </c>
      <c r="F1" s="3" t="s">
        <v>184</v>
      </c>
      <c r="G1" s="3" t="s">
        <v>178</v>
      </c>
      <c r="H1" s="3">
        <v>1E-4</v>
      </c>
    </row>
    <row r="2" spans="1:8" x14ac:dyDescent="0.25">
      <c r="A2">
        <v>0</v>
      </c>
      <c r="B2" t="s">
        <v>6</v>
      </c>
      <c r="C2">
        <v>0</v>
      </c>
      <c r="D2" s="9">
        <v>9.0597721727970804</v>
      </c>
      <c r="E2">
        <v>9.4801763519084883</v>
      </c>
      <c r="F2">
        <v>9.4386156777784116</v>
      </c>
      <c r="G2">
        <v>1</v>
      </c>
      <c r="H2" t="b">
        <v>0</v>
      </c>
    </row>
    <row r="3" spans="1:8" x14ac:dyDescent="0.25">
      <c r="A3">
        <v>1</v>
      </c>
      <c r="B3" t="s">
        <v>7</v>
      </c>
      <c r="C3">
        <v>1</v>
      </c>
      <c r="D3" s="9">
        <v>8.9180104638716333</v>
      </c>
      <c r="E3">
        <v>9.3552766665827072</v>
      </c>
      <c r="F3">
        <v>9.3175505412066748</v>
      </c>
      <c r="G3">
        <v>0.85482279936732897</v>
      </c>
      <c r="H3" t="b">
        <v>0</v>
      </c>
    </row>
    <row r="4" spans="1:8" x14ac:dyDescent="0.25">
      <c r="A4">
        <v>2</v>
      </c>
      <c r="B4" t="s">
        <v>8</v>
      </c>
      <c r="C4">
        <v>2</v>
      </c>
      <c r="D4" s="9">
        <v>9.0155722025837548</v>
      </c>
      <c r="E4">
        <v>9.1422919626813428</v>
      </c>
      <c r="F4">
        <v>9.0773381007077738</v>
      </c>
      <c r="G4">
        <v>1</v>
      </c>
      <c r="H4" t="b">
        <v>0</v>
      </c>
    </row>
    <row r="5" spans="1:8" x14ac:dyDescent="0.25">
      <c r="A5">
        <v>3</v>
      </c>
      <c r="B5" t="s">
        <v>9</v>
      </c>
      <c r="C5">
        <v>3</v>
      </c>
      <c r="D5" s="1">
        <v>8.2211185711499439</v>
      </c>
      <c r="E5">
        <v>8.4076560741471429</v>
      </c>
      <c r="F5">
        <v>8.36785960747007</v>
      </c>
      <c r="G5">
        <v>1</v>
      </c>
      <c r="H5" t="b">
        <v>0</v>
      </c>
    </row>
    <row r="6" spans="1:8" x14ac:dyDescent="0.25">
      <c r="A6">
        <v>4</v>
      </c>
      <c r="B6" t="s">
        <v>10</v>
      </c>
      <c r="C6">
        <v>4</v>
      </c>
      <c r="D6" s="1">
        <v>8.2556904999112852</v>
      </c>
      <c r="E6">
        <v>7.9943636816220121</v>
      </c>
      <c r="F6">
        <v>7.9049021797530337</v>
      </c>
      <c r="G6">
        <v>0.32519023591828999</v>
      </c>
      <c r="H6" t="b">
        <v>0</v>
      </c>
    </row>
    <row r="7" spans="1:8" x14ac:dyDescent="0.25">
      <c r="A7">
        <v>5</v>
      </c>
      <c r="B7" t="s">
        <v>11</v>
      </c>
      <c r="C7">
        <v>5</v>
      </c>
      <c r="D7" s="1">
        <v>8.2585737727950406</v>
      </c>
      <c r="E7">
        <v>8.1422919626813428</v>
      </c>
      <c r="F7">
        <v>8.077338100707772</v>
      </c>
      <c r="G7">
        <v>1</v>
      </c>
      <c r="H7" t="b">
        <v>0</v>
      </c>
    </row>
    <row r="8" spans="1:8" x14ac:dyDescent="0.25">
      <c r="A8">
        <v>6</v>
      </c>
      <c r="B8" t="s">
        <v>12</v>
      </c>
      <c r="C8">
        <v>6</v>
      </c>
      <c r="D8" s="13">
        <v>7.180145708096795</v>
      </c>
      <c r="E8">
        <v>7.5492905904298739</v>
      </c>
      <c r="F8">
        <v>7.5014909987280793</v>
      </c>
      <c r="G8">
        <v>0.72681714706246203</v>
      </c>
      <c r="H8" t="b">
        <v>0</v>
      </c>
    </row>
    <row r="9" spans="1:8" x14ac:dyDescent="0.25">
      <c r="A9">
        <v>7</v>
      </c>
      <c r="B9" t="s">
        <v>13</v>
      </c>
      <c r="C9">
        <v>7</v>
      </c>
      <c r="D9" s="13">
        <v>7.1564082693046798</v>
      </c>
      <c r="E9">
        <v>7.8070065676586999</v>
      </c>
      <c r="F9">
        <v>7.7328326970729657</v>
      </c>
      <c r="G9">
        <v>0.85857066536401405</v>
      </c>
      <c r="H9" t="b">
        <v>0</v>
      </c>
    </row>
    <row r="10" spans="1:8" x14ac:dyDescent="0.25">
      <c r="A10">
        <v>8</v>
      </c>
      <c r="B10" t="s">
        <v>14</v>
      </c>
      <c r="C10">
        <v>8</v>
      </c>
      <c r="D10" s="13">
        <v>7.354599383703488</v>
      </c>
      <c r="E10">
        <v>7.6117811601183218</v>
      </c>
      <c r="F10">
        <v>7.5611465135198284</v>
      </c>
      <c r="G10">
        <v>6.9435360541327401E-2</v>
      </c>
      <c r="H10" t="b">
        <v>0</v>
      </c>
    </row>
    <row r="11" spans="1:8" x14ac:dyDescent="0.25">
      <c r="A11">
        <v>9</v>
      </c>
      <c r="B11" t="s">
        <v>15</v>
      </c>
      <c r="C11">
        <v>9</v>
      </c>
      <c r="D11" s="14">
        <v>6.4172469545667106</v>
      </c>
      <c r="E11">
        <v>6.5492905904298739</v>
      </c>
      <c r="F11">
        <v>6.5014909987280793</v>
      </c>
      <c r="G11">
        <v>0.72681714706245903</v>
      </c>
      <c r="H11" t="b">
        <v>0</v>
      </c>
    </row>
    <row r="12" spans="1:8" x14ac:dyDescent="0.25">
      <c r="A12">
        <v>10</v>
      </c>
      <c r="B12" t="s">
        <v>16</v>
      </c>
      <c r="C12">
        <v>10</v>
      </c>
      <c r="D12" s="14">
        <v>6.860853443398657</v>
      </c>
      <c r="E12">
        <v>6.5518813535640978</v>
      </c>
      <c r="F12">
        <v>6.5058256606117801</v>
      </c>
      <c r="G12">
        <v>0.53878749530849601</v>
      </c>
      <c r="H12" t="b">
        <v>0</v>
      </c>
    </row>
    <row r="13" spans="1:8" x14ac:dyDescent="0.25">
      <c r="A13">
        <v>11</v>
      </c>
      <c r="B13" t="s">
        <v>17</v>
      </c>
      <c r="C13">
        <v>11</v>
      </c>
      <c r="D13" s="14">
        <v>6.7676311287158377</v>
      </c>
      <c r="E13">
        <v>7.1422919626813464</v>
      </c>
      <c r="F13">
        <v>7.0773381007077782</v>
      </c>
      <c r="G13">
        <v>1</v>
      </c>
      <c r="H1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9576-BB22-44EE-8FF0-2D1AC37B4D89}">
  <dimension ref="A1:M85"/>
  <sheetViews>
    <sheetView zoomScale="70" zoomScaleNormal="70" workbookViewId="0">
      <selection activeCell="N23" sqref="N23"/>
    </sheetView>
  </sheetViews>
  <sheetFormatPr defaultRowHeight="15" x14ac:dyDescent="0.25"/>
  <cols>
    <col min="7" max="7" width="12" bestFit="1" customWidth="1"/>
    <col min="10" max="10" width="11" bestFit="1" customWidth="1"/>
    <col min="11" max="11" width="12" bestFit="1" customWidth="1"/>
    <col min="17" max="17" width="11" bestFit="1" customWidth="1"/>
  </cols>
  <sheetData>
    <row r="1" spans="1:13" x14ac:dyDescent="0.25">
      <c r="A1" t="s">
        <v>33</v>
      </c>
      <c r="B1" t="s">
        <v>35</v>
      </c>
      <c r="C1" t="s">
        <v>43</v>
      </c>
      <c r="D1" t="s">
        <v>186</v>
      </c>
      <c r="E1" t="s">
        <v>18</v>
      </c>
    </row>
    <row r="2" spans="1:13" x14ac:dyDescent="0.25">
      <c r="A2" s="9" t="s">
        <v>36</v>
      </c>
      <c r="B2" s="9" t="s">
        <v>37</v>
      </c>
      <c r="C2" s="9" t="s">
        <v>21</v>
      </c>
      <c r="D2" s="16">
        <v>9.0597721727970804</v>
      </c>
      <c r="E2" s="16">
        <v>9.4801763520000009</v>
      </c>
    </row>
    <row r="3" spans="1:13" x14ac:dyDescent="0.25">
      <c r="A3" s="9" t="s">
        <v>36</v>
      </c>
      <c r="B3" s="9" t="s">
        <v>38</v>
      </c>
      <c r="C3" s="9" t="s">
        <v>22</v>
      </c>
      <c r="D3" s="16">
        <v>8.9180104638716333</v>
      </c>
      <c r="E3" s="16">
        <v>9.355276667</v>
      </c>
    </row>
    <row r="4" spans="1:13" x14ac:dyDescent="0.25">
      <c r="A4" s="9" t="s">
        <v>36</v>
      </c>
      <c r="B4" s="9" t="s">
        <v>39</v>
      </c>
      <c r="C4" s="9" t="s">
        <v>23</v>
      </c>
      <c r="D4" s="16">
        <v>9.0155722025837548</v>
      </c>
      <c r="E4" s="16">
        <v>9.1422919629999999</v>
      </c>
    </row>
    <row r="5" spans="1:13" x14ac:dyDescent="0.25">
      <c r="A5" s="1" t="s">
        <v>36</v>
      </c>
      <c r="B5" s="1" t="s">
        <v>40</v>
      </c>
      <c r="C5" s="1" t="s">
        <v>24</v>
      </c>
      <c r="D5" s="2">
        <v>8.2211185711499439</v>
      </c>
      <c r="E5" s="2">
        <v>8.4076560740000001</v>
      </c>
    </row>
    <row r="6" spans="1:13" x14ac:dyDescent="0.25">
      <c r="A6" s="1" t="s">
        <v>36</v>
      </c>
      <c r="B6" s="1" t="s">
        <v>40</v>
      </c>
      <c r="C6" s="1" t="s">
        <v>25</v>
      </c>
      <c r="D6" s="2">
        <v>8.2556904999112852</v>
      </c>
      <c r="E6" s="2">
        <v>7.9943636820000004</v>
      </c>
    </row>
    <row r="7" spans="1:13" x14ac:dyDescent="0.25">
      <c r="A7" s="1" t="s">
        <v>36</v>
      </c>
      <c r="B7" s="1" t="s">
        <v>40</v>
      </c>
      <c r="C7" s="1" t="s">
        <v>26</v>
      </c>
      <c r="D7" s="2">
        <v>8.2585737727950406</v>
      </c>
      <c r="E7" s="2">
        <v>8.1422919629999999</v>
      </c>
    </row>
    <row r="8" spans="1:13" x14ac:dyDescent="0.25">
      <c r="A8" s="4" t="s">
        <v>36</v>
      </c>
      <c r="B8" s="4" t="s">
        <v>41</v>
      </c>
      <c r="C8" s="4" t="s">
        <v>27</v>
      </c>
      <c r="D8" s="17">
        <v>7.180145708096795</v>
      </c>
      <c r="E8" s="17">
        <v>7.54929059</v>
      </c>
      <c r="K8" s="5"/>
      <c r="L8" s="5"/>
    </row>
    <row r="9" spans="1:13" x14ac:dyDescent="0.25">
      <c r="A9" s="4" t="s">
        <v>36</v>
      </c>
      <c r="B9" s="4" t="s">
        <v>41</v>
      </c>
      <c r="C9" s="4" t="s">
        <v>28</v>
      </c>
      <c r="D9" s="17">
        <v>7.1564082693046798</v>
      </c>
      <c r="E9" s="17">
        <v>7.8070065680000003</v>
      </c>
    </row>
    <row r="10" spans="1:13" x14ac:dyDescent="0.25">
      <c r="A10" s="4" t="s">
        <v>36</v>
      </c>
      <c r="B10" s="4" t="s">
        <v>41</v>
      </c>
      <c r="C10" s="4" t="s">
        <v>29</v>
      </c>
      <c r="D10" s="17">
        <v>7.354599383703488</v>
      </c>
      <c r="E10" s="17">
        <v>7.6117811599999996</v>
      </c>
    </row>
    <row r="11" spans="1:13" x14ac:dyDescent="0.25">
      <c r="A11" t="s">
        <v>36</v>
      </c>
      <c r="B11" t="s">
        <v>42</v>
      </c>
      <c r="C11" t="s">
        <v>30</v>
      </c>
      <c r="D11" s="15">
        <v>6.4172469545667106</v>
      </c>
      <c r="E11" s="15">
        <v>6.54929059</v>
      </c>
    </row>
    <row r="12" spans="1:13" x14ac:dyDescent="0.25">
      <c r="A12" t="s">
        <v>36</v>
      </c>
      <c r="B12" t="s">
        <v>42</v>
      </c>
      <c r="C12" t="s">
        <v>31</v>
      </c>
      <c r="D12" s="15">
        <v>6.860853443398657</v>
      </c>
      <c r="E12" s="15">
        <v>6.5518813539999998</v>
      </c>
      <c r="K12" s="5"/>
      <c r="L12" s="5"/>
      <c r="M12" s="5"/>
    </row>
    <row r="13" spans="1:13" x14ac:dyDescent="0.25">
      <c r="A13" t="s">
        <v>36</v>
      </c>
      <c r="B13" t="s">
        <v>42</v>
      </c>
      <c r="C13" t="s">
        <v>32</v>
      </c>
      <c r="D13" s="15">
        <v>6.7676311287158377</v>
      </c>
      <c r="E13" s="15">
        <v>7.1422919629999999</v>
      </c>
    </row>
    <row r="21" spans="11:11" x14ac:dyDescent="0.25">
      <c r="K21" t="s">
        <v>187</v>
      </c>
    </row>
    <row r="22" spans="11:11" x14ac:dyDescent="0.25">
      <c r="K22" t="s">
        <v>179</v>
      </c>
    </row>
    <row r="23" spans="11:11" x14ac:dyDescent="0.25">
      <c r="K23" s="12">
        <v>0.1</v>
      </c>
    </row>
    <row r="24" spans="11:11" x14ac:dyDescent="0.25">
      <c r="K24" s="12">
        <v>0.01</v>
      </c>
    </row>
    <row r="25" spans="11:11" x14ac:dyDescent="0.25">
      <c r="K25" s="12">
        <v>1E-3</v>
      </c>
    </row>
    <row r="33" spans="2:7" x14ac:dyDescent="0.25">
      <c r="C33" s="22"/>
    </row>
    <row r="35" spans="2:7" x14ac:dyDescent="0.25">
      <c r="B35" t="s">
        <v>44</v>
      </c>
    </row>
    <row r="36" spans="2:7" ht="15.75" thickBot="1" x14ac:dyDescent="0.3"/>
    <row r="37" spans="2:7" x14ac:dyDescent="0.25">
      <c r="B37" s="39" t="s">
        <v>45</v>
      </c>
      <c r="C37" s="39"/>
    </row>
    <row r="38" spans="2:7" x14ac:dyDescent="0.25">
      <c r="B38" t="s">
        <v>46</v>
      </c>
      <c r="C38">
        <v>0.95515719635271856</v>
      </c>
    </row>
    <row r="39" spans="2:7" x14ac:dyDescent="0.25">
      <c r="B39" t="s">
        <v>47</v>
      </c>
      <c r="C39">
        <v>0.91232526974438566</v>
      </c>
    </row>
    <row r="40" spans="2:7" x14ac:dyDescent="0.25">
      <c r="B40" t="s">
        <v>48</v>
      </c>
      <c r="C40">
        <v>0.90355779671882419</v>
      </c>
    </row>
    <row r="41" spans="2:7" x14ac:dyDescent="0.25">
      <c r="B41" t="s">
        <v>49</v>
      </c>
      <c r="C41">
        <v>0.29259886130424356</v>
      </c>
    </row>
    <row r="42" spans="2:7" ht="15.75" thickBot="1" x14ac:dyDescent="0.3">
      <c r="B42" s="37" t="s">
        <v>50</v>
      </c>
      <c r="C42" s="37">
        <v>12</v>
      </c>
    </row>
    <row r="44" spans="2:7" ht="15.75" thickBot="1" x14ac:dyDescent="0.3">
      <c r="B44" t="s">
        <v>51</v>
      </c>
    </row>
    <row r="45" spans="2:7" x14ac:dyDescent="0.25">
      <c r="B45" s="38"/>
      <c r="C45" s="38" t="s">
        <v>52</v>
      </c>
      <c r="D45" s="38" t="s">
        <v>53</v>
      </c>
      <c r="E45" s="38" t="s">
        <v>54</v>
      </c>
      <c r="F45" s="38" t="s">
        <v>55</v>
      </c>
      <c r="G45" s="38" t="s">
        <v>56</v>
      </c>
    </row>
    <row r="46" spans="2:7" x14ac:dyDescent="0.25">
      <c r="B46" t="s">
        <v>57</v>
      </c>
      <c r="C46">
        <v>1</v>
      </c>
      <c r="D46">
        <v>8.9088270751623657</v>
      </c>
      <c r="E46">
        <v>8.9088270751623657</v>
      </c>
      <c r="F46">
        <v>104.05795000275624</v>
      </c>
      <c r="G46">
        <v>1.3242684757465925E-6</v>
      </c>
    </row>
    <row r="47" spans="2:7" x14ac:dyDescent="0.25">
      <c r="B47" t="s">
        <v>58</v>
      </c>
      <c r="C47">
        <v>10</v>
      </c>
      <c r="D47">
        <v>0.85614093636539945</v>
      </c>
      <c r="E47">
        <v>8.5614093636539948E-2</v>
      </c>
    </row>
    <row r="48" spans="2:7" ht="15.75" thickBot="1" x14ac:dyDescent="0.3">
      <c r="B48" s="37" t="s">
        <v>59</v>
      </c>
      <c r="C48" s="37">
        <v>11</v>
      </c>
      <c r="D48" s="37">
        <v>9.7649680115277651</v>
      </c>
      <c r="E48" s="37"/>
      <c r="F48" s="37"/>
      <c r="G48" s="37"/>
    </row>
    <row r="49" spans="2:13" ht="15.75" thickBot="1" x14ac:dyDescent="0.3"/>
    <row r="50" spans="2:13" x14ac:dyDescent="0.25">
      <c r="B50" s="38"/>
      <c r="C50" s="38" t="s">
        <v>60</v>
      </c>
      <c r="D50" s="38" t="s">
        <v>49</v>
      </c>
      <c r="E50" s="38" t="s">
        <v>61</v>
      </c>
      <c r="F50" s="38" t="s">
        <v>62</v>
      </c>
      <c r="G50" s="38" t="s">
        <v>63</v>
      </c>
      <c r="H50" s="38" t="s">
        <v>64</v>
      </c>
      <c r="I50" s="38" t="s">
        <v>65</v>
      </c>
      <c r="J50" s="38" t="s">
        <v>66</v>
      </c>
    </row>
    <row r="51" spans="2:13" x14ac:dyDescent="0.25">
      <c r="B51" t="s">
        <v>67</v>
      </c>
      <c r="C51">
        <v>0.55694463734017585</v>
      </c>
      <c r="D51">
        <v>0.7139585085541017</v>
      </c>
      <c r="E51">
        <v>0.78007983750777332</v>
      </c>
      <c r="F51">
        <v>0.45341186819421719</v>
      </c>
      <c r="G51">
        <v>-1.0338540542753929</v>
      </c>
      <c r="H51">
        <v>2.1477433289557446</v>
      </c>
      <c r="I51">
        <v>-1.0338540542753929</v>
      </c>
      <c r="J51">
        <v>2.1477433289557446</v>
      </c>
    </row>
    <row r="52" spans="2:13" ht="15.75" thickBot="1" x14ac:dyDescent="0.3">
      <c r="B52" s="37" t="s">
        <v>18</v>
      </c>
      <c r="C52" s="37">
        <v>0.9064976966957401</v>
      </c>
      <c r="D52" s="37">
        <v>8.886465763427133E-2</v>
      </c>
      <c r="E52" s="37">
        <v>10.200879864146827</v>
      </c>
      <c r="F52" s="37">
        <v>1.324268475746595E-6</v>
      </c>
      <c r="G52" s="37">
        <v>0.70849490045236152</v>
      </c>
      <c r="H52" s="37">
        <v>1.1045004929391187</v>
      </c>
      <c r="I52" s="37">
        <v>0.70849490045236152</v>
      </c>
      <c r="J52" s="37">
        <v>1.1045004929391187</v>
      </c>
    </row>
    <row r="60" spans="2:13" x14ac:dyDescent="0.25">
      <c r="B60" t="s">
        <v>68</v>
      </c>
      <c r="C60" s="18">
        <v>0.05</v>
      </c>
      <c r="E60" s="6" t="s">
        <v>69</v>
      </c>
      <c r="F60" s="6" t="s">
        <v>70</v>
      </c>
      <c r="G60" s="6" t="s">
        <v>5</v>
      </c>
      <c r="H60" s="6" t="s">
        <v>4</v>
      </c>
      <c r="I60" s="6" t="s">
        <v>71</v>
      </c>
      <c r="J60" s="6" t="s">
        <v>72</v>
      </c>
      <c r="K60" s="6" t="s">
        <v>5</v>
      </c>
      <c r="L60" s="6" t="s">
        <v>4</v>
      </c>
      <c r="M60" s="6" t="s">
        <v>73</v>
      </c>
    </row>
    <row r="61" spans="2:13" x14ac:dyDescent="0.25">
      <c r="B61" t="s">
        <v>74</v>
      </c>
      <c r="C61" s="19">
        <f>COUNT(E2:E13)</f>
        <v>12</v>
      </c>
      <c r="E61" s="7">
        <v>5</v>
      </c>
      <c r="F61" s="7">
        <f t="array" ref="F61:F85">TREND(D2:D13,E2:E13,E61:E85)</f>
        <v>5.0894331208188763</v>
      </c>
      <c r="G61" s="7">
        <f>F61-$C$65*I61</f>
        <v>4.4705121698496662</v>
      </c>
      <c r="H61" s="7">
        <f>F61+$C$65*I61</f>
        <v>5.7083540717880865</v>
      </c>
      <c r="I61" s="7">
        <f>$C$64*SQRT(1/$C$61+(E61-$C$62)^2/$C$63)</f>
        <v>0.27777485699218107</v>
      </c>
      <c r="J61" s="7">
        <f>F61</f>
        <v>5.0894331208188763</v>
      </c>
      <c r="K61" s="7">
        <f>J61-$C$65*M61</f>
        <v>4.1904875675629434</v>
      </c>
      <c r="L61" s="7">
        <f>J61+$C$65*M61</f>
        <v>5.9883786740748093</v>
      </c>
      <c r="M61" s="7">
        <f>$C$64*SQRT(1+1/$C$61+(E61-$C$62)^2/$C$63)</f>
        <v>0.40345131653468025</v>
      </c>
    </row>
    <row r="62" spans="2:13" x14ac:dyDescent="0.25">
      <c r="B62" t="s">
        <v>75</v>
      </c>
      <c r="C62" s="20">
        <f>AVERAGE(E2:E13)</f>
        <v>7.9777999105000008</v>
      </c>
      <c r="E62">
        <f>E61+0.25</f>
        <v>5.25</v>
      </c>
      <c r="F62">
        <v>5.3160575449928116</v>
      </c>
      <c r="G62">
        <f t="shared" ref="G62:G85" si="0">F62-$C$65*I62</f>
        <v>4.7440951509304652</v>
      </c>
      <c r="H62">
        <f t="shared" ref="H62:H85" si="1">F62+$C$65*I62</f>
        <v>5.888019939055158</v>
      </c>
      <c r="I62">
        <f t="shared" ref="I62:I85" si="2">$C$64*SQRT(1/$C$61+(E62-$C$62)^2/$C$63)</f>
        <v>0.25669961885565179</v>
      </c>
      <c r="J62">
        <f t="shared" ref="J62:J85" si="3">F62</f>
        <v>5.3160575449928116</v>
      </c>
      <c r="K62">
        <f t="shared" ref="K62:K85" si="4">J62-$C$65*M62</f>
        <v>4.4487738864407111</v>
      </c>
      <c r="L62">
        <f t="shared" ref="L62:L85" si="5">J62+$C$65*M62</f>
        <v>6.183341203544912</v>
      </c>
      <c r="M62">
        <f t="shared" ref="M62:M85" si="6">$C$64*SQRT(1+1/$C$61+(E62-$C$62)^2/$C$63)</f>
        <v>0.38924129785671124</v>
      </c>
    </row>
    <row r="63" spans="2:13" x14ac:dyDescent="0.25">
      <c r="B63" t="s">
        <v>76</v>
      </c>
      <c r="C63" s="19">
        <f>DEVSQ(E2:E13)</f>
        <v>10.841443710345887</v>
      </c>
      <c r="E63">
        <f t="shared" ref="E63:E85" si="7">E62+0.25</f>
        <v>5.5</v>
      </c>
      <c r="F63">
        <v>5.5426819691667459</v>
      </c>
      <c r="G63">
        <f t="shared" si="0"/>
        <v>5.0172112703552383</v>
      </c>
      <c r="H63">
        <f t="shared" si="1"/>
        <v>6.0681526679782536</v>
      </c>
      <c r="I63">
        <f t="shared" si="2"/>
        <v>0.2358339105945203</v>
      </c>
      <c r="J63">
        <f t="shared" si="3"/>
        <v>5.5426819691667459</v>
      </c>
      <c r="K63">
        <f t="shared" si="4"/>
        <v>4.7053293436382653</v>
      </c>
      <c r="L63">
        <f t="shared" si="5"/>
        <v>6.3800345946952266</v>
      </c>
      <c r="M63">
        <f t="shared" si="6"/>
        <v>0.37580809866585407</v>
      </c>
    </row>
    <row r="64" spans="2:13" x14ac:dyDescent="0.25">
      <c r="B64" t="s">
        <v>77</v>
      </c>
      <c r="C64" s="19">
        <f>STEYX(D2:D13,E2:E13)</f>
        <v>0.29259886130424384</v>
      </c>
      <c r="E64">
        <f t="shared" si="7"/>
        <v>5.75</v>
      </c>
      <c r="F64">
        <v>5.7693063933406812</v>
      </c>
      <c r="G64">
        <f t="shared" si="0"/>
        <v>5.2897247331279456</v>
      </c>
      <c r="H64">
        <f t="shared" si="1"/>
        <v>6.2488880535534168</v>
      </c>
      <c r="I64">
        <f t="shared" si="2"/>
        <v>0.21523867769067095</v>
      </c>
      <c r="J64">
        <f t="shared" si="3"/>
        <v>5.7693063933406812</v>
      </c>
      <c r="K64">
        <f t="shared" si="4"/>
        <v>4.9599618851228344</v>
      </c>
      <c r="L64">
        <f t="shared" si="5"/>
        <v>6.5786509015585279</v>
      </c>
      <c r="M64">
        <f t="shared" si="6"/>
        <v>0.36323791378457265</v>
      </c>
    </row>
    <row r="65" spans="2:13" x14ac:dyDescent="0.25">
      <c r="B65" t="s">
        <v>78</v>
      </c>
      <c r="C65" s="21">
        <f>_xlfn.T.INV.2T(C60,C61-2)</f>
        <v>2.2281388519862744</v>
      </c>
      <c r="E65">
        <f t="shared" si="7"/>
        <v>6</v>
      </c>
      <c r="F65">
        <v>5.9959308175146164</v>
      </c>
      <c r="G65">
        <f t="shared" si="0"/>
        <v>5.5614445453144734</v>
      </c>
      <c r="H65">
        <f t="shared" si="1"/>
        <v>6.4304170897147594</v>
      </c>
      <c r="I65">
        <f t="shared" si="2"/>
        <v>0.19499963918892235</v>
      </c>
      <c r="J65">
        <f t="shared" si="3"/>
        <v>5.9959308175146164</v>
      </c>
      <c r="K65">
        <f t="shared" si="4"/>
        <v>5.2124652567524592</v>
      </c>
      <c r="L65">
        <f t="shared" si="5"/>
        <v>6.7793963782767737</v>
      </c>
      <c r="M65">
        <f t="shared" si="6"/>
        <v>0.35162331111624273</v>
      </c>
    </row>
    <row r="66" spans="2:13" x14ac:dyDescent="0.25">
      <c r="E66">
        <f t="shared" si="7"/>
        <v>6.25</v>
      </c>
      <c r="F66">
        <v>6.2225552416885517</v>
      </c>
      <c r="G66">
        <f t="shared" si="0"/>
        <v>5.832095626538182</v>
      </c>
      <c r="H66">
        <f t="shared" si="1"/>
        <v>6.6130148568389213</v>
      </c>
      <c r="I66">
        <f t="shared" si="2"/>
        <v>0.17524025255530848</v>
      </c>
      <c r="J66">
        <f t="shared" si="3"/>
        <v>6.2225552416885517</v>
      </c>
      <c r="K66">
        <f t="shared" si="4"/>
        <v>5.4626219056429743</v>
      </c>
      <c r="L66">
        <f t="shared" si="5"/>
        <v>6.982488577734129</v>
      </c>
      <c r="M66">
        <f t="shared" si="6"/>
        <v>0.34106192949695874</v>
      </c>
    </row>
    <row r="67" spans="2:13" x14ac:dyDescent="0.25">
      <c r="E67">
        <f t="shared" si="7"/>
        <v>6.5</v>
      </c>
      <c r="F67">
        <v>6.4491796658624869</v>
      </c>
      <c r="G67">
        <f t="shared" si="0"/>
        <v>6.1012720059706735</v>
      </c>
      <c r="H67">
        <f t="shared" si="1"/>
        <v>6.7970873257543003</v>
      </c>
      <c r="I67">
        <f t="shared" si="2"/>
        <v>0.1561427195534385</v>
      </c>
      <c r="J67">
        <f t="shared" si="3"/>
        <v>6.4491796658624869</v>
      </c>
      <c r="K67">
        <f t="shared" si="4"/>
        <v>5.7102076068633778</v>
      </c>
      <c r="L67">
        <f t="shared" si="5"/>
        <v>7.188151724861596</v>
      </c>
      <c r="M67">
        <f t="shared" si="6"/>
        <v>0.33165440221122328</v>
      </c>
    </row>
    <row r="68" spans="2:13" x14ac:dyDescent="0.25">
      <c r="E68">
        <f t="shared" si="7"/>
        <v>6.75</v>
      </c>
      <c r="F68">
        <v>6.6758040900364213</v>
      </c>
      <c r="G68">
        <f t="shared" si="0"/>
        <v>6.3683607505827187</v>
      </c>
      <c r="H68">
        <f t="shared" si="1"/>
        <v>6.9832474294901239</v>
      </c>
      <c r="I68">
        <f t="shared" si="2"/>
        <v>0.13798212763070519</v>
      </c>
      <c r="J68">
        <f t="shared" si="3"/>
        <v>6.6758040900364213</v>
      </c>
      <c r="K68">
        <f t="shared" si="4"/>
        <v>5.9549980334966399</v>
      </c>
      <c r="L68">
        <f t="shared" si="5"/>
        <v>7.3966101465762026</v>
      </c>
      <c r="M68">
        <f t="shared" si="6"/>
        <v>0.32350140831538332</v>
      </c>
    </row>
    <row r="69" spans="2:13" x14ac:dyDescent="0.25">
      <c r="E69">
        <f t="shared" si="7"/>
        <v>7</v>
      </c>
      <c r="F69">
        <v>6.9024285142103565</v>
      </c>
      <c r="G69">
        <f t="shared" si="0"/>
        <v>6.6324216392006328</v>
      </c>
      <c r="H69">
        <f t="shared" si="1"/>
        <v>7.1724353892200803</v>
      </c>
      <c r="I69">
        <f t="shared" si="2"/>
        <v>0.12118045281111028</v>
      </c>
      <c r="J69">
        <f t="shared" si="3"/>
        <v>6.9024285142103565</v>
      </c>
      <c r="K69">
        <f t="shared" si="4"/>
        <v>6.1967772712280302</v>
      </c>
      <c r="L69">
        <f t="shared" si="5"/>
        <v>7.6080797571926828</v>
      </c>
      <c r="M69">
        <f t="shared" si="6"/>
        <v>0.31669985124727457</v>
      </c>
    </row>
    <row r="70" spans="2:13" x14ac:dyDescent="0.25">
      <c r="E70">
        <f t="shared" si="7"/>
        <v>7.25</v>
      </c>
      <c r="F70">
        <v>7.1290529383842918</v>
      </c>
      <c r="G70">
        <f t="shared" si="0"/>
        <v>6.8920156912149633</v>
      </c>
      <c r="H70">
        <f t="shared" si="1"/>
        <v>7.3660901855536203</v>
      </c>
      <c r="I70">
        <f t="shared" si="2"/>
        <v>0.1063835168791306</v>
      </c>
      <c r="J70">
        <f t="shared" si="3"/>
        <v>7.1290529383842918</v>
      </c>
      <c r="K70">
        <f t="shared" si="4"/>
        <v>6.4353479429319034</v>
      </c>
      <c r="L70">
        <f t="shared" si="5"/>
        <v>7.8227579338366802</v>
      </c>
      <c r="M70">
        <f t="shared" si="6"/>
        <v>0.31133831486039809</v>
      </c>
    </row>
    <row r="71" spans="2:13" x14ac:dyDescent="0.25">
      <c r="E71">
        <f t="shared" si="7"/>
        <v>7.5</v>
      </c>
      <c r="F71">
        <v>7.3556773625582261</v>
      </c>
      <c r="G71">
        <f t="shared" si="0"/>
        <v>7.1450349191767115</v>
      </c>
      <c r="H71">
        <f t="shared" si="1"/>
        <v>7.5663198059397407</v>
      </c>
      <c r="I71">
        <f t="shared" si="2"/>
        <v>9.4537395276662023E-2</v>
      </c>
      <c r="J71">
        <f t="shared" si="3"/>
        <v>7.3556773625582261</v>
      </c>
      <c r="K71">
        <f t="shared" si="4"/>
        <v>6.6705421911331122</v>
      </c>
      <c r="L71">
        <f t="shared" si="5"/>
        <v>8.0408125339833401</v>
      </c>
      <c r="M71">
        <f t="shared" si="6"/>
        <v>0.30749213443962425</v>
      </c>
    </row>
    <row r="72" spans="2:13" x14ac:dyDescent="0.25">
      <c r="E72">
        <f t="shared" si="7"/>
        <v>7.75</v>
      </c>
      <c r="F72">
        <v>7.5823017867321614</v>
      </c>
      <c r="G72">
        <f t="shared" si="0"/>
        <v>7.388770239492751</v>
      </c>
      <c r="H72">
        <f t="shared" si="1"/>
        <v>7.7758333339715717</v>
      </c>
      <c r="I72">
        <f t="shared" si="2"/>
        <v>8.6857938439019206E-2</v>
      </c>
      <c r="J72">
        <f t="shared" si="3"/>
        <v>7.5823017867321614</v>
      </c>
      <c r="K72">
        <f t="shared" si="4"/>
        <v>6.9022323609035441</v>
      </c>
      <c r="L72">
        <f t="shared" si="5"/>
        <v>8.2623712125607796</v>
      </c>
      <c r="M72">
        <f t="shared" si="6"/>
        <v>0.30521860216313257</v>
      </c>
    </row>
    <row r="73" spans="2:13" x14ac:dyDescent="0.25">
      <c r="E73">
        <f t="shared" si="7"/>
        <v>8</v>
      </c>
      <c r="F73">
        <v>7.8089262109060966</v>
      </c>
      <c r="G73">
        <f t="shared" si="0"/>
        <v>7.6206728735783065</v>
      </c>
      <c r="H73">
        <f t="shared" si="1"/>
        <v>7.9971795482338868</v>
      </c>
      <c r="I73">
        <f t="shared" si="2"/>
        <v>8.4489051101986554E-2</v>
      </c>
      <c r="J73">
        <f t="shared" si="3"/>
        <v>7.8089262109060966</v>
      </c>
      <c r="K73">
        <f t="shared" si="4"/>
        <v>7.1303399723298666</v>
      </c>
      <c r="L73">
        <f t="shared" si="5"/>
        <v>8.4875124494823257</v>
      </c>
      <c r="M73">
        <f t="shared" si="6"/>
        <v>0.30455294021344498</v>
      </c>
    </row>
    <row r="74" spans="2:13" x14ac:dyDescent="0.25">
      <c r="E74">
        <f t="shared" si="7"/>
        <v>8.25</v>
      </c>
      <c r="F74">
        <v>8.0355506350800319</v>
      </c>
      <c r="G74">
        <f t="shared" si="0"/>
        <v>7.8397833838140301</v>
      </c>
      <c r="H74">
        <f t="shared" si="1"/>
        <v>8.2313178863460337</v>
      </c>
      <c r="I74">
        <f t="shared" si="2"/>
        <v>8.7861333727691462E-2</v>
      </c>
      <c r="J74">
        <f t="shared" si="3"/>
        <v>8.0355506350800319</v>
      </c>
      <c r="K74">
        <f t="shared" si="4"/>
        <v>7.3548416070524674</v>
      </c>
      <c r="L74">
        <f t="shared" si="5"/>
        <v>8.7162596631075964</v>
      </c>
      <c r="M74">
        <f t="shared" si="6"/>
        <v>0.30550565886894615</v>
      </c>
    </row>
    <row r="75" spans="2:13" x14ac:dyDescent="0.25">
      <c r="E75">
        <f t="shared" si="7"/>
        <v>8.5</v>
      </c>
      <c r="F75">
        <v>8.2621750592539662</v>
      </c>
      <c r="G75">
        <f t="shared" si="0"/>
        <v>8.0474404492432239</v>
      </c>
      <c r="H75">
        <f t="shared" si="1"/>
        <v>8.4769096692647086</v>
      </c>
      <c r="I75">
        <f t="shared" si="2"/>
        <v>9.6373980382468818E-2</v>
      </c>
      <c r="J75">
        <f t="shared" si="3"/>
        <v>8.2621750592539662</v>
      </c>
      <c r="K75">
        <f t="shared" si="4"/>
        <v>7.5757707200293005</v>
      </c>
      <c r="L75">
        <f t="shared" si="5"/>
        <v>8.9485793984786319</v>
      </c>
      <c r="M75">
        <f t="shared" si="6"/>
        <v>0.30806174337509129</v>
      </c>
    </row>
    <row r="76" spans="2:13" x14ac:dyDescent="0.25">
      <c r="E76">
        <f t="shared" si="7"/>
        <v>8.75</v>
      </c>
      <c r="F76">
        <v>8.4887994834279006</v>
      </c>
      <c r="G76">
        <f t="shared" si="0"/>
        <v>8.2463170568075164</v>
      </c>
      <c r="H76">
        <f t="shared" si="1"/>
        <v>8.7312819100482848</v>
      </c>
      <c r="I76">
        <f t="shared" si="2"/>
        <v>0.10882734099099009</v>
      </c>
      <c r="J76">
        <f t="shared" si="3"/>
        <v>8.4887994834279006</v>
      </c>
      <c r="K76">
        <f t="shared" si="4"/>
        <v>7.7932150590841012</v>
      </c>
      <c r="L76">
        <f t="shared" si="5"/>
        <v>9.1843839077717</v>
      </c>
      <c r="M76">
        <f t="shared" si="6"/>
        <v>0.31218181206423501</v>
      </c>
    </row>
    <row r="77" spans="2:13" x14ac:dyDescent="0.25">
      <c r="E77">
        <f t="shared" si="7"/>
        <v>9</v>
      </c>
      <c r="F77">
        <v>8.7154239076018385</v>
      </c>
      <c r="G77">
        <f t="shared" si="0"/>
        <v>8.4390452902705064</v>
      </c>
      <c r="H77">
        <f t="shared" si="1"/>
        <v>8.9918025249331706</v>
      </c>
      <c r="I77">
        <f t="shared" si="2"/>
        <v>0.12404012303136036</v>
      </c>
      <c r="J77">
        <f t="shared" si="3"/>
        <v>8.7154239076018385</v>
      </c>
      <c r="K77">
        <f t="shared" si="4"/>
        <v>8.0073101425273521</v>
      </c>
      <c r="L77">
        <f t="shared" si="5"/>
        <v>9.4235376726763249</v>
      </c>
      <c r="M77">
        <f t="shared" si="6"/>
        <v>0.317805043632374</v>
      </c>
    </row>
    <row r="78" spans="2:13" x14ac:dyDescent="0.25">
      <c r="E78">
        <f t="shared" si="7"/>
        <v>9.25</v>
      </c>
      <c r="F78">
        <v>8.9420483317757729</v>
      </c>
      <c r="G78">
        <f t="shared" si="0"/>
        <v>8.6276072539388089</v>
      </c>
      <c r="H78">
        <f t="shared" si="1"/>
        <v>9.2564894096127368</v>
      </c>
      <c r="I78">
        <f t="shared" si="2"/>
        <v>0.1411227480534511</v>
      </c>
      <c r="J78">
        <f t="shared" si="3"/>
        <v>8.9420483317757729</v>
      </c>
      <c r="K78">
        <f t="shared" si="4"/>
        <v>8.2182298769120852</v>
      </c>
      <c r="L78">
        <f t="shared" si="5"/>
        <v>9.6658667866394605</v>
      </c>
      <c r="M78">
        <f t="shared" si="6"/>
        <v>0.32485338793784796</v>
      </c>
    </row>
    <row r="79" spans="2:13" x14ac:dyDescent="0.25">
      <c r="E79">
        <f t="shared" si="7"/>
        <v>9.5</v>
      </c>
      <c r="F79">
        <v>9.1686727559497072</v>
      </c>
      <c r="G79">
        <f t="shared" si="0"/>
        <v>8.8133392771448094</v>
      </c>
      <c r="H79">
        <f t="shared" si="1"/>
        <v>9.5240062347546051</v>
      </c>
      <c r="I79">
        <f t="shared" si="2"/>
        <v>0.15947546468575563</v>
      </c>
      <c r="J79">
        <f t="shared" si="3"/>
        <v>9.1686727559497072</v>
      </c>
      <c r="K79">
        <f t="shared" si="4"/>
        <v>8.4261757220636611</v>
      </c>
      <c r="L79">
        <f t="shared" si="5"/>
        <v>9.9111697898357534</v>
      </c>
      <c r="M79">
        <f t="shared" si="6"/>
        <v>0.33323642879084786</v>
      </c>
    </row>
    <row r="80" spans="2:13" x14ac:dyDescent="0.25">
      <c r="E80">
        <f t="shared" si="7"/>
        <v>9.75</v>
      </c>
      <c r="F80">
        <v>9.3952971801236416</v>
      </c>
      <c r="G80">
        <f t="shared" si="0"/>
        <v>8.9971122867601032</v>
      </c>
      <c r="H80">
        <f t="shared" si="1"/>
        <v>9.7934820734871799</v>
      </c>
      <c r="I80">
        <f t="shared" si="2"/>
        <v>0.17870739653795689</v>
      </c>
      <c r="J80">
        <f t="shared" si="3"/>
        <v>9.3952971801236416</v>
      </c>
      <c r="K80">
        <f t="shared" si="4"/>
        <v>8.6313657869521609</v>
      </c>
      <c r="L80">
        <f t="shared" si="5"/>
        <v>10.159228573295122</v>
      </c>
      <c r="M80">
        <f t="shared" si="6"/>
        <v>0.34285627778110572</v>
      </c>
    </row>
    <row r="81" spans="5:13" x14ac:dyDescent="0.25">
      <c r="E81">
        <f t="shared" si="7"/>
        <v>10</v>
      </c>
      <c r="F81">
        <v>9.6219216042975759</v>
      </c>
      <c r="G81">
        <f t="shared" si="0"/>
        <v>9.1794951405080543</v>
      </c>
      <c r="H81">
        <f t="shared" si="1"/>
        <v>10.064348068087098</v>
      </c>
      <c r="I81">
        <f t="shared" si="2"/>
        <v>0.19856323738312812</v>
      </c>
      <c r="J81">
        <f t="shared" si="3"/>
        <v>9.6219216042975759</v>
      </c>
      <c r="K81">
        <f t="shared" si="4"/>
        <v>8.8340249486178575</v>
      </c>
      <c r="L81">
        <f t="shared" si="5"/>
        <v>10.409818259977294</v>
      </c>
      <c r="M81">
        <f t="shared" si="6"/>
        <v>0.35361200895417649</v>
      </c>
    </row>
    <row r="82" spans="5:13" x14ac:dyDescent="0.25">
      <c r="E82">
        <f t="shared" si="7"/>
        <v>10.25</v>
      </c>
      <c r="F82">
        <v>9.8485460284715103</v>
      </c>
      <c r="G82">
        <f t="shared" si="0"/>
        <v>9.3608660300763606</v>
      </c>
      <c r="H82">
        <f t="shared" si="1"/>
        <v>10.33622602686666</v>
      </c>
      <c r="I82">
        <f t="shared" si="2"/>
        <v>0.21887325287668077</v>
      </c>
      <c r="J82">
        <f t="shared" si="3"/>
        <v>9.8485460284715103</v>
      </c>
      <c r="K82">
        <f t="shared" si="4"/>
        <v>9.0343766695512198</v>
      </c>
      <c r="L82">
        <f t="shared" si="5"/>
        <v>10.662715387391801</v>
      </c>
      <c r="M82">
        <f t="shared" si="6"/>
        <v>0.36540333121272928</v>
      </c>
    </row>
    <row r="83" spans="5:13" x14ac:dyDescent="0.25">
      <c r="E83">
        <f t="shared" si="7"/>
        <v>10.5</v>
      </c>
      <c r="F83">
        <v>10.075170452645448</v>
      </c>
      <c r="G83">
        <f t="shared" si="0"/>
        <v>9.5414823187853166</v>
      </c>
      <c r="H83">
        <f t="shared" si="1"/>
        <v>10.60885858650558</v>
      </c>
      <c r="I83">
        <f t="shared" si="2"/>
        <v>0.23952193705718777</v>
      </c>
      <c r="J83">
        <f t="shared" si="3"/>
        <v>10.075170452645448</v>
      </c>
      <c r="K83">
        <f t="shared" si="4"/>
        <v>9.2326367806814762</v>
      </c>
      <c r="L83">
        <f t="shared" si="5"/>
        <v>10.91770412460942</v>
      </c>
      <c r="M83">
        <f t="shared" si="6"/>
        <v>0.37813337854276702</v>
      </c>
    </row>
    <row r="84" spans="5:13" x14ac:dyDescent="0.25">
      <c r="E84">
        <f t="shared" si="7"/>
        <v>10.75</v>
      </c>
      <c r="F84">
        <v>10.301794876819383</v>
      </c>
      <c r="G84">
        <f t="shared" si="0"/>
        <v>9.7215234696084547</v>
      </c>
      <c r="H84">
        <f t="shared" si="1"/>
        <v>10.88206628403031</v>
      </c>
      <c r="I84">
        <f t="shared" si="2"/>
        <v>0.26042874603332949</v>
      </c>
      <c r="J84">
        <f t="shared" si="3"/>
        <v>10.301794876819383</v>
      </c>
      <c r="K84">
        <f t="shared" si="4"/>
        <v>9.4290091813611348</v>
      </c>
      <c r="L84">
        <f t="shared" si="5"/>
        <v>11.17458057227763</v>
      </c>
      <c r="M84">
        <f t="shared" si="6"/>
        <v>0.39171063988234039</v>
      </c>
    </row>
    <row r="85" spans="5:13" x14ac:dyDescent="0.25">
      <c r="E85" s="8">
        <f t="shared" si="7"/>
        <v>11</v>
      </c>
      <c r="F85" s="8">
        <v>10.528419300993317</v>
      </c>
      <c r="G85" s="8">
        <f t="shared" si="0"/>
        <v>9.9011175982656603</v>
      </c>
      <c r="H85" s="8">
        <f t="shared" si="1"/>
        <v>11.155721003720974</v>
      </c>
      <c r="I85" s="8">
        <f t="shared" si="2"/>
        <v>0.28153618082124809</v>
      </c>
      <c r="J85" s="8">
        <f t="shared" si="3"/>
        <v>10.528419300993317</v>
      </c>
      <c r="K85" s="8">
        <f t="shared" si="4"/>
        <v>9.6236832121723825</v>
      </c>
      <c r="L85" s="8">
        <f t="shared" si="5"/>
        <v>11.433155389814251</v>
      </c>
      <c r="M85" s="8">
        <f t="shared" si="6"/>
        <v>0.40605013821935165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73A2-DC6B-46DB-B741-C3FA7AD88B43}">
  <dimension ref="A1:M85"/>
  <sheetViews>
    <sheetView topLeftCell="A49" zoomScale="70" zoomScaleNormal="70" workbookViewId="0">
      <selection activeCell="AL16" sqref="AL16"/>
    </sheetView>
  </sheetViews>
  <sheetFormatPr defaultRowHeight="15" x14ac:dyDescent="0.25"/>
  <cols>
    <col min="2" max="2" width="15" customWidth="1"/>
    <col min="7" max="7" width="12" bestFit="1" customWidth="1"/>
    <col min="10" max="10" width="11" bestFit="1" customWidth="1"/>
    <col min="11" max="11" width="12" bestFit="1" customWidth="1"/>
    <col min="17" max="17" width="11" bestFit="1" customWidth="1"/>
  </cols>
  <sheetData>
    <row r="1" spans="1:13" x14ac:dyDescent="0.25">
      <c r="A1" t="s">
        <v>33</v>
      </c>
      <c r="B1" t="s">
        <v>35</v>
      </c>
      <c r="C1" t="s">
        <v>43</v>
      </c>
      <c r="D1" t="s">
        <v>186</v>
      </c>
      <c r="E1" t="s">
        <v>190</v>
      </c>
    </row>
    <row r="2" spans="1:13" x14ac:dyDescent="0.25">
      <c r="A2" s="9" t="s">
        <v>36</v>
      </c>
      <c r="B2" s="9" t="s">
        <v>37</v>
      </c>
      <c r="C2" s="9" t="s">
        <v>21</v>
      </c>
      <c r="D2" s="16">
        <v>9.0597721727970804</v>
      </c>
      <c r="E2" s="16">
        <v>9.4386156779999997</v>
      </c>
    </row>
    <row r="3" spans="1:13" x14ac:dyDescent="0.25">
      <c r="A3" s="9" t="s">
        <v>36</v>
      </c>
      <c r="B3" s="9" t="s">
        <v>38</v>
      </c>
      <c r="C3" s="9" t="s">
        <v>22</v>
      </c>
      <c r="D3" s="16">
        <v>8.9180104638716333</v>
      </c>
      <c r="E3" s="16">
        <v>9.3175505409999992</v>
      </c>
    </row>
    <row r="4" spans="1:13" x14ac:dyDescent="0.25">
      <c r="A4" s="9" t="s">
        <v>36</v>
      </c>
      <c r="B4" s="9" t="s">
        <v>39</v>
      </c>
      <c r="C4" s="9" t="s">
        <v>23</v>
      </c>
      <c r="D4" s="16">
        <v>9.0155722025837548</v>
      </c>
      <c r="E4" s="16">
        <v>9.0773381010000005</v>
      </c>
    </row>
    <row r="5" spans="1:13" x14ac:dyDescent="0.25">
      <c r="A5" s="1" t="s">
        <v>36</v>
      </c>
      <c r="B5" s="1" t="s">
        <v>40</v>
      </c>
      <c r="C5" s="1" t="s">
        <v>24</v>
      </c>
      <c r="D5" s="2">
        <v>8.2211185711499439</v>
      </c>
      <c r="E5" s="2">
        <v>8.3678596069999998</v>
      </c>
    </row>
    <row r="6" spans="1:13" x14ac:dyDescent="0.25">
      <c r="A6" s="1" t="s">
        <v>36</v>
      </c>
      <c r="B6" s="1" t="s">
        <v>40</v>
      </c>
      <c r="C6" s="1" t="s">
        <v>25</v>
      </c>
      <c r="D6" s="2">
        <v>8.2556904999112852</v>
      </c>
      <c r="E6" s="2">
        <v>7.9049021799999997</v>
      </c>
    </row>
    <row r="7" spans="1:13" x14ac:dyDescent="0.25">
      <c r="A7" s="1" t="s">
        <v>36</v>
      </c>
      <c r="B7" s="1" t="s">
        <v>40</v>
      </c>
      <c r="C7" s="1" t="s">
        <v>26</v>
      </c>
      <c r="D7" s="2">
        <v>8.2585737727950406</v>
      </c>
      <c r="E7" s="2">
        <v>8.0773381010000005</v>
      </c>
    </row>
    <row r="8" spans="1:13" x14ac:dyDescent="0.25">
      <c r="A8" s="4" t="s">
        <v>36</v>
      </c>
      <c r="B8" s="4" t="s">
        <v>41</v>
      </c>
      <c r="C8" s="4" t="s">
        <v>27</v>
      </c>
      <c r="D8" s="17">
        <v>7.180145708096795</v>
      </c>
      <c r="E8" s="17">
        <v>7.5014909989999996</v>
      </c>
      <c r="K8" s="5"/>
      <c r="L8" s="5"/>
    </row>
    <row r="9" spans="1:13" x14ac:dyDescent="0.25">
      <c r="A9" s="4" t="s">
        <v>36</v>
      </c>
      <c r="B9" s="4" t="s">
        <v>41</v>
      </c>
      <c r="C9" s="4" t="s">
        <v>28</v>
      </c>
      <c r="D9" s="17">
        <v>7.1564082693046798</v>
      </c>
      <c r="E9" s="17">
        <v>7.7328326970000001</v>
      </c>
    </row>
    <row r="10" spans="1:13" x14ac:dyDescent="0.25">
      <c r="A10" s="4" t="s">
        <v>36</v>
      </c>
      <c r="B10" s="4" t="s">
        <v>41</v>
      </c>
      <c r="C10" s="4" t="s">
        <v>29</v>
      </c>
      <c r="D10" s="17">
        <v>7.354599383703488</v>
      </c>
      <c r="E10" s="17">
        <v>7.5611465139999998</v>
      </c>
    </row>
    <row r="11" spans="1:13" x14ac:dyDescent="0.25">
      <c r="A11" t="s">
        <v>36</v>
      </c>
      <c r="B11" t="s">
        <v>42</v>
      </c>
      <c r="C11" t="s">
        <v>30</v>
      </c>
      <c r="D11" s="15">
        <v>6.4172469545667106</v>
      </c>
      <c r="E11" s="15">
        <v>6.5014909989999996</v>
      </c>
    </row>
    <row r="12" spans="1:13" x14ac:dyDescent="0.25">
      <c r="A12" t="s">
        <v>36</v>
      </c>
      <c r="B12" t="s">
        <v>42</v>
      </c>
      <c r="C12" t="s">
        <v>31</v>
      </c>
      <c r="D12" s="15">
        <v>6.860853443398657</v>
      </c>
      <c r="E12" s="15">
        <v>6.5058256610000003</v>
      </c>
      <c r="K12" s="5"/>
      <c r="L12" s="5"/>
      <c r="M12" s="5"/>
    </row>
    <row r="13" spans="1:13" x14ac:dyDescent="0.25">
      <c r="A13" t="s">
        <v>36</v>
      </c>
      <c r="B13" t="s">
        <v>42</v>
      </c>
      <c r="C13" t="s">
        <v>32</v>
      </c>
      <c r="D13" s="15">
        <v>6.7676311287158377</v>
      </c>
      <c r="E13" s="15">
        <v>7.0773381009999996</v>
      </c>
    </row>
    <row r="21" spans="11:11" x14ac:dyDescent="0.25">
      <c r="K21" t="s">
        <v>187</v>
      </c>
    </row>
    <row r="22" spans="11:11" x14ac:dyDescent="0.25">
      <c r="K22" t="s">
        <v>179</v>
      </c>
    </row>
    <row r="23" spans="11:11" x14ac:dyDescent="0.25">
      <c r="K23" s="12">
        <v>0.1</v>
      </c>
    </row>
    <row r="24" spans="11:11" x14ac:dyDescent="0.25">
      <c r="K24" s="12">
        <v>0.01</v>
      </c>
    </row>
    <row r="25" spans="11:11" x14ac:dyDescent="0.25">
      <c r="K25" s="12">
        <v>1E-3</v>
      </c>
    </row>
    <row r="33" spans="2:7" x14ac:dyDescent="0.25">
      <c r="C33" s="22"/>
    </row>
    <row r="36" spans="2:7" x14ac:dyDescent="0.25">
      <c r="B36" t="s">
        <v>44</v>
      </c>
    </row>
    <row r="37" spans="2:7" ht="15.75" thickBot="1" x14ac:dyDescent="0.3"/>
    <row r="38" spans="2:7" x14ac:dyDescent="0.25">
      <c r="B38" s="39" t="s">
        <v>45</v>
      </c>
      <c r="C38" s="39"/>
    </row>
    <row r="39" spans="2:7" x14ac:dyDescent="0.25">
      <c r="B39" t="s">
        <v>46</v>
      </c>
      <c r="C39">
        <v>0.95400540332842243</v>
      </c>
    </row>
    <row r="40" spans="2:7" x14ac:dyDescent="0.25">
      <c r="B40" t="s">
        <v>47</v>
      </c>
      <c r="C40">
        <v>0.91012630957982599</v>
      </c>
    </row>
    <row r="41" spans="2:7" x14ac:dyDescent="0.25">
      <c r="B41" t="s">
        <v>48</v>
      </c>
      <c r="C41">
        <v>0.90113894053780863</v>
      </c>
    </row>
    <row r="42" spans="2:7" x14ac:dyDescent="0.25">
      <c r="B42" t="s">
        <v>49</v>
      </c>
      <c r="C42">
        <v>0.29624545769191951</v>
      </c>
    </row>
    <row r="43" spans="2:7" ht="15.75" thickBot="1" x14ac:dyDescent="0.3">
      <c r="B43" s="37" t="s">
        <v>50</v>
      </c>
      <c r="C43" s="37">
        <v>12</v>
      </c>
    </row>
    <row r="45" spans="2:7" ht="15.75" thickBot="1" x14ac:dyDescent="0.3">
      <c r="B45" t="s">
        <v>51</v>
      </c>
    </row>
    <row r="46" spans="2:7" x14ac:dyDescent="0.25">
      <c r="B46" s="38"/>
      <c r="C46" s="38" t="s">
        <v>52</v>
      </c>
      <c r="D46" s="38" t="s">
        <v>53</v>
      </c>
      <c r="E46" s="38" t="s">
        <v>54</v>
      </c>
      <c r="F46" s="38" t="s">
        <v>55</v>
      </c>
      <c r="G46" s="38" t="s">
        <v>56</v>
      </c>
    </row>
    <row r="47" spans="2:7" x14ac:dyDescent="0.25">
      <c r="B47" t="s">
        <v>57</v>
      </c>
      <c r="C47">
        <v>1</v>
      </c>
      <c r="D47">
        <v>8.8873542994968169</v>
      </c>
      <c r="E47">
        <v>8.8873542994968169</v>
      </c>
      <c r="F47">
        <v>101.26726802080101</v>
      </c>
      <c r="G47">
        <v>1.5003686724270638E-6</v>
      </c>
    </row>
    <row r="48" spans="2:7" x14ac:dyDescent="0.25">
      <c r="B48" t="s">
        <v>58</v>
      </c>
      <c r="C48">
        <v>10</v>
      </c>
      <c r="D48">
        <v>0.87761371203094873</v>
      </c>
      <c r="E48">
        <v>8.7761371203094879E-2</v>
      </c>
    </row>
    <row r="49" spans="2:13" ht="15.75" thickBot="1" x14ac:dyDescent="0.3">
      <c r="B49" s="37" t="s">
        <v>59</v>
      </c>
      <c r="C49" s="37">
        <v>11</v>
      </c>
      <c r="D49" s="37">
        <v>9.7649680115277651</v>
      </c>
      <c r="E49" s="37"/>
      <c r="F49" s="37"/>
      <c r="G49" s="37"/>
    </row>
    <row r="50" spans="2:13" ht="15.75" thickBot="1" x14ac:dyDescent="0.3"/>
    <row r="51" spans="2:13" x14ac:dyDescent="0.25">
      <c r="B51" s="38"/>
      <c r="C51" s="38" t="s">
        <v>60</v>
      </c>
      <c r="D51" s="38" t="s">
        <v>49</v>
      </c>
      <c r="E51" s="38" t="s">
        <v>61</v>
      </c>
      <c r="F51" s="38" t="s">
        <v>62</v>
      </c>
      <c r="G51" s="38" t="s">
        <v>63</v>
      </c>
      <c r="H51" s="38" t="s">
        <v>64</v>
      </c>
      <c r="I51" s="38" t="s">
        <v>65</v>
      </c>
      <c r="J51" s="38" t="s">
        <v>66</v>
      </c>
    </row>
    <row r="52" spans="2:13" x14ac:dyDescent="0.25">
      <c r="B52" t="s">
        <v>67</v>
      </c>
      <c r="C52">
        <v>0.63069718880211667</v>
      </c>
      <c r="D52">
        <v>0.71643984150238127</v>
      </c>
      <c r="E52">
        <v>0.88032121089125726</v>
      </c>
      <c r="F52">
        <v>0.39934747900652257</v>
      </c>
      <c r="G52">
        <v>-0.96563025716022755</v>
      </c>
      <c r="H52">
        <v>2.2270246347644607</v>
      </c>
      <c r="I52">
        <v>-0.96563025716022755</v>
      </c>
      <c r="J52">
        <v>2.2270246347644607</v>
      </c>
    </row>
    <row r="53" spans="2:13" ht="15.75" thickBot="1" x14ac:dyDescent="0.3">
      <c r="B53" s="37" t="s">
        <v>19</v>
      </c>
      <c r="C53" s="37">
        <v>0.90357549663899128</v>
      </c>
      <c r="D53" s="37">
        <v>8.9790398336929977E-2</v>
      </c>
      <c r="E53" s="37">
        <v>10.063163917019386</v>
      </c>
      <c r="F53" s="37">
        <v>1.5003686724270665E-6</v>
      </c>
      <c r="G53" s="37">
        <v>0.70351002156915388</v>
      </c>
      <c r="H53" s="37">
        <v>1.1036409717088287</v>
      </c>
      <c r="I53" s="37">
        <v>0.70351002156915388</v>
      </c>
      <c r="J53" s="37">
        <v>1.1036409717088287</v>
      </c>
    </row>
    <row r="60" spans="2:13" x14ac:dyDescent="0.25">
      <c r="B60" t="s">
        <v>68</v>
      </c>
      <c r="C60" s="18">
        <v>0.05</v>
      </c>
      <c r="E60" s="6" t="s">
        <v>69</v>
      </c>
      <c r="F60" s="6" t="s">
        <v>70</v>
      </c>
      <c r="G60" s="6" t="s">
        <v>5</v>
      </c>
      <c r="H60" s="6" t="s">
        <v>4</v>
      </c>
      <c r="I60" s="6" t="s">
        <v>71</v>
      </c>
      <c r="J60" s="6" t="s">
        <v>72</v>
      </c>
      <c r="K60" s="6" t="s">
        <v>5</v>
      </c>
      <c r="L60" s="6" t="s">
        <v>4</v>
      </c>
      <c r="M60" s="6" t="s">
        <v>73</v>
      </c>
    </row>
    <row r="61" spans="2:13" x14ac:dyDescent="0.25">
      <c r="B61" t="s">
        <v>74</v>
      </c>
      <c r="C61" s="19">
        <f>COUNT(E2:E13)</f>
        <v>12</v>
      </c>
      <c r="E61" s="7">
        <v>5</v>
      </c>
      <c r="F61" s="7">
        <f t="array" ref="F61:F85">TREND(D2:D13,E2:E13,E61:E85)</f>
        <v>5.1485746719970731</v>
      </c>
      <c r="G61" s="7">
        <f>F61-$C$65*I61</f>
        <v>4.5337168898587796</v>
      </c>
      <c r="H61" s="7">
        <f>F61+$C$65*I61</f>
        <v>5.7634324541353665</v>
      </c>
      <c r="I61" s="7">
        <f>$C$64*SQRT(1/$C$61+(E61-$C$62)^2/$C$63)</f>
        <v>0.27595128624510029</v>
      </c>
      <c r="J61" s="7">
        <f>F61</f>
        <v>5.1485746719970731</v>
      </c>
      <c r="K61" s="7">
        <f>J61-$C$65*M61</f>
        <v>4.2464935024095052</v>
      </c>
      <c r="L61" s="7">
        <f>J61+$C$65*M61</f>
        <v>6.050655841584641</v>
      </c>
      <c r="M61" s="7">
        <f>$C$64*SQRT(1+1/$C$61+(E61-$C$62)^2/$C$63)</f>
        <v>0.40485859702298538</v>
      </c>
    </row>
    <row r="62" spans="2:13" x14ac:dyDescent="0.25">
      <c r="B62" t="s">
        <v>75</v>
      </c>
      <c r="C62" s="20">
        <f>AVERAGE(E2:E13)</f>
        <v>7.9219774315833336</v>
      </c>
      <c r="E62">
        <f>E61+0.25</f>
        <v>5.25</v>
      </c>
      <c r="F62">
        <v>5.3744685461568213</v>
      </c>
      <c r="G62">
        <f t="shared" ref="G62:G85" si="0">F62-$C$65*I62</f>
        <v>4.8069529858674835</v>
      </c>
      <c r="H62">
        <f t="shared" ref="H62:H85" si="1">F62+$C$65*I62</f>
        <v>5.9419841064461592</v>
      </c>
      <c r="I62">
        <f t="shared" ref="I62:I85" si="2">$C$64*SQRT(1/$C$61+(E62-$C$62)^2/$C$63)</f>
        <v>0.25470385733969247</v>
      </c>
      <c r="J62">
        <f t="shared" ref="J62:J85" si="3">F62</f>
        <v>5.3744685461568213</v>
      </c>
      <c r="K62">
        <f t="shared" ref="K62:K85" si="4">J62-$C$65*M62</f>
        <v>4.5039662455056542</v>
      </c>
      <c r="L62">
        <f t="shared" ref="L62:L85" si="5">J62+$C$65*M62</f>
        <v>6.2449708468079885</v>
      </c>
      <c r="M62">
        <f t="shared" ref="M62:M85" si="6">$C$64*SQRT(1+1/$C$61+(E62-$C$62)^2/$C$63)</f>
        <v>0.39068584072988011</v>
      </c>
    </row>
    <row r="63" spans="2:13" x14ac:dyDescent="0.25">
      <c r="B63" t="s">
        <v>76</v>
      </c>
      <c r="C63" s="19">
        <f>DEVSQ(E2:E13)</f>
        <v>10.885380229767366</v>
      </c>
      <c r="E63">
        <f t="shared" ref="E63:E85" si="7">E62+0.25</f>
        <v>5.5</v>
      </c>
      <c r="F63">
        <v>5.6003624203165687</v>
      </c>
      <c r="G63">
        <f t="shared" si="0"/>
        <v>5.0796888139426848</v>
      </c>
      <c r="H63">
        <f t="shared" si="1"/>
        <v>6.1210360266904527</v>
      </c>
      <c r="I63">
        <f t="shared" si="2"/>
        <v>0.23368095121618199</v>
      </c>
      <c r="J63">
        <f t="shared" si="3"/>
        <v>5.6003624203165687</v>
      </c>
      <c r="K63">
        <f t="shared" si="4"/>
        <v>4.7596476359557602</v>
      </c>
      <c r="L63">
        <f t="shared" si="5"/>
        <v>6.4410772046773772</v>
      </c>
      <c r="M63">
        <f t="shared" si="6"/>
        <v>0.37731705257567466</v>
      </c>
    </row>
    <row r="64" spans="2:13" x14ac:dyDescent="0.25">
      <c r="B64" t="s">
        <v>77</v>
      </c>
      <c r="C64" s="19">
        <f>STEYX(D2:D13,E2:E13)</f>
        <v>0.2962454576919194</v>
      </c>
      <c r="E64">
        <f t="shared" si="7"/>
        <v>5.75</v>
      </c>
      <c r="F64">
        <v>5.8262562944763161</v>
      </c>
      <c r="G64">
        <f t="shared" si="0"/>
        <v>5.3517761875512555</v>
      </c>
      <c r="H64">
        <f t="shared" si="1"/>
        <v>6.3007364014013767</v>
      </c>
      <c r="I64">
        <f t="shared" si="2"/>
        <v>0.21294907474104907</v>
      </c>
      <c r="J64">
        <f t="shared" si="3"/>
        <v>5.8262562944763161</v>
      </c>
      <c r="K64">
        <f t="shared" si="4"/>
        <v>5.0133407292814613</v>
      </c>
      <c r="L64">
        <f t="shared" si="5"/>
        <v>6.6391718596711708</v>
      </c>
      <c r="M64">
        <f t="shared" si="6"/>
        <v>0.36484062223957969</v>
      </c>
    </row>
    <row r="65" spans="2:13" x14ac:dyDescent="0.25">
      <c r="B65" t="s">
        <v>78</v>
      </c>
      <c r="C65" s="21">
        <f>_xlfn.T.INV.2T(C60,C61-2)</f>
        <v>2.2281388519862744</v>
      </c>
      <c r="E65">
        <f t="shared" si="7"/>
        <v>6</v>
      </c>
      <c r="F65">
        <v>6.0521501686360644</v>
      </c>
      <c r="G65">
        <f t="shared" si="0"/>
        <v>5.6230056549227792</v>
      </c>
      <c r="H65">
        <f t="shared" si="1"/>
        <v>6.4812946823493496</v>
      </c>
      <c r="I65">
        <f t="shared" si="2"/>
        <v>0.19260223092951506</v>
      </c>
      <c r="J65">
        <f t="shared" si="3"/>
        <v>6.0521501686360644</v>
      </c>
      <c r="K65">
        <f t="shared" si="4"/>
        <v>5.2648348836843075</v>
      </c>
      <c r="L65">
        <f t="shared" si="5"/>
        <v>6.8394654535878212</v>
      </c>
      <c r="M65">
        <f t="shared" si="6"/>
        <v>0.35335108682742306</v>
      </c>
    </row>
    <row r="66" spans="2:13" x14ac:dyDescent="0.25">
      <c r="E66">
        <f t="shared" si="7"/>
        <v>6.25</v>
      </c>
      <c r="F66">
        <v>6.2780440427958126</v>
      </c>
      <c r="G66">
        <f t="shared" si="0"/>
        <v>5.8930740053615054</v>
      </c>
      <c r="H66">
        <f t="shared" si="1"/>
        <v>6.6630140802301199</v>
      </c>
      <c r="I66">
        <f t="shared" si="2"/>
        <v>0.17277650227728211</v>
      </c>
      <c r="J66">
        <f t="shared" si="3"/>
        <v>6.2780440427958126</v>
      </c>
      <c r="K66">
        <f t="shared" si="4"/>
        <v>5.5139090586532031</v>
      </c>
      <c r="L66">
        <f t="shared" si="5"/>
        <v>7.0421790269384221</v>
      </c>
      <c r="M66">
        <f t="shared" si="6"/>
        <v>0.34294765043992714</v>
      </c>
    </row>
    <row r="67" spans="2:13" x14ac:dyDescent="0.25">
      <c r="E67">
        <f t="shared" si="7"/>
        <v>6.5</v>
      </c>
      <c r="F67">
        <v>6.50393791695556</v>
      </c>
      <c r="G67">
        <f t="shared" si="0"/>
        <v>6.1615315500703964</v>
      </c>
      <c r="H67">
        <f t="shared" si="1"/>
        <v>6.8463442838407236</v>
      </c>
      <c r="I67">
        <f t="shared" si="2"/>
        <v>0.15367371139367056</v>
      </c>
      <c r="J67">
        <f t="shared" si="3"/>
        <v>6.50393791695556</v>
      </c>
      <c r="K67">
        <f t="shared" si="4"/>
        <v>5.7603369054231983</v>
      </c>
      <c r="L67">
        <f t="shared" si="5"/>
        <v>7.2475389284879217</v>
      </c>
      <c r="M67">
        <f t="shared" si="6"/>
        <v>0.33373189954902416</v>
      </c>
    </row>
    <row r="68" spans="2:13" x14ac:dyDescent="0.25">
      <c r="E68">
        <f t="shared" si="7"/>
        <v>6.75</v>
      </c>
      <c r="F68">
        <v>6.7298317911153074</v>
      </c>
      <c r="G68">
        <f t="shared" si="0"/>
        <v>6.4276967472455393</v>
      </c>
      <c r="H68">
        <f t="shared" si="1"/>
        <v>7.0319668349850755</v>
      </c>
      <c r="I68">
        <f t="shared" si="2"/>
        <v>0.13559973769158518</v>
      </c>
      <c r="J68">
        <f t="shared" si="3"/>
        <v>6.7298317911153074</v>
      </c>
      <c r="K68">
        <f t="shared" si="4"/>
        <v>6.0038938261330088</v>
      </c>
      <c r="L68">
        <f t="shared" si="5"/>
        <v>7.4557697560976059</v>
      </c>
      <c r="M68">
        <f t="shared" si="6"/>
        <v>0.32580463481221611</v>
      </c>
    </row>
    <row r="69" spans="2:13" x14ac:dyDescent="0.25">
      <c r="E69">
        <f t="shared" si="7"/>
        <v>7</v>
      </c>
      <c r="F69">
        <v>6.9557256652750556</v>
      </c>
      <c r="G69">
        <f t="shared" si="0"/>
        <v>6.6905232450857932</v>
      </c>
      <c r="H69">
        <f t="shared" si="1"/>
        <v>7.2209280854643181</v>
      </c>
      <c r="I69">
        <f t="shared" si="2"/>
        <v>0.11902418915807127</v>
      </c>
      <c r="J69">
        <f t="shared" si="3"/>
        <v>6.9557256652750556</v>
      </c>
      <c r="K69">
        <f t="shared" si="4"/>
        <v>6.2443659335340076</v>
      </c>
      <c r="L69">
        <f t="shared" si="5"/>
        <v>7.6670853970161037</v>
      </c>
      <c r="M69">
        <f t="shared" si="6"/>
        <v>0.31926184990980544</v>
      </c>
    </row>
    <row r="70" spans="2:13" x14ac:dyDescent="0.25">
      <c r="E70">
        <f t="shared" si="7"/>
        <v>7.25</v>
      </c>
      <c r="F70">
        <v>7.1816195394348039</v>
      </c>
      <c r="G70">
        <f t="shared" si="0"/>
        <v>6.948419331665467</v>
      </c>
      <c r="H70">
        <f t="shared" si="1"/>
        <v>7.4148197472041408</v>
      </c>
      <c r="I70">
        <f t="shared" si="2"/>
        <v>0.10466143416576149</v>
      </c>
      <c r="J70">
        <f t="shared" si="3"/>
        <v>7.1816195394348039</v>
      </c>
      <c r="K70">
        <f t="shared" si="4"/>
        <v>6.4815604839458292</v>
      </c>
      <c r="L70">
        <f t="shared" si="5"/>
        <v>7.8816785949237786</v>
      </c>
      <c r="M70">
        <f t="shared" si="6"/>
        <v>0.31419004918158822</v>
      </c>
    </row>
    <row r="71" spans="2:13" x14ac:dyDescent="0.25">
      <c r="E71">
        <f t="shared" si="7"/>
        <v>7.5</v>
      </c>
      <c r="F71">
        <v>7.4075134135945513</v>
      </c>
      <c r="G71">
        <f t="shared" si="0"/>
        <v>7.1991012632231133</v>
      </c>
      <c r="H71">
        <f t="shared" si="1"/>
        <v>7.6159255639659893</v>
      </c>
      <c r="I71">
        <f t="shared" si="2"/>
        <v>9.353642847960246E-2</v>
      </c>
      <c r="J71">
        <f t="shared" si="3"/>
        <v>7.4075134135945513</v>
      </c>
      <c r="K71">
        <f t="shared" si="4"/>
        <v>6.7153169323185331</v>
      </c>
      <c r="L71">
        <f t="shared" si="5"/>
        <v>8.0997098948705695</v>
      </c>
      <c r="M71">
        <f t="shared" si="6"/>
        <v>0.31066128605897225</v>
      </c>
    </row>
    <row r="72" spans="2:13" x14ac:dyDescent="0.25">
      <c r="E72">
        <f t="shared" si="7"/>
        <v>7.75</v>
      </c>
      <c r="F72">
        <v>7.6334072877542987</v>
      </c>
      <c r="G72">
        <f t="shared" si="0"/>
        <v>7.4397782965608394</v>
      </c>
      <c r="H72">
        <f t="shared" si="1"/>
        <v>7.8270362789477579</v>
      </c>
      <c r="I72">
        <f t="shared" si="2"/>
        <v>8.6901671779049325E-2</v>
      </c>
      <c r="J72">
        <f t="shared" si="3"/>
        <v>7.6334072877542987</v>
      </c>
      <c r="K72">
        <f t="shared" si="4"/>
        <v>6.9455173761412192</v>
      </c>
      <c r="L72">
        <f t="shared" si="5"/>
        <v>8.321297199367379</v>
      </c>
      <c r="M72">
        <f t="shared" si="6"/>
        <v>0.30872847578590545</v>
      </c>
    </row>
    <row r="73" spans="2:13" x14ac:dyDescent="0.25">
      <c r="E73">
        <f t="shared" si="7"/>
        <v>8</v>
      </c>
      <c r="F73">
        <v>7.8593011619140469</v>
      </c>
      <c r="G73">
        <f t="shared" si="0"/>
        <v>7.6681153299909894</v>
      </c>
      <c r="H73">
        <f t="shared" si="1"/>
        <v>8.0504869938371044</v>
      </c>
      <c r="I73">
        <f t="shared" si="2"/>
        <v>8.5805169526407418E-2</v>
      </c>
      <c r="J73">
        <f t="shared" si="3"/>
        <v>7.8593011619140469</v>
      </c>
      <c r="K73">
        <f t="shared" si="4"/>
        <v>7.1720949580737692</v>
      </c>
      <c r="L73">
        <f t="shared" si="5"/>
        <v>8.5465073657543247</v>
      </c>
      <c r="M73">
        <f t="shared" si="6"/>
        <v>0.30842162427519626</v>
      </c>
    </row>
    <row r="74" spans="2:13" x14ac:dyDescent="0.25">
      <c r="E74">
        <f t="shared" si="7"/>
        <v>8.25</v>
      </c>
      <c r="F74">
        <v>8.0851950360737952</v>
      </c>
      <c r="G74">
        <f t="shared" si="0"/>
        <v>7.8836630715743858</v>
      </c>
      <c r="H74">
        <f t="shared" si="1"/>
        <v>8.2867270005732045</v>
      </c>
      <c r="I74">
        <f t="shared" si="2"/>
        <v>9.0448566219180529E-2</v>
      </c>
      <c r="J74">
        <f t="shared" si="3"/>
        <v>8.0851950360737952</v>
      </c>
      <c r="K74">
        <f t="shared" si="4"/>
        <v>7.3950389109952406</v>
      </c>
      <c r="L74">
        <f t="shared" si="5"/>
        <v>8.7753511611523489</v>
      </c>
      <c r="M74">
        <f t="shared" si="6"/>
        <v>0.30974556386524776</v>
      </c>
    </row>
    <row r="75" spans="2:13" x14ac:dyDescent="0.25">
      <c r="E75">
        <f t="shared" si="7"/>
        <v>8.5</v>
      </c>
      <c r="F75">
        <v>8.3110889102335435</v>
      </c>
      <c r="G75">
        <f t="shared" si="0"/>
        <v>8.0881953989075388</v>
      </c>
      <c r="H75">
        <f t="shared" si="1"/>
        <v>8.5339824215595481</v>
      </c>
      <c r="I75">
        <f t="shared" si="2"/>
        <v>0.10003573660919143</v>
      </c>
      <c r="J75">
        <f t="shared" si="3"/>
        <v>8.3110889102335435</v>
      </c>
      <c r="K75">
        <f t="shared" si="4"/>
        <v>7.6143953896237351</v>
      </c>
      <c r="L75">
        <f t="shared" si="5"/>
        <v>9.0077824308433527</v>
      </c>
      <c r="M75">
        <f t="shared" si="6"/>
        <v>0.31267958008485031</v>
      </c>
    </row>
    <row r="76" spans="2:13" x14ac:dyDescent="0.25">
      <c r="E76">
        <f t="shared" si="7"/>
        <v>8.75</v>
      </c>
      <c r="F76">
        <v>8.5369827843932899</v>
      </c>
      <c r="G76">
        <f t="shared" si="0"/>
        <v>8.2844928314113027</v>
      </c>
      <c r="H76">
        <f t="shared" si="1"/>
        <v>8.7894727373752772</v>
      </c>
      <c r="I76">
        <f t="shared" si="2"/>
        <v>0.11331876949989191</v>
      </c>
      <c r="J76">
        <f t="shared" si="3"/>
        <v>8.5369827843932899</v>
      </c>
      <c r="K76">
        <f t="shared" si="4"/>
        <v>7.8302639431096432</v>
      </c>
      <c r="L76">
        <f t="shared" si="5"/>
        <v>9.2437016256769358</v>
      </c>
      <c r="M76">
        <f t="shared" si="6"/>
        <v>0.31717899477119293</v>
      </c>
    </row>
    <row r="77" spans="2:13" x14ac:dyDescent="0.25">
      <c r="E77">
        <f t="shared" si="7"/>
        <v>9</v>
      </c>
      <c r="F77">
        <v>8.7628766585530382</v>
      </c>
      <c r="G77">
        <f t="shared" si="0"/>
        <v>8.4750848768569291</v>
      </c>
      <c r="H77">
        <f t="shared" si="1"/>
        <v>9.0506684402491473</v>
      </c>
      <c r="I77">
        <f t="shared" si="2"/>
        <v>0.1291624089941954</v>
      </c>
      <c r="J77">
        <f t="shared" si="3"/>
        <v>8.7628766585530382</v>
      </c>
      <c r="K77">
        <f t="shared" si="4"/>
        <v>8.0427902374338274</v>
      </c>
      <c r="L77">
        <f t="shared" si="5"/>
        <v>9.4829630796722491</v>
      </c>
      <c r="M77">
        <f t="shared" si="6"/>
        <v>0.32317843229441939</v>
      </c>
    </row>
    <row r="78" spans="2:13" x14ac:dyDescent="0.25">
      <c r="E78">
        <f t="shared" si="7"/>
        <v>9.25</v>
      </c>
      <c r="F78">
        <v>8.9887705327127865</v>
      </c>
      <c r="G78">
        <f t="shared" si="0"/>
        <v>8.6618143932136782</v>
      </c>
      <c r="H78">
        <f t="shared" si="1"/>
        <v>9.3157266722118948</v>
      </c>
      <c r="I78">
        <f t="shared" si="2"/>
        <v>0.14673957110331914</v>
      </c>
      <c r="J78">
        <f t="shared" si="3"/>
        <v>8.9887705327127865</v>
      </c>
      <c r="K78">
        <f t="shared" si="4"/>
        <v>8.2521562093218996</v>
      </c>
      <c r="L78">
        <f t="shared" si="5"/>
        <v>9.7253848561036733</v>
      </c>
      <c r="M78">
        <f t="shared" si="6"/>
        <v>0.33059623853075043</v>
      </c>
    </row>
    <row r="79" spans="2:13" x14ac:dyDescent="0.25">
      <c r="E79">
        <f t="shared" si="7"/>
        <v>9.5</v>
      </c>
      <c r="F79">
        <v>9.214664406872533</v>
      </c>
      <c r="G79">
        <f t="shared" si="0"/>
        <v>8.845910018437813</v>
      </c>
      <c r="H79">
        <f t="shared" si="1"/>
        <v>9.5834187953072529</v>
      </c>
      <c r="I79">
        <f t="shared" si="2"/>
        <v>0.16549883689070558</v>
      </c>
      <c r="J79">
        <f t="shared" si="3"/>
        <v>9.214664406872533</v>
      </c>
      <c r="K79">
        <f t="shared" si="4"/>
        <v>8.4585690800397852</v>
      </c>
      <c r="L79">
        <f t="shared" si="5"/>
        <v>9.9707597337052807</v>
      </c>
      <c r="M79">
        <f t="shared" si="6"/>
        <v>0.33933941152667657</v>
      </c>
    </row>
    <row r="80" spans="2:13" x14ac:dyDescent="0.25">
      <c r="E80">
        <f t="shared" si="7"/>
        <v>9.75</v>
      </c>
      <c r="F80">
        <v>9.4405582810322812</v>
      </c>
      <c r="G80">
        <f t="shared" si="0"/>
        <v>9.0281718662306609</v>
      </c>
      <c r="H80">
        <f t="shared" si="1"/>
        <v>9.8529446958339015</v>
      </c>
      <c r="I80">
        <f t="shared" si="2"/>
        <v>0.18508111127544793</v>
      </c>
      <c r="J80">
        <f t="shared" si="3"/>
        <v>9.4405582810322812</v>
      </c>
      <c r="K80">
        <f t="shared" si="4"/>
        <v>8.6622505659340767</v>
      </c>
      <c r="L80">
        <f t="shared" si="5"/>
        <v>10.218865996130486</v>
      </c>
      <c r="M80">
        <f t="shared" si="6"/>
        <v>0.34930844386308435</v>
      </c>
    </row>
    <row r="81" spans="5:13" x14ac:dyDescent="0.25">
      <c r="E81">
        <f t="shared" si="7"/>
        <v>10</v>
      </c>
      <c r="F81">
        <v>9.6664521551920295</v>
      </c>
      <c r="G81">
        <f t="shared" si="0"/>
        <v>9.2091244985547238</v>
      </c>
      <c r="H81">
        <f t="shared" si="1"/>
        <v>10.123779811829335</v>
      </c>
      <c r="I81">
        <f t="shared" si="2"/>
        <v>0.20525096819240879</v>
      </c>
      <c r="J81">
        <f t="shared" si="3"/>
        <v>9.6664521551920295</v>
      </c>
      <c r="K81">
        <f t="shared" si="4"/>
        <v>8.8634272926916076</v>
      </c>
      <c r="L81">
        <f t="shared" si="5"/>
        <v>10.469477017692451</v>
      </c>
      <c r="M81">
        <f t="shared" si="6"/>
        <v>0.36040162478409554</v>
      </c>
    </row>
    <row r="82" spans="5:13" x14ac:dyDescent="0.25">
      <c r="E82">
        <f t="shared" si="7"/>
        <v>10.25</v>
      </c>
      <c r="F82">
        <v>9.8923460293517778</v>
      </c>
      <c r="G82">
        <f t="shared" si="0"/>
        <v>9.3891185557107129</v>
      </c>
      <c r="H82">
        <f t="shared" si="1"/>
        <v>10.395573502992843</v>
      </c>
      <c r="I82">
        <f t="shared" si="2"/>
        <v>0.22585103849899765</v>
      </c>
      <c r="J82">
        <f t="shared" si="3"/>
        <v>9.8923460293517778</v>
      </c>
      <c r="K82">
        <f t="shared" si="4"/>
        <v>9.0623229968426653</v>
      </c>
      <c r="L82">
        <f t="shared" si="5"/>
        <v>10.72236906186089</v>
      </c>
      <c r="M82">
        <f t="shared" si="6"/>
        <v>0.37251854020192143</v>
      </c>
    </row>
    <row r="83" spans="5:13" x14ac:dyDescent="0.25">
      <c r="E83">
        <f t="shared" si="7"/>
        <v>10.5</v>
      </c>
      <c r="F83">
        <v>10.118239903511526</v>
      </c>
      <c r="G83">
        <f t="shared" si="0"/>
        <v>9.5683940440033055</v>
      </c>
      <c r="H83">
        <f t="shared" si="1"/>
        <v>10.668085763019747</v>
      </c>
      <c r="I83">
        <f t="shared" si="2"/>
        <v>0.24677360615028976</v>
      </c>
      <c r="J83">
        <f t="shared" si="3"/>
        <v>10.118239903511526</v>
      </c>
      <c r="K83">
        <f t="shared" si="4"/>
        <v>9.2591527056749001</v>
      </c>
      <c r="L83">
        <f t="shared" si="5"/>
        <v>10.977327101348152</v>
      </c>
      <c r="M83">
        <f t="shared" si="6"/>
        <v>0.3855626847809745</v>
      </c>
    </row>
    <row r="84" spans="5:13" x14ac:dyDescent="0.25">
      <c r="E84">
        <f t="shared" si="7"/>
        <v>10.75</v>
      </c>
      <c r="F84">
        <v>10.344133777671273</v>
      </c>
      <c r="G84">
        <f t="shared" si="0"/>
        <v>9.747119269892055</v>
      </c>
      <c r="H84">
        <f t="shared" si="1"/>
        <v>10.94114828545049</v>
      </c>
      <c r="I84">
        <f t="shared" si="2"/>
        <v>0.26794313435493916</v>
      </c>
      <c r="J84">
        <f t="shared" si="3"/>
        <v>10.344133777671273</v>
      </c>
      <c r="K84">
        <f t="shared" si="4"/>
        <v>9.4541187964674069</v>
      </c>
      <c r="L84">
        <f t="shared" si="5"/>
        <v>11.234148758875138</v>
      </c>
      <c r="M84">
        <f t="shared" si="6"/>
        <v>0.39944323057356196</v>
      </c>
    </row>
    <row r="85" spans="5:13" x14ac:dyDescent="0.25">
      <c r="E85" s="8">
        <f t="shared" si="7"/>
        <v>11</v>
      </c>
      <c r="F85" s="8">
        <v>10.570027651831021</v>
      </c>
      <c r="G85" s="8">
        <f t="shared" si="0"/>
        <v>9.9254150161584356</v>
      </c>
      <c r="H85" s="8">
        <f t="shared" si="1"/>
        <v>11.214640287503606</v>
      </c>
      <c r="I85" s="8">
        <f t="shared" si="2"/>
        <v>0.28930541518897934</v>
      </c>
      <c r="J85" s="8">
        <f t="shared" si="3"/>
        <v>10.570027651831021</v>
      </c>
      <c r="K85" s="8">
        <f t="shared" si="4"/>
        <v>9.6474086652839137</v>
      </c>
      <c r="L85" s="8">
        <f t="shared" si="5"/>
        <v>11.492646638378128</v>
      </c>
      <c r="M85" s="8">
        <f t="shared" si="6"/>
        <v>0.4140760732773176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B834-36B7-42A9-8103-E4C2D68B345F}">
  <dimension ref="A1:U167"/>
  <sheetViews>
    <sheetView zoomScaleNormal="100" workbookViewId="0">
      <selection activeCell="H16" sqref="H16"/>
    </sheetView>
  </sheetViews>
  <sheetFormatPr defaultRowHeight="15" x14ac:dyDescent="0.25"/>
  <cols>
    <col min="2" max="2" width="10.7109375" bestFit="1" customWidth="1"/>
    <col min="3" max="5" width="12.7109375" bestFit="1" customWidth="1"/>
    <col min="6" max="6" width="11" bestFit="1" customWidth="1"/>
    <col min="7" max="7" width="12.7109375" bestFit="1" customWidth="1"/>
    <col min="8" max="8" width="12" bestFit="1" customWidth="1"/>
    <col min="12" max="12" width="12" bestFit="1" customWidth="1"/>
    <col min="14" max="14" width="12.7109375" bestFit="1" customWidth="1"/>
    <col min="17" max="17" width="12.7109375" bestFit="1" customWidth="1"/>
    <col min="20" max="20" width="12.7109375" bestFit="1" customWidth="1"/>
  </cols>
  <sheetData>
    <row r="1" spans="1:21" x14ac:dyDescent="0.25">
      <c r="A1" t="s">
        <v>33</v>
      </c>
      <c r="B1" t="s">
        <v>35</v>
      </c>
      <c r="C1" t="s">
        <v>43</v>
      </c>
      <c r="D1" t="s">
        <v>186</v>
      </c>
      <c r="E1" t="s">
        <v>18</v>
      </c>
      <c r="F1" t="s">
        <v>84</v>
      </c>
      <c r="G1" t="s">
        <v>85</v>
      </c>
    </row>
    <row r="2" spans="1:21" x14ac:dyDescent="0.25">
      <c r="A2" s="9" t="s">
        <v>36</v>
      </c>
      <c r="B2" s="9" t="s">
        <v>37</v>
      </c>
      <c r="C2" s="9" t="s">
        <v>21</v>
      </c>
      <c r="D2" s="31">
        <v>9.0597721730000007</v>
      </c>
      <c r="E2" s="31">
        <v>9.4801763520000009</v>
      </c>
      <c r="F2" s="15">
        <f>AVERAGE(D2:E2)</f>
        <v>9.2699742624999999</v>
      </c>
      <c r="G2" s="15">
        <f t="shared" ref="G2:G13" si="0">D2-E2</f>
        <v>-0.42040417900000016</v>
      </c>
      <c r="L2">
        <f>10^0.17</f>
        <v>1.4791083881682074</v>
      </c>
    </row>
    <row r="3" spans="1:21" x14ac:dyDescent="0.25">
      <c r="A3" s="9" t="s">
        <v>36</v>
      </c>
      <c r="B3" s="9" t="s">
        <v>38</v>
      </c>
      <c r="C3" s="9" t="s">
        <v>22</v>
      </c>
      <c r="D3" s="31">
        <v>8.918010464</v>
      </c>
      <c r="E3" s="31">
        <v>9.355276667</v>
      </c>
      <c r="F3">
        <f t="shared" ref="F3:F13" si="1">AVERAGE(D3:E3)</f>
        <v>9.1366435655</v>
      </c>
      <c r="G3" s="15">
        <f t="shared" si="0"/>
        <v>-0.43726620300000008</v>
      </c>
      <c r="L3">
        <f>10^0.31</f>
        <v>2.0417379446695296</v>
      </c>
    </row>
    <row r="4" spans="1:21" x14ac:dyDescent="0.25">
      <c r="A4" s="9" t="s">
        <v>36</v>
      </c>
      <c r="B4" s="9" t="s">
        <v>39</v>
      </c>
      <c r="C4" s="9" t="s">
        <v>23</v>
      </c>
      <c r="D4" s="31">
        <v>9.0155722029999996</v>
      </c>
      <c r="E4" s="31">
        <v>9.1422919629999999</v>
      </c>
      <c r="F4">
        <f t="shared" si="1"/>
        <v>9.0789320829999998</v>
      </c>
      <c r="G4" s="15">
        <f t="shared" si="0"/>
        <v>-0.12671976000000029</v>
      </c>
      <c r="K4" t="s">
        <v>20</v>
      </c>
      <c r="L4" t="s">
        <v>135</v>
      </c>
    </row>
    <row r="5" spans="1:21" x14ac:dyDescent="0.25">
      <c r="A5" s="1" t="s">
        <v>36</v>
      </c>
      <c r="B5" s="1" t="s">
        <v>40</v>
      </c>
      <c r="C5" s="1" t="s">
        <v>24</v>
      </c>
      <c r="D5" s="32">
        <v>8.2211185709999999</v>
      </c>
      <c r="E5" s="32">
        <v>8.4076560740000001</v>
      </c>
      <c r="F5">
        <f t="shared" si="1"/>
        <v>8.3143873225</v>
      </c>
      <c r="G5" s="15">
        <f t="shared" si="0"/>
        <v>-0.18653750300000027</v>
      </c>
      <c r="T5" t="s">
        <v>20</v>
      </c>
      <c r="U5" t="s">
        <v>133</v>
      </c>
    </row>
    <row r="6" spans="1:21" x14ac:dyDescent="0.25">
      <c r="A6" s="1" t="s">
        <v>36</v>
      </c>
      <c r="B6" s="1" t="s">
        <v>40</v>
      </c>
      <c r="C6" s="1" t="s">
        <v>25</v>
      </c>
      <c r="D6" s="32">
        <v>8.2556905</v>
      </c>
      <c r="E6" s="32">
        <v>7.9943636820000004</v>
      </c>
      <c r="F6">
        <f t="shared" si="1"/>
        <v>8.1250270909999998</v>
      </c>
      <c r="G6" s="15">
        <f t="shared" si="0"/>
        <v>0.26132681799999968</v>
      </c>
    </row>
    <row r="7" spans="1:21" x14ac:dyDescent="0.25">
      <c r="A7" s="1" t="s">
        <v>36</v>
      </c>
      <c r="B7" s="1" t="s">
        <v>40</v>
      </c>
      <c r="C7" s="1" t="s">
        <v>26</v>
      </c>
      <c r="D7" s="32">
        <v>8.2585737730000002</v>
      </c>
      <c r="E7" s="32">
        <v>8.1422919629999999</v>
      </c>
      <c r="F7">
        <f t="shared" si="1"/>
        <v>8.200432868</v>
      </c>
      <c r="G7" s="15">
        <f t="shared" si="0"/>
        <v>0.11628181000000026</v>
      </c>
    </row>
    <row r="8" spans="1:21" x14ac:dyDescent="0.25">
      <c r="A8" s="4" t="s">
        <v>36</v>
      </c>
      <c r="B8" s="4" t="s">
        <v>41</v>
      </c>
      <c r="C8" s="4" t="s">
        <v>27</v>
      </c>
      <c r="D8" s="33">
        <v>7.1801457080000004</v>
      </c>
      <c r="E8" s="34">
        <v>7.54929059</v>
      </c>
      <c r="F8">
        <f t="shared" si="1"/>
        <v>7.3647181489999998</v>
      </c>
      <c r="G8" s="15">
        <f t="shared" si="0"/>
        <v>-0.36914488199999962</v>
      </c>
    </row>
    <row r="9" spans="1:21" x14ac:dyDescent="0.25">
      <c r="A9" s="4" t="s">
        <v>36</v>
      </c>
      <c r="B9" s="4" t="s">
        <v>41</v>
      </c>
      <c r="C9" s="4" t="s">
        <v>28</v>
      </c>
      <c r="D9" s="33">
        <v>7.1564082689999999</v>
      </c>
      <c r="E9" s="34">
        <v>7.8070065680000003</v>
      </c>
      <c r="F9">
        <f t="shared" si="1"/>
        <v>7.4817074185000001</v>
      </c>
      <c r="G9" s="15">
        <f t="shared" si="0"/>
        <v>-0.65059829900000032</v>
      </c>
    </row>
    <row r="10" spans="1:21" x14ac:dyDescent="0.25">
      <c r="A10" s="4" t="s">
        <v>36</v>
      </c>
      <c r="B10" s="4" t="s">
        <v>41</v>
      </c>
      <c r="C10" s="4" t="s">
        <v>29</v>
      </c>
      <c r="D10" s="33">
        <v>7.3545993840000001</v>
      </c>
      <c r="E10" s="34">
        <v>7.6117811599999996</v>
      </c>
      <c r="F10">
        <f t="shared" si="1"/>
        <v>7.4831902719999999</v>
      </c>
      <c r="G10" s="15">
        <f t="shared" si="0"/>
        <v>-0.25718177599999947</v>
      </c>
    </row>
    <row r="11" spans="1:21" x14ac:dyDescent="0.25">
      <c r="A11" t="s">
        <v>36</v>
      </c>
      <c r="B11" t="s">
        <v>42</v>
      </c>
      <c r="C11" t="s">
        <v>30</v>
      </c>
      <c r="D11" s="35">
        <v>6.4172469550000004</v>
      </c>
      <c r="E11" s="36">
        <v>6.54929059</v>
      </c>
      <c r="F11">
        <f t="shared" si="1"/>
        <v>6.4832687725000007</v>
      </c>
      <c r="G11" s="15">
        <f t="shared" si="0"/>
        <v>-0.1320436349999996</v>
      </c>
    </row>
    <row r="12" spans="1:21" x14ac:dyDescent="0.25">
      <c r="A12" t="s">
        <v>36</v>
      </c>
      <c r="B12" t="s">
        <v>42</v>
      </c>
      <c r="C12" t="s">
        <v>31</v>
      </c>
      <c r="D12" s="35">
        <v>6.8608534429999999</v>
      </c>
      <c r="E12" s="36">
        <v>6.5518813539999998</v>
      </c>
      <c r="F12">
        <f t="shared" si="1"/>
        <v>6.7063673984999994</v>
      </c>
      <c r="G12" s="15">
        <f t="shared" si="0"/>
        <v>0.30897208900000006</v>
      </c>
    </row>
    <row r="13" spans="1:21" x14ac:dyDescent="0.25">
      <c r="A13" t="s">
        <v>36</v>
      </c>
      <c r="B13" t="s">
        <v>42</v>
      </c>
      <c r="C13" t="s">
        <v>32</v>
      </c>
      <c r="D13" s="35">
        <v>6.7676311289999997</v>
      </c>
      <c r="E13" s="36">
        <v>7.1422919629999999</v>
      </c>
      <c r="F13">
        <f t="shared" si="1"/>
        <v>6.9549615459999998</v>
      </c>
      <c r="G13" s="15">
        <f t="shared" si="0"/>
        <v>-0.37466083400000016</v>
      </c>
      <c r="H13" s="40" t="s">
        <v>191</v>
      </c>
    </row>
    <row r="14" spans="1:21" x14ac:dyDescent="0.25">
      <c r="F14" t="s">
        <v>86</v>
      </c>
      <c r="G14" s="15">
        <f>AVERAGE(G2:G13)</f>
        <v>-0.1889980295</v>
      </c>
      <c r="H14" s="40">
        <f>10^0.19</f>
        <v>1.5488166189124815</v>
      </c>
    </row>
    <row r="15" spans="1:21" x14ac:dyDescent="0.25">
      <c r="F15" t="s">
        <v>87</v>
      </c>
      <c r="G15">
        <f>_xlfn.STDEV.S(G2:G13)</f>
        <v>0.29401982265031279</v>
      </c>
      <c r="H15" s="40">
        <f>10^G15</f>
        <v>1.9679761126579978</v>
      </c>
    </row>
    <row r="16" spans="1:21" x14ac:dyDescent="0.25">
      <c r="F16" t="s">
        <v>5</v>
      </c>
      <c r="G16">
        <f>G14-(1.96*G15)</f>
        <v>-0.76527688189461307</v>
      </c>
    </row>
    <row r="17" spans="1:20" x14ac:dyDescent="0.25">
      <c r="F17" t="s">
        <v>4</v>
      </c>
      <c r="G17">
        <f>G14+(1.96*G15)</f>
        <v>0.38728082289461307</v>
      </c>
    </row>
    <row r="21" spans="1:20" x14ac:dyDescent="0.25">
      <c r="A21" t="s">
        <v>88</v>
      </c>
    </row>
    <row r="23" spans="1:20" ht="15.75" thickBot="1" x14ac:dyDescent="0.3">
      <c r="A23" t="s">
        <v>89</v>
      </c>
      <c r="D23" t="s">
        <v>90</v>
      </c>
      <c r="E23">
        <v>0.05</v>
      </c>
    </row>
    <row r="24" spans="1:20" ht="15.75" thickTop="1" x14ac:dyDescent="0.25">
      <c r="A24" s="10" t="s">
        <v>91</v>
      </c>
      <c r="B24" s="10" t="s">
        <v>81</v>
      </c>
      <c r="C24" s="10" t="s">
        <v>92</v>
      </c>
      <c r="D24" s="10" t="s">
        <v>93</v>
      </c>
      <c r="E24" s="10" t="s">
        <v>94</v>
      </c>
      <c r="F24" s="10" t="s">
        <v>52</v>
      </c>
      <c r="G24" s="10" t="s">
        <v>95</v>
      </c>
      <c r="H24" s="10" t="s">
        <v>96</v>
      </c>
    </row>
    <row r="25" spans="1:20" x14ac:dyDescent="0.25">
      <c r="A25">
        <f>COUNT(G2:G13)</f>
        <v>12</v>
      </c>
      <c r="B25" s="15">
        <f>AVERAGE(G2:G13)</f>
        <v>-0.1889980295</v>
      </c>
      <c r="C25">
        <f>_xlfn.STDEV.S(G2:G13)</f>
        <v>0.29401982265031279</v>
      </c>
      <c r="D25">
        <f>C25/SQRT(A25)</f>
        <v>8.4876211877122062E-2</v>
      </c>
      <c r="E25">
        <f>(B25-E27)/D25</f>
        <v>-2.2267491128564778</v>
      </c>
      <c r="F25">
        <f>A25-1</f>
        <v>11</v>
      </c>
      <c r="G25">
        <f>ABS(B25-E27)/C25</f>
        <v>0.642807099862724</v>
      </c>
      <c r="H25">
        <f>SQRT(E25^2/(E25^2+F25))</f>
        <v>0.55741218315130248</v>
      </c>
    </row>
    <row r="26" spans="1:20" x14ac:dyDescent="0.25">
      <c r="A26" s="7"/>
      <c r="B26" s="7"/>
      <c r="C26" s="7"/>
      <c r="D26" s="7"/>
      <c r="E26" s="7"/>
      <c r="F26" s="7"/>
      <c r="G26" s="7"/>
      <c r="H26" s="7"/>
    </row>
    <row r="27" spans="1:20" ht="15.75" thickBot="1" x14ac:dyDescent="0.3">
      <c r="A27" t="s">
        <v>97</v>
      </c>
      <c r="D27" t="s">
        <v>98</v>
      </c>
      <c r="E27">
        <v>0</v>
      </c>
    </row>
    <row r="28" spans="1:20" ht="15.75" thickTop="1" x14ac:dyDescent="0.25">
      <c r="A28" s="10" t="s">
        <v>99</v>
      </c>
      <c r="B28" s="10" t="s">
        <v>100</v>
      </c>
      <c r="C28" s="10" t="s">
        <v>78</v>
      </c>
      <c r="D28" s="10" t="s">
        <v>5</v>
      </c>
      <c r="E28" s="10" t="s">
        <v>4</v>
      </c>
      <c r="F28" s="10" t="s">
        <v>101</v>
      </c>
      <c r="P28" t="s">
        <v>120</v>
      </c>
    </row>
    <row r="29" spans="1:20" x14ac:dyDescent="0.25">
      <c r="A29" t="s">
        <v>102</v>
      </c>
      <c r="B29">
        <f>_xlfn.T.DIST.RT(ABS(E25),F25)</f>
        <v>2.3898787343562308E-2</v>
      </c>
      <c r="C29">
        <f>_xlfn.T.INV.2T(E23*2,F25)</f>
        <v>1.7958848187040437</v>
      </c>
      <c r="F29" s="3" t="str">
        <f>IF(B29&lt;E23,"yes","no")</f>
        <v>yes</v>
      </c>
      <c r="M29" t="s">
        <v>121</v>
      </c>
      <c r="P29" t="s">
        <v>122</v>
      </c>
      <c r="Q29" t="s">
        <v>123</v>
      </c>
      <c r="S29" t="s">
        <v>122</v>
      </c>
      <c r="T29" t="s">
        <v>124</v>
      </c>
    </row>
    <row r="30" spans="1:20" x14ac:dyDescent="0.25">
      <c r="A30" t="s">
        <v>103</v>
      </c>
      <c r="B30">
        <f>_xlfn.T.DIST.2T(ABS(E25),F25)</f>
        <v>4.7797574687124617E-2</v>
      </c>
      <c r="C30">
        <f>_xlfn.T.INV.2T(E23,F25)</f>
        <v>2.2009851600916384</v>
      </c>
      <c r="D30">
        <f>B25-C30*D25</f>
        <v>-0.37580931228633929</v>
      </c>
      <c r="E30">
        <f>B25+C30*D25</f>
        <v>-2.1867467136606755E-3</v>
      </c>
      <c r="F30" s="3" t="str">
        <f>IF(B30&lt;E23,"yes","no")</f>
        <v>yes</v>
      </c>
      <c r="M30" t="s">
        <v>69</v>
      </c>
      <c r="N30" t="s">
        <v>70</v>
      </c>
      <c r="P30" t="s">
        <v>69</v>
      </c>
      <c r="Q30" t="s">
        <v>70</v>
      </c>
      <c r="S30" t="s">
        <v>69</v>
      </c>
      <c r="T30" t="s">
        <v>70</v>
      </c>
    </row>
    <row r="31" spans="1:20" x14ac:dyDescent="0.25">
      <c r="A31" s="7"/>
      <c r="B31" s="7"/>
      <c r="C31" s="7"/>
      <c r="D31" s="7"/>
      <c r="E31" s="7"/>
      <c r="F31" s="7"/>
      <c r="M31">
        <v>5</v>
      </c>
      <c r="N31">
        <f>G14</f>
        <v>-0.1889980295</v>
      </c>
      <c r="P31">
        <v>5</v>
      </c>
      <c r="Q31">
        <f>P50</f>
        <v>0.13967401568957838</v>
      </c>
      <c r="S31">
        <v>5</v>
      </c>
      <c r="T31">
        <f>Q50</f>
        <v>-0.51767007468957837</v>
      </c>
    </row>
    <row r="32" spans="1:20" x14ac:dyDescent="0.25">
      <c r="M32">
        <v>10</v>
      </c>
      <c r="N32">
        <f>G14</f>
        <v>-0.1889980295</v>
      </c>
      <c r="P32">
        <v>10</v>
      </c>
      <c r="Q32">
        <f>P50</f>
        <v>0.13967401568957838</v>
      </c>
      <c r="S32">
        <v>10</v>
      </c>
      <c r="T32">
        <f>Q50</f>
        <v>-0.51767007468957837</v>
      </c>
    </row>
    <row r="34" spans="8:20" x14ac:dyDescent="0.25">
      <c r="M34" t="s">
        <v>125</v>
      </c>
      <c r="P34" t="s">
        <v>126</v>
      </c>
      <c r="Q34" t="s">
        <v>127</v>
      </c>
      <c r="S34" t="s">
        <v>126</v>
      </c>
      <c r="T34" t="s">
        <v>128</v>
      </c>
    </row>
    <row r="35" spans="8:20" ht="15.75" thickBot="1" x14ac:dyDescent="0.3"/>
    <row r="36" spans="8:20" ht="15.75" thickTop="1" x14ac:dyDescent="0.25">
      <c r="H36" s="10" t="s">
        <v>96</v>
      </c>
      <c r="M36" t="s">
        <v>69</v>
      </c>
      <c r="N36" t="s">
        <v>70</v>
      </c>
      <c r="P36" t="s">
        <v>69</v>
      </c>
      <c r="Q36" t="s">
        <v>70</v>
      </c>
      <c r="S36" t="s">
        <v>69</v>
      </c>
      <c r="T36" t="s">
        <v>70</v>
      </c>
    </row>
    <row r="37" spans="8:20" x14ac:dyDescent="0.25">
      <c r="H37">
        <f>SQRT(E25^2/(E25^2+F25))</f>
        <v>0.55741218315130248</v>
      </c>
      <c r="M37">
        <v>5</v>
      </c>
      <c r="N37">
        <f>O51</f>
        <v>-0.76527688189461307</v>
      </c>
      <c r="P37">
        <v>5</v>
      </c>
      <c r="Q37">
        <f>P51</f>
        <v>-0.43660483670503469</v>
      </c>
      <c r="S37">
        <v>5</v>
      </c>
      <c r="T37">
        <f>Q51</f>
        <v>-1.0939489270841913</v>
      </c>
    </row>
    <row r="38" spans="8:20" x14ac:dyDescent="0.25">
      <c r="H38" s="7"/>
      <c r="M38">
        <v>10</v>
      </c>
      <c r="N38">
        <f>O51</f>
        <v>-0.76527688189461307</v>
      </c>
      <c r="P38">
        <v>10</v>
      </c>
      <c r="Q38">
        <f>P51</f>
        <v>-0.43660483670503469</v>
      </c>
      <c r="S38">
        <v>10</v>
      </c>
      <c r="T38">
        <f>Q51</f>
        <v>-1.0939489270841913</v>
      </c>
    </row>
    <row r="41" spans="8:20" x14ac:dyDescent="0.25">
      <c r="M41" t="s">
        <v>129</v>
      </c>
      <c r="P41" t="s">
        <v>130</v>
      </c>
      <c r="Q41" t="s">
        <v>131</v>
      </c>
      <c r="S41" t="s">
        <v>130</v>
      </c>
      <c r="T41" t="s">
        <v>132</v>
      </c>
    </row>
    <row r="42" spans="8:20" x14ac:dyDescent="0.25">
      <c r="M42" t="s">
        <v>69</v>
      </c>
      <c r="N42" t="s">
        <v>70</v>
      </c>
      <c r="P42" t="s">
        <v>69</v>
      </c>
      <c r="Q42" t="s">
        <v>70</v>
      </c>
      <c r="S42" t="s">
        <v>69</v>
      </c>
      <c r="T42" t="s">
        <v>70</v>
      </c>
    </row>
    <row r="43" spans="8:20" x14ac:dyDescent="0.25">
      <c r="M43">
        <v>5</v>
      </c>
      <c r="N43">
        <f>O52</f>
        <v>0.38728082289461307</v>
      </c>
      <c r="P43">
        <v>5</v>
      </c>
      <c r="Q43">
        <f>P52</f>
        <v>0.71595286808419145</v>
      </c>
      <c r="S43">
        <v>5</v>
      </c>
      <c r="T43">
        <f>Q52</f>
        <v>5.8608777705034698E-2</v>
      </c>
    </row>
    <row r="44" spans="8:20" x14ac:dyDescent="0.25">
      <c r="M44">
        <v>10</v>
      </c>
      <c r="N44">
        <f>O52</f>
        <v>0.38728082289461307</v>
      </c>
      <c r="P44">
        <v>10</v>
      </c>
      <c r="Q44">
        <f>P52</f>
        <v>0.71595286808419145</v>
      </c>
      <c r="S44">
        <v>10</v>
      </c>
      <c r="T44">
        <f>Q52</f>
        <v>5.8608777705034698E-2</v>
      </c>
    </row>
    <row r="49" spans="2:17" x14ac:dyDescent="0.25">
      <c r="P49" t="s">
        <v>115</v>
      </c>
      <c r="Q49" t="s">
        <v>116</v>
      </c>
    </row>
    <row r="50" spans="2:17" x14ac:dyDescent="0.25">
      <c r="N50" t="s">
        <v>117</v>
      </c>
      <c r="O50">
        <v>-0.1889980295</v>
      </c>
      <c r="P50">
        <v>0.13967401568957838</v>
      </c>
      <c r="Q50">
        <v>-0.51767007468957837</v>
      </c>
    </row>
    <row r="51" spans="2:17" x14ac:dyDescent="0.25">
      <c r="N51" t="s">
        <v>118</v>
      </c>
      <c r="O51">
        <v>-0.76527688189461307</v>
      </c>
      <c r="P51">
        <v>-0.43660483670503469</v>
      </c>
      <c r="Q51">
        <v>-1.0939489270841913</v>
      </c>
    </row>
    <row r="52" spans="2:17" x14ac:dyDescent="0.25">
      <c r="N52" t="s">
        <v>119</v>
      </c>
      <c r="O52">
        <v>0.38728082289461307</v>
      </c>
      <c r="P52">
        <v>0.71595286808419145</v>
      </c>
      <c r="Q52">
        <v>5.8608777705034698E-2</v>
      </c>
    </row>
    <row r="54" spans="2:17" x14ac:dyDescent="0.25">
      <c r="B54" t="s">
        <v>104</v>
      </c>
    </row>
    <row r="56" spans="2:17" x14ac:dyDescent="0.25">
      <c r="B56" t="s">
        <v>105</v>
      </c>
      <c r="C56">
        <f>C30</f>
        <v>2.2009851600916384</v>
      </c>
    </row>
    <row r="57" spans="2:17" x14ac:dyDescent="0.25">
      <c r="B57" t="s">
        <v>106</v>
      </c>
      <c r="C57">
        <f>1/12</f>
        <v>8.3333333333333329E-2</v>
      </c>
    </row>
    <row r="58" spans="2:17" x14ac:dyDescent="0.25">
      <c r="B58" t="s">
        <v>107</v>
      </c>
      <c r="C58">
        <f>2*(12-1)</f>
        <v>22</v>
      </c>
    </row>
    <row r="59" spans="2:17" x14ac:dyDescent="0.25">
      <c r="B59" t="s">
        <v>108</v>
      </c>
      <c r="C59">
        <f>1.96^2</f>
        <v>3.8415999999999997</v>
      </c>
    </row>
    <row r="60" spans="2:17" x14ac:dyDescent="0.25">
      <c r="B60" t="s">
        <v>109</v>
      </c>
      <c r="C60" s="11">
        <f>_xlfn.VAR.S(G2:G13)</f>
        <v>8.644765611132138E-2</v>
      </c>
    </row>
    <row r="61" spans="2:17" x14ac:dyDescent="0.25">
      <c r="B61" t="s">
        <v>110</v>
      </c>
      <c r="C61">
        <f>(C59)/C58</f>
        <v>0.17461818181818181</v>
      </c>
    </row>
    <row r="62" spans="2:17" x14ac:dyDescent="0.25">
      <c r="B62" t="s">
        <v>111</v>
      </c>
      <c r="C62">
        <f>C57+C61</f>
        <v>0.25795151515151515</v>
      </c>
    </row>
    <row r="63" spans="2:17" x14ac:dyDescent="0.25">
      <c r="B63" t="s">
        <v>112</v>
      </c>
      <c r="C63">
        <f>C62*C60</f>
        <v>2.2299303875212489E-2</v>
      </c>
    </row>
    <row r="64" spans="2:17" x14ac:dyDescent="0.25">
      <c r="B64" t="s">
        <v>113</v>
      </c>
      <c r="C64">
        <f>SQRT(C63)</f>
        <v>0.14932951441430622</v>
      </c>
    </row>
    <row r="65" spans="2:10" x14ac:dyDescent="0.25">
      <c r="B65" t="s">
        <v>114</v>
      </c>
      <c r="C65">
        <f>C56*C64</f>
        <v>0.32867204518957838</v>
      </c>
    </row>
    <row r="68" spans="2:10" x14ac:dyDescent="0.25">
      <c r="D68" t="s">
        <v>115</v>
      </c>
      <c r="E68" t="s">
        <v>116</v>
      </c>
    </row>
    <row r="69" spans="2:10" x14ac:dyDescent="0.25">
      <c r="B69" t="s">
        <v>117</v>
      </c>
      <c r="C69" s="15">
        <f>G14</f>
        <v>-0.1889980295</v>
      </c>
      <c r="D69" s="15">
        <f>C69+C65</f>
        <v>0.13967401568957838</v>
      </c>
      <c r="E69" s="15">
        <f>C69-C65</f>
        <v>-0.51767007468957837</v>
      </c>
    </row>
    <row r="70" spans="2:10" x14ac:dyDescent="0.25">
      <c r="B70" t="s">
        <v>118</v>
      </c>
      <c r="C70">
        <f>G16</f>
        <v>-0.76527688189461307</v>
      </c>
      <c r="D70">
        <f>C70+C65</f>
        <v>-0.43660483670503469</v>
      </c>
      <c r="E70">
        <f>C70-C65</f>
        <v>-1.0939489270841913</v>
      </c>
    </row>
    <row r="71" spans="2:10" x14ac:dyDescent="0.25">
      <c r="B71" t="s">
        <v>119</v>
      </c>
      <c r="C71">
        <f>G17</f>
        <v>0.38728082289461307</v>
      </c>
      <c r="D71">
        <f>C71+C65</f>
        <v>0.71595286808419145</v>
      </c>
      <c r="E71">
        <f>C71-C65</f>
        <v>5.8608777705034698E-2</v>
      </c>
    </row>
    <row r="76" spans="2:10" x14ac:dyDescent="0.25">
      <c r="C76" t="s">
        <v>134</v>
      </c>
      <c r="J76" t="s">
        <v>189</v>
      </c>
    </row>
    <row r="94" spans="2:2" x14ac:dyDescent="0.25">
      <c r="B94" t="s">
        <v>188</v>
      </c>
    </row>
    <row r="167" spans="11:11" x14ac:dyDescent="0.25">
      <c r="K167" t="s">
        <v>136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CDA2-C6C4-434A-9FF5-D59DB96EB358}">
  <dimension ref="A1:U167"/>
  <sheetViews>
    <sheetView zoomScaleNormal="100" workbookViewId="0">
      <selection activeCell="J16" sqref="J16"/>
    </sheetView>
  </sheetViews>
  <sheetFormatPr defaultRowHeight="15" x14ac:dyDescent="0.25"/>
  <cols>
    <col min="2" max="2" width="10.7109375" bestFit="1" customWidth="1"/>
    <col min="3" max="5" width="12.7109375" bestFit="1" customWidth="1"/>
    <col min="6" max="6" width="11" bestFit="1" customWidth="1"/>
    <col min="7" max="7" width="12.7109375" bestFit="1" customWidth="1"/>
    <col min="12" max="12" width="12" bestFit="1" customWidth="1"/>
    <col min="14" max="14" width="12.7109375" bestFit="1" customWidth="1"/>
    <col min="17" max="17" width="12.7109375" bestFit="1" customWidth="1"/>
    <col min="20" max="20" width="12.7109375" bestFit="1" customWidth="1"/>
  </cols>
  <sheetData>
    <row r="1" spans="1:21" x14ac:dyDescent="0.25">
      <c r="A1" t="s">
        <v>33</v>
      </c>
      <c r="B1" t="s">
        <v>35</v>
      </c>
      <c r="C1" t="s">
        <v>43</v>
      </c>
      <c r="D1" t="s">
        <v>186</v>
      </c>
      <c r="E1" t="s">
        <v>184</v>
      </c>
      <c r="F1" t="s">
        <v>84</v>
      </c>
      <c r="G1" t="s">
        <v>85</v>
      </c>
    </row>
    <row r="2" spans="1:21" x14ac:dyDescent="0.25">
      <c r="A2" s="9" t="s">
        <v>36</v>
      </c>
      <c r="B2" s="9" t="s">
        <v>37</v>
      </c>
      <c r="C2" s="9" t="s">
        <v>21</v>
      </c>
      <c r="D2" s="31">
        <v>9.0597721730000007</v>
      </c>
      <c r="E2" s="31">
        <v>9.4386156779999997</v>
      </c>
      <c r="F2" s="15">
        <f>AVERAGE(D2:E2)</f>
        <v>9.2491939255000002</v>
      </c>
      <c r="G2" s="15">
        <f t="shared" ref="G2:G13" si="0">D2-E2</f>
        <v>-0.37884350499999897</v>
      </c>
      <c r="L2">
        <f>10^0.17</f>
        <v>1.4791083881682074</v>
      </c>
    </row>
    <row r="3" spans="1:21" x14ac:dyDescent="0.25">
      <c r="A3" s="9" t="s">
        <v>36</v>
      </c>
      <c r="B3" s="9" t="s">
        <v>38</v>
      </c>
      <c r="C3" s="9" t="s">
        <v>22</v>
      </c>
      <c r="D3" s="31">
        <v>8.918010464</v>
      </c>
      <c r="E3" s="31">
        <v>9.3175505409999992</v>
      </c>
      <c r="F3">
        <f t="shared" ref="F3:F13" si="1">AVERAGE(D3:E3)</f>
        <v>9.1177805025000005</v>
      </c>
      <c r="G3" s="15">
        <f t="shared" si="0"/>
        <v>-0.39954007699999927</v>
      </c>
      <c r="L3">
        <f>10^0.31</f>
        <v>2.0417379446695296</v>
      </c>
    </row>
    <row r="4" spans="1:21" x14ac:dyDescent="0.25">
      <c r="A4" s="9" t="s">
        <v>36</v>
      </c>
      <c r="B4" s="9" t="s">
        <v>39</v>
      </c>
      <c r="C4" s="9" t="s">
        <v>23</v>
      </c>
      <c r="D4" s="31">
        <v>9.0155722029999996</v>
      </c>
      <c r="E4" s="31">
        <v>9.0773381010000005</v>
      </c>
      <c r="F4">
        <f t="shared" si="1"/>
        <v>9.0464551520000001</v>
      </c>
      <c r="G4" s="15">
        <f t="shared" si="0"/>
        <v>-6.1765898000000874E-2</v>
      </c>
      <c r="K4" t="s">
        <v>20</v>
      </c>
      <c r="L4" t="s">
        <v>135</v>
      </c>
    </row>
    <row r="5" spans="1:21" x14ac:dyDescent="0.25">
      <c r="A5" s="1" t="s">
        <v>36</v>
      </c>
      <c r="B5" s="1" t="s">
        <v>40</v>
      </c>
      <c r="C5" s="1" t="s">
        <v>24</v>
      </c>
      <c r="D5" s="32">
        <v>8.2211185709999999</v>
      </c>
      <c r="E5" s="32">
        <v>8.3678596069999998</v>
      </c>
      <c r="F5">
        <f t="shared" si="1"/>
        <v>8.2944890889999989</v>
      </c>
      <c r="G5" s="15">
        <f t="shared" si="0"/>
        <v>-0.14674103599999988</v>
      </c>
      <c r="T5" t="s">
        <v>20</v>
      </c>
      <c r="U5" t="s">
        <v>133</v>
      </c>
    </row>
    <row r="6" spans="1:21" x14ac:dyDescent="0.25">
      <c r="A6" s="1" t="s">
        <v>36</v>
      </c>
      <c r="B6" s="1" t="s">
        <v>40</v>
      </c>
      <c r="C6" s="1" t="s">
        <v>25</v>
      </c>
      <c r="D6" s="32">
        <v>8.2556905</v>
      </c>
      <c r="E6" s="32">
        <v>7.9049021799999997</v>
      </c>
      <c r="F6">
        <f t="shared" si="1"/>
        <v>8.0802963400000003</v>
      </c>
      <c r="G6" s="15">
        <f t="shared" si="0"/>
        <v>0.35078832000000038</v>
      </c>
    </row>
    <row r="7" spans="1:21" x14ac:dyDescent="0.25">
      <c r="A7" s="1" t="s">
        <v>36</v>
      </c>
      <c r="B7" s="1" t="s">
        <v>40</v>
      </c>
      <c r="C7" s="1" t="s">
        <v>26</v>
      </c>
      <c r="D7" s="32">
        <v>8.2585737730000002</v>
      </c>
      <c r="E7" s="32">
        <v>8.0773381010000005</v>
      </c>
      <c r="F7">
        <f t="shared" si="1"/>
        <v>8.1679559370000003</v>
      </c>
      <c r="G7" s="15">
        <f t="shared" si="0"/>
        <v>0.18123567199999968</v>
      </c>
    </row>
    <row r="8" spans="1:21" x14ac:dyDescent="0.25">
      <c r="A8" s="4" t="s">
        <v>36</v>
      </c>
      <c r="B8" s="4" t="s">
        <v>41</v>
      </c>
      <c r="C8" s="4" t="s">
        <v>27</v>
      </c>
      <c r="D8" s="33">
        <v>7.1801457080000004</v>
      </c>
      <c r="E8" s="34">
        <v>7.5014909989999996</v>
      </c>
      <c r="F8">
        <f t="shared" si="1"/>
        <v>7.3408183534999996</v>
      </c>
      <c r="G8" s="15">
        <f t="shared" si="0"/>
        <v>-0.3213452909999992</v>
      </c>
    </row>
    <row r="9" spans="1:21" x14ac:dyDescent="0.25">
      <c r="A9" s="4" t="s">
        <v>36</v>
      </c>
      <c r="B9" s="4" t="s">
        <v>41</v>
      </c>
      <c r="C9" s="4" t="s">
        <v>28</v>
      </c>
      <c r="D9" s="33">
        <v>7.1564082689999999</v>
      </c>
      <c r="E9" s="34">
        <v>7.7328326970000001</v>
      </c>
      <c r="F9">
        <f t="shared" si="1"/>
        <v>7.4446204829999996</v>
      </c>
      <c r="G9" s="15">
        <f t="shared" si="0"/>
        <v>-0.57642442800000016</v>
      </c>
    </row>
    <row r="10" spans="1:21" x14ac:dyDescent="0.25">
      <c r="A10" s="4" t="s">
        <v>36</v>
      </c>
      <c r="B10" s="4" t="s">
        <v>41</v>
      </c>
      <c r="C10" s="4" t="s">
        <v>29</v>
      </c>
      <c r="D10" s="33">
        <v>7.3545993840000001</v>
      </c>
      <c r="E10" s="34">
        <v>7.5611465139999998</v>
      </c>
      <c r="F10">
        <f t="shared" si="1"/>
        <v>7.4578729490000004</v>
      </c>
      <c r="G10" s="15">
        <f t="shared" si="0"/>
        <v>-0.20654712999999969</v>
      </c>
    </row>
    <row r="11" spans="1:21" x14ac:dyDescent="0.25">
      <c r="A11" t="s">
        <v>36</v>
      </c>
      <c r="B11" t="s">
        <v>42</v>
      </c>
      <c r="C11" t="s">
        <v>30</v>
      </c>
      <c r="D11" s="35">
        <v>6.4172469550000004</v>
      </c>
      <c r="E11" s="36">
        <v>6.5014909989999996</v>
      </c>
      <c r="F11">
        <f t="shared" si="1"/>
        <v>6.4593689770000005</v>
      </c>
      <c r="G11" s="15">
        <f t="shared" si="0"/>
        <v>-8.4244043999999185E-2</v>
      </c>
    </row>
    <row r="12" spans="1:21" x14ac:dyDescent="0.25">
      <c r="A12" t="s">
        <v>36</v>
      </c>
      <c r="B12" t="s">
        <v>42</v>
      </c>
      <c r="C12" t="s">
        <v>31</v>
      </c>
      <c r="D12" s="35">
        <v>6.8608534429999999</v>
      </c>
      <c r="E12" s="36">
        <v>6.5058256610000003</v>
      </c>
      <c r="F12">
        <f t="shared" si="1"/>
        <v>6.6833395519999996</v>
      </c>
      <c r="G12" s="15">
        <f t="shared" si="0"/>
        <v>0.35502778199999963</v>
      </c>
    </row>
    <row r="13" spans="1:21" x14ac:dyDescent="0.25">
      <c r="A13" t="s">
        <v>36</v>
      </c>
      <c r="B13" t="s">
        <v>42</v>
      </c>
      <c r="C13" t="s">
        <v>32</v>
      </c>
      <c r="D13" s="35">
        <v>6.7676311289999997</v>
      </c>
      <c r="E13" s="36">
        <v>7.0773381009999996</v>
      </c>
      <c r="F13">
        <f t="shared" si="1"/>
        <v>6.9224846150000001</v>
      </c>
      <c r="G13" s="15">
        <f t="shared" si="0"/>
        <v>-0.30970697199999986</v>
      </c>
      <c r="H13" s="41" t="s">
        <v>191</v>
      </c>
    </row>
    <row r="14" spans="1:21" x14ac:dyDescent="0.25">
      <c r="F14" t="s">
        <v>86</v>
      </c>
      <c r="G14" s="15">
        <f>AVERAGE(G2:G13)</f>
        <v>-0.13317555058333311</v>
      </c>
      <c r="H14" s="41">
        <f>10^0.13</f>
        <v>1.3489628825916538</v>
      </c>
    </row>
    <row r="15" spans="1:21" x14ac:dyDescent="0.25">
      <c r="F15" t="s">
        <v>87</v>
      </c>
      <c r="G15">
        <f>_xlfn.STDEV.S(G2:G13)</f>
        <v>0.29830163910020163</v>
      </c>
      <c r="H15" s="41">
        <f>10^G15</f>
        <v>1.9874748381339369</v>
      </c>
    </row>
    <row r="16" spans="1:21" x14ac:dyDescent="0.25">
      <c r="F16" t="s">
        <v>5</v>
      </c>
      <c r="G16">
        <f>G14-(1.96*G15)</f>
        <v>-0.71784676321972829</v>
      </c>
    </row>
    <row r="17" spans="1:20" x14ac:dyDescent="0.25">
      <c r="F17" t="s">
        <v>4</v>
      </c>
      <c r="G17">
        <f>G14+(1.96*G15)</f>
        <v>0.45149566205306213</v>
      </c>
    </row>
    <row r="21" spans="1:20" x14ac:dyDescent="0.25">
      <c r="A21" t="s">
        <v>88</v>
      </c>
    </row>
    <row r="23" spans="1:20" ht="15.75" thickBot="1" x14ac:dyDescent="0.3">
      <c r="A23" t="s">
        <v>89</v>
      </c>
      <c r="D23" t="s">
        <v>90</v>
      </c>
      <c r="E23">
        <v>0.05</v>
      </c>
    </row>
    <row r="24" spans="1:20" ht="15.75" thickTop="1" x14ac:dyDescent="0.25">
      <c r="A24" s="10" t="s">
        <v>91</v>
      </c>
      <c r="B24" s="10" t="s">
        <v>81</v>
      </c>
      <c r="C24" s="10" t="s">
        <v>92</v>
      </c>
      <c r="D24" s="10" t="s">
        <v>93</v>
      </c>
      <c r="E24" s="10" t="s">
        <v>94</v>
      </c>
      <c r="F24" s="10" t="s">
        <v>52</v>
      </c>
      <c r="G24" s="10" t="s">
        <v>95</v>
      </c>
      <c r="H24" s="10" t="s">
        <v>96</v>
      </c>
    </row>
    <row r="25" spans="1:20" x14ac:dyDescent="0.25">
      <c r="A25">
        <f>COUNT(G3:G13)</f>
        <v>11</v>
      </c>
      <c r="B25" s="15">
        <f>AVERAGE(G2:G13)</f>
        <v>-0.13317555058333311</v>
      </c>
      <c r="C25">
        <f>_xlfn.STDEV.S(G2:G13)</f>
        <v>0.29830163910020163</v>
      </c>
      <c r="D25">
        <f>C25/SQRT(A25)</f>
        <v>8.9941328294852588E-2</v>
      </c>
      <c r="E25">
        <f>(B25-E27)/D25</f>
        <v>-1.4806936155840034</v>
      </c>
      <c r="F25">
        <f>A25-1</f>
        <v>10</v>
      </c>
      <c r="G25">
        <f>ABS(B25-E27)/C25</f>
        <v>0.44644592294244317</v>
      </c>
      <c r="H25">
        <f>SQRT(E25^2/(E25^2+F25))</f>
        <v>0.42405251994232895</v>
      </c>
    </row>
    <row r="26" spans="1:20" x14ac:dyDescent="0.25">
      <c r="A26" s="7"/>
      <c r="B26" s="7"/>
      <c r="C26" s="7"/>
      <c r="D26" s="7"/>
      <c r="E26" s="7"/>
      <c r="F26" s="7"/>
      <c r="G26" s="7"/>
      <c r="H26" s="7"/>
    </row>
    <row r="27" spans="1:20" ht="15.75" thickBot="1" x14ac:dyDescent="0.3">
      <c r="A27" t="s">
        <v>97</v>
      </c>
      <c r="D27" t="s">
        <v>98</v>
      </c>
      <c r="E27">
        <v>0</v>
      </c>
    </row>
    <row r="28" spans="1:20" ht="15.75" thickTop="1" x14ac:dyDescent="0.25">
      <c r="A28" s="10" t="s">
        <v>99</v>
      </c>
      <c r="B28" s="10" t="s">
        <v>100</v>
      </c>
      <c r="C28" s="10" t="s">
        <v>78</v>
      </c>
      <c r="D28" s="10" t="s">
        <v>5</v>
      </c>
      <c r="E28" s="10" t="s">
        <v>4</v>
      </c>
      <c r="F28" s="10" t="s">
        <v>101</v>
      </c>
      <c r="P28" t="s">
        <v>120</v>
      </c>
    </row>
    <row r="29" spans="1:20" x14ac:dyDescent="0.25">
      <c r="A29" t="s">
        <v>102</v>
      </c>
      <c r="B29">
        <f>_xlfn.T.DIST.RT(ABS(E25),F25)</f>
        <v>8.4746343653054293E-2</v>
      </c>
      <c r="C29">
        <f>_xlfn.T.INV.2T(E23*2,F25)</f>
        <v>1.812461122811676</v>
      </c>
      <c r="F29" s="3" t="str">
        <f>IF(B29&lt;E23,"yes","no")</f>
        <v>no</v>
      </c>
      <c r="M29" t="s">
        <v>121</v>
      </c>
      <c r="P29" t="s">
        <v>122</v>
      </c>
      <c r="Q29" t="s">
        <v>123</v>
      </c>
      <c r="S29" t="s">
        <v>122</v>
      </c>
      <c r="T29" t="s">
        <v>124</v>
      </c>
    </row>
    <row r="30" spans="1:20" x14ac:dyDescent="0.25">
      <c r="A30" t="s">
        <v>103</v>
      </c>
      <c r="B30">
        <f>_xlfn.T.DIST.2T(ABS(E25),F25)</f>
        <v>0.16949268730610859</v>
      </c>
      <c r="C30">
        <f>_xlfn.T.INV.2T(E23,F25)</f>
        <v>2.2281388519862744</v>
      </c>
      <c r="D30">
        <f>B25-C30*D25</f>
        <v>-0.33357731855634654</v>
      </c>
      <c r="E30">
        <f>B25+C30*D25</f>
        <v>6.7226217389680348E-2</v>
      </c>
      <c r="F30" s="3" t="str">
        <f>IF(B30&lt;E23,"yes","no")</f>
        <v>no</v>
      </c>
      <c r="M30" t="s">
        <v>69</v>
      </c>
      <c r="N30" t="s">
        <v>70</v>
      </c>
      <c r="P30" t="s">
        <v>69</v>
      </c>
      <c r="Q30" t="s">
        <v>70</v>
      </c>
      <c r="S30" t="s">
        <v>69</v>
      </c>
      <c r="T30" t="s">
        <v>70</v>
      </c>
    </row>
    <row r="31" spans="1:20" x14ac:dyDescent="0.25">
      <c r="A31" s="7"/>
      <c r="B31" s="7"/>
      <c r="C31" s="7"/>
      <c r="D31" s="7"/>
      <c r="E31" s="7"/>
      <c r="F31" s="7"/>
      <c r="M31">
        <v>5</v>
      </c>
      <c r="N31">
        <f>G14</f>
        <v>-0.13317555058333311</v>
      </c>
      <c r="P31">
        <v>5</v>
      </c>
      <c r="Q31">
        <f>P50</f>
        <v>0.20439685050407516</v>
      </c>
      <c r="S31">
        <v>5</v>
      </c>
      <c r="T31">
        <f>Q50</f>
        <v>-0.47074795167074135</v>
      </c>
    </row>
    <row r="32" spans="1:20" x14ac:dyDescent="0.25">
      <c r="M32">
        <v>10</v>
      </c>
      <c r="N32">
        <f>G14</f>
        <v>-0.13317555058333311</v>
      </c>
      <c r="P32">
        <v>10</v>
      </c>
      <c r="Q32">
        <f>P50</f>
        <v>0.20439685050407516</v>
      </c>
      <c r="S32">
        <v>10</v>
      </c>
      <c r="T32">
        <f>Q50</f>
        <v>-0.47074795167074135</v>
      </c>
    </row>
    <row r="34" spans="8:20" x14ac:dyDescent="0.25">
      <c r="M34" t="s">
        <v>125</v>
      </c>
      <c r="P34" t="s">
        <v>126</v>
      </c>
      <c r="Q34" t="s">
        <v>127</v>
      </c>
      <c r="S34" t="s">
        <v>126</v>
      </c>
      <c r="T34" t="s">
        <v>128</v>
      </c>
    </row>
    <row r="35" spans="8:20" ht="15.75" thickBot="1" x14ac:dyDescent="0.3"/>
    <row r="36" spans="8:20" ht="15.75" thickTop="1" x14ac:dyDescent="0.25">
      <c r="H36" s="10" t="s">
        <v>96</v>
      </c>
      <c r="M36" t="s">
        <v>69</v>
      </c>
      <c r="N36" t="s">
        <v>70</v>
      </c>
      <c r="P36" t="s">
        <v>69</v>
      </c>
      <c r="Q36" t="s">
        <v>70</v>
      </c>
      <c r="S36" t="s">
        <v>69</v>
      </c>
      <c r="T36" t="s">
        <v>70</v>
      </c>
    </row>
    <row r="37" spans="8:20" x14ac:dyDescent="0.25">
      <c r="H37">
        <f>SQRT(E25^2/(E25^2+F25))</f>
        <v>0.42405251994232895</v>
      </c>
      <c r="M37">
        <v>5</v>
      </c>
      <c r="N37">
        <f>O51</f>
        <v>-0.71784676321972829</v>
      </c>
      <c r="P37">
        <v>5</v>
      </c>
      <c r="Q37">
        <f>P51</f>
        <v>-0.38027436213232002</v>
      </c>
      <c r="S37">
        <v>5</v>
      </c>
      <c r="T37">
        <f>Q51</f>
        <v>-1.0554191643071364</v>
      </c>
    </row>
    <row r="38" spans="8:20" x14ac:dyDescent="0.25">
      <c r="H38" s="7"/>
      <c r="M38">
        <v>10</v>
      </c>
      <c r="N38">
        <f>O51</f>
        <v>-0.71784676321972829</v>
      </c>
      <c r="P38">
        <v>10</v>
      </c>
      <c r="Q38">
        <f>P51</f>
        <v>-0.38027436213232002</v>
      </c>
      <c r="S38">
        <v>10</v>
      </c>
      <c r="T38">
        <f>Q51</f>
        <v>-1.0554191643071364</v>
      </c>
    </row>
    <row r="41" spans="8:20" x14ac:dyDescent="0.25">
      <c r="M41" t="s">
        <v>129</v>
      </c>
      <c r="P41" t="s">
        <v>130</v>
      </c>
      <c r="Q41" t="s">
        <v>131</v>
      </c>
      <c r="S41" t="s">
        <v>130</v>
      </c>
      <c r="T41" t="s">
        <v>132</v>
      </c>
    </row>
    <row r="42" spans="8:20" x14ac:dyDescent="0.25">
      <c r="M42" t="s">
        <v>69</v>
      </c>
      <c r="N42" t="s">
        <v>70</v>
      </c>
      <c r="P42" t="s">
        <v>69</v>
      </c>
      <c r="Q42" t="s">
        <v>70</v>
      </c>
      <c r="S42" t="s">
        <v>69</v>
      </c>
      <c r="T42" t="s">
        <v>70</v>
      </c>
    </row>
    <row r="43" spans="8:20" x14ac:dyDescent="0.25">
      <c r="M43">
        <v>5</v>
      </c>
      <c r="N43">
        <f>O52</f>
        <v>0.45149566205306213</v>
      </c>
      <c r="P43">
        <v>5</v>
      </c>
      <c r="Q43">
        <f>P52</f>
        <v>0.7890680631404704</v>
      </c>
      <c r="S43">
        <v>5</v>
      </c>
      <c r="T43">
        <f>Q52</f>
        <v>0.11392326096565386</v>
      </c>
    </row>
    <row r="44" spans="8:20" x14ac:dyDescent="0.25">
      <c r="M44">
        <v>10</v>
      </c>
      <c r="N44">
        <f>O52</f>
        <v>0.45149566205306213</v>
      </c>
      <c r="P44">
        <v>10</v>
      </c>
      <c r="Q44">
        <f>P52</f>
        <v>0.7890680631404704</v>
      </c>
      <c r="S44">
        <v>10</v>
      </c>
      <c r="T44">
        <f>Q52</f>
        <v>0.11392326096565386</v>
      </c>
    </row>
    <row r="49" spans="2:17" x14ac:dyDescent="0.25">
      <c r="P49" t="s">
        <v>115</v>
      </c>
      <c r="Q49" t="s">
        <v>116</v>
      </c>
    </row>
    <row r="50" spans="2:17" x14ac:dyDescent="0.25">
      <c r="N50" t="s">
        <v>117</v>
      </c>
      <c r="O50">
        <v>-0.13317555058333311</v>
      </c>
      <c r="P50">
        <v>0.20439685050407516</v>
      </c>
      <c r="Q50">
        <v>-0.47074795167074135</v>
      </c>
    </row>
    <row r="51" spans="2:17" x14ac:dyDescent="0.25">
      <c r="N51" t="s">
        <v>118</v>
      </c>
      <c r="O51">
        <v>-0.71784676321972829</v>
      </c>
      <c r="P51">
        <v>-0.38027436213232002</v>
      </c>
      <c r="Q51">
        <v>-1.0554191643071364</v>
      </c>
    </row>
    <row r="52" spans="2:17" x14ac:dyDescent="0.25">
      <c r="N52" t="s">
        <v>119</v>
      </c>
      <c r="O52">
        <v>0.45149566205306213</v>
      </c>
      <c r="P52">
        <v>0.7890680631404704</v>
      </c>
      <c r="Q52">
        <v>0.11392326096565386</v>
      </c>
    </row>
    <row r="54" spans="2:17" x14ac:dyDescent="0.25">
      <c r="B54" t="s">
        <v>104</v>
      </c>
    </row>
    <row r="56" spans="2:17" x14ac:dyDescent="0.25">
      <c r="B56" t="s">
        <v>105</v>
      </c>
      <c r="C56">
        <f>C30</f>
        <v>2.2281388519862744</v>
      </c>
    </row>
    <row r="57" spans="2:17" x14ac:dyDescent="0.25">
      <c r="B57" t="s">
        <v>106</v>
      </c>
      <c r="C57">
        <f>1/12</f>
        <v>8.3333333333333329E-2</v>
      </c>
    </row>
    <row r="58" spans="2:17" x14ac:dyDescent="0.25">
      <c r="B58" t="s">
        <v>107</v>
      </c>
      <c r="C58">
        <f>2*(12-1)</f>
        <v>22</v>
      </c>
    </row>
    <row r="59" spans="2:17" x14ac:dyDescent="0.25">
      <c r="B59" t="s">
        <v>108</v>
      </c>
      <c r="C59">
        <f>1.96^2</f>
        <v>3.8415999999999997</v>
      </c>
    </row>
    <row r="60" spans="2:17" x14ac:dyDescent="0.25">
      <c r="B60" t="s">
        <v>109</v>
      </c>
      <c r="C60" s="11">
        <f>_xlfn.VAR.S(G2:G13)</f>
        <v>8.8983867889866952E-2</v>
      </c>
    </row>
    <row r="61" spans="2:17" x14ac:dyDescent="0.25">
      <c r="B61" t="s">
        <v>110</v>
      </c>
      <c r="C61">
        <f>(C59)/C58</f>
        <v>0.17461818181818181</v>
      </c>
    </row>
    <row r="62" spans="2:17" x14ac:dyDescent="0.25">
      <c r="B62" t="s">
        <v>111</v>
      </c>
      <c r="C62">
        <f>C57+C61</f>
        <v>0.25795151515151515</v>
      </c>
    </row>
    <row r="63" spans="2:17" x14ac:dyDescent="0.25">
      <c r="B63" t="s">
        <v>112</v>
      </c>
      <c r="C63">
        <f>C62*C60</f>
        <v>2.2953523546233437E-2</v>
      </c>
    </row>
    <row r="64" spans="2:17" x14ac:dyDescent="0.25">
      <c r="B64" t="s">
        <v>113</v>
      </c>
      <c r="C64">
        <f>SQRT(C63)</f>
        <v>0.15150420306457982</v>
      </c>
    </row>
    <row r="65" spans="2:10" x14ac:dyDescent="0.25">
      <c r="B65" t="s">
        <v>114</v>
      </c>
      <c r="C65">
        <f>C56*C64</f>
        <v>0.33757240108740827</v>
      </c>
    </row>
    <row r="68" spans="2:10" x14ac:dyDescent="0.25">
      <c r="D68" t="s">
        <v>115</v>
      </c>
      <c r="E68" t="s">
        <v>116</v>
      </c>
    </row>
    <row r="69" spans="2:10" x14ac:dyDescent="0.25">
      <c r="B69" t="s">
        <v>117</v>
      </c>
      <c r="C69" s="15">
        <f>G14</f>
        <v>-0.13317555058333311</v>
      </c>
      <c r="D69">
        <f>C69+C65</f>
        <v>0.20439685050407516</v>
      </c>
      <c r="E69">
        <f>C69-C65</f>
        <v>-0.47074795167074135</v>
      </c>
    </row>
    <row r="70" spans="2:10" x14ac:dyDescent="0.25">
      <c r="B70" t="s">
        <v>118</v>
      </c>
      <c r="C70">
        <f>G16</f>
        <v>-0.71784676321972829</v>
      </c>
      <c r="D70">
        <f>C70+C65</f>
        <v>-0.38027436213232002</v>
      </c>
      <c r="E70">
        <f>C70-C65</f>
        <v>-1.0554191643071364</v>
      </c>
    </row>
    <row r="71" spans="2:10" x14ac:dyDescent="0.25">
      <c r="B71" t="s">
        <v>119</v>
      </c>
      <c r="C71">
        <f>G17</f>
        <v>0.45149566205306213</v>
      </c>
      <c r="D71">
        <f>C71+C65</f>
        <v>0.7890680631404704</v>
      </c>
      <c r="E71">
        <f>C71-C65</f>
        <v>0.11392326096565386</v>
      </c>
    </row>
    <row r="76" spans="2:10" x14ac:dyDescent="0.25">
      <c r="C76" t="s">
        <v>134</v>
      </c>
      <c r="J76" t="s">
        <v>189</v>
      </c>
    </row>
    <row r="167" spans="11:11" x14ac:dyDescent="0.25">
      <c r="K167" t="s">
        <v>136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1C46-2BEE-4456-ADB7-B9AE6C0CA07C}">
  <dimension ref="A1:N65"/>
  <sheetViews>
    <sheetView zoomScale="70" zoomScaleNormal="70" workbookViewId="0">
      <selection activeCell="T41" sqref="T41"/>
    </sheetView>
  </sheetViews>
  <sheetFormatPr defaultRowHeight="15" x14ac:dyDescent="0.25"/>
  <cols>
    <col min="7" max="7" width="12" bestFit="1" customWidth="1"/>
    <col min="9" max="9" width="11" bestFit="1" customWidth="1"/>
  </cols>
  <sheetData>
    <row r="1" spans="1:10" x14ac:dyDescent="0.25">
      <c r="A1" t="s">
        <v>33</v>
      </c>
      <c r="B1" t="s">
        <v>35</v>
      </c>
      <c r="C1" t="s">
        <v>43</v>
      </c>
      <c r="D1" t="s">
        <v>186</v>
      </c>
      <c r="E1" t="s">
        <v>18</v>
      </c>
    </row>
    <row r="2" spans="1:10" x14ac:dyDescent="0.25">
      <c r="A2" s="9" t="s">
        <v>36</v>
      </c>
      <c r="B2" s="9" t="s">
        <v>37</v>
      </c>
      <c r="C2" s="9" t="s">
        <v>21</v>
      </c>
      <c r="D2" s="16">
        <v>9.0597721727970804</v>
      </c>
      <c r="E2" s="16">
        <v>9.4801763520000009</v>
      </c>
    </row>
    <row r="3" spans="1:10" x14ac:dyDescent="0.25">
      <c r="A3" s="9" t="s">
        <v>36</v>
      </c>
      <c r="B3" s="9" t="s">
        <v>38</v>
      </c>
      <c r="C3" s="9" t="s">
        <v>22</v>
      </c>
      <c r="D3" s="16">
        <v>8.9180104638716333</v>
      </c>
      <c r="E3" s="16">
        <v>9.355276667</v>
      </c>
    </row>
    <row r="4" spans="1:10" x14ac:dyDescent="0.25">
      <c r="A4" s="9" t="s">
        <v>36</v>
      </c>
      <c r="B4" s="9" t="s">
        <v>39</v>
      </c>
      <c r="C4" s="9" t="s">
        <v>23</v>
      </c>
      <c r="D4" s="16">
        <v>9.0155722025837548</v>
      </c>
      <c r="E4" s="16">
        <v>9.1422919629999999</v>
      </c>
    </row>
    <row r="5" spans="1:10" x14ac:dyDescent="0.25">
      <c r="A5" s="1" t="s">
        <v>36</v>
      </c>
      <c r="B5" s="1" t="s">
        <v>40</v>
      </c>
      <c r="C5" s="1" t="s">
        <v>24</v>
      </c>
      <c r="D5" s="2">
        <v>8.2211185711499439</v>
      </c>
      <c r="E5" s="2">
        <v>8.4076560740000001</v>
      </c>
    </row>
    <row r="6" spans="1:10" x14ac:dyDescent="0.25">
      <c r="A6" s="1" t="s">
        <v>36</v>
      </c>
      <c r="B6" s="1" t="s">
        <v>40</v>
      </c>
      <c r="C6" s="1" t="s">
        <v>25</v>
      </c>
      <c r="D6" s="2">
        <v>8.2556904999112852</v>
      </c>
      <c r="E6" s="2">
        <v>7.9943636820000004</v>
      </c>
    </row>
    <row r="7" spans="1:10" x14ac:dyDescent="0.25">
      <c r="A7" s="1" t="s">
        <v>36</v>
      </c>
      <c r="B7" s="1" t="s">
        <v>40</v>
      </c>
      <c r="C7" s="1" t="s">
        <v>26</v>
      </c>
      <c r="D7" s="2">
        <v>8.2585737727950406</v>
      </c>
      <c r="E7" s="2">
        <v>8.1422919629999999</v>
      </c>
    </row>
    <row r="8" spans="1:10" x14ac:dyDescent="0.25">
      <c r="A8" s="4" t="s">
        <v>36</v>
      </c>
      <c r="B8" s="4" t="s">
        <v>41</v>
      </c>
      <c r="C8" s="4" t="s">
        <v>27</v>
      </c>
      <c r="D8" s="17">
        <v>7.180145708096795</v>
      </c>
      <c r="E8" s="17">
        <v>7.54929059</v>
      </c>
    </row>
    <row r="9" spans="1:10" x14ac:dyDescent="0.25">
      <c r="A9" s="4" t="s">
        <v>36</v>
      </c>
      <c r="B9" s="4" t="s">
        <v>41</v>
      </c>
      <c r="C9" s="4" t="s">
        <v>28</v>
      </c>
      <c r="D9" s="17">
        <v>7.1564082693046798</v>
      </c>
      <c r="E9" s="17">
        <v>7.8070065680000003</v>
      </c>
    </row>
    <row r="10" spans="1:10" x14ac:dyDescent="0.25">
      <c r="A10" s="4" t="s">
        <v>36</v>
      </c>
      <c r="B10" s="4" t="s">
        <v>41</v>
      </c>
      <c r="C10" s="4" t="s">
        <v>29</v>
      </c>
      <c r="D10" s="17">
        <v>7.354599383703488</v>
      </c>
      <c r="E10" s="17">
        <v>7.6117811599999996</v>
      </c>
    </row>
    <row r="11" spans="1:10" x14ac:dyDescent="0.25">
      <c r="A11" t="s">
        <v>36</v>
      </c>
      <c r="B11" t="s">
        <v>42</v>
      </c>
      <c r="C11" t="s">
        <v>30</v>
      </c>
      <c r="D11" s="15">
        <v>6.4172469545667106</v>
      </c>
      <c r="E11" s="15">
        <v>6.54929059</v>
      </c>
    </row>
    <row r="12" spans="1:10" x14ac:dyDescent="0.25">
      <c r="A12" t="s">
        <v>36</v>
      </c>
      <c r="B12" t="s">
        <v>42</v>
      </c>
      <c r="C12" t="s">
        <v>31</v>
      </c>
      <c r="D12" s="15">
        <v>6.860853443398657</v>
      </c>
      <c r="E12" s="15">
        <v>6.5518813539999998</v>
      </c>
      <c r="H12" s="5"/>
      <c r="I12" s="5"/>
      <c r="J12" s="5"/>
    </row>
    <row r="13" spans="1:10" x14ac:dyDescent="0.25">
      <c r="A13" t="s">
        <v>36</v>
      </c>
      <c r="B13" t="s">
        <v>42</v>
      </c>
      <c r="C13" t="s">
        <v>32</v>
      </c>
      <c r="D13" s="15">
        <v>6.7676311287158377</v>
      </c>
      <c r="E13" s="15">
        <v>7.1422919629999999</v>
      </c>
    </row>
    <row r="20" spans="3:14" x14ac:dyDescent="0.25">
      <c r="C20" t="s">
        <v>80</v>
      </c>
    </row>
    <row r="21" spans="3:14" ht="15.75" thickBot="1" x14ac:dyDescent="0.3"/>
    <row r="22" spans="3:14" x14ac:dyDescent="0.25">
      <c r="C22" s="38"/>
      <c r="D22" s="38" t="s">
        <v>18</v>
      </c>
      <c r="E22" s="38" t="s">
        <v>186</v>
      </c>
    </row>
    <row r="23" spans="3:14" x14ac:dyDescent="0.25">
      <c r="C23" t="s">
        <v>81</v>
      </c>
      <c r="D23">
        <v>7.9777999105000008</v>
      </c>
      <c r="E23">
        <v>7.7888018809079078</v>
      </c>
      <c r="F23" s="5"/>
      <c r="I23">
        <f>1/0.90071</f>
        <v>1.1102352588513507</v>
      </c>
    </row>
    <row r="24" spans="3:14" x14ac:dyDescent="0.25">
      <c r="C24" t="s">
        <v>79</v>
      </c>
      <c r="D24">
        <v>0.98558579184962336</v>
      </c>
      <c r="E24">
        <v>0.887724364684366</v>
      </c>
    </row>
    <row r="25" spans="3:14" x14ac:dyDescent="0.25">
      <c r="C25" t="s">
        <v>50</v>
      </c>
      <c r="D25">
        <v>12</v>
      </c>
      <c r="E25">
        <v>12</v>
      </c>
    </row>
    <row r="26" spans="3:14" x14ac:dyDescent="0.25">
      <c r="C26" t="s">
        <v>52</v>
      </c>
      <c r="D26">
        <v>11</v>
      </c>
      <c r="E26">
        <v>11</v>
      </c>
    </row>
    <row r="27" spans="3:14" x14ac:dyDescent="0.25">
      <c r="C27" t="s">
        <v>55</v>
      </c>
      <c r="D27">
        <v>1.1102385279242082</v>
      </c>
      <c r="G27" s="5"/>
      <c r="H27" s="5"/>
      <c r="I27" s="5"/>
      <c r="J27" s="5"/>
      <c r="K27" s="5"/>
      <c r="L27" s="5"/>
      <c r="M27" s="5"/>
    </row>
    <row r="28" spans="3:14" x14ac:dyDescent="0.25">
      <c r="C28" t="s">
        <v>82</v>
      </c>
      <c r="D28">
        <v>0.43270619685748685</v>
      </c>
      <c r="G28" s="5"/>
      <c r="H28" s="5"/>
      <c r="I28" s="5"/>
      <c r="J28" s="5"/>
      <c r="K28" s="5"/>
      <c r="L28" s="5"/>
      <c r="M28" s="5"/>
      <c r="N28" s="5"/>
    </row>
    <row r="29" spans="3:14" ht="15.75" thickBot="1" x14ac:dyDescent="0.3">
      <c r="C29" s="37" t="s">
        <v>83</v>
      </c>
      <c r="D29" s="37">
        <v>2.8179304699530876</v>
      </c>
      <c r="E29" s="37"/>
    </row>
    <row r="65" spans="5:13" x14ac:dyDescent="0.25">
      <c r="E65" s="5"/>
      <c r="F65" s="5"/>
      <c r="G65" s="5"/>
      <c r="H65" s="5"/>
      <c r="I65" s="5"/>
      <c r="J65" s="5"/>
      <c r="K65" s="5"/>
      <c r="L65" s="5"/>
      <c r="M65" s="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5C48-CB3A-49A2-9E5A-1F043EFE3764}">
  <dimension ref="A1:N65"/>
  <sheetViews>
    <sheetView topLeftCell="A10" zoomScale="70" zoomScaleNormal="70" workbookViewId="0">
      <selection activeCell="P35" sqref="P35"/>
    </sheetView>
  </sheetViews>
  <sheetFormatPr defaultRowHeight="15" x14ac:dyDescent="0.25"/>
  <cols>
    <col min="7" max="7" width="12" bestFit="1" customWidth="1"/>
    <col min="10" max="10" width="11" bestFit="1" customWidth="1"/>
  </cols>
  <sheetData>
    <row r="1" spans="1:10" x14ac:dyDescent="0.25">
      <c r="A1" t="s">
        <v>33</v>
      </c>
      <c r="B1" t="s">
        <v>35</v>
      </c>
      <c r="C1" t="s">
        <v>43</v>
      </c>
      <c r="D1" t="s">
        <v>186</v>
      </c>
      <c r="E1" t="s">
        <v>184</v>
      </c>
    </row>
    <row r="2" spans="1:10" x14ac:dyDescent="0.25">
      <c r="A2" s="9" t="s">
        <v>36</v>
      </c>
      <c r="B2" s="9" t="s">
        <v>37</v>
      </c>
      <c r="C2" s="9" t="s">
        <v>21</v>
      </c>
      <c r="D2" s="16">
        <v>9.0597721727970804</v>
      </c>
      <c r="E2" s="16">
        <v>9.4386156779999997</v>
      </c>
    </row>
    <row r="3" spans="1:10" x14ac:dyDescent="0.25">
      <c r="A3" s="9" t="s">
        <v>36</v>
      </c>
      <c r="B3" s="9" t="s">
        <v>38</v>
      </c>
      <c r="C3" s="9" t="s">
        <v>22</v>
      </c>
      <c r="D3" s="16">
        <v>8.9180104638716333</v>
      </c>
      <c r="E3" s="16">
        <v>9.3175505409999992</v>
      </c>
    </row>
    <row r="4" spans="1:10" x14ac:dyDescent="0.25">
      <c r="A4" s="9" t="s">
        <v>36</v>
      </c>
      <c r="B4" s="9" t="s">
        <v>39</v>
      </c>
      <c r="C4" s="9" t="s">
        <v>23</v>
      </c>
      <c r="D4" s="16">
        <v>9.0155722025837548</v>
      </c>
      <c r="E4" s="16">
        <v>9.0773381010000005</v>
      </c>
    </row>
    <row r="5" spans="1:10" x14ac:dyDescent="0.25">
      <c r="A5" s="1" t="s">
        <v>36</v>
      </c>
      <c r="B5" s="1" t="s">
        <v>40</v>
      </c>
      <c r="C5" s="1" t="s">
        <v>24</v>
      </c>
      <c r="D5" s="2">
        <v>8.2211185711499439</v>
      </c>
      <c r="E5" s="2">
        <v>8.3678596069999998</v>
      </c>
    </row>
    <row r="6" spans="1:10" x14ac:dyDescent="0.25">
      <c r="A6" s="1" t="s">
        <v>36</v>
      </c>
      <c r="B6" s="1" t="s">
        <v>40</v>
      </c>
      <c r="C6" s="1" t="s">
        <v>25</v>
      </c>
      <c r="D6" s="2">
        <v>8.2556904999112852</v>
      </c>
      <c r="E6" s="2">
        <v>7.9049021799999997</v>
      </c>
    </row>
    <row r="7" spans="1:10" x14ac:dyDescent="0.25">
      <c r="A7" s="1" t="s">
        <v>36</v>
      </c>
      <c r="B7" s="1" t="s">
        <v>40</v>
      </c>
      <c r="C7" s="1" t="s">
        <v>26</v>
      </c>
      <c r="D7" s="2">
        <v>8.2585737727950406</v>
      </c>
      <c r="E7" s="2">
        <v>8.0773381010000005</v>
      </c>
    </row>
    <row r="8" spans="1:10" x14ac:dyDescent="0.25">
      <c r="A8" s="4" t="s">
        <v>36</v>
      </c>
      <c r="B8" s="4" t="s">
        <v>41</v>
      </c>
      <c r="C8" s="4" t="s">
        <v>27</v>
      </c>
      <c r="D8" s="17">
        <v>7.180145708096795</v>
      </c>
      <c r="E8" s="17">
        <v>7.5014909989999996</v>
      </c>
    </row>
    <row r="9" spans="1:10" x14ac:dyDescent="0.25">
      <c r="A9" s="4" t="s">
        <v>36</v>
      </c>
      <c r="B9" s="4" t="s">
        <v>41</v>
      </c>
      <c r="C9" s="4" t="s">
        <v>28</v>
      </c>
      <c r="D9" s="17">
        <v>7.1564082693046798</v>
      </c>
      <c r="E9" s="17">
        <v>7.7328326970000001</v>
      </c>
    </row>
    <row r="10" spans="1:10" x14ac:dyDescent="0.25">
      <c r="A10" s="4" t="s">
        <v>36</v>
      </c>
      <c r="B10" s="4" t="s">
        <v>41</v>
      </c>
      <c r="C10" s="4" t="s">
        <v>29</v>
      </c>
      <c r="D10" s="17">
        <v>7.354599383703488</v>
      </c>
      <c r="E10" s="17">
        <v>7.5611465139999998</v>
      </c>
    </row>
    <row r="11" spans="1:10" x14ac:dyDescent="0.25">
      <c r="A11" t="s">
        <v>36</v>
      </c>
      <c r="B11" t="s">
        <v>42</v>
      </c>
      <c r="C11" t="s">
        <v>30</v>
      </c>
      <c r="D11" s="15">
        <v>6.4172469545667106</v>
      </c>
      <c r="E11" s="15">
        <v>6.5014909989999996</v>
      </c>
    </row>
    <row r="12" spans="1:10" x14ac:dyDescent="0.25">
      <c r="A12" t="s">
        <v>36</v>
      </c>
      <c r="B12" t="s">
        <v>42</v>
      </c>
      <c r="C12" t="s">
        <v>31</v>
      </c>
      <c r="D12" s="15">
        <v>6.860853443398657</v>
      </c>
      <c r="E12" s="15">
        <v>6.5058256610000003</v>
      </c>
      <c r="H12" s="5"/>
      <c r="I12" s="5"/>
      <c r="J12" s="5"/>
    </row>
    <row r="13" spans="1:10" x14ac:dyDescent="0.25">
      <c r="A13" t="s">
        <v>36</v>
      </c>
      <c r="B13" t="s">
        <v>42</v>
      </c>
      <c r="C13" t="s">
        <v>32</v>
      </c>
      <c r="D13" s="15">
        <v>6.7676311287158377</v>
      </c>
      <c r="E13" s="15">
        <v>7.0773381009999996</v>
      </c>
    </row>
    <row r="21" spans="3:14" x14ac:dyDescent="0.25">
      <c r="C21" t="s">
        <v>80</v>
      </c>
    </row>
    <row r="22" spans="3:14" ht="15.75" thickBot="1" x14ac:dyDescent="0.3"/>
    <row r="23" spans="3:14" x14ac:dyDescent="0.25">
      <c r="C23" s="38"/>
      <c r="D23" s="38" t="s">
        <v>184</v>
      </c>
      <c r="E23" s="38" t="s">
        <v>186</v>
      </c>
      <c r="J23">
        <f>1/0.89707</f>
        <v>1.1147402097941075</v>
      </c>
    </row>
    <row r="24" spans="3:14" x14ac:dyDescent="0.25">
      <c r="C24" t="s">
        <v>81</v>
      </c>
      <c r="D24">
        <v>7.9219774315833336</v>
      </c>
      <c r="E24">
        <v>7.7888018809079078</v>
      </c>
    </row>
    <row r="25" spans="3:14" x14ac:dyDescent="0.25">
      <c r="C25" t="s">
        <v>79</v>
      </c>
      <c r="D25">
        <v>0.9895800208879254</v>
      </c>
      <c r="E25">
        <v>0.887724364684366</v>
      </c>
    </row>
    <row r="26" spans="3:14" x14ac:dyDescent="0.25">
      <c r="C26" t="s">
        <v>50</v>
      </c>
      <c r="D26">
        <v>12</v>
      </c>
      <c r="E26">
        <v>12</v>
      </c>
    </row>
    <row r="27" spans="3:14" x14ac:dyDescent="0.25">
      <c r="C27" t="s">
        <v>52</v>
      </c>
      <c r="D27">
        <v>11</v>
      </c>
      <c r="E27">
        <v>11</v>
      </c>
      <c r="F27" s="5"/>
      <c r="G27" s="5"/>
      <c r="H27" s="5"/>
      <c r="I27" s="5"/>
      <c r="J27" s="5"/>
      <c r="K27" s="5"/>
      <c r="L27" s="5"/>
      <c r="M27" s="5"/>
    </row>
    <row r="28" spans="3:14" x14ac:dyDescent="0.25">
      <c r="C28" t="s">
        <v>55</v>
      </c>
      <c r="D28">
        <v>1.114737930213028</v>
      </c>
      <c r="F28" s="5"/>
      <c r="G28" s="5"/>
      <c r="H28" s="5"/>
      <c r="I28" s="5"/>
      <c r="J28" s="5"/>
      <c r="K28" s="5"/>
      <c r="L28" s="5"/>
      <c r="M28" s="5"/>
      <c r="N28" s="5"/>
    </row>
    <row r="29" spans="3:14" x14ac:dyDescent="0.25">
      <c r="C29" t="s">
        <v>82</v>
      </c>
      <c r="D29">
        <v>0.43013108246571879</v>
      </c>
    </row>
    <row r="30" spans="3:14" ht="15.75" thickBot="1" x14ac:dyDescent="0.3">
      <c r="C30" s="37" t="s">
        <v>83</v>
      </c>
      <c r="D30" s="37">
        <v>2.8179304699530876</v>
      </c>
      <c r="E30" s="37"/>
    </row>
    <row r="65" spans="5:13" x14ac:dyDescent="0.25">
      <c r="E65" s="5"/>
      <c r="F65" s="5"/>
      <c r="G65" s="5"/>
      <c r="H65" s="5"/>
      <c r="I65" s="5"/>
      <c r="J65" s="5"/>
      <c r="K65" s="5"/>
      <c r="L65" s="5"/>
      <c r="M65" s="5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gram_soil</vt:lpstr>
      <vt:lpstr>CFU_T0</vt:lpstr>
      <vt:lpstr>CFU_T48 </vt:lpstr>
      <vt:lpstr>SpectraMax_RFU_T0</vt:lpstr>
      <vt:lpstr>SpectraMax_RFU_T48</vt:lpstr>
      <vt:lpstr>OUTPUT_micrompn_trim_positives</vt:lpstr>
      <vt:lpstr>micrompn_trim_CFU_bio1</vt:lpstr>
      <vt:lpstr>Regression_MPN_bio1</vt:lpstr>
      <vt:lpstr>Regression_mpnadj_bio1</vt:lpstr>
      <vt:lpstr>BlandAltman_MPN_bio1</vt:lpstr>
      <vt:lpstr>BlandAltman_mpnadjus_bio1</vt:lpstr>
      <vt:lpstr>Fishertest_MPN_bio1</vt:lpstr>
      <vt:lpstr>Fishertest_bio1 _mpnadjus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Franco</dc:creator>
  <cp:lastModifiedBy>Franco, Karla - REE-ARS</cp:lastModifiedBy>
  <dcterms:created xsi:type="dcterms:W3CDTF">2023-04-30T02:33:04Z</dcterms:created>
  <dcterms:modified xsi:type="dcterms:W3CDTF">2023-06-05T21:49:46Z</dcterms:modified>
</cp:coreProperties>
</file>